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Default Extension="xml" ContentType="application/xml"/>
  <Override PartName="/xl/worksheets/sheet5.xml" ContentType="application/vnd.openxmlformats-officedocument.spreadsheetml.worksheet+xml"/>
  <Override PartName="/xl/externalLinks/externalLink5.xml" ContentType="application/vnd.openxmlformats-officedocument.spreadsheetml.externalLink+xml"/>
  <Override PartName="/xl/drawings/drawing2.xml" ContentType="application/vnd.openxmlformats-officedocument.drawing+xml"/>
  <Override PartName="/xl/drawings/drawing15.xml" ContentType="application/vnd.openxmlformats-officedocument.drawing+xml"/>
  <Override PartName="/xl/drawings/drawing26.xml" ContentType="application/vnd.openxmlformats-officedocument.drawing+xml"/>
  <Override PartName="/xl/drawings/drawing35.xml" ContentType="application/vnd.openxmlformats-officedocument.drawing+xml"/>
  <Override PartName="/xl/drawings/drawing44.xml" ContentType="application/vnd.openxmlformats-officedocument.drawing+xml"/>
  <Override PartName="/xl/worksheets/sheet3.xml" ContentType="application/vnd.openxmlformats-officedocument.spreadsheetml.worksheet+xml"/>
  <Override PartName="/xl/externalLinks/externalLink3.xml" ContentType="application/vnd.openxmlformats-officedocument.spreadsheetml.externalLink+xml"/>
  <Override PartName="/xl/drawings/drawing13.xml" ContentType="application/vnd.openxmlformats-officedocument.drawing+xml"/>
  <Override PartName="/xl/comments2.xml" ContentType="application/vnd.openxmlformats-officedocument.spreadsheetml.comments+xml"/>
  <Override PartName="/xl/drawings/drawing22.xml" ContentType="application/vnd.openxmlformats-officedocument.drawing+xml"/>
  <Override PartName="/xl/drawings/drawing24.xml" ContentType="application/vnd.openxmlformats-officedocument.drawing+xml"/>
  <Override PartName="/xl/drawings/drawing33.xml" ContentType="application/vnd.openxmlformats-officedocument.drawing+xml"/>
  <Override PartName="/xl/drawings/drawing42.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drawings/drawing40.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Default Extension="jpeg" ContentType="image/jpeg"/>
  <Override PartName="/xl/drawings/drawing5.xml" ContentType="application/vnd.openxmlformats-officedocument.drawing+xml"/>
  <Default Extension="emf" ContentType="image/x-emf"/>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Override PartName="/xl/comments3.xml" ContentType="application/vnd.openxmlformats-officedocument.spreadsheetml.comments+xml"/>
  <Default Extension="vml" ContentType="application/vnd.openxmlformats-officedocument.vmlDrawing"/>
  <Override PartName="/xl/comments1.xml" ContentType="application/vnd.openxmlformats-officedocument.spreadsheetml.comments+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Objects="placeholders" codeName="ThisWorkbook" defaultThemeVersion="124226"/>
  <bookViews>
    <workbookView xWindow="9705" yWindow="-15" windowWidth="9540" windowHeight="11325" tabRatio="911" firstSheet="2" activeTab="17"/>
  </bookViews>
  <sheets>
    <sheet name="PT TAP CHAT" sheetId="112" r:id="rId1"/>
    <sheet name="KT DAU" sheetId="111" r:id="rId2"/>
    <sheet name="MENU" sheetId="73" r:id="rId3"/>
    <sheet name="1" sheetId="98" r:id="rId4"/>
    <sheet name="2" sheetId="99" r:id="rId5"/>
    <sheet name="3" sheetId="100" r:id="rId6"/>
    <sheet name="4" sheetId="108" r:id="rId7"/>
    <sheet name="5" sheetId="101" r:id="rId8"/>
    <sheet name="6" sheetId="102" r:id="rId9"/>
    <sheet name="7" sheetId="104" r:id="rId10"/>
    <sheet name="8" sheetId="109" r:id="rId11"/>
    <sheet name="XM.HN" sheetId="7" r:id="rId12"/>
    <sheet name="XM.FILE GOC" sheetId="10" r:id="rId13"/>
    <sheet name="1. XL-1E kh" sheetId="46" r:id="rId14"/>
    <sheet name="2. XL-1F kh" sheetId="58" r:id="rId15"/>
    <sheet name="3.XT-C kh" sheetId="60" r:id="rId16"/>
    <sheet name="4.ZN-NI kh" sheetId="95" r:id="rId17"/>
    <sheet name="1. XL-1E TT" sheetId="61" r:id="rId18"/>
    <sheet name="2. XL-1F TT " sheetId="54" r:id="rId19"/>
    <sheet name="3.XT-C TT" sheetId="56" r:id="rId20"/>
    <sheet name="4.ZN-NI tt" sheetId="96" r:id="rId21"/>
    <sheet name="XM.GUI MAIL" sheetId="24" r:id="rId22"/>
    <sheet name="XM.chart" sheetId="62" r:id="rId23"/>
    <sheet name="XM.chart 1" sheetId="69" r:id="rId24"/>
    <sheet name="ED-XI DEN" sheetId="75" r:id="rId25"/>
    <sheet name="R.HN" sheetId="76" r:id="rId26"/>
    <sheet name="R.FILE GOC" sheetId="77" r:id="rId27"/>
    <sheet name="1.xi den" sheetId="78" r:id="rId28"/>
    <sheet name="2.RL E" sheetId="79" r:id="rId29"/>
    <sheet name="3.RL G" sheetId="80" r:id="rId30"/>
    <sheet name="4.RL F" sheetId="81" r:id="rId31"/>
    <sheet name="5.ML" sheetId="82" r:id="rId32"/>
    <sheet name="1.xi den TT" sheetId="83" r:id="rId33"/>
    <sheet name="2.RL E tt" sheetId="84" r:id="rId34"/>
    <sheet name="3.RL G tt" sheetId="85" r:id="rId35"/>
    <sheet name="4.RL F tt" sheetId="86" r:id="rId36"/>
    <sheet name="5.ML tt" sheetId="87" r:id="rId37"/>
    <sheet name="R.GUI MAIL" sheetId="88" r:id="rId38"/>
    <sheet name="RL-LINE" sheetId="89" r:id="rId39"/>
    <sheet name="RL.chart" sheetId="90" r:id="rId40"/>
    <sheet name="RL.chart1" sheetId="91" r:id="rId41"/>
    <sheet name="ACID Đ.VAO" sheetId="94" r:id="rId42"/>
    <sheet name="GHI CHU" sheetId="65" r:id="rId43"/>
    <sheet name="tg import" sheetId="110" r:id="rId44"/>
    <sheet name="IT.NONG DO" sheetId="74" r:id="rId45"/>
    <sheet name="IT.NHIET DO" sheetId="92" r:id="rId46"/>
  </sheets>
  <externalReferences>
    <externalReference r:id="rId47"/>
    <externalReference r:id="rId48"/>
    <externalReference r:id="rId49"/>
    <externalReference r:id="rId50"/>
    <externalReference r:id="rId51"/>
  </externalReferences>
  <definedNames>
    <definedName name="_NEW2">[1]吊電B線入出料標準數據!$B$4:$P$4003</definedName>
    <definedName name="_XM_XT_THUCTE">'XM.GUI MAIL'!$A$6:$AP$106</definedName>
    <definedName name="AB">#REF!</definedName>
    <definedName name="abcd" localSheetId="3">#REF!</definedName>
    <definedName name="abcd" localSheetId="4">#REF!</definedName>
    <definedName name="abcd" localSheetId="5">#REF!</definedName>
    <definedName name="abcd" localSheetId="6">#REF!</definedName>
    <definedName name="abcd" localSheetId="16">#REF!</definedName>
    <definedName name="abcd" localSheetId="20">#REF!</definedName>
    <definedName name="abcd" localSheetId="7">#REF!</definedName>
    <definedName name="abcd" localSheetId="8">#REF!</definedName>
    <definedName name="abcd" localSheetId="9">#REF!</definedName>
    <definedName name="abcd" localSheetId="10">#REF!</definedName>
    <definedName name="CCC">#REF!</definedName>
    <definedName name="CXXTA">#REF!</definedName>
    <definedName name="CXXTB">[1]吊電B線入出料標準數據!$B$3:$P$428</definedName>
    <definedName name="HUANGHAIDONGA">#REF!</definedName>
    <definedName name="HUANGHAIDONGB">[1]吊電B線入出料標準數據!$A$3:$P$428</definedName>
    <definedName name="PartNo">[2]All!$B$5:$Q$65536</definedName>
    <definedName name="_xlnm.Print_Area" localSheetId="13">'1. XL-1E kh'!$A$1:$AF$75</definedName>
    <definedName name="_xlnm.Print_Area" localSheetId="17">'1. XL-1E TT'!$A$1:$T$79</definedName>
    <definedName name="_xlnm.Print_Area" localSheetId="27">'1.xi den'!$A$1:$P$34</definedName>
    <definedName name="_xlnm.Print_Area" localSheetId="32">'1.xi den TT'!$A$1:$P$34</definedName>
    <definedName name="_xlnm.Print_Area" localSheetId="14">'2. XL-1F kh'!$A$1:$AF$71</definedName>
    <definedName name="_xlnm.Print_Area" localSheetId="18">'2. XL-1F TT '!$A$1:$T$75</definedName>
    <definedName name="_xlnm.Print_Area" localSheetId="28">'2.RL E'!$A$1:$S$42</definedName>
    <definedName name="_xlnm.Print_Area" localSheetId="33">'2.RL E tt'!$A$1:$S$44</definedName>
    <definedName name="_xlnm.Print_Area" localSheetId="29">'3.RL G'!$A$1:$Q$35</definedName>
    <definedName name="_xlnm.Print_Area" localSheetId="34">'3.RL G tt'!$A$1:$Q$35</definedName>
    <definedName name="_xlnm.Print_Area" localSheetId="15">'3.XT-C kh'!$A$1:$AF$71</definedName>
    <definedName name="_xlnm.Print_Area" localSheetId="19">'3.XT-C TT'!$A$1:$T$83</definedName>
    <definedName name="_xlnm.Print_Area" localSheetId="30">'4.RL F'!$A$1:$R$42</definedName>
    <definedName name="_xlnm.Print_Area" localSheetId="35">'4.RL F tt'!$A$1:$R$44</definedName>
    <definedName name="_xlnm.Print_Area" localSheetId="16">'4.ZN-NI kh'!$A$1:$P$69</definedName>
    <definedName name="_xlnm.Print_Area" localSheetId="20">'4.ZN-NI tt'!$A$1:$P$68</definedName>
    <definedName name="_xlnm.Print_Area" localSheetId="31">'5.ML'!$A$1:$R$33</definedName>
    <definedName name="_xlnm.Print_Area" localSheetId="36">'5.ML tt'!$A$1:$R$33</definedName>
    <definedName name="_xlnm.Print_Area" localSheetId="41">'ACID Đ.VAO'!$C$1:$I$8</definedName>
    <definedName name="_xlnm.Print_Area" localSheetId="0">'PT TAP CHAT'!$B$1:$F$73</definedName>
    <definedName name="RLMLXD">'R.GUI MAIL'!$A$6:$AQ$114</definedName>
    <definedName name="sss">'[3]附表-01'!$A$2:$L$1662</definedName>
    <definedName name="WUJIWEI">#REF!</definedName>
    <definedName name="XTB123">[4]輸入!#REF!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L44" i="54"/>
  <c r="N44"/>
  <c r="N45" s="1"/>
  <c r="P44"/>
  <c r="R44"/>
  <c r="R45"/>
  <c r="L46"/>
  <c r="N46"/>
  <c r="P46"/>
  <c r="R46"/>
  <c r="R47" s="1"/>
  <c r="N47"/>
  <c r="L48"/>
  <c r="N48"/>
  <c r="N49" s="1"/>
  <c r="P48"/>
  <c r="R48"/>
  <c r="R49"/>
  <c r="L50"/>
  <c r="N50"/>
  <c r="P50"/>
  <c r="R50"/>
  <c r="R51" s="1"/>
  <c r="N51"/>
  <c r="L52"/>
  <c r="N52"/>
  <c r="P52"/>
  <c r="R52"/>
  <c r="L53"/>
  <c r="N53"/>
  <c r="P53"/>
  <c r="R53"/>
  <c r="L54"/>
  <c r="N54"/>
  <c r="P54"/>
  <c r="R54"/>
  <c r="L55"/>
  <c r="N55"/>
  <c r="P55"/>
  <c r="R55"/>
  <c r="L56"/>
  <c r="N56"/>
  <c r="P56"/>
  <c r="R56"/>
  <c r="L57"/>
  <c r="N57"/>
  <c r="P57"/>
  <c r="R57"/>
  <c r="L58"/>
  <c r="N58"/>
  <c r="P58"/>
  <c r="R58"/>
  <c r="L59"/>
  <c r="N59"/>
  <c r="P59"/>
  <c r="R59"/>
  <c r="L60"/>
  <c r="N60"/>
  <c r="P60"/>
  <c r="R60"/>
  <c r="L61"/>
  <c r="N61"/>
  <c r="P61"/>
  <c r="R61"/>
  <c r="H64"/>
  <c r="J64"/>
  <c r="L64"/>
  <c r="N64"/>
  <c r="P64"/>
  <c r="R64"/>
  <c r="H65"/>
  <c r="J65"/>
  <c r="L65"/>
  <c r="N65"/>
  <c r="P65"/>
  <c r="R65"/>
  <c r="H66"/>
  <c r="J66"/>
  <c r="L66"/>
  <c r="N66"/>
  <c r="P66"/>
  <c r="R66"/>
  <c r="H67"/>
  <c r="J67"/>
  <c r="L67"/>
  <c r="N67"/>
  <c r="P67"/>
  <c r="R67"/>
  <c r="H68"/>
  <c r="J68"/>
  <c r="L68"/>
  <c r="N68"/>
  <c r="P68"/>
  <c r="R68"/>
  <c r="H69"/>
  <c r="J69"/>
  <c r="L69"/>
  <c r="N69"/>
  <c r="P69"/>
  <c r="R69"/>
  <c r="H70"/>
  <c r="J70"/>
  <c r="L70"/>
  <c r="N70"/>
  <c r="P70"/>
  <c r="R70"/>
  <c r="J71"/>
  <c r="N71"/>
  <c r="R71"/>
  <c r="H74"/>
  <c r="L74"/>
  <c r="P74"/>
  <c r="H75"/>
  <c r="L75"/>
  <c r="P75"/>
  <c r="W69" i="77" l="1"/>
  <c r="W70"/>
  <c r="W60"/>
  <c r="AC119" i="10"/>
  <c r="AC120"/>
  <c r="AC118"/>
  <c r="Z119"/>
  <c r="Z120"/>
  <c r="Z118"/>
  <c r="W119"/>
  <c r="W120"/>
  <c r="W118"/>
  <c r="T119"/>
  <c r="T120"/>
  <c r="T118"/>
  <c r="Q119"/>
  <c r="Q120"/>
  <c r="Q118"/>
  <c r="N119"/>
  <c r="N120"/>
  <c r="N118"/>
  <c r="K119"/>
  <c r="K120"/>
  <c r="K118"/>
  <c r="H119"/>
  <c r="H120"/>
  <c r="H118"/>
  <c r="AC113"/>
  <c r="AC111"/>
  <c r="Z115"/>
  <c r="W113"/>
  <c r="T115"/>
  <c r="Q113"/>
  <c r="S111"/>
  <c r="N115"/>
  <c r="H115"/>
  <c r="E113"/>
  <c r="H4" i="112"/>
  <c r="H68"/>
  <c r="H67"/>
  <c r="H66"/>
  <c r="H65"/>
  <c r="H64"/>
  <c r="H63"/>
  <c r="H62"/>
  <c r="H61"/>
  <c r="H60"/>
  <c r="H59"/>
  <c r="H58"/>
  <c r="H57"/>
  <c r="H56"/>
  <c r="H55"/>
  <c r="H54"/>
  <c r="H53"/>
  <c r="H52"/>
  <c r="H51"/>
  <c r="H50"/>
  <c r="H49"/>
  <c r="H48"/>
  <c r="H47"/>
  <c r="H46"/>
  <c r="H45"/>
  <c r="H44"/>
  <c r="H43"/>
  <c r="H42"/>
  <c r="H36"/>
  <c r="H35"/>
  <c r="H34"/>
  <c r="H33"/>
  <c r="H32"/>
  <c r="H31"/>
  <c r="H30"/>
  <c r="H29"/>
  <c r="H28"/>
  <c r="H27"/>
  <c r="H26"/>
  <c r="H25"/>
  <c r="H24"/>
  <c r="H23"/>
  <c r="H5"/>
  <c r="H6"/>
  <c r="H7"/>
  <c r="H8"/>
  <c r="H9"/>
  <c r="H10"/>
  <c r="H11"/>
  <c r="H12"/>
  <c r="H13"/>
  <c r="H14"/>
  <c r="H15"/>
  <c r="H16"/>
  <c r="H17"/>
  <c r="H18"/>
  <c r="H19"/>
  <c r="H20"/>
  <c r="H37"/>
  <c r="H38"/>
  <c r="H39"/>
  <c r="D12"/>
  <c r="A1" i="7"/>
  <c r="N79" i="56"/>
  <c r="G79"/>
  <c r="G37"/>
  <c r="AO100" i="24"/>
  <c r="R79" i="56" s="1"/>
  <c r="AL100" i="24"/>
  <c r="P79" i="56" s="1"/>
  <c r="AI100" i="24"/>
  <c r="AF100"/>
  <c r="L79" i="56" s="1"/>
  <c r="AC100" i="24"/>
  <c r="J79" i="56" s="1"/>
  <c r="Z100" i="24"/>
  <c r="H79" i="56" s="1"/>
  <c r="W100" i="24"/>
  <c r="R37" i="56" s="1"/>
  <c r="T100" i="24"/>
  <c r="P37" i="56" s="1"/>
  <c r="Q100" i="24"/>
  <c r="N37" i="56" s="1"/>
  <c r="N100" i="24"/>
  <c r="L37" i="56" s="1"/>
  <c r="K100" i="24"/>
  <c r="J37" i="56" s="1"/>
  <c r="H100" i="24"/>
  <c r="H37" i="56" s="1"/>
  <c r="N95" i="24"/>
  <c r="E100" i="10"/>
  <c r="E91"/>
  <c r="E92"/>
  <c r="E93"/>
  <c r="E94"/>
  <c r="E95"/>
  <c r="E96"/>
  <c r="E97"/>
  <c r="E98"/>
  <c r="E99"/>
  <c r="G48" i="60"/>
  <c r="G46"/>
  <c r="G44"/>
  <c r="G42"/>
  <c r="G12"/>
  <c r="G10"/>
  <c r="G8"/>
  <c r="G6"/>
  <c r="G54" i="56"/>
  <c r="G52"/>
  <c r="G50"/>
  <c r="G48"/>
  <c r="G35" i="58"/>
  <c r="G34"/>
  <c r="G71"/>
  <c r="G70"/>
  <c r="G67"/>
  <c r="G66"/>
  <c r="G65"/>
  <c r="G64"/>
  <c r="G63"/>
  <c r="G62"/>
  <c r="G61"/>
  <c r="G60"/>
  <c r="G31"/>
  <c r="G30"/>
  <c r="G29"/>
  <c r="G28"/>
  <c r="G27"/>
  <c r="G26"/>
  <c r="G25"/>
  <c r="G24"/>
  <c r="G57"/>
  <c r="G56"/>
  <c r="G55"/>
  <c r="G54"/>
  <c r="G53"/>
  <c r="G52"/>
  <c r="G51"/>
  <c r="G50"/>
  <c r="G48"/>
  <c r="G46"/>
  <c r="G44"/>
  <c r="G42"/>
  <c r="G21"/>
  <c r="G20"/>
  <c r="G19"/>
  <c r="G18"/>
  <c r="G17"/>
  <c r="G16"/>
  <c r="G15"/>
  <c r="G14"/>
  <c r="G12"/>
  <c r="G10"/>
  <c r="G8"/>
  <c r="G6"/>
  <c r="G61" i="54"/>
  <c r="G60"/>
  <c r="G59"/>
  <c r="G58"/>
  <c r="G57"/>
  <c r="G56"/>
  <c r="G55"/>
  <c r="G54"/>
  <c r="G53"/>
  <c r="G52"/>
  <c r="G50"/>
  <c r="G48"/>
  <c r="G46"/>
  <c r="G44"/>
  <c r="G71"/>
  <c r="G70"/>
  <c r="G69"/>
  <c r="G68"/>
  <c r="G67"/>
  <c r="G66"/>
  <c r="G65"/>
  <c r="G64"/>
  <c r="G75"/>
  <c r="G74"/>
  <c r="G37"/>
  <c r="G36"/>
  <c r="G33"/>
  <c r="G32"/>
  <c r="G31"/>
  <c r="G30"/>
  <c r="G29"/>
  <c r="G28"/>
  <c r="G27"/>
  <c r="G26"/>
  <c r="G23"/>
  <c r="G22"/>
  <c r="G21"/>
  <c r="G20"/>
  <c r="G19"/>
  <c r="G18"/>
  <c r="G17"/>
  <c r="G16"/>
  <c r="G15"/>
  <c r="G14"/>
  <c r="G12"/>
  <c r="G10"/>
  <c r="G8"/>
  <c r="G6"/>
  <c r="G75" i="46"/>
  <c r="G74"/>
  <c r="G37"/>
  <c r="G36"/>
  <c r="G33"/>
  <c r="G32"/>
  <c r="G31"/>
  <c r="G30"/>
  <c r="G29"/>
  <c r="G28"/>
  <c r="G27"/>
  <c r="G26"/>
  <c r="G71"/>
  <c r="G70"/>
  <c r="G69"/>
  <c r="G68"/>
  <c r="G67"/>
  <c r="G66"/>
  <c r="G65"/>
  <c r="G64"/>
  <c r="G61"/>
  <c r="G60"/>
  <c r="G59"/>
  <c r="G58"/>
  <c r="G57"/>
  <c r="G56"/>
  <c r="G55"/>
  <c r="G54"/>
  <c r="G52"/>
  <c r="G50"/>
  <c r="G47"/>
  <c r="G44"/>
  <c r="G23"/>
  <c r="G22"/>
  <c r="G21"/>
  <c r="G20"/>
  <c r="G19"/>
  <c r="G18"/>
  <c r="G17"/>
  <c r="G16"/>
  <c r="G14"/>
  <c r="G12"/>
  <c r="G9"/>
  <c r="G6"/>
  <c r="G79" i="61"/>
  <c r="G78"/>
  <c r="G75"/>
  <c r="G74"/>
  <c r="G73"/>
  <c r="G72"/>
  <c r="G71"/>
  <c r="G70"/>
  <c r="G69"/>
  <c r="G68"/>
  <c r="G65"/>
  <c r="G64"/>
  <c r="G63"/>
  <c r="G62"/>
  <c r="G61"/>
  <c r="G60"/>
  <c r="G59"/>
  <c r="G58"/>
  <c r="G57"/>
  <c r="G56"/>
  <c r="G54"/>
  <c r="G52"/>
  <c r="G49"/>
  <c r="G46"/>
  <c r="G25"/>
  <c r="G24"/>
  <c r="G23"/>
  <c r="G22"/>
  <c r="G21"/>
  <c r="G20"/>
  <c r="G19"/>
  <c r="G18"/>
  <c r="G17"/>
  <c r="G16"/>
  <c r="G14"/>
  <c r="G12"/>
  <c r="G9"/>
  <c r="G6"/>
  <c r="G35"/>
  <c r="G34"/>
  <c r="G33"/>
  <c r="G32"/>
  <c r="G31"/>
  <c r="G30"/>
  <c r="G29"/>
  <c r="G28"/>
  <c r="G39"/>
  <c r="G38"/>
  <c r="F85" i="10"/>
  <c r="E106"/>
  <c r="E105"/>
  <c r="E101"/>
  <c r="E118" s="1"/>
  <c r="E102"/>
  <c r="E119" s="1"/>
  <c r="E103"/>
  <c r="E120" s="1"/>
  <c r="F69"/>
  <c r="F70"/>
  <c r="F71"/>
  <c r="F72"/>
  <c r="F73"/>
  <c r="F74"/>
  <c r="F75"/>
  <c r="F76"/>
  <c r="F77"/>
  <c r="F78"/>
  <c r="F79"/>
  <c r="F80"/>
  <c r="F81"/>
  <c r="F82"/>
  <c r="F83"/>
  <c r="F84"/>
  <c r="F86"/>
  <c r="F87"/>
  <c r="F88"/>
  <c r="F68"/>
  <c r="E69"/>
  <c r="E70"/>
  <c r="E71"/>
  <c r="E72"/>
  <c r="E73"/>
  <c r="E74"/>
  <c r="E75"/>
  <c r="E76"/>
  <c r="E77"/>
  <c r="E78"/>
  <c r="E79"/>
  <c r="E80"/>
  <c r="E81"/>
  <c r="E82"/>
  <c r="E83"/>
  <c r="E84"/>
  <c r="E111" s="1"/>
  <c r="E85"/>
  <c r="E86"/>
  <c r="E87"/>
  <c r="E88"/>
  <c r="E115" s="1"/>
  <c r="E68"/>
  <c r="E63"/>
  <c r="E62"/>
  <c r="E54"/>
  <c r="E55"/>
  <c r="E56"/>
  <c r="E57"/>
  <c r="E58"/>
  <c r="E59"/>
  <c r="E60"/>
  <c r="E53"/>
  <c r="F38"/>
  <c r="F39"/>
  <c r="F40"/>
  <c r="F41"/>
  <c r="F42"/>
  <c r="F43"/>
  <c r="F44"/>
  <c r="F45"/>
  <c r="F46"/>
  <c r="F47"/>
  <c r="F48"/>
  <c r="F49"/>
  <c r="F37"/>
  <c r="E38"/>
  <c r="E39"/>
  <c r="E40"/>
  <c r="E41"/>
  <c r="E42"/>
  <c r="E43"/>
  <c r="E44"/>
  <c r="E45"/>
  <c r="E46"/>
  <c r="E47"/>
  <c r="E48"/>
  <c r="E49"/>
  <c r="E50"/>
  <c r="E37"/>
  <c r="E32"/>
  <c r="E31"/>
  <c r="E23"/>
  <c r="E24"/>
  <c r="E25"/>
  <c r="E26"/>
  <c r="E27"/>
  <c r="E28"/>
  <c r="E29"/>
  <c r="E22"/>
  <c r="F7"/>
  <c r="F8"/>
  <c r="F9"/>
  <c r="F10"/>
  <c r="F11"/>
  <c r="F12"/>
  <c r="F13"/>
  <c r="F14"/>
  <c r="F15"/>
  <c r="F16"/>
  <c r="F17"/>
  <c r="F18"/>
  <c r="F6"/>
  <c r="E7"/>
  <c r="E8"/>
  <c r="E9"/>
  <c r="E10"/>
  <c r="E11"/>
  <c r="E12"/>
  <c r="E13"/>
  <c r="E14"/>
  <c r="E15"/>
  <c r="E16"/>
  <c r="E17"/>
  <c r="E18"/>
  <c r="E19"/>
  <c r="E6"/>
  <c r="G71" i="60"/>
  <c r="G70"/>
  <c r="G35"/>
  <c r="G34"/>
  <c r="G31"/>
  <c r="G30"/>
  <c r="G29"/>
  <c r="G28"/>
  <c r="G27"/>
  <c r="G26"/>
  <c r="G25"/>
  <c r="G24"/>
  <c r="G67"/>
  <c r="G66"/>
  <c r="G65"/>
  <c r="G64"/>
  <c r="G63"/>
  <c r="G62"/>
  <c r="G61"/>
  <c r="G60"/>
  <c r="G57"/>
  <c r="G56"/>
  <c r="G55"/>
  <c r="G54"/>
  <c r="G53"/>
  <c r="G52"/>
  <c r="G51"/>
  <c r="G50"/>
  <c r="G21"/>
  <c r="G20"/>
  <c r="G19"/>
  <c r="G18"/>
  <c r="G17"/>
  <c r="G16"/>
  <c r="G15"/>
  <c r="G14"/>
  <c r="G33" i="95"/>
  <c r="G32"/>
  <c r="G31"/>
  <c r="G30"/>
  <c r="G29"/>
  <c r="G28"/>
  <c r="G27"/>
  <c r="G26"/>
  <c r="G25"/>
  <c r="G69"/>
  <c r="G68"/>
  <c r="G67"/>
  <c r="G66"/>
  <c r="G65"/>
  <c r="G64"/>
  <c r="G63"/>
  <c r="G62"/>
  <c r="G61"/>
  <c r="G58"/>
  <c r="G57"/>
  <c r="G56"/>
  <c r="G55"/>
  <c r="G54"/>
  <c r="G52"/>
  <c r="G50"/>
  <c r="G48"/>
  <c r="G46"/>
  <c r="G44"/>
  <c r="G42"/>
  <c r="G22"/>
  <c r="G21"/>
  <c r="G20"/>
  <c r="G19"/>
  <c r="G18"/>
  <c r="G16"/>
  <c r="G14"/>
  <c r="G12"/>
  <c r="G10"/>
  <c r="G8"/>
  <c r="G6"/>
  <c r="G57" i="96"/>
  <c r="G56"/>
  <c r="G55"/>
  <c r="G54"/>
  <c r="G53"/>
  <c r="G51"/>
  <c r="G49"/>
  <c r="G47"/>
  <c r="G45"/>
  <c r="G43"/>
  <c r="G41"/>
  <c r="G29"/>
  <c r="G68"/>
  <c r="G67"/>
  <c r="G66"/>
  <c r="G65"/>
  <c r="G64"/>
  <c r="G63"/>
  <c r="G62"/>
  <c r="G61"/>
  <c r="G60"/>
  <c r="G30"/>
  <c r="G33"/>
  <c r="G32"/>
  <c r="G31"/>
  <c r="G28"/>
  <c r="G27"/>
  <c r="G26"/>
  <c r="G25"/>
  <c r="G18"/>
  <c r="G16"/>
  <c r="G14"/>
  <c r="G22"/>
  <c r="G21"/>
  <c r="G20"/>
  <c r="G19"/>
  <c r="G12"/>
  <c r="G10"/>
  <c r="G8"/>
  <c r="G6"/>
  <c r="G83" i="56"/>
  <c r="G82"/>
  <c r="G78"/>
  <c r="G77"/>
  <c r="G76"/>
  <c r="G75"/>
  <c r="G74"/>
  <c r="G73"/>
  <c r="G72"/>
  <c r="G71"/>
  <c r="G70"/>
  <c r="G67"/>
  <c r="G66"/>
  <c r="G65"/>
  <c r="G64"/>
  <c r="G63"/>
  <c r="G62"/>
  <c r="G61"/>
  <c r="G60"/>
  <c r="G59"/>
  <c r="G58"/>
  <c r="G57"/>
  <c r="G56"/>
  <c r="G41"/>
  <c r="G40"/>
  <c r="G36"/>
  <c r="G35"/>
  <c r="G34"/>
  <c r="G33"/>
  <c r="G32"/>
  <c r="G31"/>
  <c r="G30"/>
  <c r="G29"/>
  <c r="G28"/>
  <c r="G25"/>
  <c r="G24"/>
  <c r="G23"/>
  <c r="G22"/>
  <c r="G21"/>
  <c r="G20"/>
  <c r="G19"/>
  <c r="G18"/>
  <c r="G17"/>
  <c r="G16"/>
  <c r="G15"/>
  <c r="G14"/>
  <c r="G12"/>
  <c r="G10"/>
  <c r="G8"/>
  <c r="G6"/>
  <c r="F6" i="112"/>
  <c r="I115" i="10" l="1"/>
  <c r="E67" i="7"/>
  <c r="E68"/>
  <c r="E66"/>
  <c r="A64"/>
  <c r="F44" i="112"/>
  <c r="F25"/>
  <c r="E62" i="7"/>
  <c r="E61"/>
  <c r="E60"/>
  <c r="E114" i="24"/>
  <c r="E115"/>
  <c r="E116"/>
  <c r="E117"/>
  <c r="E118"/>
  <c r="E119"/>
  <c r="E120"/>
  <c r="E113"/>
  <c r="D114"/>
  <c r="D115"/>
  <c r="D116"/>
  <c r="D117"/>
  <c r="D118"/>
  <c r="D119"/>
  <c r="D120"/>
  <c r="D113"/>
  <c r="C110"/>
  <c r="B110"/>
  <c r="AL106"/>
  <c r="T106"/>
  <c r="P41" i="56" s="1"/>
  <c r="AF105" i="24"/>
  <c r="Z105"/>
  <c r="Z106"/>
  <c r="B2" i="112"/>
  <c r="D63"/>
  <c r="D62"/>
  <c r="D68"/>
  <c r="D67"/>
  <c r="D58"/>
  <c r="D57"/>
  <c r="D51"/>
  <c r="D49"/>
  <c r="D43"/>
  <c r="D42"/>
  <c r="D36"/>
  <c r="D35"/>
  <c r="D31"/>
  <c r="D30"/>
  <c r="D24"/>
  <c r="D23"/>
  <c r="D17"/>
  <c r="D16"/>
  <c r="D11"/>
  <c r="D5"/>
  <c r="D4"/>
  <c r="B2" i="111"/>
  <c r="I75" i="91"/>
  <c r="I76"/>
  <c r="I74"/>
  <c r="H75"/>
  <c r="H76"/>
  <c r="H74"/>
  <c r="G75"/>
  <c r="G76"/>
  <c r="G74"/>
  <c r="F75"/>
  <c r="F76"/>
  <c r="F74"/>
  <c r="E75"/>
  <c r="E76"/>
  <c r="E74"/>
  <c r="D75"/>
  <c r="D76"/>
  <c r="D74"/>
  <c r="I47"/>
  <c r="I48"/>
  <c r="I46"/>
  <c r="H47"/>
  <c r="H48"/>
  <c r="H46"/>
  <c r="G47"/>
  <c r="G48"/>
  <c r="G46"/>
  <c r="AL82" i="24" l="1"/>
  <c r="AF82"/>
  <c r="Z82"/>
  <c r="AA82" s="1"/>
  <c r="T82"/>
  <c r="N82"/>
  <c r="O82" s="1"/>
  <c r="H80"/>
  <c r="F67" i="112" s="1"/>
  <c r="N25" i="56"/>
  <c r="J25"/>
  <c r="AL83" i="24"/>
  <c r="P67" i="56" s="1"/>
  <c r="AF83" i="24"/>
  <c r="L67" i="56" s="1"/>
  <c r="Z83" i="24"/>
  <c r="H67" i="56" s="1"/>
  <c r="T83" i="24"/>
  <c r="P25" i="56" s="1"/>
  <c r="N83" i="24"/>
  <c r="L25" i="56" s="1"/>
  <c r="H83" i="24"/>
  <c r="AL88"/>
  <c r="Z88"/>
  <c r="T88"/>
  <c r="H88"/>
  <c r="AL75"/>
  <c r="AF75"/>
  <c r="Z75"/>
  <c r="T75"/>
  <c r="N75"/>
  <c r="H75"/>
  <c r="F58" i="112" s="1"/>
  <c r="AL44" i="24"/>
  <c r="AF44"/>
  <c r="Z44"/>
  <c r="T44"/>
  <c r="N44"/>
  <c r="H44"/>
  <c r="F31" i="112" s="1"/>
  <c r="AL13" i="24"/>
  <c r="AF13"/>
  <c r="Z13"/>
  <c r="T13"/>
  <c r="N13"/>
  <c r="H13"/>
  <c r="F12" i="112" s="1"/>
  <c r="H57" i="7"/>
  <c r="H50"/>
  <c r="H48"/>
  <c r="H47"/>
  <c r="H32"/>
  <c r="H31"/>
  <c r="H16"/>
  <c r="H15"/>
  <c r="AL83" i="10"/>
  <c r="AF83"/>
  <c r="Z83"/>
  <c r="T83"/>
  <c r="N83"/>
  <c r="H83"/>
  <c r="AL75"/>
  <c r="AF75"/>
  <c r="Z75"/>
  <c r="T75"/>
  <c r="N75"/>
  <c r="H75"/>
  <c r="AL44"/>
  <c r="Z44"/>
  <c r="N44"/>
  <c r="AL13"/>
  <c r="AF13"/>
  <c r="Z13"/>
  <c r="T13"/>
  <c r="N13"/>
  <c r="H13"/>
  <c r="AK82" i="24"/>
  <c r="AE82"/>
  <c r="Y82"/>
  <c r="S82"/>
  <c r="M82"/>
  <c r="G82"/>
  <c r="H82" s="1"/>
  <c r="F62" i="112" s="1"/>
  <c r="AK82" i="10"/>
  <c r="AL82" s="1"/>
  <c r="AM82" s="1"/>
  <c r="AO82" s="1"/>
  <c r="AE82"/>
  <c r="AF82" s="1"/>
  <c r="AG82" s="1"/>
  <c r="AI82" s="1"/>
  <c r="Y82"/>
  <c r="Z82" s="1"/>
  <c r="AA82" s="1"/>
  <c r="AC82" s="1"/>
  <c r="S82"/>
  <c r="T82" s="1"/>
  <c r="U82" s="1"/>
  <c r="W82" s="1"/>
  <c r="M82"/>
  <c r="N82" s="1"/>
  <c r="O82" s="1"/>
  <c r="Q82" s="1"/>
  <c r="G82"/>
  <c r="G77" i="65"/>
  <c r="G76"/>
  <c r="AC82" i="24" l="1"/>
  <c r="J66" i="56" s="1"/>
  <c r="H25"/>
  <c r="F63" i="112"/>
  <c r="H24" i="56"/>
  <c r="AO82" i="24"/>
  <c r="R66" i="56" s="1"/>
  <c r="AM82" i="24"/>
  <c r="AG82"/>
  <c r="W82"/>
  <c r="R24" i="56" s="1"/>
  <c r="U82" i="24"/>
  <c r="L24" i="56"/>
  <c r="Q82" i="24"/>
  <c r="N24" i="56" s="1"/>
  <c r="L66"/>
  <c r="P66"/>
  <c r="P24"/>
  <c r="H66"/>
  <c r="I82" i="24"/>
  <c r="H82" i="10"/>
  <c r="I82" s="1"/>
  <c r="AI82" i="24" l="1"/>
  <c r="N66" i="56" s="1"/>
  <c r="K82" i="24"/>
  <c r="J24" i="56" s="1"/>
  <c r="K82" i="10"/>
  <c r="AD52" i="60"/>
  <c r="V52"/>
  <c r="N52"/>
  <c r="AD16"/>
  <c r="V16"/>
  <c r="N16"/>
  <c r="X50" i="89"/>
  <c r="X8"/>
  <c r="M41" i="88"/>
  <c r="N41" s="1"/>
  <c r="O41" s="1"/>
  <c r="Q41" s="1"/>
  <c r="AL96" i="24"/>
  <c r="AD56" i="46"/>
  <c r="V56"/>
  <c r="AH20" i="60"/>
  <c r="AL47" i="88"/>
  <c r="AO46"/>
  <c r="AM46"/>
  <c r="AL46"/>
  <c r="AL45"/>
  <c r="AO43"/>
  <c r="AM43"/>
  <c r="AL43"/>
  <c r="AL44" s="1"/>
  <c r="AM44" s="1"/>
  <c r="AO44" s="1"/>
  <c r="AM42"/>
  <c r="AO42" s="1"/>
  <c r="AL42"/>
  <c r="AL41"/>
  <c r="AM41" s="1"/>
  <c r="AO41" s="1"/>
  <c r="AF47"/>
  <c r="AI46"/>
  <c r="AG46"/>
  <c r="AF46"/>
  <c r="AF45"/>
  <c r="AG43"/>
  <c r="AI43" s="1"/>
  <c r="AF43"/>
  <c r="AF44" s="1"/>
  <c r="AG44" s="1"/>
  <c r="AI44" s="1"/>
  <c r="AF42"/>
  <c r="AG42" s="1"/>
  <c r="AI42" s="1"/>
  <c r="AI41"/>
  <c r="AG41"/>
  <c r="AF41"/>
  <c r="Z47"/>
  <c r="Z46"/>
  <c r="AA46" s="1"/>
  <c r="AC46" s="1"/>
  <c r="Z45"/>
  <c r="Z44"/>
  <c r="AA44" s="1"/>
  <c r="AC44" s="1"/>
  <c r="AC43"/>
  <c r="AA43"/>
  <c r="Z43"/>
  <c r="AA42"/>
  <c r="AC42" s="1"/>
  <c r="Z42"/>
  <c r="Z41"/>
  <c r="AA41" s="1"/>
  <c r="AC41" s="1"/>
  <c r="T47"/>
  <c r="T46"/>
  <c r="U46" s="1"/>
  <c r="W46" s="1"/>
  <c r="T45"/>
  <c r="T44"/>
  <c r="U44" s="1"/>
  <c r="W44" s="1"/>
  <c r="W43"/>
  <c r="U43"/>
  <c r="T43"/>
  <c r="U42"/>
  <c r="W42" s="1"/>
  <c r="T42"/>
  <c r="T41"/>
  <c r="U41" s="1"/>
  <c r="W41" s="1"/>
  <c r="N47"/>
  <c r="N46"/>
  <c r="O46" s="1"/>
  <c r="Q46" s="1"/>
  <c r="N45"/>
  <c r="N44"/>
  <c r="O44" s="1"/>
  <c r="Q44" s="1"/>
  <c r="Q43"/>
  <c r="O43"/>
  <c r="N43"/>
  <c r="O42"/>
  <c r="Q42" s="1"/>
  <c r="N42"/>
  <c r="H47"/>
  <c r="H46"/>
  <c r="I46" s="1"/>
  <c r="K46" s="1"/>
  <c r="H45"/>
  <c r="H44"/>
  <c r="I44" s="1"/>
  <c r="K44" s="1"/>
  <c r="K43"/>
  <c r="I43"/>
  <c r="H43"/>
  <c r="K42"/>
  <c r="I42"/>
  <c r="H42"/>
  <c r="I41"/>
  <c r="K41" s="1"/>
  <c r="H41"/>
  <c r="AL31"/>
  <c r="AO30"/>
  <c r="AM30"/>
  <c r="AL30"/>
  <c r="AL29"/>
  <c r="AO27"/>
  <c r="AM27"/>
  <c r="AL27"/>
  <c r="AL28" s="1"/>
  <c r="AM28" s="1"/>
  <c r="AO28" s="1"/>
  <c r="AM26"/>
  <c r="AO26" s="1"/>
  <c r="AL26"/>
  <c r="AL25"/>
  <c r="AM25" s="1"/>
  <c r="AO25" s="1"/>
  <c r="AF31"/>
  <c r="AI30"/>
  <c r="AG30"/>
  <c r="AF30"/>
  <c r="AF29"/>
  <c r="AG27"/>
  <c r="AI27" s="1"/>
  <c r="AF27"/>
  <c r="AF28" s="1"/>
  <c r="AG28" s="1"/>
  <c r="AI28" s="1"/>
  <c r="AF26"/>
  <c r="AG26" s="1"/>
  <c r="AI26" s="1"/>
  <c r="AI25"/>
  <c r="AG25"/>
  <c r="AF25"/>
  <c r="Z31"/>
  <c r="AC30"/>
  <c r="AA30"/>
  <c r="Z30"/>
  <c r="Z29"/>
  <c r="AA27"/>
  <c r="AC27" s="1"/>
  <c r="Z27"/>
  <c r="Z28" s="1"/>
  <c r="AA28" s="1"/>
  <c r="AC28" s="1"/>
  <c r="Z26"/>
  <c r="AA26" s="1"/>
  <c r="AC26" s="1"/>
  <c r="AC25"/>
  <c r="AA25"/>
  <c r="Z25"/>
  <c r="T31"/>
  <c r="T30"/>
  <c r="U30" s="1"/>
  <c r="W30" s="1"/>
  <c r="T29"/>
  <c r="T28"/>
  <c r="U28" s="1"/>
  <c r="W28" s="1"/>
  <c r="W27"/>
  <c r="U27"/>
  <c r="T27"/>
  <c r="W26"/>
  <c r="U26"/>
  <c r="T26"/>
  <c r="U25"/>
  <c r="W25" s="1"/>
  <c r="T25"/>
  <c r="AL47" i="77" l="1"/>
  <c r="AO46"/>
  <c r="AM46"/>
  <c r="AL46"/>
  <c r="AL45"/>
  <c r="AM43"/>
  <c r="AO43" s="1"/>
  <c r="AL43"/>
  <c r="AL44" s="1"/>
  <c r="AM44" s="1"/>
  <c r="AO44" s="1"/>
  <c r="AL42"/>
  <c r="AM42" s="1"/>
  <c r="AO42" s="1"/>
  <c r="AO41"/>
  <c r="AM41"/>
  <c r="AL41"/>
  <c r="AF47"/>
  <c r="AI46"/>
  <c r="AG46"/>
  <c r="AF46"/>
  <c r="AF45"/>
  <c r="AG43"/>
  <c r="AI43" s="1"/>
  <c r="AF43"/>
  <c r="AF44" s="1"/>
  <c r="AG44" s="1"/>
  <c r="AI44" s="1"/>
  <c r="AF42"/>
  <c r="AG42" s="1"/>
  <c r="AI42" s="1"/>
  <c r="AI41"/>
  <c r="AG41"/>
  <c r="AF41"/>
  <c r="Z47"/>
  <c r="AC46"/>
  <c r="AA46"/>
  <c r="Z46"/>
  <c r="Z45"/>
  <c r="AA43"/>
  <c r="AC43" s="1"/>
  <c r="Z43"/>
  <c r="Z44" s="1"/>
  <c r="AA44" s="1"/>
  <c r="AC44" s="1"/>
  <c r="Z42"/>
  <c r="AA42" s="1"/>
  <c r="AC42" s="1"/>
  <c r="AC41"/>
  <c r="AA41"/>
  <c r="Z41"/>
  <c r="T47"/>
  <c r="T46"/>
  <c r="U46" s="1"/>
  <c r="W46" s="1"/>
  <c r="T45"/>
  <c r="W43"/>
  <c r="U43"/>
  <c r="T43"/>
  <c r="T44" s="1"/>
  <c r="U44" s="1"/>
  <c r="W44" s="1"/>
  <c r="U42"/>
  <c r="W42" s="1"/>
  <c r="T42"/>
  <c r="T41"/>
  <c r="U41" s="1"/>
  <c r="W41" s="1"/>
  <c r="N47"/>
  <c r="Q46"/>
  <c r="O46"/>
  <c r="N46"/>
  <c r="N45"/>
  <c r="O43"/>
  <c r="Q43" s="1"/>
  <c r="N43"/>
  <c r="N44" s="1"/>
  <c r="O44" s="1"/>
  <c r="Q44" s="1"/>
  <c r="N42"/>
  <c r="O42" s="1"/>
  <c r="Q42" s="1"/>
  <c r="Q41"/>
  <c r="O41"/>
  <c r="N41"/>
  <c r="H47"/>
  <c r="K46"/>
  <c r="I46"/>
  <c r="H46"/>
  <c r="H45"/>
  <c r="I43"/>
  <c r="K43" s="1"/>
  <c r="H43"/>
  <c r="H44" s="1"/>
  <c r="I44" s="1"/>
  <c r="K44" s="1"/>
  <c r="H42"/>
  <c r="I42" s="1"/>
  <c r="K42" s="1"/>
  <c r="K41"/>
  <c r="I41"/>
  <c r="H41"/>
  <c r="AL31"/>
  <c r="AL30"/>
  <c r="AM30" s="1"/>
  <c r="AO30" s="1"/>
  <c r="AL29"/>
  <c r="AL28"/>
  <c r="AM28" s="1"/>
  <c r="AO28" s="1"/>
  <c r="AO27"/>
  <c r="AM27"/>
  <c r="AL27"/>
  <c r="AO26"/>
  <c r="AM26"/>
  <c r="AL26"/>
  <c r="AM25"/>
  <c r="AO25" s="1"/>
  <c r="AL25"/>
  <c r="AF31"/>
  <c r="AI30"/>
  <c r="AG30"/>
  <c r="AF30"/>
  <c r="AF29"/>
  <c r="AG27"/>
  <c r="AI27" s="1"/>
  <c r="AF27"/>
  <c r="AF28" s="1"/>
  <c r="AG28" s="1"/>
  <c r="AI28" s="1"/>
  <c r="AF26"/>
  <c r="AG26" s="1"/>
  <c r="AI26" s="1"/>
  <c r="AI25"/>
  <c r="AG25"/>
  <c r="AF25"/>
  <c r="Z31"/>
  <c r="AC30"/>
  <c r="AA30"/>
  <c r="Z30"/>
  <c r="Z29"/>
  <c r="AA27"/>
  <c r="AC27" s="1"/>
  <c r="Z27"/>
  <c r="Z28" s="1"/>
  <c r="AA28" s="1"/>
  <c r="AC28" s="1"/>
  <c r="Z26"/>
  <c r="AA26" s="1"/>
  <c r="AC26" s="1"/>
  <c r="AC25"/>
  <c r="AA25"/>
  <c r="Z25"/>
  <c r="W30"/>
  <c r="U30"/>
  <c r="U27"/>
  <c r="W27" s="1"/>
  <c r="U28"/>
  <c r="W28" s="1"/>
  <c r="U26"/>
  <c r="W26" s="1"/>
  <c r="W25"/>
  <c r="U25"/>
  <c r="C70" i="65"/>
  <c r="D70"/>
  <c r="E70"/>
  <c r="B70"/>
  <c r="C69"/>
  <c r="D69"/>
  <c r="E69"/>
  <c r="B69"/>
  <c r="AL81" i="10" l="1"/>
  <c r="AF81"/>
  <c r="Z81"/>
  <c r="T81"/>
  <c r="N81"/>
  <c r="H81"/>
  <c r="H81" i="24" s="1"/>
  <c r="F68" i="112" s="1"/>
  <c r="AL50" i="10"/>
  <c r="AF50"/>
  <c r="Z50"/>
  <c r="T50"/>
  <c r="N50"/>
  <c r="H50"/>
  <c r="AL19"/>
  <c r="AF19"/>
  <c r="Z19"/>
  <c r="T19"/>
  <c r="N19"/>
  <c r="H19"/>
  <c r="AL88"/>
  <c r="Z88"/>
  <c r="T88"/>
  <c r="H88"/>
  <c r="E5" i="94"/>
  <c r="E6"/>
  <c r="E7"/>
  <c r="E8"/>
  <c r="E4"/>
  <c r="E3"/>
  <c r="AL80" i="24" l="1"/>
  <c r="AO80" s="1"/>
  <c r="AF80"/>
  <c r="AI80" s="1"/>
  <c r="Z80"/>
  <c r="AC80" s="1"/>
  <c r="T80"/>
  <c r="W80" s="1"/>
  <c r="N80"/>
  <c r="Q80" s="1"/>
  <c r="AL18"/>
  <c r="AM18" s="1"/>
  <c r="AF18"/>
  <c r="AI18" s="1"/>
  <c r="T18"/>
  <c r="W18" s="1"/>
  <c r="N18"/>
  <c r="O18" s="1"/>
  <c r="AG18" l="1"/>
  <c r="U18"/>
  <c r="AO18"/>
  <c r="Q18"/>
  <c r="N38" i="96" l="1"/>
  <c r="R45" i="56"/>
  <c r="R41" i="54"/>
  <c r="R43" i="61"/>
  <c r="N39" i="95"/>
  <c r="AC99" i="24"/>
  <c r="J78" i="56" s="1"/>
  <c r="Z99" i="24"/>
  <c r="H78" i="56" s="1"/>
  <c r="AO99" i="24"/>
  <c r="R78" i="56" s="1"/>
  <c r="AL99" i="24"/>
  <c r="P78" i="56" s="1"/>
  <c r="W99" i="24"/>
  <c r="R36" i="56" s="1"/>
  <c r="T99" i="24"/>
  <c r="P36" i="56" s="1"/>
  <c r="K99" i="24"/>
  <c r="J36" i="56" s="1"/>
  <c r="H99" i="24"/>
  <c r="H36" i="56" s="1"/>
  <c r="AD57" i="58"/>
  <c r="AD56"/>
  <c r="AD55"/>
  <c r="AD54"/>
  <c r="AC39"/>
  <c r="AC3"/>
  <c r="AC39" i="60"/>
  <c r="AC3"/>
  <c r="AC41" i="46"/>
  <c r="AC3"/>
  <c r="AD58"/>
  <c r="AD54"/>
  <c r="AD44"/>
  <c r="AD57" i="60" l="1"/>
  <c r="AD56"/>
  <c r="AD55"/>
  <c r="AD54"/>
  <c r="AD51"/>
  <c r="AD50"/>
  <c r="AD48"/>
  <c r="AD49" s="1"/>
  <c r="AD46"/>
  <c r="AD47" s="1"/>
  <c r="AD44"/>
  <c r="AD45" s="1"/>
  <c r="AD42"/>
  <c r="AD43" s="1"/>
  <c r="V57"/>
  <c r="V56"/>
  <c r="V55"/>
  <c r="V54"/>
  <c r="V51"/>
  <c r="V50"/>
  <c r="V48"/>
  <c r="V49" s="1"/>
  <c r="V46"/>
  <c r="V47" s="1"/>
  <c r="V44"/>
  <c r="V45" s="1"/>
  <c r="V42"/>
  <c r="V43" s="1"/>
  <c r="N57"/>
  <c r="N56"/>
  <c r="N55"/>
  <c r="N54"/>
  <c r="N51"/>
  <c r="N50"/>
  <c r="N48"/>
  <c r="N49" s="1"/>
  <c r="N46"/>
  <c r="N47" s="1"/>
  <c r="N44"/>
  <c r="N45" s="1"/>
  <c r="N42"/>
  <c r="N43" s="1"/>
  <c r="AD21"/>
  <c r="AD20"/>
  <c r="AD19"/>
  <c r="AD18"/>
  <c r="AD15"/>
  <c r="AD14"/>
  <c r="AD12"/>
  <c r="AD13" s="1"/>
  <c r="AD10"/>
  <c r="AD11" s="1"/>
  <c r="AD8"/>
  <c r="AD9" s="1"/>
  <c r="AD6"/>
  <c r="AD7" s="1"/>
  <c r="V21"/>
  <c r="V20"/>
  <c r="V19"/>
  <c r="V18"/>
  <c r="V15"/>
  <c r="V14"/>
  <c r="V12"/>
  <c r="V13" s="1"/>
  <c r="V10"/>
  <c r="V11" s="1"/>
  <c r="V8"/>
  <c r="V9" s="1"/>
  <c r="V6"/>
  <c r="V7" s="1"/>
  <c r="N21"/>
  <c r="N20"/>
  <c r="N19"/>
  <c r="N18"/>
  <c r="N15"/>
  <c r="N14"/>
  <c r="N12"/>
  <c r="N13" s="1"/>
  <c r="N10"/>
  <c r="N11" s="1"/>
  <c r="N8"/>
  <c r="N9" s="1"/>
  <c r="N6"/>
  <c r="N7" s="1"/>
  <c r="S63" i="24" l="1"/>
  <c r="P37" i="54" s="1"/>
  <c r="AF62" i="24"/>
  <c r="Z62"/>
  <c r="P70" i="58"/>
  <c r="H70"/>
  <c r="M59" i="88"/>
  <c r="N59" s="1"/>
  <c r="G59"/>
  <c r="H59" s="1"/>
  <c r="M58"/>
  <c r="N58" s="1"/>
  <c r="G58"/>
  <c r="H58" s="1"/>
  <c r="M57"/>
  <c r="N57" s="1"/>
  <c r="O57" s="1"/>
  <c r="Q57" s="1"/>
  <c r="G57"/>
  <c r="H57" s="1"/>
  <c r="I57" s="1"/>
  <c r="K57" s="1"/>
  <c r="N42" i="81"/>
  <c r="N41"/>
  <c r="N40"/>
  <c r="J42"/>
  <c r="J41"/>
  <c r="J40"/>
  <c r="F42"/>
  <c r="F41"/>
  <c r="F40"/>
  <c r="N21"/>
  <c r="N20"/>
  <c r="N19"/>
  <c r="J21"/>
  <c r="J20"/>
  <c r="J19"/>
  <c r="F21"/>
  <c r="F20"/>
  <c r="F19"/>
  <c r="M18" i="80"/>
  <c r="M17"/>
  <c r="M16"/>
  <c r="I18"/>
  <c r="I17"/>
  <c r="I16"/>
  <c r="E18"/>
  <c r="E17"/>
  <c r="E16"/>
  <c r="Y24" i="73"/>
  <c r="Y12"/>
  <c r="Y27"/>
  <c r="Y21"/>
  <c r="Y6"/>
  <c r="Y18"/>
  <c r="Y15"/>
  <c r="Y9"/>
  <c r="P28" i="109"/>
  <c r="N28"/>
  <c r="M28"/>
  <c r="L28"/>
  <c r="K28"/>
  <c r="J28"/>
  <c r="I28"/>
  <c r="H28"/>
  <c r="G28"/>
  <c r="F28"/>
  <c r="E28"/>
  <c r="P27"/>
  <c r="N27"/>
  <c r="M27"/>
  <c r="L27"/>
  <c r="K27"/>
  <c r="J27"/>
  <c r="I27"/>
  <c r="H27"/>
  <c r="G27"/>
  <c r="F27"/>
  <c r="E27"/>
  <c r="P26"/>
  <c r="N26"/>
  <c r="M26"/>
  <c r="L26"/>
  <c r="K26"/>
  <c r="J26"/>
  <c r="I26"/>
  <c r="H26"/>
  <c r="G26"/>
  <c r="F26"/>
  <c r="E26"/>
  <c r="P25"/>
  <c r="N25"/>
  <c r="M25"/>
  <c r="L25"/>
  <c r="K25"/>
  <c r="J25"/>
  <c r="I25"/>
  <c r="H25"/>
  <c r="G25"/>
  <c r="F25"/>
  <c r="E25"/>
  <c r="P24"/>
  <c r="N24"/>
  <c r="M24"/>
  <c r="L24"/>
  <c r="K24"/>
  <c r="J24"/>
  <c r="I24"/>
  <c r="H24"/>
  <c r="G24"/>
  <c r="F24"/>
  <c r="E24"/>
  <c r="P23"/>
  <c r="N23"/>
  <c r="M23"/>
  <c r="L23"/>
  <c r="K23"/>
  <c r="J23"/>
  <c r="I23"/>
  <c r="H23"/>
  <c r="G23"/>
  <c r="F23"/>
  <c r="E23"/>
  <c r="P22"/>
  <c r="N22"/>
  <c r="M22"/>
  <c r="L22"/>
  <c r="K22"/>
  <c r="J22"/>
  <c r="I22"/>
  <c r="H22"/>
  <c r="G22"/>
  <c r="F22"/>
  <c r="E22"/>
  <c r="P21"/>
  <c r="N21"/>
  <c r="M21"/>
  <c r="L21"/>
  <c r="K21"/>
  <c r="J21"/>
  <c r="I21"/>
  <c r="H21"/>
  <c r="G21"/>
  <c r="F21"/>
  <c r="E21"/>
  <c r="P20"/>
  <c r="N20"/>
  <c r="M20"/>
  <c r="L20"/>
  <c r="K20"/>
  <c r="J20"/>
  <c r="I20"/>
  <c r="H20"/>
  <c r="G20"/>
  <c r="F20"/>
  <c r="E20"/>
  <c r="P19"/>
  <c r="N19"/>
  <c r="M19"/>
  <c r="L19"/>
  <c r="K19"/>
  <c r="J19"/>
  <c r="I19"/>
  <c r="H19"/>
  <c r="G19"/>
  <c r="F19"/>
  <c r="E19"/>
  <c r="P18"/>
  <c r="N18"/>
  <c r="M18"/>
  <c r="L18"/>
  <c r="K18"/>
  <c r="J18"/>
  <c r="I18"/>
  <c r="H18"/>
  <c r="G18"/>
  <c r="F18"/>
  <c r="E18"/>
  <c r="P17"/>
  <c r="N17"/>
  <c r="M17"/>
  <c r="L17"/>
  <c r="K17"/>
  <c r="J17"/>
  <c r="I17"/>
  <c r="H17"/>
  <c r="G17"/>
  <c r="F17"/>
  <c r="E17"/>
  <c r="P16"/>
  <c r="N16"/>
  <c r="M16"/>
  <c r="L16"/>
  <c r="K16"/>
  <c r="J16"/>
  <c r="I16"/>
  <c r="H16"/>
  <c r="G16"/>
  <c r="F16"/>
  <c r="E16"/>
  <c r="P15"/>
  <c r="N15"/>
  <c r="M15"/>
  <c r="L15"/>
  <c r="K15"/>
  <c r="J15"/>
  <c r="I15"/>
  <c r="H15"/>
  <c r="G15"/>
  <c r="F15"/>
  <c r="E15"/>
  <c r="P14"/>
  <c r="N14"/>
  <c r="M14"/>
  <c r="L14"/>
  <c r="K14"/>
  <c r="J14"/>
  <c r="I14"/>
  <c r="H14"/>
  <c r="G14"/>
  <c r="F14"/>
  <c r="E14"/>
  <c r="P13"/>
  <c r="N13"/>
  <c r="M13"/>
  <c r="L13"/>
  <c r="K13"/>
  <c r="J13"/>
  <c r="I13"/>
  <c r="H13"/>
  <c r="G13"/>
  <c r="F13"/>
  <c r="E13"/>
  <c r="P12"/>
  <c r="N12"/>
  <c r="M12"/>
  <c r="L12"/>
  <c r="K12"/>
  <c r="J12"/>
  <c r="I12"/>
  <c r="H12"/>
  <c r="G12"/>
  <c r="F12"/>
  <c r="E12"/>
  <c r="P11"/>
  <c r="N11"/>
  <c r="M11"/>
  <c r="L11"/>
  <c r="K11"/>
  <c r="J11"/>
  <c r="I11"/>
  <c r="H11"/>
  <c r="G11"/>
  <c r="F11"/>
  <c r="E11"/>
  <c r="P10"/>
  <c r="N10"/>
  <c r="M10"/>
  <c r="L10"/>
  <c r="K10"/>
  <c r="J10"/>
  <c r="I10"/>
  <c r="H10"/>
  <c r="G10"/>
  <c r="F10"/>
  <c r="E10"/>
  <c r="P9"/>
  <c r="N9"/>
  <c r="M9"/>
  <c r="L9"/>
  <c r="K9"/>
  <c r="J9"/>
  <c r="I9"/>
  <c r="H9"/>
  <c r="G9"/>
  <c r="F9"/>
  <c r="E9"/>
  <c r="P8"/>
  <c r="N8"/>
  <c r="M8"/>
  <c r="L8"/>
  <c r="K8"/>
  <c r="J8"/>
  <c r="I8"/>
  <c r="H8"/>
  <c r="G8"/>
  <c r="F8"/>
  <c r="E8"/>
  <c r="P7"/>
  <c r="N7"/>
  <c r="M7"/>
  <c r="L7"/>
  <c r="K7"/>
  <c r="J7"/>
  <c r="I7"/>
  <c r="H7"/>
  <c r="G7"/>
  <c r="F7"/>
  <c r="E7"/>
  <c r="P6"/>
  <c r="N6"/>
  <c r="M6"/>
  <c r="L6"/>
  <c r="K6"/>
  <c r="J6"/>
  <c r="I6"/>
  <c r="H6"/>
  <c r="G6"/>
  <c r="F6"/>
  <c r="E6"/>
  <c r="P5"/>
  <c r="N5"/>
  <c r="M5"/>
  <c r="L5"/>
  <c r="K5"/>
  <c r="J5"/>
  <c r="I5"/>
  <c r="H5"/>
  <c r="G5"/>
  <c r="F5"/>
  <c r="E5"/>
  <c r="P4"/>
  <c r="N4"/>
  <c r="M4"/>
  <c r="L4"/>
  <c r="K4"/>
  <c r="J4"/>
  <c r="I4"/>
  <c r="H4"/>
  <c r="G4"/>
  <c r="F4"/>
  <c r="E4"/>
  <c r="P33" i="108"/>
  <c r="O33"/>
  <c r="N33"/>
  <c r="M33"/>
  <c r="L33"/>
  <c r="K33"/>
  <c r="J33"/>
  <c r="H33"/>
  <c r="G33"/>
  <c r="F33"/>
  <c r="E33"/>
  <c r="P32"/>
  <c r="O32"/>
  <c r="N32"/>
  <c r="M32"/>
  <c r="L32"/>
  <c r="K32"/>
  <c r="J32"/>
  <c r="H32"/>
  <c r="G32"/>
  <c r="F32"/>
  <c r="E32"/>
  <c r="P31"/>
  <c r="O31"/>
  <c r="N31"/>
  <c r="M31"/>
  <c r="L31"/>
  <c r="K31"/>
  <c r="J31"/>
  <c r="H31"/>
  <c r="G31"/>
  <c r="F31"/>
  <c r="E31"/>
  <c r="P30"/>
  <c r="O30"/>
  <c r="N30"/>
  <c r="M30"/>
  <c r="L30"/>
  <c r="K30"/>
  <c r="J30"/>
  <c r="H30"/>
  <c r="G30"/>
  <c r="F30"/>
  <c r="E30"/>
  <c r="P29"/>
  <c r="O29"/>
  <c r="N29"/>
  <c r="M29"/>
  <c r="L29"/>
  <c r="K29"/>
  <c r="J29"/>
  <c r="H29"/>
  <c r="G29"/>
  <c r="F29"/>
  <c r="E29"/>
  <c r="P28"/>
  <c r="O28"/>
  <c r="N28"/>
  <c r="M28"/>
  <c r="L28"/>
  <c r="K28"/>
  <c r="J28"/>
  <c r="H28"/>
  <c r="G28"/>
  <c r="F28"/>
  <c r="E28"/>
  <c r="P27"/>
  <c r="O27"/>
  <c r="N27"/>
  <c r="M27"/>
  <c r="L27"/>
  <c r="K27"/>
  <c r="J27"/>
  <c r="H27"/>
  <c r="G27"/>
  <c r="F27"/>
  <c r="E27"/>
  <c r="P26"/>
  <c r="O26"/>
  <c r="N26"/>
  <c r="M26"/>
  <c r="L26"/>
  <c r="K26"/>
  <c r="J26"/>
  <c r="H26"/>
  <c r="G26"/>
  <c r="F26"/>
  <c r="E26"/>
  <c r="P25"/>
  <c r="O25"/>
  <c r="N25"/>
  <c r="M25"/>
  <c r="L25"/>
  <c r="K25"/>
  <c r="J25"/>
  <c r="H25"/>
  <c r="G25"/>
  <c r="F25"/>
  <c r="E25"/>
  <c r="P24"/>
  <c r="O24"/>
  <c r="N24"/>
  <c r="M24"/>
  <c r="L24"/>
  <c r="K24"/>
  <c r="J24"/>
  <c r="H24"/>
  <c r="G24"/>
  <c r="F24"/>
  <c r="E24"/>
  <c r="P23"/>
  <c r="O23"/>
  <c r="N23"/>
  <c r="M23"/>
  <c r="L23"/>
  <c r="K23"/>
  <c r="J23"/>
  <c r="H23"/>
  <c r="G23"/>
  <c r="F23"/>
  <c r="E23"/>
  <c r="P22"/>
  <c r="O22"/>
  <c r="N22"/>
  <c r="M22"/>
  <c r="L22"/>
  <c r="K22"/>
  <c r="J22"/>
  <c r="H22"/>
  <c r="G22"/>
  <c r="F22"/>
  <c r="E22"/>
  <c r="P21"/>
  <c r="O21"/>
  <c r="N21"/>
  <c r="M21"/>
  <c r="L21"/>
  <c r="K21"/>
  <c r="J21"/>
  <c r="H21"/>
  <c r="G21"/>
  <c r="F21"/>
  <c r="E21"/>
  <c r="P20"/>
  <c r="O20"/>
  <c r="N20"/>
  <c r="M20"/>
  <c r="L20"/>
  <c r="K20"/>
  <c r="J20"/>
  <c r="H20"/>
  <c r="G20"/>
  <c r="F20"/>
  <c r="E20"/>
  <c r="P19"/>
  <c r="O19"/>
  <c r="N19"/>
  <c r="M19"/>
  <c r="L19"/>
  <c r="K19"/>
  <c r="J19"/>
  <c r="H19"/>
  <c r="G19"/>
  <c r="F19"/>
  <c r="E19"/>
  <c r="P18"/>
  <c r="O18"/>
  <c r="N18"/>
  <c r="M18"/>
  <c r="L18"/>
  <c r="K18"/>
  <c r="J18"/>
  <c r="H18"/>
  <c r="G18"/>
  <c r="F18"/>
  <c r="E18"/>
  <c r="P17"/>
  <c r="O17"/>
  <c r="N17"/>
  <c r="M17"/>
  <c r="L17"/>
  <c r="K17"/>
  <c r="J17"/>
  <c r="H17"/>
  <c r="G17"/>
  <c r="F17"/>
  <c r="E17"/>
  <c r="P16"/>
  <c r="O16"/>
  <c r="N16"/>
  <c r="M16"/>
  <c r="L16"/>
  <c r="K16"/>
  <c r="J16"/>
  <c r="H16"/>
  <c r="G16"/>
  <c r="F16"/>
  <c r="E16"/>
  <c r="P15"/>
  <c r="O15"/>
  <c r="N15"/>
  <c r="M15"/>
  <c r="L15"/>
  <c r="K15"/>
  <c r="J15"/>
  <c r="H15"/>
  <c r="G15"/>
  <c r="F15"/>
  <c r="E15"/>
  <c r="P14"/>
  <c r="O14"/>
  <c r="N14"/>
  <c r="M14"/>
  <c r="L14"/>
  <c r="K14"/>
  <c r="J14"/>
  <c r="H14"/>
  <c r="G14"/>
  <c r="F14"/>
  <c r="E14"/>
  <c r="P13"/>
  <c r="O13"/>
  <c r="N13"/>
  <c r="M13"/>
  <c r="L13"/>
  <c r="K13"/>
  <c r="J13"/>
  <c r="H13"/>
  <c r="G13"/>
  <c r="F13"/>
  <c r="E13"/>
  <c r="P12"/>
  <c r="O12"/>
  <c r="N12"/>
  <c r="M12"/>
  <c r="L12"/>
  <c r="K12"/>
  <c r="J12"/>
  <c r="H12"/>
  <c r="G12"/>
  <c r="F12"/>
  <c r="E12"/>
  <c r="P11"/>
  <c r="O11"/>
  <c r="N11"/>
  <c r="M11"/>
  <c r="L11"/>
  <c r="K11"/>
  <c r="J11"/>
  <c r="H11"/>
  <c r="G11"/>
  <c r="F11"/>
  <c r="E11"/>
  <c r="P10"/>
  <c r="O10"/>
  <c r="N10"/>
  <c r="M10"/>
  <c r="L10"/>
  <c r="K10"/>
  <c r="J10"/>
  <c r="H10"/>
  <c r="G10"/>
  <c r="F10"/>
  <c r="E10"/>
  <c r="P9"/>
  <c r="O9"/>
  <c r="N9"/>
  <c r="M9"/>
  <c r="L9"/>
  <c r="K9"/>
  <c r="J9"/>
  <c r="H9"/>
  <c r="G9"/>
  <c r="F9"/>
  <c r="E9"/>
  <c r="P8"/>
  <c r="O8"/>
  <c r="N8"/>
  <c r="M8"/>
  <c r="L8"/>
  <c r="K8"/>
  <c r="J8"/>
  <c r="H8"/>
  <c r="G8"/>
  <c r="F8"/>
  <c r="E8"/>
  <c r="P7"/>
  <c r="O7"/>
  <c r="N7"/>
  <c r="M7"/>
  <c r="L7"/>
  <c r="K7"/>
  <c r="J7"/>
  <c r="H7"/>
  <c r="G7"/>
  <c r="F7"/>
  <c r="E7"/>
  <c r="P6"/>
  <c r="O6"/>
  <c r="N6"/>
  <c r="M6"/>
  <c r="L6"/>
  <c r="K6"/>
  <c r="J6"/>
  <c r="H6"/>
  <c r="G6"/>
  <c r="F6"/>
  <c r="E6"/>
  <c r="P5"/>
  <c r="O5"/>
  <c r="N5"/>
  <c r="M5"/>
  <c r="L5"/>
  <c r="K5"/>
  <c r="J5"/>
  <c r="H5"/>
  <c r="G5"/>
  <c r="F5"/>
  <c r="E5"/>
  <c r="P4"/>
  <c r="O4"/>
  <c r="N4"/>
  <c r="M4"/>
  <c r="L4"/>
  <c r="K4"/>
  <c r="J4"/>
  <c r="H4"/>
  <c r="G4"/>
  <c r="F4"/>
  <c r="E4"/>
  <c r="N69" i="104"/>
  <c r="M69"/>
  <c r="K69"/>
  <c r="F69"/>
  <c r="E69"/>
  <c r="P69"/>
  <c r="L69"/>
  <c r="J69"/>
  <c r="I69"/>
  <c r="H69"/>
  <c r="G69"/>
  <c r="P68"/>
  <c r="M68"/>
  <c r="H68"/>
  <c r="E68"/>
  <c r="N68"/>
  <c r="L68"/>
  <c r="K68"/>
  <c r="J68"/>
  <c r="I68"/>
  <c r="G68"/>
  <c r="F68"/>
  <c r="L67"/>
  <c r="K67"/>
  <c r="H67"/>
  <c r="G67"/>
  <c r="P67"/>
  <c r="N67"/>
  <c r="M67"/>
  <c r="J67"/>
  <c r="I67"/>
  <c r="F67"/>
  <c r="E67"/>
  <c r="N66"/>
  <c r="L66"/>
  <c r="K66"/>
  <c r="F66"/>
  <c r="P66"/>
  <c r="M66"/>
  <c r="J66"/>
  <c r="I66"/>
  <c r="H66"/>
  <c r="G66"/>
  <c r="E66"/>
  <c r="N65"/>
  <c r="M65"/>
  <c r="K65"/>
  <c r="F65"/>
  <c r="E65"/>
  <c r="P65"/>
  <c r="L65"/>
  <c r="J65"/>
  <c r="I65"/>
  <c r="H65"/>
  <c r="G65"/>
  <c r="M64"/>
  <c r="H64"/>
  <c r="E64"/>
  <c r="P64"/>
  <c r="N64"/>
  <c r="L64"/>
  <c r="K64"/>
  <c r="J64"/>
  <c r="I64"/>
  <c r="G64"/>
  <c r="F64"/>
  <c r="L63"/>
  <c r="K63"/>
  <c r="G63"/>
  <c r="P63"/>
  <c r="N63"/>
  <c r="M63"/>
  <c r="J63"/>
  <c r="I63"/>
  <c r="H63"/>
  <c r="F63"/>
  <c r="E63"/>
  <c r="N62"/>
  <c r="L62"/>
  <c r="P62"/>
  <c r="M62"/>
  <c r="K62"/>
  <c r="J62"/>
  <c r="I62"/>
  <c r="H62"/>
  <c r="G62"/>
  <c r="F62"/>
  <c r="E62"/>
  <c r="N61"/>
  <c r="K61"/>
  <c r="J61"/>
  <c r="I61"/>
  <c r="G61"/>
  <c r="F61"/>
  <c r="P61"/>
  <c r="M61"/>
  <c r="L61"/>
  <c r="H61"/>
  <c r="E61"/>
  <c r="M60"/>
  <c r="J60"/>
  <c r="I60"/>
  <c r="H60"/>
  <c r="E60"/>
  <c r="P60"/>
  <c r="N60"/>
  <c r="L60"/>
  <c r="K60"/>
  <c r="G60"/>
  <c r="F60"/>
  <c r="P59"/>
  <c r="L59"/>
  <c r="K59"/>
  <c r="E59"/>
  <c r="N59"/>
  <c r="M59"/>
  <c r="J59"/>
  <c r="I59"/>
  <c r="H59"/>
  <c r="G59"/>
  <c r="F59"/>
  <c r="P58"/>
  <c r="M58"/>
  <c r="I58"/>
  <c r="H58"/>
  <c r="E58"/>
  <c r="N58"/>
  <c r="L58"/>
  <c r="K58"/>
  <c r="J58"/>
  <c r="G58"/>
  <c r="F58"/>
  <c r="L57"/>
  <c r="G57"/>
  <c r="P57"/>
  <c r="N57"/>
  <c r="M57"/>
  <c r="K57"/>
  <c r="J57"/>
  <c r="I57"/>
  <c r="H57"/>
  <c r="F57"/>
  <c r="E57"/>
  <c r="N56"/>
  <c r="L56"/>
  <c r="K56"/>
  <c r="J56"/>
  <c r="F56"/>
  <c r="P56"/>
  <c r="M56"/>
  <c r="I56"/>
  <c r="H56"/>
  <c r="G56"/>
  <c r="E56"/>
  <c r="N55"/>
  <c r="M55"/>
  <c r="K55"/>
  <c r="J55"/>
  <c r="I55"/>
  <c r="F55"/>
  <c r="E55"/>
  <c r="P55"/>
  <c r="L55"/>
  <c r="H55"/>
  <c r="G55"/>
  <c r="P54"/>
  <c r="M54"/>
  <c r="I54"/>
  <c r="H54"/>
  <c r="E54"/>
  <c r="N54"/>
  <c r="L54"/>
  <c r="K54"/>
  <c r="J54"/>
  <c r="G54"/>
  <c r="F54"/>
  <c r="L53"/>
  <c r="G53"/>
  <c r="P53"/>
  <c r="N53"/>
  <c r="M53"/>
  <c r="K53"/>
  <c r="J53"/>
  <c r="I53"/>
  <c r="H53"/>
  <c r="F53"/>
  <c r="E53"/>
  <c r="N52"/>
  <c r="L52"/>
  <c r="K52"/>
  <c r="J52"/>
  <c r="F52"/>
  <c r="P52"/>
  <c r="M52"/>
  <c r="I52"/>
  <c r="H52"/>
  <c r="G52"/>
  <c r="E52"/>
  <c r="N51"/>
  <c r="M51"/>
  <c r="K51"/>
  <c r="J51"/>
  <c r="I51"/>
  <c r="F51"/>
  <c r="E51"/>
  <c r="P51"/>
  <c r="L51"/>
  <c r="H51"/>
  <c r="G51"/>
  <c r="M50"/>
  <c r="I50"/>
  <c r="H50"/>
  <c r="E50"/>
  <c r="P50"/>
  <c r="N50"/>
  <c r="L50"/>
  <c r="K50"/>
  <c r="J50"/>
  <c r="G50"/>
  <c r="F50"/>
  <c r="L49"/>
  <c r="G49"/>
  <c r="P49"/>
  <c r="N49"/>
  <c r="M49"/>
  <c r="K49"/>
  <c r="J49"/>
  <c r="I49"/>
  <c r="H49"/>
  <c r="F49"/>
  <c r="E49"/>
  <c r="N48"/>
  <c r="L48"/>
  <c r="K48"/>
  <c r="J48"/>
  <c r="F48"/>
  <c r="P48"/>
  <c r="M48"/>
  <c r="I48"/>
  <c r="H48"/>
  <c r="G48"/>
  <c r="E48"/>
  <c r="N47"/>
  <c r="M47"/>
  <c r="K47"/>
  <c r="J47"/>
  <c r="I47"/>
  <c r="F47"/>
  <c r="E47"/>
  <c r="P47"/>
  <c r="L47"/>
  <c r="H47"/>
  <c r="G47"/>
  <c r="M46"/>
  <c r="I46"/>
  <c r="H46"/>
  <c r="E46"/>
  <c r="P46"/>
  <c r="N46"/>
  <c r="L46"/>
  <c r="K46"/>
  <c r="J46"/>
  <c r="G46"/>
  <c r="F46"/>
  <c r="L45"/>
  <c r="G45"/>
  <c r="P45"/>
  <c r="N45"/>
  <c r="M45"/>
  <c r="K45"/>
  <c r="J45"/>
  <c r="I45"/>
  <c r="H45"/>
  <c r="F45"/>
  <c r="E45"/>
  <c r="N44"/>
  <c r="L44"/>
  <c r="K44"/>
  <c r="J44"/>
  <c r="F44"/>
  <c r="P44"/>
  <c r="M44"/>
  <c r="I44"/>
  <c r="H44"/>
  <c r="G44"/>
  <c r="E44"/>
  <c r="N43"/>
  <c r="M43"/>
  <c r="K43"/>
  <c r="J43"/>
  <c r="I43"/>
  <c r="F43"/>
  <c r="E43"/>
  <c r="P43"/>
  <c r="L43"/>
  <c r="H43"/>
  <c r="G43"/>
  <c r="P42"/>
  <c r="M42"/>
  <c r="I42"/>
  <c r="H42"/>
  <c r="E42"/>
  <c r="N42"/>
  <c r="L42"/>
  <c r="K42"/>
  <c r="J42"/>
  <c r="G42"/>
  <c r="F42"/>
  <c r="L41"/>
  <c r="G41"/>
  <c r="P41"/>
  <c r="N41"/>
  <c r="M41"/>
  <c r="K41"/>
  <c r="J41"/>
  <c r="I41"/>
  <c r="H41"/>
  <c r="F41"/>
  <c r="E41"/>
  <c r="N40"/>
  <c r="L40"/>
  <c r="K40"/>
  <c r="J40"/>
  <c r="F40"/>
  <c r="P40"/>
  <c r="M40"/>
  <c r="I40"/>
  <c r="H40"/>
  <c r="G40"/>
  <c r="E40"/>
  <c r="N39"/>
  <c r="M39"/>
  <c r="K39"/>
  <c r="J39"/>
  <c r="I39"/>
  <c r="F39"/>
  <c r="E39"/>
  <c r="P39"/>
  <c r="L39"/>
  <c r="H39"/>
  <c r="G39"/>
  <c r="P38"/>
  <c r="M38"/>
  <c r="I38"/>
  <c r="H38"/>
  <c r="E38"/>
  <c r="N38"/>
  <c r="L38"/>
  <c r="K38"/>
  <c r="J38"/>
  <c r="G38"/>
  <c r="F38"/>
  <c r="L37"/>
  <c r="G37"/>
  <c r="P37"/>
  <c r="N37"/>
  <c r="M37"/>
  <c r="K37"/>
  <c r="J37"/>
  <c r="I37"/>
  <c r="H37"/>
  <c r="F37"/>
  <c r="E37"/>
  <c r="N36"/>
  <c r="L36"/>
  <c r="K36"/>
  <c r="J36"/>
  <c r="F36"/>
  <c r="P36"/>
  <c r="M36"/>
  <c r="I36"/>
  <c r="H36"/>
  <c r="G36"/>
  <c r="E36"/>
  <c r="N35"/>
  <c r="M35"/>
  <c r="K35"/>
  <c r="J35"/>
  <c r="I35"/>
  <c r="F35"/>
  <c r="E35"/>
  <c r="P35"/>
  <c r="L35"/>
  <c r="H35"/>
  <c r="G35"/>
  <c r="M34"/>
  <c r="I34"/>
  <c r="H34"/>
  <c r="E34"/>
  <c r="P34"/>
  <c r="N34"/>
  <c r="L34"/>
  <c r="K34"/>
  <c r="J34"/>
  <c r="G34"/>
  <c r="F34"/>
  <c r="L33"/>
  <c r="G33"/>
  <c r="P33"/>
  <c r="N33"/>
  <c r="M33"/>
  <c r="K33"/>
  <c r="J33"/>
  <c r="I33"/>
  <c r="H33"/>
  <c r="F33"/>
  <c r="E33"/>
  <c r="N32"/>
  <c r="L32"/>
  <c r="K32"/>
  <c r="J32"/>
  <c r="F32"/>
  <c r="P32"/>
  <c r="M32"/>
  <c r="I32"/>
  <c r="H32"/>
  <c r="G32"/>
  <c r="E32"/>
  <c r="N31"/>
  <c r="M31"/>
  <c r="K31"/>
  <c r="J31"/>
  <c r="I31"/>
  <c r="F31"/>
  <c r="E31"/>
  <c r="P31"/>
  <c r="L31"/>
  <c r="H31"/>
  <c r="G31"/>
  <c r="M30"/>
  <c r="I30"/>
  <c r="H30"/>
  <c r="E30"/>
  <c r="P30"/>
  <c r="N30"/>
  <c r="L30"/>
  <c r="K30"/>
  <c r="J30"/>
  <c r="G30"/>
  <c r="F30"/>
  <c r="G29"/>
  <c r="P29"/>
  <c r="N29"/>
  <c r="M29"/>
  <c r="L29"/>
  <c r="K29"/>
  <c r="J29"/>
  <c r="I29"/>
  <c r="H29"/>
  <c r="F29"/>
  <c r="E29"/>
  <c r="L28"/>
  <c r="K28"/>
  <c r="J28"/>
  <c r="F28"/>
  <c r="P28"/>
  <c r="N28"/>
  <c r="M28"/>
  <c r="I28"/>
  <c r="H28"/>
  <c r="G28"/>
  <c r="E28"/>
  <c r="N27"/>
  <c r="K27"/>
  <c r="F27"/>
  <c r="E27"/>
  <c r="P27"/>
  <c r="M27"/>
  <c r="L27"/>
  <c r="J27"/>
  <c r="I27"/>
  <c r="H27"/>
  <c r="G27"/>
  <c r="M26"/>
  <c r="L26"/>
  <c r="H26"/>
  <c r="F26"/>
  <c r="E26"/>
  <c r="P26"/>
  <c r="N26"/>
  <c r="K26"/>
  <c r="J26"/>
  <c r="I26"/>
  <c r="G26"/>
  <c r="L25"/>
  <c r="I25"/>
  <c r="G25"/>
  <c r="P25"/>
  <c r="N25"/>
  <c r="M25"/>
  <c r="K25"/>
  <c r="J25"/>
  <c r="H25"/>
  <c r="F25"/>
  <c r="E25"/>
  <c r="L24"/>
  <c r="J24"/>
  <c r="P24"/>
  <c r="N24"/>
  <c r="M24"/>
  <c r="K24"/>
  <c r="I24"/>
  <c r="H24"/>
  <c r="G24"/>
  <c r="F24"/>
  <c r="E24"/>
  <c r="N23"/>
  <c r="K23"/>
  <c r="J23"/>
  <c r="G23"/>
  <c r="F23"/>
  <c r="E23"/>
  <c r="P23"/>
  <c r="M23"/>
  <c r="L23"/>
  <c r="I23"/>
  <c r="H23"/>
  <c r="P22"/>
  <c r="M22"/>
  <c r="L22"/>
  <c r="H22"/>
  <c r="F22"/>
  <c r="E22"/>
  <c r="N22"/>
  <c r="K22"/>
  <c r="J22"/>
  <c r="I22"/>
  <c r="G22"/>
  <c r="L21"/>
  <c r="K21"/>
  <c r="G21"/>
  <c r="P21"/>
  <c r="N21"/>
  <c r="M21"/>
  <c r="J21"/>
  <c r="I21"/>
  <c r="H21"/>
  <c r="F21"/>
  <c r="E21"/>
  <c r="N20"/>
  <c r="L20"/>
  <c r="K20"/>
  <c r="F20"/>
  <c r="P20"/>
  <c r="M20"/>
  <c r="J20"/>
  <c r="I20"/>
  <c r="H20"/>
  <c r="G20"/>
  <c r="E20"/>
  <c r="N19"/>
  <c r="K19"/>
  <c r="I19"/>
  <c r="G19"/>
  <c r="F19"/>
  <c r="P19"/>
  <c r="M19"/>
  <c r="L19"/>
  <c r="J19"/>
  <c r="H19"/>
  <c r="E19"/>
  <c r="M18"/>
  <c r="J18"/>
  <c r="H18"/>
  <c r="E18"/>
  <c r="P18"/>
  <c r="N18"/>
  <c r="L18"/>
  <c r="K18"/>
  <c r="I18"/>
  <c r="G18"/>
  <c r="F18"/>
  <c r="L17"/>
  <c r="K17"/>
  <c r="G17"/>
  <c r="E17"/>
  <c r="P17"/>
  <c r="N17"/>
  <c r="M17"/>
  <c r="J17"/>
  <c r="I17"/>
  <c r="H17"/>
  <c r="F17"/>
  <c r="L16"/>
  <c r="K16"/>
  <c r="F16"/>
  <c r="P16"/>
  <c r="N16"/>
  <c r="M16"/>
  <c r="J16"/>
  <c r="I16"/>
  <c r="H16"/>
  <c r="G16"/>
  <c r="E16"/>
  <c r="N15"/>
  <c r="K15"/>
  <c r="G15"/>
  <c r="F15"/>
  <c r="P15"/>
  <c r="M15"/>
  <c r="L15"/>
  <c r="J15"/>
  <c r="I15"/>
  <c r="H15"/>
  <c r="E15"/>
  <c r="P14"/>
  <c r="M14"/>
  <c r="L14"/>
  <c r="I14"/>
  <c r="H14"/>
  <c r="E14"/>
  <c r="N14"/>
  <c r="K14"/>
  <c r="J14"/>
  <c r="G14"/>
  <c r="F14"/>
  <c r="K13"/>
  <c r="G13"/>
  <c r="E13"/>
  <c r="P13"/>
  <c r="N13"/>
  <c r="M13"/>
  <c r="L13"/>
  <c r="J13"/>
  <c r="I13"/>
  <c r="H13"/>
  <c r="F13"/>
  <c r="L12"/>
  <c r="K12"/>
  <c r="J12"/>
  <c r="F12"/>
  <c r="P12"/>
  <c r="N12"/>
  <c r="M12"/>
  <c r="I12"/>
  <c r="H12"/>
  <c r="G12"/>
  <c r="E12"/>
  <c r="N11"/>
  <c r="K11"/>
  <c r="F11"/>
  <c r="E11"/>
  <c r="P11"/>
  <c r="M11"/>
  <c r="L11"/>
  <c r="J11"/>
  <c r="I11"/>
  <c r="H11"/>
  <c r="G11"/>
  <c r="P10"/>
  <c r="M10"/>
  <c r="L10"/>
  <c r="H10"/>
  <c r="F10"/>
  <c r="E10"/>
  <c r="N10"/>
  <c r="K10"/>
  <c r="J10"/>
  <c r="I10"/>
  <c r="G10"/>
  <c r="L9"/>
  <c r="I9"/>
  <c r="G9"/>
  <c r="P9"/>
  <c r="N9"/>
  <c r="M9"/>
  <c r="K9"/>
  <c r="J9"/>
  <c r="H9"/>
  <c r="F9"/>
  <c r="E9"/>
  <c r="L8"/>
  <c r="J8"/>
  <c r="P8"/>
  <c r="N8"/>
  <c r="M8"/>
  <c r="K8"/>
  <c r="I8"/>
  <c r="H8"/>
  <c r="G8"/>
  <c r="F8"/>
  <c r="E8"/>
  <c r="N7"/>
  <c r="K7"/>
  <c r="J7"/>
  <c r="G7"/>
  <c r="F7"/>
  <c r="E7"/>
  <c r="P7"/>
  <c r="M7"/>
  <c r="L7"/>
  <c r="I7"/>
  <c r="H7"/>
  <c r="P6"/>
  <c r="M6"/>
  <c r="L6"/>
  <c r="H6"/>
  <c r="F6"/>
  <c r="E6"/>
  <c r="N6"/>
  <c r="K6"/>
  <c r="J6"/>
  <c r="I6"/>
  <c r="G6"/>
  <c r="L5"/>
  <c r="K5"/>
  <c r="G5"/>
  <c r="P5"/>
  <c r="N5"/>
  <c r="M5"/>
  <c r="J5"/>
  <c r="I5"/>
  <c r="H5"/>
  <c r="F5"/>
  <c r="E5"/>
  <c r="N4"/>
  <c r="L4"/>
  <c r="K4"/>
  <c r="F4"/>
  <c r="P4"/>
  <c r="M4"/>
  <c r="J4"/>
  <c r="I4"/>
  <c r="H4"/>
  <c r="G4"/>
  <c r="E4"/>
  <c r="O58" i="88" l="1"/>
  <c r="Q58" s="1"/>
  <c r="I59"/>
  <c r="K59" s="1"/>
  <c r="I58"/>
  <c r="K58" s="1"/>
  <c r="O59"/>
  <c r="Q59" s="1"/>
  <c r="N45" i="102"/>
  <c r="K45"/>
  <c r="P45"/>
  <c r="O45"/>
  <c r="L45"/>
  <c r="J45"/>
  <c r="I45"/>
  <c r="H45"/>
  <c r="G45"/>
  <c r="F45"/>
  <c r="E45"/>
  <c r="N44"/>
  <c r="E44"/>
  <c r="P44"/>
  <c r="O44"/>
  <c r="L44"/>
  <c r="K44"/>
  <c r="J44"/>
  <c r="I44"/>
  <c r="H44"/>
  <c r="G44"/>
  <c r="F44"/>
  <c r="P43"/>
  <c r="O43"/>
  <c r="N43"/>
  <c r="L43"/>
  <c r="K43"/>
  <c r="J43"/>
  <c r="I43"/>
  <c r="H43"/>
  <c r="G43"/>
  <c r="F43"/>
  <c r="E43"/>
  <c r="G42"/>
  <c r="P42"/>
  <c r="O42"/>
  <c r="N42"/>
  <c r="L42"/>
  <c r="K42"/>
  <c r="J42"/>
  <c r="I42"/>
  <c r="H42"/>
  <c r="F42"/>
  <c r="E42"/>
  <c r="K41"/>
  <c r="F41"/>
  <c r="P41"/>
  <c r="O41"/>
  <c r="N41"/>
  <c r="L41"/>
  <c r="J41"/>
  <c r="I41"/>
  <c r="H41"/>
  <c r="G41"/>
  <c r="E41"/>
  <c r="E40"/>
  <c r="P40"/>
  <c r="O40"/>
  <c r="N40"/>
  <c r="L40"/>
  <c r="K40"/>
  <c r="J40"/>
  <c r="I40"/>
  <c r="H40"/>
  <c r="G40"/>
  <c r="F40"/>
  <c r="L39"/>
  <c r="P39"/>
  <c r="O39"/>
  <c r="N39"/>
  <c r="K39"/>
  <c r="J39"/>
  <c r="I39"/>
  <c r="H39"/>
  <c r="G39"/>
  <c r="F39"/>
  <c r="E39"/>
  <c r="G38"/>
  <c r="P38"/>
  <c r="O38"/>
  <c r="N38"/>
  <c r="L38"/>
  <c r="K38"/>
  <c r="J38"/>
  <c r="I38"/>
  <c r="H38"/>
  <c r="F38"/>
  <c r="E38"/>
  <c r="K37"/>
  <c r="F37"/>
  <c r="P37"/>
  <c r="O37"/>
  <c r="N37"/>
  <c r="L37"/>
  <c r="J37"/>
  <c r="I37"/>
  <c r="H37"/>
  <c r="G37"/>
  <c r="E37"/>
  <c r="P36"/>
  <c r="O36"/>
  <c r="N36"/>
  <c r="L36"/>
  <c r="K36"/>
  <c r="J36"/>
  <c r="I36"/>
  <c r="H36"/>
  <c r="G36"/>
  <c r="F36"/>
  <c r="E36"/>
  <c r="P35"/>
  <c r="O35"/>
  <c r="N35"/>
  <c r="L35"/>
  <c r="K35"/>
  <c r="J35"/>
  <c r="I35"/>
  <c r="H35"/>
  <c r="G35"/>
  <c r="F35"/>
  <c r="E35"/>
  <c r="G34"/>
  <c r="P34"/>
  <c r="O34"/>
  <c r="N34"/>
  <c r="L34"/>
  <c r="K34"/>
  <c r="J34"/>
  <c r="I34"/>
  <c r="H34"/>
  <c r="F34"/>
  <c r="E34"/>
  <c r="F33"/>
  <c r="P33"/>
  <c r="O33"/>
  <c r="N33"/>
  <c r="L33"/>
  <c r="K33"/>
  <c r="J33"/>
  <c r="I33"/>
  <c r="H33"/>
  <c r="G33"/>
  <c r="E33"/>
  <c r="I32"/>
  <c r="F32"/>
  <c r="P32"/>
  <c r="O32"/>
  <c r="N32"/>
  <c r="L32"/>
  <c r="K32"/>
  <c r="J32"/>
  <c r="H32"/>
  <c r="G32"/>
  <c r="E32"/>
  <c r="O31"/>
  <c r="L31"/>
  <c r="G31"/>
  <c r="P31"/>
  <c r="N31"/>
  <c r="K31"/>
  <c r="J31"/>
  <c r="I31"/>
  <c r="H31"/>
  <c r="F31"/>
  <c r="E31"/>
  <c r="L30"/>
  <c r="P30"/>
  <c r="O30"/>
  <c r="N30"/>
  <c r="K30"/>
  <c r="J30"/>
  <c r="I30"/>
  <c r="H30"/>
  <c r="G30"/>
  <c r="F30"/>
  <c r="E30"/>
  <c r="J29"/>
  <c r="P29"/>
  <c r="O29"/>
  <c r="N29"/>
  <c r="L29"/>
  <c r="K29"/>
  <c r="I29"/>
  <c r="H29"/>
  <c r="G29"/>
  <c r="F29"/>
  <c r="E29"/>
  <c r="L28"/>
  <c r="F28"/>
  <c r="P28"/>
  <c r="O28"/>
  <c r="N28"/>
  <c r="K28"/>
  <c r="J28"/>
  <c r="I28"/>
  <c r="H28"/>
  <c r="G28"/>
  <c r="E28"/>
  <c r="L27"/>
  <c r="G27"/>
  <c r="P27"/>
  <c r="O27"/>
  <c r="N27"/>
  <c r="K27"/>
  <c r="J27"/>
  <c r="I27"/>
  <c r="H27"/>
  <c r="F27"/>
  <c r="E27"/>
  <c r="P26"/>
  <c r="O26"/>
  <c r="N26"/>
  <c r="L26"/>
  <c r="K26"/>
  <c r="J26"/>
  <c r="I26"/>
  <c r="H26"/>
  <c r="G26"/>
  <c r="F26"/>
  <c r="E26"/>
  <c r="K25"/>
  <c r="F25"/>
  <c r="P25"/>
  <c r="O25"/>
  <c r="N25"/>
  <c r="L25"/>
  <c r="J25"/>
  <c r="I25"/>
  <c r="H25"/>
  <c r="G25"/>
  <c r="E25"/>
  <c r="J24"/>
  <c r="P24"/>
  <c r="O24"/>
  <c r="N24"/>
  <c r="L24"/>
  <c r="K24"/>
  <c r="I24"/>
  <c r="H24"/>
  <c r="G24"/>
  <c r="F24"/>
  <c r="E24"/>
  <c r="E23"/>
  <c r="P23"/>
  <c r="O23"/>
  <c r="N23"/>
  <c r="L23"/>
  <c r="K23"/>
  <c r="J23"/>
  <c r="I23"/>
  <c r="H23"/>
  <c r="G23"/>
  <c r="F23"/>
  <c r="L22"/>
  <c r="K22"/>
  <c r="P22"/>
  <c r="O22"/>
  <c r="N22"/>
  <c r="J22"/>
  <c r="I22"/>
  <c r="H22"/>
  <c r="G22"/>
  <c r="F22"/>
  <c r="E22"/>
  <c r="F21"/>
  <c r="P21"/>
  <c r="O21"/>
  <c r="N21"/>
  <c r="L21"/>
  <c r="K21"/>
  <c r="J21"/>
  <c r="I21"/>
  <c r="H21"/>
  <c r="G21"/>
  <c r="E21"/>
  <c r="J20"/>
  <c r="H20"/>
  <c r="E20"/>
  <c r="P20"/>
  <c r="O20"/>
  <c r="N20"/>
  <c r="L20"/>
  <c r="K20"/>
  <c r="I20"/>
  <c r="G20"/>
  <c r="F20"/>
  <c r="K19"/>
  <c r="E19"/>
  <c r="P19"/>
  <c r="O19"/>
  <c r="N19"/>
  <c r="L19"/>
  <c r="J19"/>
  <c r="I19"/>
  <c r="H19"/>
  <c r="G19"/>
  <c r="F19"/>
  <c r="L18"/>
  <c r="P18"/>
  <c r="O18"/>
  <c r="N18"/>
  <c r="K18"/>
  <c r="J18"/>
  <c r="I18"/>
  <c r="H18"/>
  <c r="G18"/>
  <c r="F18"/>
  <c r="E18"/>
  <c r="K17"/>
  <c r="F17"/>
  <c r="E17"/>
  <c r="P17"/>
  <c r="O17"/>
  <c r="N17"/>
  <c r="L17"/>
  <c r="J17"/>
  <c r="I17"/>
  <c r="H17"/>
  <c r="G17"/>
  <c r="I16"/>
  <c r="P16"/>
  <c r="O16"/>
  <c r="N16"/>
  <c r="L16"/>
  <c r="K16"/>
  <c r="J16"/>
  <c r="H16"/>
  <c r="G16"/>
  <c r="F16"/>
  <c r="E16"/>
  <c r="I15"/>
  <c r="P15"/>
  <c r="O15"/>
  <c r="N15"/>
  <c r="L15"/>
  <c r="K15"/>
  <c r="J15"/>
  <c r="H15"/>
  <c r="G15"/>
  <c r="F15"/>
  <c r="E15"/>
  <c r="L14"/>
  <c r="P14"/>
  <c r="O14"/>
  <c r="N14"/>
  <c r="K14"/>
  <c r="J14"/>
  <c r="I14"/>
  <c r="H14"/>
  <c r="G14"/>
  <c r="F14"/>
  <c r="E14"/>
  <c r="J13"/>
  <c r="F13"/>
  <c r="P13"/>
  <c r="O13"/>
  <c r="N13"/>
  <c r="L13"/>
  <c r="K13"/>
  <c r="I13"/>
  <c r="H13"/>
  <c r="G13"/>
  <c r="E13"/>
  <c r="F12"/>
  <c r="E12"/>
  <c r="P12"/>
  <c r="O12"/>
  <c r="N12"/>
  <c r="L12"/>
  <c r="K12"/>
  <c r="J12"/>
  <c r="I12"/>
  <c r="H12"/>
  <c r="G12"/>
  <c r="O11"/>
  <c r="L11"/>
  <c r="G11"/>
  <c r="P11"/>
  <c r="N11"/>
  <c r="K11"/>
  <c r="J11"/>
  <c r="I11"/>
  <c r="H11"/>
  <c r="F11"/>
  <c r="E11"/>
  <c r="P10"/>
  <c r="O10"/>
  <c r="N10"/>
  <c r="L10"/>
  <c r="K10"/>
  <c r="J10"/>
  <c r="I10"/>
  <c r="H10"/>
  <c r="G10"/>
  <c r="F10"/>
  <c r="E10"/>
  <c r="N9"/>
  <c r="I9"/>
  <c r="P9"/>
  <c r="O9"/>
  <c r="L9"/>
  <c r="K9"/>
  <c r="J9"/>
  <c r="H9"/>
  <c r="G9"/>
  <c r="F9"/>
  <c r="E9"/>
  <c r="H8"/>
  <c r="E8"/>
  <c r="P8"/>
  <c r="O8"/>
  <c r="N8"/>
  <c r="L8"/>
  <c r="K8"/>
  <c r="J8"/>
  <c r="I8"/>
  <c r="G8"/>
  <c r="F8"/>
  <c r="K7"/>
  <c r="E7"/>
  <c r="P7"/>
  <c r="O7"/>
  <c r="N7"/>
  <c r="L7"/>
  <c r="J7"/>
  <c r="I7"/>
  <c r="H7"/>
  <c r="G7"/>
  <c r="F7"/>
  <c r="L6"/>
  <c r="P6"/>
  <c r="O6"/>
  <c r="N6"/>
  <c r="K6"/>
  <c r="J6"/>
  <c r="I6"/>
  <c r="H6"/>
  <c r="G6"/>
  <c r="F6"/>
  <c r="E6"/>
  <c r="N5"/>
  <c r="F5"/>
  <c r="P5"/>
  <c r="O5"/>
  <c r="L5"/>
  <c r="K5"/>
  <c r="J5"/>
  <c r="I5"/>
  <c r="H5"/>
  <c r="G5"/>
  <c r="E5"/>
  <c r="P4"/>
  <c r="J4"/>
  <c r="H4"/>
  <c r="E4"/>
  <c r="O4"/>
  <c r="N4"/>
  <c r="L4"/>
  <c r="K4"/>
  <c r="I4"/>
  <c r="G4"/>
  <c r="F4"/>
  <c r="P83" i="101"/>
  <c r="O83"/>
  <c r="N83"/>
  <c r="M83"/>
  <c r="L83"/>
  <c r="C83"/>
  <c r="K83" s="1"/>
  <c r="Q83" s="1"/>
  <c r="J83"/>
  <c r="I83"/>
  <c r="H83"/>
  <c r="G83"/>
  <c r="F83"/>
  <c r="E83"/>
  <c r="P82"/>
  <c r="O82"/>
  <c r="N82"/>
  <c r="M82"/>
  <c r="L82"/>
  <c r="C82"/>
  <c r="K82" s="1"/>
  <c r="Q82" s="1"/>
  <c r="J82"/>
  <c r="I82"/>
  <c r="H82"/>
  <c r="G82"/>
  <c r="F82"/>
  <c r="E82"/>
  <c r="P81"/>
  <c r="O81"/>
  <c r="N81"/>
  <c r="M81"/>
  <c r="L81"/>
  <c r="C81"/>
  <c r="K81" s="1"/>
  <c r="Q81" s="1"/>
  <c r="J81"/>
  <c r="I81"/>
  <c r="H81"/>
  <c r="G81"/>
  <c r="F81"/>
  <c r="E81"/>
  <c r="H80"/>
  <c r="E80"/>
  <c r="P80"/>
  <c r="O80"/>
  <c r="N80"/>
  <c r="M80"/>
  <c r="L80"/>
  <c r="C80"/>
  <c r="K80" s="1"/>
  <c r="Q80" s="1"/>
  <c r="J80"/>
  <c r="I80"/>
  <c r="G80"/>
  <c r="F80"/>
  <c r="P79"/>
  <c r="O79"/>
  <c r="N79"/>
  <c r="M79"/>
  <c r="L79"/>
  <c r="C79"/>
  <c r="K79" s="1"/>
  <c r="Q79" s="1"/>
  <c r="J79"/>
  <c r="I79"/>
  <c r="H79"/>
  <c r="G79"/>
  <c r="F79"/>
  <c r="E79"/>
  <c r="P78"/>
  <c r="O78"/>
  <c r="N78"/>
  <c r="M78"/>
  <c r="L78"/>
  <c r="C78"/>
  <c r="K78" s="1"/>
  <c r="Q78" s="1"/>
  <c r="J78"/>
  <c r="I78"/>
  <c r="H78"/>
  <c r="G78"/>
  <c r="F78"/>
  <c r="E78"/>
  <c r="M77"/>
  <c r="F77"/>
  <c r="P77"/>
  <c r="O77"/>
  <c r="N77"/>
  <c r="L77"/>
  <c r="C77"/>
  <c r="K77" s="1"/>
  <c r="Q77" s="1"/>
  <c r="J77"/>
  <c r="I77"/>
  <c r="H77"/>
  <c r="G77"/>
  <c r="E77"/>
  <c r="E76"/>
  <c r="P76"/>
  <c r="O76"/>
  <c r="N76"/>
  <c r="M76"/>
  <c r="L76"/>
  <c r="C76"/>
  <c r="K76" s="1"/>
  <c r="Q76" s="1"/>
  <c r="J76"/>
  <c r="I76"/>
  <c r="H76"/>
  <c r="G76"/>
  <c r="F76"/>
  <c r="P75"/>
  <c r="O75"/>
  <c r="N75"/>
  <c r="M75"/>
  <c r="L75"/>
  <c r="C75"/>
  <c r="K75" s="1"/>
  <c r="Q75" s="1"/>
  <c r="J75"/>
  <c r="I75"/>
  <c r="H75"/>
  <c r="G75"/>
  <c r="F75"/>
  <c r="E75"/>
  <c r="P74"/>
  <c r="O74"/>
  <c r="N74"/>
  <c r="M74"/>
  <c r="L74"/>
  <c r="C74"/>
  <c r="K74" s="1"/>
  <c r="Q74" s="1"/>
  <c r="J74"/>
  <c r="I74"/>
  <c r="H74"/>
  <c r="G74"/>
  <c r="F74"/>
  <c r="E74"/>
  <c r="P73"/>
  <c r="O73"/>
  <c r="N73"/>
  <c r="M73"/>
  <c r="L73"/>
  <c r="C73"/>
  <c r="K73" s="1"/>
  <c r="Q73" s="1"/>
  <c r="J73"/>
  <c r="I73"/>
  <c r="H73"/>
  <c r="G73"/>
  <c r="F73"/>
  <c r="E73"/>
  <c r="P72"/>
  <c r="O72"/>
  <c r="N72"/>
  <c r="M72"/>
  <c r="L72"/>
  <c r="C72"/>
  <c r="K72" s="1"/>
  <c r="Q72" s="1"/>
  <c r="J72"/>
  <c r="I72"/>
  <c r="H72"/>
  <c r="G72"/>
  <c r="F72"/>
  <c r="E72"/>
  <c r="G71"/>
  <c r="P71"/>
  <c r="O71"/>
  <c r="N71"/>
  <c r="M71"/>
  <c r="L71"/>
  <c r="C71"/>
  <c r="K71" s="1"/>
  <c r="Q71" s="1"/>
  <c r="J71"/>
  <c r="I71"/>
  <c r="H71"/>
  <c r="F71"/>
  <c r="E71"/>
  <c r="F70"/>
  <c r="P70"/>
  <c r="O70"/>
  <c r="N70"/>
  <c r="M70"/>
  <c r="L70"/>
  <c r="C70"/>
  <c r="K70" s="1"/>
  <c r="Q70" s="1"/>
  <c r="J70"/>
  <c r="I70"/>
  <c r="H70"/>
  <c r="G70"/>
  <c r="E70"/>
  <c r="H69"/>
  <c r="E69"/>
  <c r="P69"/>
  <c r="O69"/>
  <c r="N69"/>
  <c r="M69"/>
  <c r="L69"/>
  <c r="J69"/>
  <c r="I69"/>
  <c r="G69"/>
  <c r="F69"/>
  <c r="P68"/>
  <c r="O68"/>
  <c r="N68"/>
  <c r="M68"/>
  <c r="L68"/>
  <c r="J68"/>
  <c r="I68"/>
  <c r="H68"/>
  <c r="G68"/>
  <c r="F68"/>
  <c r="E68"/>
  <c r="F67"/>
  <c r="P67"/>
  <c r="O67"/>
  <c r="N67"/>
  <c r="M67"/>
  <c r="L67"/>
  <c r="J67"/>
  <c r="I67"/>
  <c r="H67"/>
  <c r="G67"/>
  <c r="E67"/>
  <c r="F66"/>
  <c r="E66"/>
  <c r="P66"/>
  <c r="O66"/>
  <c r="N66"/>
  <c r="M66"/>
  <c r="L66"/>
  <c r="J66"/>
  <c r="I66"/>
  <c r="H66"/>
  <c r="G66"/>
  <c r="H65"/>
  <c r="E65"/>
  <c r="P65"/>
  <c r="O65"/>
  <c r="N65"/>
  <c r="M65"/>
  <c r="L65"/>
  <c r="J65"/>
  <c r="I65"/>
  <c r="G65"/>
  <c r="F65"/>
  <c r="P64"/>
  <c r="O64"/>
  <c r="N64"/>
  <c r="M64"/>
  <c r="L64"/>
  <c r="J64"/>
  <c r="I64"/>
  <c r="H64"/>
  <c r="G64"/>
  <c r="F64"/>
  <c r="E64"/>
  <c r="P63"/>
  <c r="O63"/>
  <c r="N63"/>
  <c r="M63"/>
  <c r="L63"/>
  <c r="J63"/>
  <c r="I63"/>
  <c r="H63"/>
  <c r="G63"/>
  <c r="F63"/>
  <c r="E63"/>
  <c r="N62"/>
  <c r="M62"/>
  <c r="F62"/>
  <c r="P62"/>
  <c r="O62"/>
  <c r="L62"/>
  <c r="J62"/>
  <c r="I62"/>
  <c r="H62"/>
  <c r="G62"/>
  <c r="E62"/>
  <c r="H61"/>
  <c r="E61"/>
  <c r="P61"/>
  <c r="O61"/>
  <c r="N61"/>
  <c r="M61"/>
  <c r="L61"/>
  <c r="J61"/>
  <c r="I61"/>
  <c r="G61"/>
  <c r="F61"/>
  <c r="E60"/>
  <c r="P60"/>
  <c r="O60"/>
  <c r="N60"/>
  <c r="M60"/>
  <c r="L60"/>
  <c r="J60"/>
  <c r="I60"/>
  <c r="H60"/>
  <c r="G60"/>
  <c r="F60"/>
  <c r="P59"/>
  <c r="O59"/>
  <c r="N59"/>
  <c r="M59"/>
  <c r="L59"/>
  <c r="J59"/>
  <c r="I59"/>
  <c r="H59"/>
  <c r="G59"/>
  <c r="F59"/>
  <c r="E59"/>
  <c r="F58"/>
  <c r="P58"/>
  <c r="O58"/>
  <c r="N58"/>
  <c r="M58"/>
  <c r="L58"/>
  <c r="J58"/>
  <c r="I58"/>
  <c r="H58"/>
  <c r="G58"/>
  <c r="E58"/>
  <c r="P57"/>
  <c r="O57"/>
  <c r="N57"/>
  <c r="M57"/>
  <c r="L57"/>
  <c r="J57"/>
  <c r="I57"/>
  <c r="H57"/>
  <c r="G57"/>
  <c r="F57"/>
  <c r="E57"/>
  <c r="P56"/>
  <c r="O56"/>
  <c r="N56"/>
  <c r="M56"/>
  <c r="L56"/>
  <c r="J56"/>
  <c r="I56"/>
  <c r="H56"/>
  <c r="G56"/>
  <c r="F56"/>
  <c r="E56"/>
  <c r="N55"/>
  <c r="P55"/>
  <c r="O55"/>
  <c r="M55"/>
  <c r="L55"/>
  <c r="J55"/>
  <c r="I55"/>
  <c r="H55"/>
  <c r="G55"/>
  <c r="F55"/>
  <c r="E55"/>
  <c r="P54"/>
  <c r="O54"/>
  <c r="N54"/>
  <c r="M54"/>
  <c r="L54"/>
  <c r="J54"/>
  <c r="I54"/>
  <c r="H54"/>
  <c r="G54"/>
  <c r="F54"/>
  <c r="E54"/>
  <c r="P53"/>
  <c r="O53"/>
  <c r="N53"/>
  <c r="M53"/>
  <c r="L53"/>
  <c r="J53"/>
  <c r="I53"/>
  <c r="H53"/>
  <c r="G53"/>
  <c r="F53"/>
  <c r="E53"/>
  <c r="G52"/>
  <c r="P52"/>
  <c r="O52"/>
  <c r="N52"/>
  <c r="M52"/>
  <c r="L52"/>
  <c r="J52"/>
  <c r="I52"/>
  <c r="H52"/>
  <c r="F52"/>
  <c r="E52"/>
  <c r="N51"/>
  <c r="F51"/>
  <c r="P51"/>
  <c r="O51"/>
  <c r="M51"/>
  <c r="L51"/>
  <c r="J51"/>
  <c r="I51"/>
  <c r="H51"/>
  <c r="G51"/>
  <c r="E51"/>
  <c r="F50"/>
  <c r="E50"/>
  <c r="P50"/>
  <c r="O50"/>
  <c r="N50"/>
  <c r="M50"/>
  <c r="L50"/>
  <c r="J50"/>
  <c r="I50"/>
  <c r="H50"/>
  <c r="G50"/>
  <c r="P49"/>
  <c r="O49"/>
  <c r="N49"/>
  <c r="M49"/>
  <c r="L49"/>
  <c r="J49"/>
  <c r="I49"/>
  <c r="H49"/>
  <c r="G49"/>
  <c r="F49"/>
  <c r="E49"/>
  <c r="P48"/>
  <c r="O48"/>
  <c r="N48"/>
  <c r="M48"/>
  <c r="L48"/>
  <c r="J48"/>
  <c r="I48"/>
  <c r="H48"/>
  <c r="G48"/>
  <c r="F48"/>
  <c r="E48"/>
  <c r="P47"/>
  <c r="O47"/>
  <c r="N47"/>
  <c r="M47"/>
  <c r="L47"/>
  <c r="J47"/>
  <c r="I47"/>
  <c r="H47"/>
  <c r="G47"/>
  <c r="F47"/>
  <c r="E47"/>
  <c r="F46"/>
  <c r="P46"/>
  <c r="O46"/>
  <c r="N46"/>
  <c r="M46"/>
  <c r="L46"/>
  <c r="J46"/>
  <c r="I46"/>
  <c r="H46"/>
  <c r="G46"/>
  <c r="E46"/>
  <c r="P45"/>
  <c r="O45"/>
  <c r="N45"/>
  <c r="M45"/>
  <c r="L45"/>
  <c r="J45"/>
  <c r="I45"/>
  <c r="H45"/>
  <c r="G45"/>
  <c r="F45"/>
  <c r="E45"/>
  <c r="P44"/>
  <c r="O44"/>
  <c r="N44"/>
  <c r="M44"/>
  <c r="L44"/>
  <c r="J44"/>
  <c r="I44"/>
  <c r="H44"/>
  <c r="G44"/>
  <c r="F44"/>
  <c r="E44"/>
  <c r="P43"/>
  <c r="O43"/>
  <c r="N43"/>
  <c r="M43"/>
  <c r="L43"/>
  <c r="J43"/>
  <c r="I43"/>
  <c r="H43"/>
  <c r="G43"/>
  <c r="F43"/>
  <c r="E43"/>
  <c r="P42"/>
  <c r="O42"/>
  <c r="N42"/>
  <c r="M42"/>
  <c r="L42"/>
  <c r="J42"/>
  <c r="I42"/>
  <c r="H42"/>
  <c r="G42"/>
  <c r="F42"/>
  <c r="E42"/>
  <c r="P41"/>
  <c r="O41"/>
  <c r="N41"/>
  <c r="M41"/>
  <c r="L41"/>
  <c r="J41"/>
  <c r="I41"/>
  <c r="H41"/>
  <c r="G41"/>
  <c r="F41"/>
  <c r="E41"/>
  <c r="P40"/>
  <c r="O40"/>
  <c r="N40"/>
  <c r="M40"/>
  <c r="L40"/>
  <c r="J40"/>
  <c r="I40"/>
  <c r="H40"/>
  <c r="G40"/>
  <c r="F40"/>
  <c r="E40"/>
  <c r="P39"/>
  <c r="O39"/>
  <c r="N39"/>
  <c r="M39"/>
  <c r="L39"/>
  <c r="J39"/>
  <c r="I39"/>
  <c r="H39"/>
  <c r="G39"/>
  <c r="F39"/>
  <c r="E39"/>
  <c r="P38"/>
  <c r="O38"/>
  <c r="N38"/>
  <c r="M38"/>
  <c r="L38"/>
  <c r="J38"/>
  <c r="I38"/>
  <c r="H38"/>
  <c r="G38"/>
  <c r="F38"/>
  <c r="E38"/>
  <c r="P37"/>
  <c r="O37"/>
  <c r="N37"/>
  <c r="M37"/>
  <c r="L37"/>
  <c r="J37"/>
  <c r="I37"/>
  <c r="H37"/>
  <c r="G37"/>
  <c r="F37"/>
  <c r="E37"/>
  <c r="P36"/>
  <c r="O36"/>
  <c r="N36"/>
  <c r="M36"/>
  <c r="L36"/>
  <c r="J36"/>
  <c r="I36"/>
  <c r="H36"/>
  <c r="G36"/>
  <c r="F36"/>
  <c r="E36"/>
  <c r="P35"/>
  <c r="O35"/>
  <c r="N35"/>
  <c r="M35"/>
  <c r="L35"/>
  <c r="J35"/>
  <c r="I35"/>
  <c r="H35"/>
  <c r="G35"/>
  <c r="F35"/>
  <c r="E35"/>
  <c r="E34"/>
  <c r="P34"/>
  <c r="O34"/>
  <c r="N34"/>
  <c r="M34"/>
  <c r="L34"/>
  <c r="J34"/>
  <c r="I34"/>
  <c r="H34"/>
  <c r="G34"/>
  <c r="F34"/>
  <c r="I33"/>
  <c r="P33"/>
  <c r="O33"/>
  <c r="N33"/>
  <c r="M33"/>
  <c r="L33"/>
  <c r="J33"/>
  <c r="H33"/>
  <c r="G33"/>
  <c r="F33"/>
  <c r="E33"/>
  <c r="P32"/>
  <c r="O32"/>
  <c r="N32"/>
  <c r="M32"/>
  <c r="L32"/>
  <c r="J32"/>
  <c r="I32"/>
  <c r="H32"/>
  <c r="G32"/>
  <c r="F32"/>
  <c r="E32"/>
  <c r="P31"/>
  <c r="O31"/>
  <c r="N31"/>
  <c r="M31"/>
  <c r="L31"/>
  <c r="J31"/>
  <c r="I31"/>
  <c r="H31"/>
  <c r="G31"/>
  <c r="F31"/>
  <c r="E31"/>
  <c r="P30"/>
  <c r="O30"/>
  <c r="N30"/>
  <c r="M30"/>
  <c r="L30"/>
  <c r="J30"/>
  <c r="I30"/>
  <c r="H30"/>
  <c r="G30"/>
  <c r="F30"/>
  <c r="E30"/>
  <c r="E29"/>
  <c r="P29"/>
  <c r="O29"/>
  <c r="N29"/>
  <c r="M29"/>
  <c r="L29"/>
  <c r="J29"/>
  <c r="I29"/>
  <c r="H29"/>
  <c r="G29"/>
  <c r="F29"/>
  <c r="G28"/>
  <c r="P28"/>
  <c r="O28"/>
  <c r="N28"/>
  <c r="M28"/>
  <c r="L28"/>
  <c r="J28"/>
  <c r="I28"/>
  <c r="H28"/>
  <c r="F28"/>
  <c r="E28"/>
  <c r="F27"/>
  <c r="P27"/>
  <c r="O27"/>
  <c r="N27"/>
  <c r="M27"/>
  <c r="L27"/>
  <c r="J27"/>
  <c r="I27"/>
  <c r="H27"/>
  <c r="G27"/>
  <c r="E27"/>
  <c r="G26"/>
  <c r="P26"/>
  <c r="O26"/>
  <c r="N26"/>
  <c r="M26"/>
  <c r="L26"/>
  <c r="J26"/>
  <c r="I26"/>
  <c r="H26"/>
  <c r="F26"/>
  <c r="E26"/>
  <c r="H25"/>
  <c r="E25"/>
  <c r="P25"/>
  <c r="O25"/>
  <c r="N25"/>
  <c r="M25"/>
  <c r="L25"/>
  <c r="J25"/>
  <c r="I25"/>
  <c r="G25"/>
  <c r="F25"/>
  <c r="P24"/>
  <c r="O24"/>
  <c r="N24"/>
  <c r="M24"/>
  <c r="L24"/>
  <c r="J24"/>
  <c r="I24"/>
  <c r="H24"/>
  <c r="G24"/>
  <c r="F24"/>
  <c r="E24"/>
  <c r="P23"/>
  <c r="O23"/>
  <c r="N23"/>
  <c r="M23"/>
  <c r="L23"/>
  <c r="J23"/>
  <c r="I23"/>
  <c r="H23"/>
  <c r="G23"/>
  <c r="F23"/>
  <c r="E23"/>
  <c r="F22"/>
  <c r="P22"/>
  <c r="O22"/>
  <c r="N22"/>
  <c r="M22"/>
  <c r="L22"/>
  <c r="J22"/>
  <c r="I22"/>
  <c r="H22"/>
  <c r="G22"/>
  <c r="E22"/>
  <c r="P21"/>
  <c r="O21"/>
  <c r="N21"/>
  <c r="M21"/>
  <c r="L21"/>
  <c r="J21"/>
  <c r="I21"/>
  <c r="H21"/>
  <c r="G21"/>
  <c r="F21"/>
  <c r="E21"/>
  <c r="P20"/>
  <c r="O20"/>
  <c r="N20"/>
  <c r="M20"/>
  <c r="L20"/>
  <c r="J20"/>
  <c r="I20"/>
  <c r="H20"/>
  <c r="G20"/>
  <c r="F20"/>
  <c r="E20"/>
  <c r="O19"/>
  <c r="P19"/>
  <c r="N19"/>
  <c r="M19"/>
  <c r="L19"/>
  <c r="J19"/>
  <c r="I19"/>
  <c r="H19"/>
  <c r="G19"/>
  <c r="F19"/>
  <c r="E19"/>
  <c r="E18"/>
  <c r="P18"/>
  <c r="O18"/>
  <c r="N18"/>
  <c r="M18"/>
  <c r="L18"/>
  <c r="J18"/>
  <c r="I18"/>
  <c r="H18"/>
  <c r="G18"/>
  <c r="F18"/>
  <c r="L17"/>
  <c r="E17"/>
  <c r="P17"/>
  <c r="O17"/>
  <c r="N17"/>
  <c r="M17"/>
  <c r="J17"/>
  <c r="I17"/>
  <c r="H17"/>
  <c r="G17"/>
  <c r="F17"/>
  <c r="P16"/>
  <c r="O16"/>
  <c r="N16"/>
  <c r="M16"/>
  <c r="L16"/>
  <c r="J16"/>
  <c r="I16"/>
  <c r="H16"/>
  <c r="G16"/>
  <c r="F16"/>
  <c r="E16"/>
  <c r="P15"/>
  <c r="O15"/>
  <c r="N15"/>
  <c r="M15"/>
  <c r="L15"/>
  <c r="J15"/>
  <c r="I15"/>
  <c r="H15"/>
  <c r="G15"/>
  <c r="F15"/>
  <c r="E15"/>
  <c r="P14"/>
  <c r="O14"/>
  <c r="N14"/>
  <c r="M14"/>
  <c r="L14"/>
  <c r="J14"/>
  <c r="I14"/>
  <c r="H14"/>
  <c r="G14"/>
  <c r="F14"/>
  <c r="E14"/>
  <c r="P13"/>
  <c r="O13"/>
  <c r="N13"/>
  <c r="M13"/>
  <c r="L13"/>
  <c r="J13"/>
  <c r="I13"/>
  <c r="H13"/>
  <c r="G13"/>
  <c r="F13"/>
  <c r="E13"/>
  <c r="P12"/>
  <c r="O12"/>
  <c r="N12"/>
  <c r="M12"/>
  <c r="L12"/>
  <c r="J12"/>
  <c r="I12"/>
  <c r="H12"/>
  <c r="G12"/>
  <c r="F12"/>
  <c r="E12"/>
  <c r="H11"/>
  <c r="P11"/>
  <c r="O11"/>
  <c r="N11"/>
  <c r="M11"/>
  <c r="L11"/>
  <c r="J11"/>
  <c r="I11"/>
  <c r="G11"/>
  <c r="F11"/>
  <c r="E11"/>
  <c r="I10"/>
  <c r="P10"/>
  <c r="O10"/>
  <c r="N10"/>
  <c r="M10"/>
  <c r="L10"/>
  <c r="J10"/>
  <c r="H10"/>
  <c r="G10"/>
  <c r="F10"/>
  <c r="E10"/>
  <c r="P9"/>
  <c r="O9"/>
  <c r="N9"/>
  <c r="M9"/>
  <c r="L9"/>
  <c r="J9"/>
  <c r="I9"/>
  <c r="H9"/>
  <c r="G9"/>
  <c r="F9"/>
  <c r="E9"/>
  <c r="P8"/>
  <c r="O8"/>
  <c r="N8"/>
  <c r="M8"/>
  <c r="L8"/>
  <c r="J8"/>
  <c r="I8"/>
  <c r="H8"/>
  <c r="G8"/>
  <c r="F8"/>
  <c r="E8"/>
  <c r="P7"/>
  <c r="O7"/>
  <c r="N7"/>
  <c r="M7"/>
  <c r="L7"/>
  <c r="J7"/>
  <c r="I7"/>
  <c r="H7"/>
  <c r="G7"/>
  <c r="F7"/>
  <c r="E7"/>
  <c r="G6"/>
  <c r="P6"/>
  <c r="O6"/>
  <c r="N6"/>
  <c r="M6"/>
  <c r="L6"/>
  <c r="J6"/>
  <c r="I6"/>
  <c r="H6"/>
  <c r="F6"/>
  <c r="E6"/>
  <c r="P5"/>
  <c r="O5"/>
  <c r="N5"/>
  <c r="M5"/>
  <c r="L5"/>
  <c r="J5"/>
  <c r="I5"/>
  <c r="H5"/>
  <c r="G5"/>
  <c r="F5"/>
  <c r="E5"/>
  <c r="P4"/>
  <c r="O4"/>
  <c r="N4"/>
  <c r="M4"/>
  <c r="L4"/>
  <c r="J4"/>
  <c r="I4"/>
  <c r="H4"/>
  <c r="G4"/>
  <c r="F4"/>
  <c r="E4"/>
  <c r="AK41" i="88"/>
  <c r="AE41"/>
  <c r="Y41"/>
  <c r="U70" i="89" s="1"/>
  <c r="S41" i="88"/>
  <c r="AK41" i="77"/>
  <c r="AE41"/>
  <c r="Y41"/>
  <c r="S4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L69" i="95"/>
  <c r="H69"/>
  <c r="L68" i="96"/>
  <c r="H68"/>
  <c r="N66" i="95"/>
  <c r="N67"/>
  <c r="N65"/>
  <c r="L66"/>
  <c r="L67"/>
  <c r="L65"/>
  <c r="J66"/>
  <c r="J67"/>
  <c r="J65"/>
  <c r="H66"/>
  <c r="H67"/>
  <c r="H65"/>
  <c r="L54"/>
  <c r="H54"/>
  <c r="N30"/>
  <c r="N31"/>
  <c r="N29"/>
  <c r="L30"/>
  <c r="L31"/>
  <c r="L29"/>
  <c r="J30"/>
  <c r="J31"/>
  <c r="J29"/>
  <c r="H30"/>
  <c r="H31"/>
  <c r="H29"/>
  <c r="L18"/>
  <c r="H18"/>
  <c r="D5" i="94"/>
  <c r="D6"/>
  <c r="D7"/>
  <c r="D8"/>
  <c r="D4"/>
  <c r="C6"/>
  <c r="C7" s="1"/>
  <c r="C8" s="1"/>
  <c r="C4"/>
  <c r="C5" s="1"/>
  <c r="C3"/>
  <c r="AK9" i="24"/>
  <c r="AL9" s="1"/>
  <c r="AE9"/>
  <c r="Y9"/>
  <c r="S9"/>
  <c r="M9"/>
  <c r="AK8"/>
  <c r="AL8" s="1"/>
  <c r="AE8"/>
  <c r="Y8"/>
  <c r="S8"/>
  <c r="M8"/>
  <c r="AK7"/>
  <c r="AL7" s="1"/>
  <c r="AE7"/>
  <c r="AF7" s="1"/>
  <c r="AG7" s="1"/>
  <c r="AI7" s="1"/>
  <c r="Y7"/>
  <c r="Z7" s="1"/>
  <c r="AA7" s="1"/>
  <c r="AC7" s="1"/>
  <c r="S7"/>
  <c r="T7" s="1"/>
  <c r="M7"/>
  <c r="N7" s="1"/>
  <c r="O7" s="1"/>
  <c r="Q7" s="1"/>
  <c r="P42" i="86"/>
  <c r="P43"/>
  <c r="P41"/>
  <c r="L42"/>
  <c r="L43"/>
  <c r="L41"/>
  <c r="H42"/>
  <c r="H43"/>
  <c r="H41"/>
  <c r="P20"/>
  <c r="P21"/>
  <c r="P19"/>
  <c r="L20"/>
  <c r="L21"/>
  <c r="L19"/>
  <c r="H20"/>
  <c r="H21"/>
  <c r="H19"/>
  <c r="O34" i="85"/>
  <c r="O35"/>
  <c r="O33"/>
  <c r="K34"/>
  <c r="K35"/>
  <c r="K33"/>
  <c r="G34"/>
  <c r="G35"/>
  <c r="G33"/>
  <c r="G17"/>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O55"/>
  <c r="Q55"/>
  <c r="AG55" s="1"/>
  <c r="AS55" s="1"/>
  <c r="R55"/>
  <c r="T55"/>
  <c r="AI55" s="1"/>
  <c r="AU55" s="1"/>
  <c r="U55"/>
  <c r="W55"/>
  <c r="AK55" s="1"/>
  <c r="AW55" s="1"/>
  <c r="X55"/>
  <c r="I56"/>
  <c r="L56"/>
  <c r="O56"/>
  <c r="R56"/>
  <c r="U56"/>
  <c r="X56"/>
  <c r="I57"/>
  <c r="L57"/>
  <c r="O57"/>
  <c r="R57"/>
  <c r="U57"/>
  <c r="X57"/>
  <c r="I58"/>
  <c r="L58"/>
  <c r="O58"/>
  <c r="R58"/>
  <c r="U58"/>
  <c r="X58"/>
  <c r="I59"/>
  <c r="L59"/>
  <c r="O59"/>
  <c r="R59"/>
  <c r="U59"/>
  <c r="X59"/>
  <c r="H60"/>
  <c r="AA60" s="1"/>
  <c r="AM60" s="1"/>
  <c r="I60"/>
  <c r="K60"/>
  <c r="AC60" s="1"/>
  <c r="AO60" s="1"/>
  <c r="L60"/>
  <c r="N60"/>
  <c r="AE60" s="1"/>
  <c r="AQ60" s="1"/>
  <c r="O60"/>
  <c r="Q60"/>
  <c r="AG60" s="1"/>
  <c r="AS60" s="1"/>
  <c r="R60"/>
  <c r="T60"/>
  <c r="AI60" s="1"/>
  <c r="AU60" s="1"/>
  <c r="U60"/>
  <c r="W60"/>
  <c r="AK60" s="1"/>
  <c r="AW60" s="1"/>
  <c r="X60"/>
  <c r="I61"/>
  <c r="L61"/>
  <c r="O61"/>
  <c r="R61"/>
  <c r="U61"/>
  <c r="X61"/>
  <c r="H62"/>
  <c r="AA62" s="1"/>
  <c r="AM62" s="1"/>
  <c r="I62"/>
  <c r="K62"/>
  <c r="AC62" s="1"/>
  <c r="AO62" s="1"/>
  <c r="L62"/>
  <c r="N62"/>
  <c r="AE62" s="1"/>
  <c r="AQ62" s="1"/>
  <c r="O62"/>
  <c r="Q62"/>
  <c r="AG62" s="1"/>
  <c r="AS62" s="1"/>
  <c r="R62"/>
  <c r="T62"/>
  <c r="AI62" s="1"/>
  <c r="AU62" s="1"/>
  <c r="U62"/>
  <c r="W62"/>
  <c r="AK62" s="1"/>
  <c r="AW62" s="1"/>
  <c r="X62"/>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M73"/>
  <c r="AD73" s="1"/>
  <c r="AP73" s="1"/>
  <c r="N73"/>
  <c r="AE73" s="1"/>
  <c r="AQ73" s="1"/>
  <c r="O73"/>
  <c r="P73"/>
  <c r="AF73" s="1"/>
  <c r="AR73" s="1"/>
  <c r="Q73"/>
  <c r="AG73" s="1"/>
  <c r="AS73" s="1"/>
  <c r="R73"/>
  <c r="S73"/>
  <c r="AH73" s="1"/>
  <c r="AT73" s="1"/>
  <c r="T73"/>
  <c r="AI73" s="1"/>
  <c r="AU73" s="1"/>
  <c r="U73"/>
  <c r="V73"/>
  <c r="AJ73" s="1"/>
  <c r="AV73" s="1"/>
  <c r="W73"/>
  <c r="AK73" s="1"/>
  <c r="AW73" s="1"/>
  <c r="X73"/>
  <c r="I74"/>
  <c r="L74"/>
  <c r="M74"/>
  <c r="AD74" s="1"/>
  <c r="AP74" s="1"/>
  <c r="N74"/>
  <c r="AE74" s="1"/>
  <c r="AQ74" s="1"/>
  <c r="O74"/>
  <c r="P74"/>
  <c r="AF74" s="1"/>
  <c r="AR74" s="1"/>
  <c r="Q74"/>
  <c r="AG74" s="1"/>
  <c r="AS74" s="1"/>
  <c r="R74"/>
  <c r="S74"/>
  <c r="AH74" s="1"/>
  <c r="AT74" s="1"/>
  <c r="T74"/>
  <c r="AI74" s="1"/>
  <c r="AU74" s="1"/>
  <c r="U74"/>
  <c r="V74"/>
  <c r="AJ74" s="1"/>
  <c r="AV74" s="1"/>
  <c r="W74"/>
  <c r="AK74" s="1"/>
  <c r="AW74" s="1"/>
  <c r="X74"/>
  <c r="I75"/>
  <c r="L75"/>
  <c r="M75"/>
  <c r="AD75" s="1"/>
  <c r="AP75" s="1"/>
  <c r="N75"/>
  <c r="AE75" s="1"/>
  <c r="AQ75" s="1"/>
  <c r="O75"/>
  <c r="P75"/>
  <c r="AF75" s="1"/>
  <c r="AR75" s="1"/>
  <c r="Q75"/>
  <c r="AG75" s="1"/>
  <c r="AS75" s="1"/>
  <c r="R75"/>
  <c r="S75"/>
  <c r="AH75" s="1"/>
  <c r="AT75" s="1"/>
  <c r="T75"/>
  <c r="AI75" s="1"/>
  <c r="AU75" s="1"/>
  <c r="U75"/>
  <c r="V75"/>
  <c r="AJ75" s="1"/>
  <c r="AV75" s="1"/>
  <c r="W75"/>
  <c r="AK75" s="1"/>
  <c r="AW75" s="1"/>
  <c r="X75"/>
  <c r="I76"/>
  <c r="L76"/>
  <c r="M76"/>
  <c r="AD76" s="1"/>
  <c r="AP76" s="1"/>
  <c r="N76"/>
  <c r="AE76" s="1"/>
  <c r="AQ76" s="1"/>
  <c r="O76"/>
  <c r="P76"/>
  <c r="AF76" s="1"/>
  <c r="AR76" s="1"/>
  <c r="Q76"/>
  <c r="AG76" s="1"/>
  <c r="AS76" s="1"/>
  <c r="R76"/>
  <c r="S76"/>
  <c r="AH76" s="1"/>
  <c r="AT76" s="1"/>
  <c r="T76"/>
  <c r="AI76" s="1"/>
  <c r="AU76" s="1"/>
  <c r="U76"/>
  <c r="V76"/>
  <c r="AJ76" s="1"/>
  <c r="AV76" s="1"/>
  <c r="W76"/>
  <c r="AK76" s="1"/>
  <c r="AW76" s="1"/>
  <c r="X76"/>
  <c r="I77"/>
  <c r="L77"/>
  <c r="M77"/>
  <c r="AD77" s="1"/>
  <c r="AP77" s="1"/>
  <c r="N77"/>
  <c r="AE77" s="1"/>
  <c r="AQ77" s="1"/>
  <c r="O77"/>
  <c r="P77"/>
  <c r="AF77" s="1"/>
  <c r="AR77" s="1"/>
  <c r="Q77"/>
  <c r="AG77" s="1"/>
  <c r="AS77" s="1"/>
  <c r="R77"/>
  <c r="S77"/>
  <c r="AH77" s="1"/>
  <c r="AT77" s="1"/>
  <c r="T77"/>
  <c r="AI77" s="1"/>
  <c r="AU77" s="1"/>
  <c r="U77"/>
  <c r="V77"/>
  <c r="AJ77" s="1"/>
  <c r="AV77" s="1"/>
  <c r="W77"/>
  <c r="AK77" s="1"/>
  <c r="AW77" s="1"/>
  <c r="X77"/>
  <c r="I78"/>
  <c r="L78"/>
  <c r="M78"/>
  <c r="AD78" s="1"/>
  <c r="AP78" s="1"/>
  <c r="N78"/>
  <c r="AE78" s="1"/>
  <c r="AQ78" s="1"/>
  <c r="O78"/>
  <c r="P78"/>
  <c r="AF78" s="1"/>
  <c r="AR78" s="1"/>
  <c r="Q78"/>
  <c r="AG78" s="1"/>
  <c r="AS78" s="1"/>
  <c r="R78"/>
  <c r="S78"/>
  <c r="AH78" s="1"/>
  <c r="AT78" s="1"/>
  <c r="T78"/>
  <c r="AI78" s="1"/>
  <c r="AU78" s="1"/>
  <c r="U78"/>
  <c r="V78"/>
  <c r="AJ78" s="1"/>
  <c r="AV78" s="1"/>
  <c r="W78"/>
  <c r="AK78" s="1"/>
  <c r="AW78" s="1"/>
  <c r="X78"/>
  <c r="I79"/>
  <c r="L79"/>
  <c r="M79"/>
  <c r="AD79" s="1"/>
  <c r="AP79" s="1"/>
  <c r="N79"/>
  <c r="AE79" s="1"/>
  <c r="AQ79" s="1"/>
  <c r="O79"/>
  <c r="P79"/>
  <c r="AF79" s="1"/>
  <c r="AR79" s="1"/>
  <c r="Q79"/>
  <c r="AG79" s="1"/>
  <c r="AS79" s="1"/>
  <c r="R79"/>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O81"/>
  <c r="P81"/>
  <c r="AF81" s="1"/>
  <c r="AR81" s="1"/>
  <c r="Q81"/>
  <c r="AG81" s="1"/>
  <c r="AS81" s="1"/>
  <c r="R8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O84"/>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O85"/>
  <c r="P85"/>
  <c r="AF85" s="1"/>
  <c r="AR85" s="1"/>
  <c r="Q85"/>
  <c r="AG85" s="1"/>
  <c r="AS85" s="1"/>
  <c r="R85"/>
  <c r="S85"/>
  <c r="AH85" s="1"/>
  <c r="AT85" s="1"/>
  <c r="T85"/>
  <c r="AI85" s="1"/>
  <c r="AU85" s="1"/>
  <c r="U85"/>
  <c r="V85"/>
  <c r="AJ85" s="1"/>
  <c r="AV85" s="1"/>
  <c r="W85"/>
  <c r="AK85" s="1"/>
  <c r="AW85" s="1"/>
  <c r="X85"/>
  <c r="I86"/>
  <c r="L86"/>
  <c r="M86"/>
  <c r="AD86" s="1"/>
  <c r="AP86" s="1"/>
  <c r="N86"/>
  <c r="AE86" s="1"/>
  <c r="AQ86" s="1"/>
  <c r="O86"/>
  <c r="P86"/>
  <c r="AF86" s="1"/>
  <c r="AR86" s="1"/>
  <c r="Q86"/>
  <c r="AG86" s="1"/>
  <c r="AS86" s="1"/>
  <c r="R86"/>
  <c r="S86"/>
  <c r="AH86" s="1"/>
  <c r="AT86" s="1"/>
  <c r="T86"/>
  <c r="AI86" s="1"/>
  <c r="AU86" s="1"/>
  <c r="U86"/>
  <c r="V86"/>
  <c r="AJ86" s="1"/>
  <c r="AV86" s="1"/>
  <c r="W86"/>
  <c r="AK86" s="1"/>
  <c r="AW86" s="1"/>
  <c r="X86"/>
  <c r="I87"/>
  <c r="L87"/>
  <c r="M87"/>
  <c r="AD87" s="1"/>
  <c r="AP87" s="1"/>
  <c r="N87"/>
  <c r="AE87" s="1"/>
  <c r="AQ87" s="1"/>
  <c r="O87"/>
  <c r="P87"/>
  <c r="AF87" s="1"/>
  <c r="AR87" s="1"/>
  <c r="Q87"/>
  <c r="AG87" s="1"/>
  <c r="AS87" s="1"/>
  <c r="R87"/>
  <c r="S87"/>
  <c r="AH87" s="1"/>
  <c r="AT87" s="1"/>
  <c r="T87"/>
  <c r="AI87" s="1"/>
  <c r="AU87" s="1"/>
  <c r="U87"/>
  <c r="V87"/>
  <c r="AJ87" s="1"/>
  <c r="AV87" s="1"/>
  <c r="W87"/>
  <c r="AK87" s="1"/>
  <c r="AW87" s="1"/>
  <c r="X87"/>
  <c r="I88"/>
  <c r="L88"/>
  <c r="M88"/>
  <c r="AD88" s="1"/>
  <c r="AP88" s="1"/>
  <c r="N88"/>
  <c r="AE88" s="1"/>
  <c r="AQ88" s="1"/>
  <c r="O88"/>
  <c r="P88"/>
  <c r="AF88" s="1"/>
  <c r="AR88" s="1"/>
  <c r="Q88"/>
  <c r="AG88" s="1"/>
  <c r="AS88" s="1"/>
  <c r="R88"/>
  <c r="S88"/>
  <c r="AH88" s="1"/>
  <c r="AT88" s="1"/>
  <c r="T88"/>
  <c r="AI88" s="1"/>
  <c r="AU88" s="1"/>
  <c r="U88"/>
  <c r="V88"/>
  <c r="AJ88" s="1"/>
  <c r="AV88" s="1"/>
  <c r="W88"/>
  <c r="AK88" s="1"/>
  <c r="AW88" s="1"/>
  <c r="X88"/>
  <c r="I89"/>
  <c r="L89"/>
  <c r="M89"/>
  <c r="AD89" s="1"/>
  <c r="AP89" s="1"/>
  <c r="N89"/>
  <c r="AE89" s="1"/>
  <c r="AQ89" s="1"/>
  <c r="O89"/>
  <c r="P89"/>
  <c r="AF89" s="1"/>
  <c r="AR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O90"/>
  <c r="P90"/>
  <c r="AF90" s="1"/>
  <c r="AR90" s="1"/>
  <c r="Q90"/>
  <c r="AG90" s="1"/>
  <c r="AS90" s="1"/>
  <c r="R90"/>
  <c r="S90"/>
  <c r="AH90" s="1"/>
  <c r="AT90" s="1"/>
  <c r="T90"/>
  <c r="AI90" s="1"/>
  <c r="AU90" s="1"/>
  <c r="U90"/>
  <c r="V90"/>
  <c r="AJ90" s="1"/>
  <c r="AV90" s="1"/>
  <c r="W90"/>
  <c r="AK90" s="1"/>
  <c r="AW90" s="1"/>
  <c r="X90"/>
  <c r="I91"/>
  <c r="L91"/>
  <c r="M91"/>
  <c r="AD91" s="1"/>
  <c r="AP91" s="1"/>
  <c r="N91"/>
  <c r="AE91" s="1"/>
  <c r="AQ91" s="1"/>
  <c r="O91"/>
  <c r="P91"/>
  <c r="AF91" s="1"/>
  <c r="AR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O92"/>
  <c r="P92"/>
  <c r="AF92" s="1"/>
  <c r="AR92" s="1"/>
  <c r="Q92"/>
  <c r="AG92" s="1"/>
  <c r="AS92" s="1"/>
  <c r="R92"/>
  <c r="S92"/>
  <c r="AH92" s="1"/>
  <c r="AT92" s="1"/>
  <c r="T92"/>
  <c r="AI92" s="1"/>
  <c r="AU92" s="1"/>
  <c r="U92"/>
  <c r="V92"/>
  <c r="AJ92" s="1"/>
  <c r="AV92" s="1"/>
  <c r="W92"/>
  <c r="AK92" s="1"/>
  <c r="AW92" s="1"/>
  <c r="X92"/>
  <c r="I93"/>
  <c r="L93"/>
  <c r="M93"/>
  <c r="AD93" s="1"/>
  <c r="AP93" s="1"/>
  <c r="N93"/>
  <c r="AE93" s="1"/>
  <c r="AQ93" s="1"/>
  <c r="O93"/>
  <c r="P93"/>
  <c r="AF93" s="1"/>
  <c r="AR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O94"/>
  <c r="P94"/>
  <c r="AF94" s="1"/>
  <c r="AR94" s="1"/>
  <c r="Q94"/>
  <c r="AG94" s="1"/>
  <c r="AS94" s="1"/>
  <c r="R94"/>
  <c r="S94"/>
  <c r="AH94" s="1"/>
  <c r="AT94" s="1"/>
  <c r="T94"/>
  <c r="AI94" s="1"/>
  <c r="AU94" s="1"/>
  <c r="U94"/>
  <c r="V94"/>
  <c r="AJ94" s="1"/>
  <c r="AV94" s="1"/>
  <c r="W94"/>
  <c r="AK94" s="1"/>
  <c r="AW94" s="1"/>
  <c r="X94"/>
  <c r="I95"/>
  <c r="L95"/>
  <c r="M95"/>
  <c r="AD95" s="1"/>
  <c r="AP95" s="1"/>
  <c r="N95"/>
  <c r="AE95" s="1"/>
  <c r="AQ95" s="1"/>
  <c r="O95"/>
  <c r="P95"/>
  <c r="AF95" s="1"/>
  <c r="AR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O11" i="92"/>
  <c r="AB11" s="1"/>
  <c r="AN11" s="1"/>
  <c r="O19"/>
  <c r="AB19" s="1"/>
  <c r="AN19" s="1"/>
  <c r="O27"/>
  <c r="AB27" s="1"/>
  <c r="AN27" s="1"/>
  <c r="F51"/>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D30"/>
  <c r="C30"/>
  <c r="F29"/>
  <c r="E29"/>
  <c r="D29"/>
  <c r="C29"/>
  <c r="F28"/>
  <c r="E28"/>
  <c r="D28"/>
  <c r="C28"/>
  <c r="Q27"/>
  <c r="AD27" s="1"/>
  <c r="AP27" s="1"/>
  <c r="M27"/>
  <c r="Z27" s="1"/>
  <c r="AL27" s="1"/>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Q19"/>
  <c r="AD19" s="1"/>
  <c r="AP19" s="1"/>
  <c r="M19"/>
  <c r="Z19" s="1"/>
  <c r="AL19" s="1"/>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Q11"/>
  <c r="AD11" s="1"/>
  <c r="AP11" s="1"/>
  <c r="M11"/>
  <c r="Z11" s="1"/>
  <c r="AL11" s="1"/>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U91" i="89" l="1"/>
  <c r="C63" i="104"/>
  <c r="O63" s="1"/>
  <c r="Q63" s="1"/>
  <c r="C63" i="101"/>
  <c r="K63" s="1"/>
  <c r="Q63" s="1"/>
  <c r="C7" i="104"/>
  <c r="O7" s="1"/>
  <c r="Q7" s="1"/>
  <c r="U28" i="89"/>
  <c r="C22" i="109"/>
  <c r="O22" s="1"/>
  <c r="Q22" s="1"/>
  <c r="U7" i="24"/>
  <c r="W7" s="1"/>
  <c r="C6" i="104"/>
  <c r="O6" s="1"/>
  <c r="Q6" s="1"/>
  <c r="C5"/>
  <c r="O5" s="1"/>
  <c r="Q5" s="1"/>
  <c r="C22" i="108"/>
  <c r="I22" s="1"/>
  <c r="Q22" s="1"/>
  <c r="C5" i="102"/>
  <c r="M5" s="1"/>
  <c r="Q5" s="1"/>
  <c r="C5" i="101"/>
  <c r="K5" s="1"/>
  <c r="Q5" s="1"/>
  <c r="X91" i="89"/>
  <c r="X49"/>
  <c r="U49"/>
  <c r="X28"/>
  <c r="U112"/>
  <c r="X70"/>
  <c r="T8" i="24"/>
  <c r="AF8"/>
  <c r="N9"/>
  <c r="Z9"/>
  <c r="N8"/>
  <c r="Z8"/>
  <c r="T9"/>
  <c r="AF9"/>
  <c r="A4" i="101" l="1"/>
  <c r="A4" i="108"/>
  <c r="O8" i="24"/>
  <c r="Q8" s="1"/>
  <c r="U8"/>
  <c r="W8" s="1"/>
  <c r="AG9"/>
  <c r="AI9" s="1"/>
  <c r="C7" i="102"/>
  <c r="M7" s="1"/>
  <c r="Q7" s="1"/>
  <c r="AA9" i="24"/>
  <c r="AC9" s="1"/>
  <c r="C7" i="101"/>
  <c r="K7" s="1"/>
  <c r="Q7" s="1"/>
  <c r="AA8" i="24"/>
  <c r="AC8" s="1"/>
  <c r="C6" i="101"/>
  <c r="K6" s="1"/>
  <c r="Q6" s="1"/>
  <c r="AG8" i="24"/>
  <c r="AI8" s="1"/>
  <c r="C6" i="102"/>
  <c r="M6" s="1"/>
  <c r="Q6" s="1"/>
  <c r="U9" i="24"/>
  <c r="W9" s="1"/>
  <c r="O9"/>
  <c r="Q9" s="1"/>
  <c r="X112" i="89"/>
  <c r="H9" i="83"/>
  <c r="C104" i="91" s="1"/>
  <c r="N3" i="96"/>
  <c r="N3" i="95"/>
  <c r="P1" i="78"/>
  <c r="N3"/>
  <c r="P3" i="86" s="1"/>
  <c r="G75" i="74"/>
  <c r="Z75" s="1"/>
  <c r="AL75" s="1"/>
  <c r="AR3" i="77"/>
  <c r="A2" i="88"/>
  <c r="A2" i="10"/>
  <c r="C108" s="1"/>
  <c r="A2" i="24"/>
  <c r="G3" i="46"/>
  <c r="C47" i="74"/>
  <c r="D47"/>
  <c r="E47"/>
  <c r="F47"/>
  <c r="I47"/>
  <c r="L47"/>
  <c r="O47"/>
  <c r="R47"/>
  <c r="U47"/>
  <c r="X47"/>
  <c r="C48"/>
  <c r="D48"/>
  <c r="E48"/>
  <c r="F48"/>
  <c r="I48"/>
  <c r="L48"/>
  <c r="O48"/>
  <c r="R48"/>
  <c r="U48"/>
  <c r="X48"/>
  <c r="C49"/>
  <c r="D49"/>
  <c r="E49"/>
  <c r="F49"/>
  <c r="I49"/>
  <c r="L49"/>
  <c r="O49"/>
  <c r="R49"/>
  <c r="U49"/>
  <c r="X49"/>
  <c r="C50"/>
  <c r="D50"/>
  <c r="E50"/>
  <c r="F50"/>
  <c r="I50"/>
  <c r="K50"/>
  <c r="AC50" s="1"/>
  <c r="AO50" s="1"/>
  <c r="L50"/>
  <c r="N50"/>
  <c r="AE50" s="1"/>
  <c r="AQ50" s="1"/>
  <c r="O50"/>
  <c r="Q50"/>
  <c r="AG50" s="1"/>
  <c r="AS50" s="1"/>
  <c r="R50"/>
  <c r="T50"/>
  <c r="AI50" s="1"/>
  <c r="AU50" s="1"/>
  <c r="U50"/>
  <c r="W50"/>
  <c r="AK50" s="1"/>
  <c r="AW50" s="1"/>
  <c r="X50"/>
  <c r="C51"/>
  <c r="D51"/>
  <c r="E51"/>
  <c r="F51"/>
  <c r="I51"/>
  <c r="L51"/>
  <c r="O51"/>
  <c r="R51"/>
  <c r="U51"/>
  <c r="X51"/>
  <c r="C52"/>
  <c r="D52"/>
  <c r="E52"/>
  <c r="F52"/>
  <c r="I52"/>
  <c r="L52"/>
  <c r="O52"/>
  <c r="R52"/>
  <c r="U52"/>
  <c r="X52"/>
  <c r="C53"/>
  <c r="D53"/>
  <c r="E53"/>
  <c r="F53"/>
  <c r="H53"/>
  <c r="AA53" s="1"/>
  <c r="AM53" s="1"/>
  <c r="I53"/>
  <c r="K53"/>
  <c r="AC53" s="1"/>
  <c r="AO53" s="1"/>
  <c r="L53"/>
  <c r="N53"/>
  <c r="AE53" s="1"/>
  <c r="AQ53" s="1"/>
  <c r="O53"/>
  <c r="Q53"/>
  <c r="AG53" s="1"/>
  <c r="AS53" s="1"/>
  <c r="R53"/>
  <c r="T53"/>
  <c r="AI53" s="1"/>
  <c r="AU53" s="1"/>
  <c r="U53"/>
  <c r="W53"/>
  <c r="AK53" s="1"/>
  <c r="AW53" s="1"/>
  <c r="X53"/>
  <c r="C54"/>
  <c r="D54"/>
  <c r="E54"/>
  <c r="F54"/>
  <c r="I54"/>
  <c r="L54"/>
  <c r="O54"/>
  <c r="R54"/>
  <c r="U54"/>
  <c r="X54"/>
  <c r="C55"/>
  <c r="D55"/>
  <c r="E55"/>
  <c r="F55"/>
  <c r="C56"/>
  <c r="D56"/>
  <c r="E56"/>
  <c r="F56"/>
  <c r="C57"/>
  <c r="D57"/>
  <c r="E57"/>
  <c r="F57"/>
  <c r="C58"/>
  <c r="D58"/>
  <c r="E58"/>
  <c r="F58"/>
  <c r="C59"/>
  <c r="D59"/>
  <c r="E59"/>
  <c r="F59"/>
  <c r="C60"/>
  <c r="D60"/>
  <c r="E60"/>
  <c r="F60"/>
  <c r="C61"/>
  <c r="D61"/>
  <c r="E61"/>
  <c r="F61"/>
  <c r="C62"/>
  <c r="D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X46"/>
  <c r="U46"/>
  <c r="R46"/>
  <c r="O46"/>
  <c r="L46"/>
  <c r="I46"/>
  <c r="F46"/>
  <c r="E46"/>
  <c r="C46"/>
  <c r="D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N101"/>
  <c r="H101"/>
  <c r="N100"/>
  <c r="H100"/>
  <c r="N99"/>
  <c r="H99"/>
  <c r="M98"/>
  <c r="N98" s="1"/>
  <c r="G98"/>
  <c r="H98" s="1"/>
  <c r="M97"/>
  <c r="C184" i="91"/>
  <c r="G97" i="88"/>
  <c r="M96"/>
  <c r="N96" s="1"/>
  <c r="G96"/>
  <c r="M95"/>
  <c r="G95"/>
  <c r="M94"/>
  <c r="N94" s="1"/>
  <c r="G94"/>
  <c r="M93"/>
  <c r="G93"/>
  <c r="M92"/>
  <c r="N92" s="1"/>
  <c r="G92"/>
  <c r="M91"/>
  <c r="N91" s="1"/>
  <c r="G91"/>
  <c r="H91" s="1"/>
  <c r="E9" i="87" s="1"/>
  <c r="M90" i="88"/>
  <c r="N90" s="1"/>
  <c r="G90"/>
  <c r="H90" s="1"/>
  <c r="M89"/>
  <c r="N89" s="1"/>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M71"/>
  <c r="N66"/>
  <c r="L16" i="83" s="1"/>
  <c r="H66" i="88"/>
  <c r="S65"/>
  <c r="N65"/>
  <c r="M65"/>
  <c r="H65"/>
  <c r="G65"/>
  <c r="N64"/>
  <c r="M64"/>
  <c r="H64"/>
  <c r="G64"/>
  <c r="S63"/>
  <c r="N63"/>
  <c r="M63"/>
  <c r="H63"/>
  <c r="G63"/>
  <c r="S62"/>
  <c r="M62"/>
  <c r="N62" s="1"/>
  <c r="G62"/>
  <c r="H62" s="1"/>
  <c r="S61"/>
  <c r="M61"/>
  <c r="N61" s="1"/>
  <c r="G61"/>
  <c r="H61" s="1"/>
  <c r="S60"/>
  <c r="M60"/>
  <c r="N60" s="1"/>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E47"/>
  <c r="Y47"/>
  <c r="P72" i="74" s="1"/>
  <c r="AF72" s="1"/>
  <c r="AR72" s="1"/>
  <c r="S47" i="88"/>
  <c r="C28" i="108" s="1"/>
  <c r="I28" s="1"/>
  <c r="Q28" s="1"/>
  <c r="M47" i="88"/>
  <c r="G47"/>
  <c r="F16" i="86" s="1"/>
  <c r="D71" i="91" s="1"/>
  <c r="AK46" i="88"/>
  <c r="AE46"/>
  <c r="Y46"/>
  <c r="F37" i="86" s="1"/>
  <c r="G70" i="91" s="1"/>
  <c r="S46" i="88"/>
  <c r="M46"/>
  <c r="G46"/>
  <c r="H71" i="74" s="1"/>
  <c r="AA71" s="1"/>
  <c r="AM71" s="1"/>
  <c r="V70"/>
  <c r="AJ70" s="1"/>
  <c r="AV70" s="1"/>
  <c r="V68"/>
  <c r="AJ68" s="1"/>
  <c r="AV68" s="1"/>
  <c r="J12" i="86"/>
  <c r="E67" i="91" s="1"/>
  <c r="AK45" i="88"/>
  <c r="AE45"/>
  <c r="C67" i="104" s="1"/>
  <c r="Y45" i="88"/>
  <c r="C67" i="101" s="1"/>
  <c r="K67" s="1"/>
  <c r="Q67" s="1"/>
  <c r="S45" i="88"/>
  <c r="M45"/>
  <c r="G45"/>
  <c r="AK44"/>
  <c r="AE44"/>
  <c r="Y44"/>
  <c r="S44"/>
  <c r="M44"/>
  <c r="G44"/>
  <c r="AK43"/>
  <c r="AE43"/>
  <c r="C65" i="104" s="1"/>
  <c r="Y43" i="88"/>
  <c r="S43"/>
  <c r="M43"/>
  <c r="G43"/>
  <c r="AK42"/>
  <c r="AE42"/>
  <c r="C64" i="104" s="1"/>
  <c r="Y42" i="88"/>
  <c r="C64" i="101" s="1"/>
  <c r="K64" s="1"/>
  <c r="Q64" s="1"/>
  <c r="S42" i="88"/>
  <c r="M42"/>
  <c r="G42"/>
  <c r="T63" i="74"/>
  <c r="AI63" s="1"/>
  <c r="AU63" s="1"/>
  <c r="P63"/>
  <c r="AF63" s="1"/>
  <c r="AR63" s="1"/>
  <c r="J63"/>
  <c r="AB63" s="1"/>
  <c r="AN63" s="1"/>
  <c r="G41" i="88"/>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AI34"/>
  <c r="AF34"/>
  <c r="AC34"/>
  <c r="Z34"/>
  <c r="E33" i="85" s="1"/>
  <c r="W34" i="88"/>
  <c r="T34"/>
  <c r="Q34"/>
  <c r="N34"/>
  <c r="K34"/>
  <c r="H34"/>
  <c r="AK31"/>
  <c r="AE31"/>
  <c r="C62" i="104" s="1"/>
  <c r="Y31" i="88"/>
  <c r="S31"/>
  <c r="C21" i="108" s="1"/>
  <c r="I21" s="1"/>
  <c r="Q21" s="1"/>
  <c r="M31" i="88"/>
  <c r="G31"/>
  <c r="AK30"/>
  <c r="AE30"/>
  <c r="C61" i="104" s="1"/>
  <c r="Y30" i="88"/>
  <c r="S30"/>
  <c r="C20" i="108" s="1"/>
  <c r="I20" s="1"/>
  <c r="Q20" s="1"/>
  <c r="M30" i="88"/>
  <c r="G30"/>
  <c r="AK29"/>
  <c r="AE29"/>
  <c r="C60" i="104" s="1"/>
  <c r="Y29" i="88"/>
  <c r="S29"/>
  <c r="C19" i="108" s="1"/>
  <c r="I19" s="1"/>
  <c r="Q19" s="1"/>
  <c r="M29" i="88"/>
  <c r="G29"/>
  <c r="H29" s="1"/>
  <c r="AK28"/>
  <c r="AE28"/>
  <c r="Y28"/>
  <c r="S28"/>
  <c r="M28"/>
  <c r="G28"/>
  <c r="AK27"/>
  <c r="AE27"/>
  <c r="C58" i="104" s="1"/>
  <c r="Y27" i="88"/>
  <c r="S27"/>
  <c r="C17" i="108" s="1"/>
  <c r="I17" s="1"/>
  <c r="Q17" s="1"/>
  <c r="M27" i="88"/>
  <c r="G27"/>
  <c r="H27" s="1"/>
  <c r="AK26"/>
  <c r="AE26"/>
  <c r="Y26"/>
  <c r="S26"/>
  <c r="C16" i="108" s="1"/>
  <c r="I16" s="1"/>
  <c r="Q16" s="1"/>
  <c r="M26" i="88"/>
  <c r="G26"/>
  <c r="H26" s="1"/>
  <c r="I26" s="1"/>
  <c r="K26" s="1"/>
  <c r="AK25"/>
  <c r="AE25"/>
  <c r="Y25"/>
  <c r="S25"/>
  <c r="C15" i="108" s="1"/>
  <c r="I15" s="1"/>
  <c r="Q15" s="1"/>
  <c r="M25" i="88"/>
  <c r="G25"/>
  <c r="H25" s="1"/>
  <c r="I25" s="1"/>
  <c r="K25" s="1"/>
  <c r="AO20"/>
  <c r="AL20"/>
  <c r="Q30" i="92" s="1"/>
  <c r="AD30" s="1"/>
  <c r="AP30" s="1"/>
  <c r="AI20" i="88"/>
  <c r="AF20"/>
  <c r="J43" i="84" s="1"/>
  <c r="H19" i="91" s="1"/>
  <c r="AC20" i="88"/>
  <c r="Z20"/>
  <c r="M30" i="92" s="1"/>
  <c r="Z30" s="1"/>
  <c r="AL30" s="1"/>
  <c r="W20" i="88"/>
  <c r="T20"/>
  <c r="Q20"/>
  <c r="N20"/>
  <c r="K20"/>
  <c r="H20"/>
  <c r="AO19"/>
  <c r="AL19"/>
  <c r="AI19"/>
  <c r="AF19"/>
  <c r="O29" i="92" s="1"/>
  <c r="AB29" s="1"/>
  <c r="AN29" s="1"/>
  <c r="AC19" i="88"/>
  <c r="Z19"/>
  <c r="W19"/>
  <c r="T19"/>
  <c r="N20" i="84" s="1"/>
  <c r="F18" i="91" s="1"/>
  <c r="Q19" i="88"/>
  <c r="N19"/>
  <c r="K19"/>
  <c r="H19"/>
  <c r="AO18"/>
  <c r="AL18"/>
  <c r="Q28" i="92" s="1"/>
  <c r="AD28" s="1"/>
  <c r="AP28" s="1"/>
  <c r="AI18" i="88"/>
  <c r="AF18"/>
  <c r="J41" i="84" s="1"/>
  <c r="H17" i="91" s="1"/>
  <c r="AC18" i="88"/>
  <c r="Z18"/>
  <c r="W18"/>
  <c r="T18"/>
  <c r="Q18"/>
  <c r="N18"/>
  <c r="K18"/>
  <c r="H18"/>
  <c r="AK15"/>
  <c r="AL15" s="1"/>
  <c r="AE15"/>
  <c r="AF15" s="1"/>
  <c r="C55" i="104" s="1"/>
  <c r="Y15" i="88"/>
  <c r="Z15" s="1"/>
  <c r="C55" i="101" s="1"/>
  <c r="K55" s="1"/>
  <c r="Q55" s="1"/>
  <c r="S15" i="88"/>
  <c r="T15" s="1"/>
  <c r="M15"/>
  <c r="N15" s="1"/>
  <c r="G15"/>
  <c r="H15" s="1"/>
  <c r="AK14"/>
  <c r="AL14" s="1"/>
  <c r="AE14"/>
  <c r="AF14" s="1"/>
  <c r="Y14"/>
  <c r="Z14" s="1"/>
  <c r="S14"/>
  <c r="T14" s="1"/>
  <c r="C13" i="108" s="1"/>
  <c r="I13" s="1"/>
  <c r="Q13" s="1"/>
  <c r="M14" i="88"/>
  <c r="N14" s="1"/>
  <c r="G14"/>
  <c r="H14" s="1"/>
  <c r="AK13"/>
  <c r="AL13" s="1"/>
  <c r="AE13"/>
  <c r="AF13" s="1"/>
  <c r="C53" i="104" s="1"/>
  <c r="Y13" i="88"/>
  <c r="Z13" s="1"/>
  <c r="C53" i="101" s="1"/>
  <c r="K53" s="1"/>
  <c r="Q53" s="1"/>
  <c r="S13" i="88"/>
  <c r="T13" s="1"/>
  <c r="C12" i="108" s="1"/>
  <c r="I12" s="1"/>
  <c r="Q12" s="1"/>
  <c r="M13" i="88"/>
  <c r="N13" s="1"/>
  <c r="G13"/>
  <c r="H13" s="1"/>
  <c r="AK12"/>
  <c r="AE12"/>
  <c r="Y12"/>
  <c r="S12"/>
  <c r="M12"/>
  <c r="G12"/>
  <c r="AK11"/>
  <c r="AL11" s="1"/>
  <c r="AE11"/>
  <c r="AF11" s="1"/>
  <c r="C51" i="104" s="1"/>
  <c r="Y11" i="88"/>
  <c r="Z11" s="1"/>
  <c r="S11"/>
  <c r="T11" s="1"/>
  <c r="C10" i="108" s="1"/>
  <c r="I10" s="1"/>
  <c r="Q10" s="1"/>
  <c r="M11" i="88"/>
  <c r="N11" s="1"/>
  <c r="G11"/>
  <c r="H11" s="1"/>
  <c r="C11"/>
  <c r="AK10"/>
  <c r="AL10" s="1"/>
  <c r="AE10"/>
  <c r="AF10" s="1"/>
  <c r="C50" i="104" s="1"/>
  <c r="Y10" i="88"/>
  <c r="Z10" s="1"/>
  <c r="S10"/>
  <c r="T10" s="1"/>
  <c r="C9" i="108" s="1"/>
  <c r="I9" s="1"/>
  <c r="Q9" s="1"/>
  <c r="M10" i="88"/>
  <c r="N10" s="1"/>
  <c r="G10"/>
  <c r="H10" s="1"/>
  <c r="AK9"/>
  <c r="AE9"/>
  <c r="Y9"/>
  <c r="S9"/>
  <c r="M9"/>
  <c r="G9"/>
  <c r="AK8"/>
  <c r="AL8" s="1"/>
  <c r="AE8"/>
  <c r="AF8" s="1"/>
  <c r="C48" i="104" s="1"/>
  <c r="Y8" i="88"/>
  <c r="Z8" s="1"/>
  <c r="C48" i="101" s="1"/>
  <c r="K48" s="1"/>
  <c r="Q48" s="1"/>
  <c r="S8" i="88"/>
  <c r="T8" s="1"/>
  <c r="C7" i="108" s="1"/>
  <c r="I7" s="1"/>
  <c r="Q7" s="1"/>
  <c r="M8" i="88"/>
  <c r="N8" s="1"/>
  <c r="G8"/>
  <c r="H8" s="1"/>
  <c r="C8"/>
  <c r="AK7"/>
  <c r="AL7" s="1"/>
  <c r="AE7"/>
  <c r="AF7" s="1"/>
  <c r="C47" i="104" s="1"/>
  <c r="Y7" i="88"/>
  <c r="Z7" s="1"/>
  <c r="S7"/>
  <c r="T7" s="1"/>
  <c r="C6" i="108" s="1"/>
  <c r="I6" s="1"/>
  <c r="Q6" s="1"/>
  <c r="M7" i="88"/>
  <c r="N7" s="1"/>
  <c r="G7"/>
  <c r="H7" s="1"/>
  <c r="AK6"/>
  <c r="AL6" s="1"/>
  <c r="AE6"/>
  <c r="AF6" s="1"/>
  <c r="C46" i="104" s="1"/>
  <c r="Y6" i="88"/>
  <c r="Z6" s="1"/>
  <c r="S6"/>
  <c r="T6" s="1"/>
  <c r="C5" i="108" s="1"/>
  <c r="I5" s="1"/>
  <c r="Q5" s="1"/>
  <c r="M6" i="88"/>
  <c r="N6" s="1"/>
  <c r="G6"/>
  <c r="H6" s="1"/>
  <c r="G15" i="87"/>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D172" i="90"/>
  <c r="C172"/>
  <c r="E33" i="82"/>
  <c r="G32"/>
  <c r="E32"/>
  <c r="G31"/>
  <c r="E31"/>
  <c r="G30"/>
  <c r="E30"/>
  <c r="G29"/>
  <c r="E29"/>
  <c r="G28"/>
  <c r="E28"/>
  <c r="E27"/>
  <c r="G26"/>
  <c r="E26"/>
  <c r="G25"/>
  <c r="G24"/>
  <c r="E20"/>
  <c r="E19"/>
  <c r="E18"/>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I55"/>
  <c r="H55"/>
  <c r="G55"/>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L33" i="78"/>
  <c r="D123" i="90" s="1"/>
  <c r="H33" i="78"/>
  <c r="C123" i="90" s="1"/>
  <c r="D121"/>
  <c r="L31" i="78"/>
  <c r="C121" i="90"/>
  <c r="H31" i="78"/>
  <c r="M30"/>
  <c r="L30"/>
  <c r="I30"/>
  <c r="H30"/>
  <c r="D120" i="90"/>
  <c r="I29" i="78"/>
  <c r="H29"/>
  <c r="C120" i="90" s="1"/>
  <c r="D119"/>
  <c r="H28" i="78"/>
  <c r="C119" i="90" s="1"/>
  <c r="D118"/>
  <c r="C118"/>
  <c r="D117"/>
  <c r="C117"/>
  <c r="D116"/>
  <c r="C116"/>
  <c r="M98" i="77"/>
  <c r="N98" s="1"/>
  <c r="G98"/>
  <c r="H98" s="1"/>
  <c r="Q97"/>
  <c r="M97"/>
  <c r="K97"/>
  <c r="C183" i="90" s="1"/>
  <c r="G97" i="77"/>
  <c r="M96"/>
  <c r="N96" s="1"/>
  <c r="G96"/>
  <c r="Q95"/>
  <c r="M95"/>
  <c r="K95"/>
  <c r="C181" i="90" s="1"/>
  <c r="G95" i="77"/>
  <c r="M94"/>
  <c r="G94"/>
  <c r="Q93"/>
  <c r="M93"/>
  <c r="K93"/>
  <c r="C179" i="90" s="1"/>
  <c r="G93" i="77"/>
  <c r="M92"/>
  <c r="N92" s="1"/>
  <c r="G92"/>
  <c r="M91"/>
  <c r="N91" s="1"/>
  <c r="G91"/>
  <c r="M90"/>
  <c r="N90" s="1"/>
  <c r="G90"/>
  <c r="M89"/>
  <c r="N89" s="1"/>
  <c r="G89"/>
  <c r="M72"/>
  <c r="M71"/>
  <c r="N66"/>
  <c r="L16" i="78" s="1"/>
  <c r="H66" i="77"/>
  <c r="H16" i="78" s="1"/>
  <c r="S65" i="77"/>
  <c r="N65"/>
  <c r="M65"/>
  <c r="H65"/>
  <c r="H15" i="78" s="1"/>
  <c r="C109" i="90" s="1"/>
  <c r="G65" i="77"/>
  <c r="S64"/>
  <c r="N64"/>
  <c r="M64"/>
  <c r="H64"/>
  <c r="H14" i="78" s="1"/>
  <c r="C108" i="90" s="1"/>
  <c r="G64" i="77"/>
  <c r="S63"/>
  <c r="M63"/>
  <c r="N63" s="1"/>
  <c r="G63"/>
  <c r="H63" s="1"/>
  <c r="I63" s="1"/>
  <c r="K63" s="1"/>
  <c r="J13" i="78" s="1"/>
  <c r="C133" i="90" s="1"/>
  <c r="S62" i="77"/>
  <c r="M62"/>
  <c r="W62" s="1"/>
  <c r="G62"/>
  <c r="I62" s="1"/>
  <c r="K62" s="1"/>
  <c r="J12" i="78" s="1"/>
  <c r="C132" i="90" s="1"/>
  <c r="S61" i="77"/>
  <c r="M61"/>
  <c r="N61" s="1"/>
  <c r="G61"/>
  <c r="H61" s="1"/>
  <c r="I61" s="1"/>
  <c r="K61" s="1"/>
  <c r="J11" i="78" s="1"/>
  <c r="C131" i="90" s="1"/>
  <c r="S60" i="77"/>
  <c r="M60"/>
  <c r="O60" s="1"/>
  <c r="Q60" s="1"/>
  <c r="N10" i="78" s="1"/>
  <c r="D130" i="90" s="1"/>
  <c r="G60" i="77"/>
  <c r="I60" s="1"/>
  <c r="K60" s="1"/>
  <c r="J10" i="78" s="1"/>
  <c r="C130" i="90" s="1"/>
  <c r="S59" i="77"/>
  <c r="M59"/>
  <c r="G59"/>
  <c r="S58"/>
  <c r="M58"/>
  <c r="G58"/>
  <c r="S57"/>
  <c r="M57"/>
  <c r="G57"/>
  <c r="AK47"/>
  <c r="N37" i="81" s="1"/>
  <c r="I71" i="90" s="1"/>
  <c r="AE47" i="77"/>
  <c r="J37" i="81" s="1"/>
  <c r="H71" i="90" s="1"/>
  <c r="Y47" i="77"/>
  <c r="F37" i="81" s="1"/>
  <c r="G71" i="90" s="1"/>
  <c r="S47" i="77"/>
  <c r="N16" i="81" s="1"/>
  <c r="F71" i="90" s="1"/>
  <c r="M47" i="77"/>
  <c r="J16" i="81" s="1"/>
  <c r="E71" i="90" s="1"/>
  <c r="G47" i="77"/>
  <c r="F16" i="81" s="1"/>
  <c r="D71" i="90" s="1"/>
  <c r="AK46" i="77"/>
  <c r="N36" i="81" s="1"/>
  <c r="I70" i="90" s="1"/>
  <c r="AE46" i="77"/>
  <c r="J36" i="81" s="1"/>
  <c r="H70" i="90" s="1"/>
  <c r="Y46" i="77"/>
  <c r="F36" i="81" s="1"/>
  <c r="G70" i="90" s="1"/>
  <c r="S46" i="77"/>
  <c r="N15" i="81" s="1"/>
  <c r="F70" i="90" s="1"/>
  <c r="M46" i="77"/>
  <c r="J15" i="81" s="1"/>
  <c r="E70" i="90" s="1"/>
  <c r="G46" i="77"/>
  <c r="H15" i="81" s="1"/>
  <c r="D88" i="90" s="1"/>
  <c r="J35" i="81"/>
  <c r="H69" i="90" s="1"/>
  <c r="N14" i="81"/>
  <c r="F69" i="90" s="1"/>
  <c r="F14" i="81"/>
  <c r="D69" i="90" s="1"/>
  <c r="L33" i="81"/>
  <c r="H85" i="90" s="1"/>
  <c r="P12" i="81"/>
  <c r="F85" i="90" s="1"/>
  <c r="H12" i="81"/>
  <c r="D85" i="90" s="1"/>
  <c r="AK45" i="77"/>
  <c r="N32" i="81" s="1"/>
  <c r="I66" i="90" s="1"/>
  <c r="AE45" i="77"/>
  <c r="Y45"/>
  <c r="F32" i="81" s="1"/>
  <c r="G66" i="90" s="1"/>
  <c r="S45" i="77"/>
  <c r="M45"/>
  <c r="J11" i="81" s="1"/>
  <c r="E66" i="90" s="1"/>
  <c r="G45" i="77"/>
  <c r="AK44"/>
  <c r="AE44"/>
  <c r="Y44"/>
  <c r="S44"/>
  <c r="M44"/>
  <c r="G44"/>
  <c r="AK43"/>
  <c r="AE43"/>
  <c r="L30" i="81" s="1"/>
  <c r="H82" i="90" s="1"/>
  <c r="Y43" i="77"/>
  <c r="S43"/>
  <c r="P9" i="81" s="1"/>
  <c r="F82" i="90" s="1"/>
  <c r="M43" i="77"/>
  <c r="G43"/>
  <c r="H9" i="81" s="1"/>
  <c r="D82" i="90" s="1"/>
  <c r="AK42" i="77"/>
  <c r="N29" i="81" s="1"/>
  <c r="I63" i="90" s="1"/>
  <c r="AE42" i="77"/>
  <c r="J29" i="81" s="1"/>
  <c r="H63" i="90" s="1"/>
  <c r="Y42" i="77"/>
  <c r="F29" i="81" s="1"/>
  <c r="G63" i="90" s="1"/>
  <c r="S42" i="77"/>
  <c r="N8" i="81" s="1"/>
  <c r="F63" i="90" s="1"/>
  <c r="M42" i="77"/>
  <c r="L8" i="81" s="1"/>
  <c r="E81" i="90" s="1"/>
  <c r="G42" i="77"/>
  <c r="F8" i="81" s="1"/>
  <c r="D63" i="90" s="1"/>
  <c r="N28" i="81"/>
  <c r="I62" i="90" s="1"/>
  <c r="L28" i="81"/>
  <c r="H80" i="90" s="1"/>
  <c r="F28" i="81"/>
  <c r="G62" i="90" s="1"/>
  <c r="P7" i="81"/>
  <c r="F80" i="90" s="1"/>
  <c r="J7" i="81"/>
  <c r="E62" i="90" s="1"/>
  <c r="G41" i="77"/>
  <c r="AK31"/>
  <c r="I43" i="90" s="1"/>
  <c r="AE31" i="77"/>
  <c r="H43" i="90" s="1"/>
  <c r="Y31" i="77"/>
  <c r="G43" i="90" s="1"/>
  <c r="S31" i="77"/>
  <c r="M13" i="80" s="1"/>
  <c r="F43" i="90" s="1"/>
  <c r="M31" i="77"/>
  <c r="G31"/>
  <c r="H31" s="1"/>
  <c r="E13" i="80" s="1"/>
  <c r="D43" i="90" s="1"/>
  <c r="AK30" i="77"/>
  <c r="I42" i="90" s="1"/>
  <c r="AE30" i="77"/>
  <c r="H42" i="90" s="1"/>
  <c r="Y30" i="77"/>
  <c r="G56" i="90" s="1"/>
  <c r="S30" i="77"/>
  <c r="M12" i="80" s="1"/>
  <c r="F42" i="90" s="1"/>
  <c r="M30" i="77"/>
  <c r="G30"/>
  <c r="H30" s="1"/>
  <c r="AK29"/>
  <c r="AE29"/>
  <c r="H41" i="90" s="1"/>
  <c r="Y29" i="77"/>
  <c r="S29"/>
  <c r="M11" i="80" s="1"/>
  <c r="F41" i="90" s="1"/>
  <c r="M29" i="77"/>
  <c r="N29" s="1"/>
  <c r="G29"/>
  <c r="H29" s="1"/>
  <c r="E11" i="80" s="1"/>
  <c r="D41" i="90" s="1"/>
  <c r="AK28" i="77"/>
  <c r="AE28"/>
  <c r="Y28"/>
  <c r="S28"/>
  <c r="M28"/>
  <c r="G28"/>
  <c r="AK27"/>
  <c r="AE27"/>
  <c r="Y27"/>
  <c r="S27"/>
  <c r="O9" i="80" s="1"/>
  <c r="F53" i="90" s="1"/>
  <c r="M27" i="77"/>
  <c r="N27" s="1"/>
  <c r="G27"/>
  <c r="H27" s="1"/>
  <c r="AK26"/>
  <c r="I52" i="90" s="1"/>
  <c r="AE26" i="77"/>
  <c r="H38" i="90" s="1"/>
  <c r="Y26" i="77"/>
  <c r="G52" i="90" s="1"/>
  <c r="S26" i="77"/>
  <c r="M8" i="80" s="1"/>
  <c r="F38" i="90" s="1"/>
  <c r="M26" i="77"/>
  <c r="G26"/>
  <c r="H26" s="1"/>
  <c r="AK25"/>
  <c r="I51" i="90" s="1"/>
  <c r="AE25" i="77"/>
  <c r="H37" i="90" s="1"/>
  <c r="Y25" i="77"/>
  <c r="G51" i="90" s="1"/>
  <c r="S25" i="77"/>
  <c r="M7" i="80" s="1"/>
  <c r="F37" i="90" s="1"/>
  <c r="M25" i="77"/>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F18" s="1"/>
  <c r="L10"/>
  <c r="E10"/>
  <c r="L9"/>
  <c r="M9" s="1"/>
  <c r="M11" s="1"/>
  <c r="N11" s="1"/>
  <c r="L20" s="1"/>
  <c r="E9"/>
  <c r="F9" s="1"/>
  <c r="F11" s="1"/>
  <c r="L17" s="1"/>
  <c r="L5"/>
  <c r="E5"/>
  <c r="L4"/>
  <c r="M4" s="1"/>
  <c r="M6" s="1"/>
  <c r="L19" s="1"/>
  <c r="E4"/>
  <c r="F4" s="1"/>
  <c r="F6" s="1"/>
  <c r="J24" i="60"/>
  <c r="J25" i="95" s="1"/>
  <c r="K54" i="24"/>
  <c r="H13" i="92" s="1"/>
  <c r="U13" s="1"/>
  <c r="AG13" s="1"/>
  <c r="K55" i="24"/>
  <c r="K56"/>
  <c r="H15" i="92" s="1"/>
  <c r="U15" s="1"/>
  <c r="AG15" s="1"/>
  <c r="K57" i="24"/>
  <c r="H16" i="92" s="1"/>
  <c r="U16" s="1"/>
  <c r="AG16" s="1"/>
  <c r="K58" i="24"/>
  <c r="H17" i="92" s="1"/>
  <c r="U17" s="1"/>
  <c r="AG17" s="1"/>
  <c r="K59" i="24"/>
  <c r="H18" i="92" s="1"/>
  <c r="U18" s="1"/>
  <c r="AG18" s="1"/>
  <c r="K60" i="24"/>
  <c r="H19" i="92" s="1"/>
  <c r="U19" s="1"/>
  <c r="AG19" s="1"/>
  <c r="K53" i="24"/>
  <c r="N53"/>
  <c r="Q53"/>
  <c r="T53"/>
  <c r="K12" i="92" s="1"/>
  <c r="X12" s="1"/>
  <c r="AJ12" s="1"/>
  <c r="W53" i="24"/>
  <c r="Z53"/>
  <c r="AC53"/>
  <c r="AF53"/>
  <c r="AI53"/>
  <c r="AL53"/>
  <c r="AO53"/>
  <c r="N54"/>
  <c r="I13" i="92" s="1"/>
  <c r="V13" s="1"/>
  <c r="AH13" s="1"/>
  <c r="Q54" i="24"/>
  <c r="T54"/>
  <c r="K13" i="92" s="1"/>
  <c r="X13" s="1"/>
  <c r="AJ13" s="1"/>
  <c r="W54" i="24"/>
  <c r="Z54"/>
  <c r="M13" i="92" s="1"/>
  <c r="Z13" s="1"/>
  <c r="AL13" s="1"/>
  <c r="AC54" i="24"/>
  <c r="AF54"/>
  <c r="O13" i="92" s="1"/>
  <c r="AB13" s="1"/>
  <c r="AN13" s="1"/>
  <c r="AI54" i="24"/>
  <c r="AL54"/>
  <c r="Q13" i="92" s="1"/>
  <c r="AD13" s="1"/>
  <c r="AP13" s="1"/>
  <c r="AO54" i="24"/>
  <c r="N55"/>
  <c r="I14" i="92" s="1"/>
  <c r="V14" s="1"/>
  <c r="AH14" s="1"/>
  <c r="Q55" i="24"/>
  <c r="T55"/>
  <c r="K14" i="92" s="1"/>
  <c r="X14" s="1"/>
  <c r="AJ14" s="1"/>
  <c r="W55" i="24"/>
  <c r="L14" i="92" s="1"/>
  <c r="Y14" s="1"/>
  <c r="AK14" s="1"/>
  <c r="Z55" i="24"/>
  <c r="M14" i="92" s="1"/>
  <c r="Z14" s="1"/>
  <c r="AL14" s="1"/>
  <c r="AC55" i="24"/>
  <c r="AF55"/>
  <c r="O14" i="92" s="1"/>
  <c r="AB14" s="1"/>
  <c r="AN14" s="1"/>
  <c r="AI55" i="24"/>
  <c r="P14" i="92" s="1"/>
  <c r="AC14" s="1"/>
  <c r="AO14" s="1"/>
  <c r="AL55" i="24"/>
  <c r="Q14" i="92" s="1"/>
  <c r="AD14" s="1"/>
  <c r="AP14" s="1"/>
  <c r="AO55" i="24"/>
  <c r="N56"/>
  <c r="I15" i="92" s="1"/>
  <c r="V15" s="1"/>
  <c r="AH15" s="1"/>
  <c r="Q56" i="24"/>
  <c r="J15" i="92" s="1"/>
  <c r="W15" s="1"/>
  <c r="AI15" s="1"/>
  <c r="T56" i="24"/>
  <c r="K15" i="92" s="1"/>
  <c r="X15" s="1"/>
  <c r="AJ15" s="1"/>
  <c r="W56" i="24"/>
  <c r="L15" i="92" s="1"/>
  <c r="Y15" s="1"/>
  <c r="AK15" s="1"/>
  <c r="Z56" i="24"/>
  <c r="M15" i="92" s="1"/>
  <c r="Z15" s="1"/>
  <c r="AL15" s="1"/>
  <c r="AC56" i="24"/>
  <c r="AF56"/>
  <c r="O15" i="92" s="1"/>
  <c r="AB15" s="1"/>
  <c r="AN15" s="1"/>
  <c r="AI56" i="24"/>
  <c r="P15" i="92" s="1"/>
  <c r="AC15" s="1"/>
  <c r="AO15" s="1"/>
  <c r="AL56" i="24"/>
  <c r="Q15" i="92" s="1"/>
  <c r="AD15" s="1"/>
  <c r="AP15" s="1"/>
  <c r="AO56" i="24"/>
  <c r="R15" i="92" s="1"/>
  <c r="AE15" s="1"/>
  <c r="AQ15" s="1"/>
  <c r="N57" i="24"/>
  <c r="I16" i="92" s="1"/>
  <c r="V16" s="1"/>
  <c r="AH16" s="1"/>
  <c r="Q57" i="24"/>
  <c r="T57"/>
  <c r="K16" i="92" s="1"/>
  <c r="X16" s="1"/>
  <c r="AJ16" s="1"/>
  <c r="W57" i="24"/>
  <c r="L16" i="92" s="1"/>
  <c r="Y16" s="1"/>
  <c r="AK16" s="1"/>
  <c r="Z57" i="24"/>
  <c r="M16" i="92" s="1"/>
  <c r="Z16" s="1"/>
  <c r="AL16" s="1"/>
  <c r="AC57" i="24"/>
  <c r="AF57"/>
  <c r="O16" i="92" s="1"/>
  <c r="AB16" s="1"/>
  <c r="AN16" s="1"/>
  <c r="AI57" i="24"/>
  <c r="P16" i="92" s="1"/>
  <c r="AC16" s="1"/>
  <c r="AO16" s="1"/>
  <c r="AL57" i="24"/>
  <c r="Q16" i="92" s="1"/>
  <c r="AD16" s="1"/>
  <c r="AP16" s="1"/>
  <c r="AO57" i="24"/>
  <c r="N58"/>
  <c r="I17" i="92" s="1"/>
  <c r="V17" s="1"/>
  <c r="AH17" s="1"/>
  <c r="Q58" i="24"/>
  <c r="J17" i="92" s="1"/>
  <c r="W17" s="1"/>
  <c r="AI17" s="1"/>
  <c r="T58" i="24"/>
  <c r="K17" i="92" s="1"/>
  <c r="X17" s="1"/>
  <c r="AJ17" s="1"/>
  <c r="W58" i="24"/>
  <c r="Z58"/>
  <c r="M17" i="92" s="1"/>
  <c r="Z17" s="1"/>
  <c r="AL17" s="1"/>
  <c r="AC58" i="24"/>
  <c r="AF58"/>
  <c r="O17" i="92" s="1"/>
  <c r="AB17" s="1"/>
  <c r="AN17" s="1"/>
  <c r="AI58" i="24"/>
  <c r="AL58"/>
  <c r="Q17" i="92" s="1"/>
  <c r="AD17" s="1"/>
  <c r="AP17" s="1"/>
  <c r="AO58" i="24"/>
  <c r="N59"/>
  <c r="I18" i="92" s="1"/>
  <c r="V18" s="1"/>
  <c r="AH18" s="1"/>
  <c r="Q59" i="24"/>
  <c r="T59"/>
  <c r="K18" i="92" s="1"/>
  <c r="X18" s="1"/>
  <c r="AJ18" s="1"/>
  <c r="W59" i="24"/>
  <c r="L18" i="92" s="1"/>
  <c r="Y18" s="1"/>
  <c r="AK18" s="1"/>
  <c r="Z59" i="24"/>
  <c r="M18" i="92" s="1"/>
  <c r="Z18" s="1"/>
  <c r="AL18" s="1"/>
  <c r="AC59" i="24"/>
  <c r="AF59"/>
  <c r="O18" i="92" s="1"/>
  <c r="AB18" s="1"/>
  <c r="AN18" s="1"/>
  <c r="AI59" i="24"/>
  <c r="P18" i="92" s="1"/>
  <c r="AC18" s="1"/>
  <c r="AO18" s="1"/>
  <c r="AL59" i="24"/>
  <c r="Q18" i="92" s="1"/>
  <c r="AD18" s="1"/>
  <c r="AP18" s="1"/>
  <c r="AO59" i="24"/>
  <c r="Q60"/>
  <c r="J19" i="92" s="1"/>
  <c r="W19" s="1"/>
  <c r="AI19" s="1"/>
  <c r="W60" i="24"/>
  <c r="AC60"/>
  <c r="N19" i="92" s="1"/>
  <c r="AA19" s="1"/>
  <c r="AM19" s="1"/>
  <c r="AI60" i="24"/>
  <c r="P19" i="92" s="1"/>
  <c r="AC19" s="1"/>
  <c r="AO19" s="1"/>
  <c r="AO60" i="24"/>
  <c r="R19" i="92" s="1"/>
  <c r="AE19" s="1"/>
  <c r="AQ19" s="1"/>
  <c r="C4" i="74"/>
  <c r="D4"/>
  <c r="E4"/>
  <c r="F4"/>
  <c r="I4"/>
  <c r="L4"/>
  <c r="O4"/>
  <c r="R4"/>
  <c r="U4"/>
  <c r="X4"/>
  <c r="C5"/>
  <c r="D5"/>
  <c r="E5"/>
  <c r="F5"/>
  <c r="I5"/>
  <c r="L5"/>
  <c r="O5"/>
  <c r="R5"/>
  <c r="U5"/>
  <c r="X5"/>
  <c r="C6"/>
  <c r="D6"/>
  <c r="E6"/>
  <c r="F6"/>
  <c r="I6"/>
  <c r="L6"/>
  <c r="O6"/>
  <c r="R6"/>
  <c r="U6"/>
  <c r="X6"/>
  <c r="C7"/>
  <c r="D7"/>
  <c r="E7"/>
  <c r="F7"/>
  <c r="I7"/>
  <c r="L7"/>
  <c r="O7"/>
  <c r="R7"/>
  <c r="U7"/>
  <c r="X7"/>
  <c r="C8"/>
  <c r="D8"/>
  <c r="E8"/>
  <c r="F8"/>
  <c r="I8"/>
  <c r="L8"/>
  <c r="O8"/>
  <c r="R8"/>
  <c r="U8"/>
  <c r="X8"/>
  <c r="C9"/>
  <c r="D9"/>
  <c r="E9"/>
  <c r="F9"/>
  <c r="I9"/>
  <c r="L9"/>
  <c r="O9"/>
  <c r="R9"/>
  <c r="U9"/>
  <c r="X9"/>
  <c r="C10"/>
  <c r="D10"/>
  <c r="E10"/>
  <c r="F10"/>
  <c r="I10"/>
  <c r="L10"/>
  <c r="O10"/>
  <c r="R10"/>
  <c r="U10"/>
  <c r="X10"/>
  <c r="C11"/>
  <c r="D11"/>
  <c r="E11"/>
  <c r="F11"/>
  <c r="H11"/>
  <c r="AA11" s="1"/>
  <c r="AM11" s="1"/>
  <c r="I11"/>
  <c r="K11"/>
  <c r="AC11" s="1"/>
  <c r="AO11" s="1"/>
  <c r="L11"/>
  <c r="N11"/>
  <c r="AE11" s="1"/>
  <c r="AQ11" s="1"/>
  <c r="O11"/>
  <c r="Q11"/>
  <c r="AG11" s="1"/>
  <c r="AS11" s="1"/>
  <c r="R11"/>
  <c r="T11"/>
  <c r="AI11" s="1"/>
  <c r="AU11" s="1"/>
  <c r="U11"/>
  <c r="W11"/>
  <c r="AK11" s="1"/>
  <c r="AW11" s="1"/>
  <c r="X11"/>
  <c r="C12"/>
  <c r="D12"/>
  <c r="E12"/>
  <c r="F12"/>
  <c r="I12"/>
  <c r="L12"/>
  <c r="O12"/>
  <c r="R12"/>
  <c r="U12"/>
  <c r="X12"/>
  <c r="C13"/>
  <c r="D13"/>
  <c r="E13"/>
  <c r="F13"/>
  <c r="I13"/>
  <c r="L13"/>
  <c r="O13"/>
  <c r="R13"/>
  <c r="U13"/>
  <c r="X13"/>
  <c r="C14"/>
  <c r="D14"/>
  <c r="E14"/>
  <c r="F14"/>
  <c r="I14"/>
  <c r="L14"/>
  <c r="O14"/>
  <c r="R14"/>
  <c r="U14"/>
  <c r="X14"/>
  <c r="C15"/>
  <c r="D15"/>
  <c r="E15"/>
  <c r="F15"/>
  <c r="I15"/>
  <c r="L15"/>
  <c r="O15"/>
  <c r="R15"/>
  <c r="U15"/>
  <c r="X15"/>
  <c r="C16"/>
  <c r="D16"/>
  <c r="E16"/>
  <c r="F16"/>
  <c r="H16"/>
  <c r="AA16" s="1"/>
  <c r="AM16" s="1"/>
  <c r="I16"/>
  <c r="K16"/>
  <c r="AC16" s="1"/>
  <c r="AO16" s="1"/>
  <c r="L16"/>
  <c r="N16"/>
  <c r="AE16" s="1"/>
  <c r="AQ16" s="1"/>
  <c r="O16"/>
  <c r="Q16"/>
  <c r="AG16" s="1"/>
  <c r="AS16" s="1"/>
  <c r="R16"/>
  <c r="T16"/>
  <c r="AI16" s="1"/>
  <c r="AU16" s="1"/>
  <c r="U16"/>
  <c r="W16"/>
  <c r="AK16" s="1"/>
  <c r="AW16" s="1"/>
  <c r="X16"/>
  <c r="C17"/>
  <c r="D17"/>
  <c r="E17"/>
  <c r="F17"/>
  <c r="H17"/>
  <c r="AA17" s="1"/>
  <c r="AM17" s="1"/>
  <c r="I17"/>
  <c r="K17"/>
  <c r="AC17" s="1"/>
  <c r="AO17" s="1"/>
  <c r="L17"/>
  <c r="N17"/>
  <c r="AE17" s="1"/>
  <c r="AQ17" s="1"/>
  <c r="O17"/>
  <c r="Q17"/>
  <c r="AG17" s="1"/>
  <c r="AS17" s="1"/>
  <c r="R17"/>
  <c r="T17"/>
  <c r="AI17" s="1"/>
  <c r="AU17" s="1"/>
  <c r="U17"/>
  <c r="W17"/>
  <c r="AK17" s="1"/>
  <c r="AW17" s="1"/>
  <c r="X17"/>
  <c r="C18"/>
  <c r="D18"/>
  <c r="E18"/>
  <c r="F18"/>
  <c r="I18"/>
  <c r="L18"/>
  <c r="O18"/>
  <c r="R18"/>
  <c r="U18"/>
  <c r="X18"/>
  <c r="C19"/>
  <c r="D19"/>
  <c r="E19"/>
  <c r="F19"/>
  <c r="I19"/>
  <c r="L19"/>
  <c r="O19"/>
  <c r="R19"/>
  <c r="U19"/>
  <c r="X19"/>
  <c r="C20"/>
  <c r="D20"/>
  <c r="E20"/>
  <c r="F20"/>
  <c r="I20"/>
  <c r="L20"/>
  <c r="O20"/>
  <c r="R20"/>
  <c r="U20"/>
  <c r="X20"/>
  <c r="C21"/>
  <c r="D21"/>
  <c r="E21"/>
  <c r="F21"/>
  <c r="I21"/>
  <c r="L21"/>
  <c r="O21"/>
  <c r="R21"/>
  <c r="U21"/>
  <c r="X21"/>
  <c r="C22"/>
  <c r="D22"/>
  <c r="E22"/>
  <c r="F22"/>
  <c r="I22"/>
  <c r="L22"/>
  <c r="O22"/>
  <c r="R22"/>
  <c r="U22"/>
  <c r="X22"/>
  <c r="C23"/>
  <c r="D23"/>
  <c r="E23"/>
  <c r="F23"/>
  <c r="I23"/>
  <c r="L23"/>
  <c r="O23"/>
  <c r="R23"/>
  <c r="U23"/>
  <c r="X23"/>
  <c r="C24"/>
  <c r="D24"/>
  <c r="E24"/>
  <c r="F24"/>
  <c r="I24"/>
  <c r="L24"/>
  <c r="O24"/>
  <c r="R24"/>
  <c r="U24"/>
  <c r="X24"/>
  <c r="C25"/>
  <c r="D25"/>
  <c r="E25"/>
  <c r="F25"/>
  <c r="H25"/>
  <c r="AA25" s="1"/>
  <c r="AM25" s="1"/>
  <c r="I25"/>
  <c r="K25"/>
  <c r="AC25" s="1"/>
  <c r="AO25" s="1"/>
  <c r="L25"/>
  <c r="N25"/>
  <c r="AE25" s="1"/>
  <c r="AQ25" s="1"/>
  <c r="O25"/>
  <c r="Q25"/>
  <c r="AG25" s="1"/>
  <c r="AS25" s="1"/>
  <c r="R25"/>
  <c r="T25"/>
  <c r="AI25" s="1"/>
  <c r="AU25" s="1"/>
  <c r="U25"/>
  <c r="W25"/>
  <c r="AK25" s="1"/>
  <c r="AW25" s="1"/>
  <c r="X25"/>
  <c r="C26"/>
  <c r="D26"/>
  <c r="E26"/>
  <c r="F26"/>
  <c r="I26"/>
  <c r="L26"/>
  <c r="O26"/>
  <c r="R26"/>
  <c r="U26"/>
  <c r="X26"/>
  <c r="C27"/>
  <c r="D27"/>
  <c r="E27"/>
  <c r="F27"/>
  <c r="I27"/>
  <c r="L27"/>
  <c r="O27"/>
  <c r="R27"/>
  <c r="U27"/>
  <c r="X27"/>
  <c r="C28"/>
  <c r="D28"/>
  <c r="E28"/>
  <c r="F28"/>
  <c r="I28"/>
  <c r="L28"/>
  <c r="O28"/>
  <c r="R28"/>
  <c r="U28"/>
  <c r="X28"/>
  <c r="C29"/>
  <c r="D29"/>
  <c r="E29"/>
  <c r="F29"/>
  <c r="I29"/>
  <c r="L29"/>
  <c r="O29"/>
  <c r="R29"/>
  <c r="U29"/>
  <c r="X29"/>
  <c r="C30"/>
  <c r="D30"/>
  <c r="E30"/>
  <c r="F30"/>
  <c r="H30"/>
  <c r="AA30" s="1"/>
  <c r="AM30" s="1"/>
  <c r="I30"/>
  <c r="K30"/>
  <c r="AC30" s="1"/>
  <c r="AO30" s="1"/>
  <c r="L30"/>
  <c r="N30"/>
  <c r="AE30" s="1"/>
  <c r="AQ30" s="1"/>
  <c r="O30"/>
  <c r="Q30"/>
  <c r="AG30" s="1"/>
  <c r="AS30" s="1"/>
  <c r="R30"/>
  <c r="T30"/>
  <c r="AI30" s="1"/>
  <c r="AU30" s="1"/>
  <c r="U30"/>
  <c r="W30"/>
  <c r="AK30" s="1"/>
  <c r="AW30" s="1"/>
  <c r="X30"/>
  <c r="C31"/>
  <c r="D31"/>
  <c r="E31"/>
  <c r="F31"/>
  <c r="H31"/>
  <c r="AA31" s="1"/>
  <c r="AM31" s="1"/>
  <c r="I31"/>
  <c r="K31"/>
  <c r="AC31" s="1"/>
  <c r="AO31" s="1"/>
  <c r="L31"/>
  <c r="N31"/>
  <c r="AE31" s="1"/>
  <c r="AQ31" s="1"/>
  <c r="O31"/>
  <c r="Q31"/>
  <c r="AG31" s="1"/>
  <c r="AS31" s="1"/>
  <c r="R31"/>
  <c r="T31"/>
  <c r="AI31" s="1"/>
  <c r="AU31" s="1"/>
  <c r="U31"/>
  <c r="W31"/>
  <c r="AK31" s="1"/>
  <c r="AW31" s="1"/>
  <c r="X31"/>
  <c r="C32"/>
  <c r="D32"/>
  <c r="E32"/>
  <c r="F32"/>
  <c r="I32"/>
  <c r="L32"/>
  <c r="O32"/>
  <c r="R32"/>
  <c r="U32"/>
  <c r="X32"/>
  <c r="C33"/>
  <c r="D33"/>
  <c r="E33"/>
  <c r="F33"/>
  <c r="I33"/>
  <c r="L33"/>
  <c r="O33"/>
  <c r="R33"/>
  <c r="U33"/>
  <c r="X33"/>
  <c r="C34"/>
  <c r="D34"/>
  <c r="E34"/>
  <c r="F34"/>
  <c r="I34"/>
  <c r="L34"/>
  <c r="O34"/>
  <c r="R34"/>
  <c r="U34"/>
  <c r="X34"/>
  <c r="C35"/>
  <c r="D35"/>
  <c r="E35"/>
  <c r="F35"/>
  <c r="I35"/>
  <c r="L35"/>
  <c r="O35"/>
  <c r="R35"/>
  <c r="U35"/>
  <c r="X35"/>
  <c r="C36"/>
  <c r="D36"/>
  <c r="E36"/>
  <c r="F36"/>
  <c r="I36"/>
  <c r="L36"/>
  <c r="O36"/>
  <c r="R36"/>
  <c r="U36"/>
  <c r="X36"/>
  <c r="C37"/>
  <c r="D37"/>
  <c r="E37"/>
  <c r="F37"/>
  <c r="I37"/>
  <c r="L37"/>
  <c r="O37"/>
  <c r="R37"/>
  <c r="U37"/>
  <c r="X37"/>
  <c r="C38"/>
  <c r="D38"/>
  <c r="E38"/>
  <c r="F38"/>
  <c r="I38"/>
  <c r="L38"/>
  <c r="O38"/>
  <c r="R38"/>
  <c r="U38"/>
  <c r="X38"/>
  <c r="C39"/>
  <c r="D39"/>
  <c r="E39"/>
  <c r="F39"/>
  <c r="H39"/>
  <c r="AA39" s="1"/>
  <c r="AM39" s="1"/>
  <c r="I39"/>
  <c r="K39"/>
  <c r="AC39" s="1"/>
  <c r="AO39" s="1"/>
  <c r="L39"/>
  <c r="N39"/>
  <c r="AE39" s="1"/>
  <c r="AQ39" s="1"/>
  <c r="O39"/>
  <c r="Q39"/>
  <c r="AG39" s="1"/>
  <c r="AS39" s="1"/>
  <c r="R39"/>
  <c r="T39"/>
  <c r="AI39" s="1"/>
  <c r="AU39" s="1"/>
  <c r="U39"/>
  <c r="W39"/>
  <c r="AK39" s="1"/>
  <c r="AW39" s="1"/>
  <c r="X39"/>
  <c r="C40"/>
  <c r="D40"/>
  <c r="E40"/>
  <c r="F40"/>
  <c r="I40"/>
  <c r="L40"/>
  <c r="O40"/>
  <c r="R40"/>
  <c r="U40"/>
  <c r="X40"/>
  <c r="C41"/>
  <c r="D41"/>
  <c r="E41"/>
  <c r="F41"/>
  <c r="I41"/>
  <c r="L41"/>
  <c r="O41"/>
  <c r="R41"/>
  <c r="U41"/>
  <c r="X41"/>
  <c r="C42"/>
  <c r="D42"/>
  <c r="E42"/>
  <c r="F42"/>
  <c r="I42"/>
  <c r="L42"/>
  <c r="O42"/>
  <c r="R42"/>
  <c r="U42"/>
  <c r="X42"/>
  <c r="C43"/>
  <c r="D43"/>
  <c r="E43"/>
  <c r="F43"/>
  <c r="I43"/>
  <c r="L43"/>
  <c r="O43"/>
  <c r="R43"/>
  <c r="U43"/>
  <c r="X43"/>
  <c r="C44"/>
  <c r="D44"/>
  <c r="E44"/>
  <c r="F44"/>
  <c r="H44"/>
  <c r="AA44" s="1"/>
  <c r="AM44" s="1"/>
  <c r="I44"/>
  <c r="K44"/>
  <c r="AC44" s="1"/>
  <c r="AO44" s="1"/>
  <c r="L44"/>
  <c r="N44"/>
  <c r="AE44" s="1"/>
  <c r="AQ44" s="1"/>
  <c r="O44"/>
  <c r="Q44"/>
  <c r="AG44" s="1"/>
  <c r="AS44" s="1"/>
  <c r="U44"/>
  <c r="W44"/>
  <c r="AK44" s="1"/>
  <c r="AW44" s="1"/>
  <c r="X44"/>
  <c r="C45"/>
  <c r="D45"/>
  <c r="E45"/>
  <c r="F45"/>
  <c r="H45"/>
  <c r="AA45" s="1"/>
  <c r="AM45" s="1"/>
  <c r="I45"/>
  <c r="K45"/>
  <c r="AC45" s="1"/>
  <c r="AO45" s="1"/>
  <c r="L45"/>
  <c r="N45"/>
  <c r="AE45" s="1"/>
  <c r="AQ45" s="1"/>
  <c r="O45"/>
  <c r="R45"/>
  <c r="T45"/>
  <c r="AI45" s="1"/>
  <c r="AU45" s="1"/>
  <c r="U45"/>
  <c r="W45"/>
  <c r="AK45" s="1"/>
  <c r="AW45" s="1"/>
  <c r="X45"/>
  <c r="Z61" i="60"/>
  <c r="N62" i="95" s="1"/>
  <c r="Z62" i="60"/>
  <c r="N63" i="95" s="1"/>
  <c r="Z63" i="60"/>
  <c r="N64" i="95" s="1"/>
  <c r="Z64" i="60"/>
  <c r="Z65"/>
  <c r="Z66"/>
  <c r="N68" i="95" s="1"/>
  <c r="Z67" i="60"/>
  <c r="N69" i="95" s="1"/>
  <c r="R61" i="60"/>
  <c r="R62"/>
  <c r="R63"/>
  <c r="R64"/>
  <c r="R65"/>
  <c r="R66"/>
  <c r="R67"/>
  <c r="J61"/>
  <c r="J62" i="95" s="1"/>
  <c r="J62" i="60"/>
  <c r="J63" i="95" s="1"/>
  <c r="J63" i="60"/>
  <c r="J64" i="95" s="1"/>
  <c r="J64" i="60"/>
  <c r="J65"/>
  <c r="J66"/>
  <c r="J68" i="95" s="1"/>
  <c r="J67" i="60"/>
  <c r="J69" i="95" s="1"/>
  <c r="Z60" i="60"/>
  <c r="N61" i="95" s="1"/>
  <c r="R60" i="60"/>
  <c r="J60"/>
  <c r="J61" i="95" s="1"/>
  <c r="Z25" i="60"/>
  <c r="N26" i="95" s="1"/>
  <c r="Z26" i="60"/>
  <c r="N27" i="95" s="1"/>
  <c r="Z27" i="60"/>
  <c r="N28" i="95" s="1"/>
  <c r="Z28" i="60"/>
  <c r="Z29"/>
  <c r="Z30"/>
  <c r="N32" i="95" s="1"/>
  <c r="Z31" i="60"/>
  <c r="N33" i="95" s="1"/>
  <c r="R25" i="60"/>
  <c r="R26"/>
  <c r="R27"/>
  <c r="R28"/>
  <c r="R29"/>
  <c r="R30"/>
  <c r="R31"/>
  <c r="J25"/>
  <c r="J26" i="95" s="1"/>
  <c r="J26" i="60"/>
  <c r="J27" i="95" s="1"/>
  <c r="J27" i="60"/>
  <c r="J28" i="95" s="1"/>
  <c r="J28" i="60"/>
  <c r="J29"/>
  <c r="J30"/>
  <c r="J32" i="95" s="1"/>
  <c r="J31" i="60"/>
  <c r="J33" i="95" s="1"/>
  <c r="Z24" i="60"/>
  <c r="N25" i="95" s="1"/>
  <c r="R24" i="60"/>
  <c r="Z61" i="58"/>
  <c r="Z62"/>
  <c r="Z63"/>
  <c r="Z64"/>
  <c r="Z65"/>
  <c r="Z66"/>
  <c r="Z67"/>
  <c r="R61"/>
  <c r="R62"/>
  <c r="R63"/>
  <c r="R64"/>
  <c r="R65"/>
  <c r="R66"/>
  <c r="R67"/>
  <c r="J61"/>
  <c r="J62"/>
  <c r="J63"/>
  <c r="J64"/>
  <c r="J65"/>
  <c r="J67"/>
  <c r="Z60"/>
  <c r="R60"/>
  <c r="J60"/>
  <c r="Z25"/>
  <c r="Z26"/>
  <c r="Z28"/>
  <c r="Z29"/>
  <c r="Z30"/>
  <c r="Z31"/>
  <c r="R25"/>
  <c r="R26"/>
  <c r="R29"/>
  <c r="R30"/>
  <c r="R31"/>
  <c r="J25"/>
  <c r="J28"/>
  <c r="J29"/>
  <c r="J30"/>
  <c r="J31"/>
  <c r="Z24"/>
  <c r="R24"/>
  <c r="J24"/>
  <c r="Z65" i="46"/>
  <c r="Z66"/>
  <c r="Z67"/>
  <c r="Z68"/>
  <c r="Z69"/>
  <c r="Z70"/>
  <c r="Z71"/>
  <c r="J65"/>
  <c r="J67"/>
  <c r="J69"/>
  <c r="J70"/>
  <c r="J71"/>
  <c r="Z64"/>
  <c r="J64"/>
  <c r="Z27"/>
  <c r="Z28"/>
  <c r="Z29"/>
  <c r="Z31"/>
  <c r="Z32"/>
  <c r="Z33"/>
  <c r="R27"/>
  <c r="R28"/>
  <c r="R29"/>
  <c r="R31"/>
  <c r="R32"/>
  <c r="R33"/>
  <c r="J27"/>
  <c r="J28"/>
  <c r="J29"/>
  <c r="J31"/>
  <c r="J32"/>
  <c r="J33"/>
  <c r="J26"/>
  <c r="H92" i="24"/>
  <c r="K92"/>
  <c r="N92"/>
  <c r="I21" i="92" s="1"/>
  <c r="V21" s="1"/>
  <c r="AH21" s="1"/>
  <c r="Q92" i="24"/>
  <c r="T92"/>
  <c r="W92"/>
  <c r="Z92"/>
  <c r="AC92"/>
  <c r="AF92"/>
  <c r="O21" i="92" s="1"/>
  <c r="AB21" s="1"/>
  <c r="AN21" s="1"/>
  <c r="AI92" i="24"/>
  <c r="AL92"/>
  <c r="AO92"/>
  <c r="H93"/>
  <c r="K93"/>
  <c r="N93"/>
  <c r="I22" i="92" s="1"/>
  <c r="V22" s="1"/>
  <c r="AH22" s="1"/>
  <c r="Q93" i="24"/>
  <c r="T93"/>
  <c r="W93"/>
  <c r="Z93"/>
  <c r="AC93"/>
  <c r="AF93"/>
  <c r="O22" i="92" s="1"/>
  <c r="AB22" s="1"/>
  <c r="AN22" s="1"/>
  <c r="AI93" i="24"/>
  <c r="AL93"/>
  <c r="AO93"/>
  <c r="H94"/>
  <c r="K94"/>
  <c r="N94"/>
  <c r="I23" i="92" s="1"/>
  <c r="V23" s="1"/>
  <c r="AH23" s="1"/>
  <c r="Q94" i="24"/>
  <c r="T94"/>
  <c r="W94"/>
  <c r="Z94"/>
  <c r="AC94"/>
  <c r="AF94"/>
  <c r="O23" i="92" s="1"/>
  <c r="AB23" s="1"/>
  <c r="AN23" s="1"/>
  <c r="AI94" i="24"/>
  <c r="AL94"/>
  <c r="AO94"/>
  <c r="H95"/>
  <c r="G24" i="92" s="1"/>
  <c r="T24" s="1"/>
  <c r="AF24" s="1"/>
  <c r="K95" i="24"/>
  <c r="I24" i="92"/>
  <c r="V24" s="1"/>
  <c r="AH24" s="1"/>
  <c r="Q95" i="24"/>
  <c r="T95"/>
  <c r="K24" i="92" s="1"/>
  <c r="X24" s="1"/>
  <c r="AJ24" s="1"/>
  <c r="W95" i="24"/>
  <c r="Z95"/>
  <c r="M24" i="92" s="1"/>
  <c r="Z24" s="1"/>
  <c r="AL24" s="1"/>
  <c r="AC95" i="24"/>
  <c r="AF95"/>
  <c r="O24" i="92" s="1"/>
  <c r="AB24" s="1"/>
  <c r="AN24" s="1"/>
  <c r="AI95" i="24"/>
  <c r="AL95"/>
  <c r="Q24" i="92" s="1"/>
  <c r="AD24" s="1"/>
  <c r="AP24" s="1"/>
  <c r="AO95" i="24"/>
  <c r="H96"/>
  <c r="G25" i="92" s="1"/>
  <c r="T25" s="1"/>
  <c r="AF25" s="1"/>
  <c r="K96" i="24"/>
  <c r="N96"/>
  <c r="I25" i="92" s="1"/>
  <c r="V25" s="1"/>
  <c r="AH25" s="1"/>
  <c r="Q96" i="24"/>
  <c r="T96"/>
  <c r="K25" i="92" s="1"/>
  <c r="X25" s="1"/>
  <c r="AJ25" s="1"/>
  <c r="W96" i="24"/>
  <c r="Z96"/>
  <c r="M25" i="92" s="1"/>
  <c r="Z25" s="1"/>
  <c r="AL25" s="1"/>
  <c r="AC96" i="24"/>
  <c r="AF96"/>
  <c r="O25" i="92" s="1"/>
  <c r="AB25" s="1"/>
  <c r="AN25" s="1"/>
  <c r="AI96" i="24"/>
  <c r="Q25" i="92"/>
  <c r="AD25" s="1"/>
  <c r="AP25" s="1"/>
  <c r="AO96" i="24"/>
  <c r="H97"/>
  <c r="K97"/>
  <c r="N97"/>
  <c r="I26" i="92" s="1"/>
  <c r="V26" s="1"/>
  <c r="AH26" s="1"/>
  <c r="Q97" i="24"/>
  <c r="T97"/>
  <c r="W97"/>
  <c r="Z97"/>
  <c r="AC97"/>
  <c r="AF97"/>
  <c r="O26" i="92" s="1"/>
  <c r="AB26" s="1"/>
  <c r="AN26" s="1"/>
  <c r="AI97" i="24"/>
  <c r="AL97"/>
  <c r="AO97"/>
  <c r="K98"/>
  <c r="Q98"/>
  <c r="W98"/>
  <c r="AC98"/>
  <c r="AI98"/>
  <c r="AO98"/>
  <c r="H101"/>
  <c r="K101"/>
  <c r="N101"/>
  <c r="Q101"/>
  <c r="T101"/>
  <c r="L29" i="96" s="1"/>
  <c r="W101" i="24"/>
  <c r="N29" i="96" s="1"/>
  <c r="Z101" i="24"/>
  <c r="AC101"/>
  <c r="AF101"/>
  <c r="AI101"/>
  <c r="AL101"/>
  <c r="L64" i="96" s="1"/>
  <c r="AO101" i="24"/>
  <c r="N64" i="96" s="1"/>
  <c r="H102" i="24"/>
  <c r="K102"/>
  <c r="N102"/>
  <c r="Q102"/>
  <c r="T102"/>
  <c r="L30" i="96" s="1"/>
  <c r="W102" i="24"/>
  <c r="N30" i="96" s="1"/>
  <c r="Z102" i="24"/>
  <c r="AC102"/>
  <c r="AF102"/>
  <c r="AI102"/>
  <c r="AL102"/>
  <c r="L65" i="96" s="1"/>
  <c r="AO102" i="24"/>
  <c r="N65" i="96" s="1"/>
  <c r="H103" i="24"/>
  <c r="K103"/>
  <c r="N103"/>
  <c r="Q103"/>
  <c r="T103"/>
  <c r="L31" i="96" s="1"/>
  <c r="W103" i="24"/>
  <c r="N31" i="96" s="1"/>
  <c r="Z103" i="24"/>
  <c r="AC103"/>
  <c r="AF103"/>
  <c r="AI103"/>
  <c r="AL103"/>
  <c r="L66" i="96" s="1"/>
  <c r="AO103" i="24"/>
  <c r="N66" i="96" s="1"/>
  <c r="K91" i="24"/>
  <c r="N91"/>
  <c r="I20" i="92" s="1"/>
  <c r="V20" s="1"/>
  <c r="AH20" s="1"/>
  <c r="Q91" i="24"/>
  <c r="T91"/>
  <c r="W91"/>
  <c r="Z91"/>
  <c r="AC91"/>
  <c r="AF91"/>
  <c r="O20" i="92" s="1"/>
  <c r="AB20" s="1"/>
  <c r="AN20" s="1"/>
  <c r="AI91" i="24"/>
  <c r="AL91"/>
  <c r="AO91"/>
  <c r="H91"/>
  <c r="H54"/>
  <c r="H55"/>
  <c r="G14" i="92" s="1"/>
  <c r="T14" s="1"/>
  <c r="AF14" s="1"/>
  <c r="H56" i="24"/>
  <c r="G15" i="92" s="1"/>
  <c r="T15" s="1"/>
  <c r="AF15" s="1"/>
  <c r="R29" i="54"/>
  <c r="H57" i="24"/>
  <c r="G16" i="92" s="1"/>
  <c r="T16" s="1"/>
  <c r="AF16" s="1"/>
  <c r="H58" i="24"/>
  <c r="G17" i="92" s="1"/>
  <c r="T17" s="1"/>
  <c r="AF17" s="1"/>
  <c r="H59" i="24"/>
  <c r="G18" i="92" s="1"/>
  <c r="T18" s="1"/>
  <c r="AF18" s="1"/>
  <c r="H53" i="24"/>
  <c r="H26" i="54" s="1"/>
  <c r="K29" i="24"/>
  <c r="Q29"/>
  <c r="W29"/>
  <c r="AC29"/>
  <c r="AI29"/>
  <c r="AO29"/>
  <c r="N23"/>
  <c r="I5" i="92" s="1"/>
  <c r="V5" s="1"/>
  <c r="AH5" s="1"/>
  <c r="Q23" i="24"/>
  <c r="T23"/>
  <c r="K5" i="92" s="1"/>
  <c r="X5" s="1"/>
  <c r="AJ5" s="1"/>
  <c r="W23" i="24"/>
  <c r="Z23"/>
  <c r="M5" i="92" s="1"/>
  <c r="Z5" s="1"/>
  <c r="AL5" s="1"/>
  <c r="AC23" i="24"/>
  <c r="AF23"/>
  <c r="O5" i="92" s="1"/>
  <c r="AB5" s="1"/>
  <c r="AN5" s="1"/>
  <c r="AI23" i="24"/>
  <c r="AL23"/>
  <c r="Q5" i="92" s="1"/>
  <c r="AD5" s="1"/>
  <c r="AP5" s="1"/>
  <c r="AO23" i="24"/>
  <c r="N24"/>
  <c r="I6" i="92" s="1"/>
  <c r="V6" s="1"/>
  <c r="AH6" s="1"/>
  <c r="Q24" i="24"/>
  <c r="T24"/>
  <c r="K6" i="92" s="1"/>
  <c r="X6" s="1"/>
  <c r="AJ6" s="1"/>
  <c r="W24" i="24"/>
  <c r="Z24"/>
  <c r="M6" i="92" s="1"/>
  <c r="Z6" s="1"/>
  <c r="AL6" s="1"/>
  <c r="AC24" i="24"/>
  <c r="AF24"/>
  <c r="O6" i="92" s="1"/>
  <c r="AB6" s="1"/>
  <c r="AN6" s="1"/>
  <c r="AI24" i="24"/>
  <c r="AL24"/>
  <c r="Q6" i="92" s="1"/>
  <c r="AD6" s="1"/>
  <c r="AP6" s="1"/>
  <c r="AO24" i="24"/>
  <c r="N25"/>
  <c r="I7" i="92" s="1"/>
  <c r="V7" s="1"/>
  <c r="AH7" s="1"/>
  <c r="Q25" i="24"/>
  <c r="T25"/>
  <c r="K7" i="92" s="1"/>
  <c r="X7" s="1"/>
  <c r="AJ7" s="1"/>
  <c r="W25" i="24"/>
  <c r="Z25"/>
  <c r="M7" i="92" s="1"/>
  <c r="Z7" s="1"/>
  <c r="AL7" s="1"/>
  <c r="AC25" i="24"/>
  <c r="AF25"/>
  <c r="O7" i="92" s="1"/>
  <c r="AB7" s="1"/>
  <c r="AN7" s="1"/>
  <c r="AI25" i="24"/>
  <c r="AL25"/>
  <c r="Q7" i="92" s="1"/>
  <c r="AD7" s="1"/>
  <c r="AP7" s="1"/>
  <c r="AO25" i="24"/>
  <c r="N26"/>
  <c r="I8" i="92" s="1"/>
  <c r="V8" s="1"/>
  <c r="AH8" s="1"/>
  <c r="Q26" i="24"/>
  <c r="T26"/>
  <c r="K8" i="92" s="1"/>
  <c r="X8" s="1"/>
  <c r="AJ8" s="1"/>
  <c r="W26" i="24"/>
  <c r="Z26"/>
  <c r="M8" i="92" s="1"/>
  <c r="Z8" s="1"/>
  <c r="AL8" s="1"/>
  <c r="AC26" i="24"/>
  <c r="AF26"/>
  <c r="O8" i="92" s="1"/>
  <c r="AB8" s="1"/>
  <c r="AN8" s="1"/>
  <c r="AI26" i="24"/>
  <c r="AL26"/>
  <c r="Q8" i="92" s="1"/>
  <c r="AD8" s="1"/>
  <c r="AP8" s="1"/>
  <c r="AO26" i="24"/>
  <c r="N27"/>
  <c r="I9" i="92" s="1"/>
  <c r="V9" s="1"/>
  <c r="AH9" s="1"/>
  <c r="Q27" i="24"/>
  <c r="T27"/>
  <c r="K9" i="92" s="1"/>
  <c r="X9" s="1"/>
  <c r="AJ9" s="1"/>
  <c r="W27" i="24"/>
  <c r="Z27"/>
  <c r="M9" i="92" s="1"/>
  <c r="Z9" s="1"/>
  <c r="AL9" s="1"/>
  <c r="AC27" i="24"/>
  <c r="AF27"/>
  <c r="O9" i="92" s="1"/>
  <c r="AB9" s="1"/>
  <c r="AN9" s="1"/>
  <c r="AI27" i="24"/>
  <c r="AL27"/>
  <c r="Q9" i="92" s="1"/>
  <c r="AD9" s="1"/>
  <c r="AP9" s="1"/>
  <c r="AO27" i="24"/>
  <c r="N28"/>
  <c r="I10" i="92" s="1"/>
  <c r="V10" s="1"/>
  <c r="AH10" s="1"/>
  <c r="Q28" i="24"/>
  <c r="T28"/>
  <c r="K10" i="92" s="1"/>
  <c r="X10" s="1"/>
  <c r="AJ10" s="1"/>
  <c r="W28" i="24"/>
  <c r="Z28"/>
  <c r="M10" i="92" s="1"/>
  <c r="Z10" s="1"/>
  <c r="AL10" s="1"/>
  <c r="AC28" i="24"/>
  <c r="AF28"/>
  <c r="O10" i="92" s="1"/>
  <c r="AB10" s="1"/>
  <c r="AN10" s="1"/>
  <c r="AI28" i="24"/>
  <c r="AL28"/>
  <c r="Q10" i="92" s="1"/>
  <c r="AD10" s="1"/>
  <c r="AP10" s="1"/>
  <c r="AO28" i="24"/>
  <c r="K22"/>
  <c r="N22"/>
  <c r="I4" i="92" s="1"/>
  <c r="V4" s="1"/>
  <c r="AH4" s="1"/>
  <c r="Q22" i="24"/>
  <c r="T22"/>
  <c r="K4" i="92" s="1"/>
  <c r="X4" s="1"/>
  <c r="AJ4" s="1"/>
  <c r="W22" i="24"/>
  <c r="Z22"/>
  <c r="M4" i="92" s="1"/>
  <c r="Z4" s="1"/>
  <c r="AL4" s="1"/>
  <c r="AC22" i="24"/>
  <c r="AF22"/>
  <c r="O4" i="92" s="1"/>
  <c r="AB4" s="1"/>
  <c r="AN4" s="1"/>
  <c r="AI22" i="24"/>
  <c r="AL22"/>
  <c r="Q4" i="92" s="1"/>
  <c r="AD4" s="1"/>
  <c r="AP4" s="1"/>
  <c r="AO22" i="24"/>
  <c r="K23"/>
  <c r="K24"/>
  <c r="K25"/>
  <c r="K26"/>
  <c r="K27"/>
  <c r="K28"/>
  <c r="H23"/>
  <c r="G5" i="92" s="1"/>
  <c r="T5" s="1"/>
  <c r="AF5" s="1"/>
  <c r="H24" i="24"/>
  <c r="G6" i="92" s="1"/>
  <c r="T6" s="1"/>
  <c r="AF6" s="1"/>
  <c r="H25" i="24"/>
  <c r="G7" i="92" s="1"/>
  <c r="T7" s="1"/>
  <c r="AF7" s="1"/>
  <c r="H26" i="24"/>
  <c r="G8" i="92" s="1"/>
  <c r="T8" s="1"/>
  <c r="AF8" s="1"/>
  <c r="H27" i="24"/>
  <c r="G9" i="92" s="1"/>
  <c r="T9" s="1"/>
  <c r="AF9" s="1"/>
  <c r="H28" i="24"/>
  <c r="G10" i="92" s="1"/>
  <c r="T10" s="1"/>
  <c r="AF10" s="1"/>
  <c r="H22" i="24"/>
  <c r="G4" i="92" s="1"/>
  <c r="T4" s="1"/>
  <c r="AF4" s="1"/>
  <c r="AK16" i="24"/>
  <c r="AL16" s="1"/>
  <c r="AM16" s="1"/>
  <c r="AO16" s="1"/>
  <c r="AE16"/>
  <c r="AF16" s="1"/>
  <c r="AG16" s="1"/>
  <c r="AI16" s="1"/>
  <c r="Y16"/>
  <c r="Z16" s="1"/>
  <c r="AA16" s="1"/>
  <c r="AC16" s="1"/>
  <c r="S16"/>
  <c r="T16" s="1"/>
  <c r="U16" s="1"/>
  <c r="W16" s="1"/>
  <c r="M16"/>
  <c r="AK12"/>
  <c r="AL12" s="1"/>
  <c r="AM12" s="1"/>
  <c r="AO12" s="1"/>
  <c r="AE12"/>
  <c r="AF12" s="1"/>
  <c r="AG12" s="1"/>
  <c r="AI12" s="1"/>
  <c r="Y12"/>
  <c r="Z12" s="1"/>
  <c r="AA12" s="1"/>
  <c r="AC12" s="1"/>
  <c r="S12"/>
  <c r="T12" s="1"/>
  <c r="U12" s="1"/>
  <c r="W12" s="1"/>
  <c r="M12"/>
  <c r="N12" s="1"/>
  <c r="O12" s="1"/>
  <c r="Q12" s="1"/>
  <c r="N31" i="88" l="1"/>
  <c r="N31" i="77"/>
  <c r="I13" i="80" s="1"/>
  <c r="E43" i="90" s="1"/>
  <c r="N30" i="77"/>
  <c r="O30" s="1"/>
  <c r="Q30" s="1"/>
  <c r="N30" i="88"/>
  <c r="O30" s="1"/>
  <c r="Q30" s="1"/>
  <c r="N29"/>
  <c r="J60" i="74" s="1"/>
  <c r="AB60" s="1"/>
  <c r="AN60" s="1"/>
  <c r="N27" i="88"/>
  <c r="O27" i="77"/>
  <c r="Q27" s="1"/>
  <c r="O28"/>
  <c r="Q28" s="1"/>
  <c r="N26" i="88"/>
  <c r="O26" s="1"/>
  <c r="Q26" s="1"/>
  <c r="I8" i="80"/>
  <c r="E38" i="90" s="1"/>
  <c r="N26" i="77"/>
  <c r="O26" s="1"/>
  <c r="Q26" s="1"/>
  <c r="N25" i="88"/>
  <c r="O25" s="1"/>
  <c r="Q25" s="1"/>
  <c r="I7" i="80"/>
  <c r="E37" i="90" s="1"/>
  <c r="N25" i="77"/>
  <c r="O25" s="1"/>
  <c r="Q25" s="1"/>
  <c r="L15" i="78"/>
  <c r="D109" i="90" s="1"/>
  <c r="W65" i="77"/>
  <c r="L14" i="78"/>
  <c r="D108" i="90" s="1"/>
  <c r="W64" i="77"/>
  <c r="O63"/>
  <c r="Q63" s="1"/>
  <c r="N13" i="78" s="1"/>
  <c r="D133" i="90" s="1"/>
  <c r="W63" i="77"/>
  <c r="O61"/>
  <c r="Q61" s="1"/>
  <c r="N11" i="78" s="1"/>
  <c r="D131" i="90" s="1"/>
  <c r="W61" i="77"/>
  <c r="O59"/>
  <c r="Q59" s="1"/>
  <c r="N9" i="78" s="1"/>
  <c r="D129" i="90" s="1"/>
  <c r="W59" i="77"/>
  <c r="O58"/>
  <c r="Q58" s="1"/>
  <c r="N8" i="78" s="1"/>
  <c r="D128" i="90" s="1"/>
  <c r="W58" i="77"/>
  <c r="O57"/>
  <c r="Q57" s="1"/>
  <c r="N7" i="78" s="1"/>
  <c r="D127" i="90" s="1"/>
  <c r="W57" i="77"/>
  <c r="H31" i="88"/>
  <c r="E12" i="80"/>
  <c r="D42" i="90" s="1"/>
  <c r="I30" i="77"/>
  <c r="H30" i="88"/>
  <c r="K27" i="77"/>
  <c r="G9" i="80" s="1"/>
  <c r="D53" i="90" s="1"/>
  <c r="I27" i="77"/>
  <c r="K27" i="88"/>
  <c r="I27"/>
  <c r="H28"/>
  <c r="E8" i="80"/>
  <c r="D38" i="90" s="1"/>
  <c r="I26" i="77"/>
  <c r="E7" i="80"/>
  <c r="D37" i="90" s="1"/>
  <c r="I25" i="77"/>
  <c r="J30" i="54"/>
  <c r="L15" i="75"/>
  <c r="H67" i="88" s="1"/>
  <c r="T67" s="1"/>
  <c r="C56" i="104"/>
  <c r="O56" s="1"/>
  <c r="Q56" s="1"/>
  <c r="O91" i="89"/>
  <c r="C57" i="104"/>
  <c r="O57" s="1"/>
  <c r="Q57" s="1"/>
  <c r="O92" i="89"/>
  <c r="G13" i="92"/>
  <c r="T13" s="1"/>
  <c r="AF13" s="1"/>
  <c r="H25" i="58"/>
  <c r="N16" i="24"/>
  <c r="O16" s="1"/>
  <c r="Q16" s="1"/>
  <c r="K14" i="74" s="1"/>
  <c r="AC14" s="1"/>
  <c r="AO14" s="1"/>
  <c r="J38" i="86"/>
  <c r="H71" i="91" s="1"/>
  <c r="C69" i="104"/>
  <c r="O69" s="1"/>
  <c r="Q69" s="1"/>
  <c r="T65" i="88"/>
  <c r="H16" i="83"/>
  <c r="T66" i="88"/>
  <c r="I29" i="83"/>
  <c r="S71" i="74"/>
  <c r="AH71" s="1"/>
  <c r="AT71" s="1"/>
  <c r="C68" i="104"/>
  <c r="O68" s="1"/>
  <c r="Q68" s="1"/>
  <c r="J37" i="84"/>
  <c r="H13" i="91" s="1"/>
  <c r="C54" i="104"/>
  <c r="O54" s="1"/>
  <c r="Q54" s="1"/>
  <c r="A6" i="101"/>
  <c r="A10"/>
  <c r="A14"/>
  <c r="A18"/>
  <c r="A22"/>
  <c r="A26"/>
  <c r="A30"/>
  <c r="A34"/>
  <c r="A38"/>
  <c r="A42"/>
  <c r="A46"/>
  <c r="A50"/>
  <c r="A54"/>
  <c r="A58"/>
  <c r="A62"/>
  <c r="A66"/>
  <c r="A70"/>
  <c r="A74"/>
  <c r="A78"/>
  <c r="A82"/>
  <c r="A7"/>
  <c r="A11"/>
  <c r="A15"/>
  <c r="A19"/>
  <c r="A23"/>
  <c r="A27"/>
  <c r="A31"/>
  <c r="A35"/>
  <c r="A39"/>
  <c r="A43"/>
  <c r="A47"/>
  <c r="A51"/>
  <c r="A55"/>
  <c r="A59"/>
  <c r="A63"/>
  <c r="A67"/>
  <c r="A71"/>
  <c r="A75"/>
  <c r="A79"/>
  <c r="A83"/>
  <c r="A9"/>
  <c r="A13"/>
  <c r="A17"/>
  <c r="A21"/>
  <c r="A25"/>
  <c r="A29"/>
  <c r="A33"/>
  <c r="A37"/>
  <c r="A41"/>
  <c r="A45"/>
  <c r="A49"/>
  <c r="A53"/>
  <c r="A57"/>
  <c r="A61"/>
  <c r="A65"/>
  <c r="A69"/>
  <c r="A73"/>
  <c r="A77"/>
  <c r="A81"/>
  <c r="A8"/>
  <c r="A12"/>
  <c r="A16"/>
  <c r="A20"/>
  <c r="A24"/>
  <c r="A28"/>
  <c r="A32"/>
  <c r="A36"/>
  <c r="A40"/>
  <c r="A44"/>
  <c r="A48"/>
  <c r="A52"/>
  <c r="A56"/>
  <c r="A60"/>
  <c r="A64"/>
  <c r="A68"/>
  <c r="A72"/>
  <c r="A76"/>
  <c r="A80"/>
  <c r="A5"/>
  <c r="C24" i="108"/>
  <c r="I24" s="1"/>
  <c r="Q24" s="1"/>
  <c r="C26"/>
  <c r="I26" s="1"/>
  <c r="Q26" s="1"/>
  <c r="C27" i="109"/>
  <c r="O27" s="1"/>
  <c r="Q27" s="1"/>
  <c r="W10" i="74"/>
  <c r="AK10" s="1"/>
  <c r="AW10" s="1"/>
  <c r="C10" i="104"/>
  <c r="O10" s="1"/>
  <c r="Q10" s="1"/>
  <c r="I114" i="89"/>
  <c r="C6" i="109"/>
  <c r="O6" s="1"/>
  <c r="Q6" s="1"/>
  <c r="O47" i="104"/>
  <c r="Q47" s="1"/>
  <c r="I121" i="89"/>
  <c r="C13" i="109"/>
  <c r="O13" s="1"/>
  <c r="Q13" s="1"/>
  <c r="V56" i="74"/>
  <c r="AJ56" s="1"/>
  <c r="AV56" s="1"/>
  <c r="C15" i="109"/>
  <c r="O15" s="1"/>
  <c r="Q15" s="1"/>
  <c r="V65" i="74"/>
  <c r="AJ65" s="1"/>
  <c r="AV65" s="1"/>
  <c r="O65" i="104"/>
  <c r="Q65" s="1"/>
  <c r="C24" i="109"/>
  <c r="O24" s="1"/>
  <c r="Q24" s="1"/>
  <c r="I115" i="89"/>
  <c r="O48" i="104"/>
  <c r="Q48" s="1"/>
  <c r="C7" i="109"/>
  <c r="O7" s="1"/>
  <c r="Q7" s="1"/>
  <c r="V50" i="74"/>
  <c r="AJ50" s="1"/>
  <c r="AV50" s="1"/>
  <c r="O50" i="104"/>
  <c r="Q50" s="1"/>
  <c r="C9" i="109"/>
  <c r="O9" s="1"/>
  <c r="Q9" s="1"/>
  <c r="C14" i="108"/>
  <c r="I14" s="1"/>
  <c r="Q14" s="1"/>
  <c r="C23"/>
  <c r="I23" s="1"/>
  <c r="Q23" s="1"/>
  <c r="J72" i="74"/>
  <c r="AB72" s="1"/>
  <c r="AN72" s="1"/>
  <c r="V72"/>
  <c r="AJ72" s="1"/>
  <c r="AV72" s="1"/>
  <c r="C28" i="109"/>
  <c r="O28" s="1"/>
  <c r="Q28" s="1"/>
  <c r="C14" i="104"/>
  <c r="O14" s="1"/>
  <c r="Q14" s="1"/>
  <c r="V58" i="74"/>
  <c r="AJ58" s="1"/>
  <c r="AV58" s="1"/>
  <c r="O58" i="104"/>
  <c r="Q58" s="1"/>
  <c r="C17" i="109"/>
  <c r="O17" s="1"/>
  <c r="Q17" s="1"/>
  <c r="V60" i="74"/>
  <c r="AJ60" s="1"/>
  <c r="AV60" s="1"/>
  <c r="O60" i="104"/>
  <c r="Q60" s="1"/>
  <c r="C19" i="109"/>
  <c r="O19" s="1"/>
  <c r="Q19" s="1"/>
  <c r="V62" i="74"/>
  <c r="AJ62" s="1"/>
  <c r="AV62" s="1"/>
  <c r="C21" i="109"/>
  <c r="O21" s="1"/>
  <c r="Q21" s="1"/>
  <c r="O62" i="104"/>
  <c r="Q62" s="1"/>
  <c r="N33" i="86"/>
  <c r="I66" i="91" s="1"/>
  <c r="O67" i="104"/>
  <c r="Q67" s="1"/>
  <c r="C26" i="109"/>
  <c r="O26" s="1"/>
  <c r="Q26" s="1"/>
  <c r="V46" i="74"/>
  <c r="AJ46" s="1"/>
  <c r="AV46" s="1"/>
  <c r="O46" i="104"/>
  <c r="Q46" s="1"/>
  <c r="C5" i="109"/>
  <c r="O5" s="1"/>
  <c r="Q5" s="1"/>
  <c r="V51" i="74"/>
  <c r="AJ51" s="1"/>
  <c r="AV51" s="1"/>
  <c r="C10" i="109"/>
  <c r="O10" s="1"/>
  <c r="Q10" s="1"/>
  <c r="O51" i="104"/>
  <c r="Q51" s="1"/>
  <c r="C12" i="109"/>
  <c r="O12" s="1"/>
  <c r="Q12" s="1"/>
  <c r="O53" i="104"/>
  <c r="Q53" s="1"/>
  <c r="V55" i="74"/>
  <c r="AJ55" s="1"/>
  <c r="AV55" s="1"/>
  <c r="O55" i="104"/>
  <c r="Q55" s="1"/>
  <c r="C14" i="109"/>
  <c r="O14" s="1"/>
  <c r="Q14" s="1"/>
  <c r="C16"/>
  <c r="O16" s="1"/>
  <c r="Q16" s="1"/>
  <c r="R121" i="89"/>
  <c r="C20" i="109"/>
  <c r="O20" s="1"/>
  <c r="Q20" s="1"/>
  <c r="O61" i="104"/>
  <c r="Q61" s="1"/>
  <c r="O64"/>
  <c r="Q64" s="1"/>
  <c r="C23" i="109"/>
  <c r="O23" s="1"/>
  <c r="Q23" s="1"/>
  <c r="N71" i="74"/>
  <c r="AE71" s="1"/>
  <c r="AQ71" s="1"/>
  <c r="C27" i="108"/>
  <c r="I27" s="1"/>
  <c r="Q27" s="1"/>
  <c r="A15"/>
  <c r="A16"/>
  <c r="A29"/>
  <c r="A6"/>
  <c r="A9"/>
  <c r="A24"/>
  <c r="A11"/>
  <c r="A27"/>
  <c r="A10"/>
  <c r="A25"/>
  <c r="A18"/>
  <c r="A32"/>
  <c r="A28"/>
  <c r="A7"/>
  <c r="A23"/>
  <c r="A31"/>
  <c r="A5"/>
  <c r="A26"/>
  <c r="A30"/>
  <c r="A20"/>
  <c r="A33"/>
  <c r="A13"/>
  <c r="A17"/>
  <c r="A19"/>
  <c r="A21"/>
  <c r="A22"/>
  <c r="A14"/>
  <c r="A8"/>
  <c r="A12"/>
  <c r="T10" i="74"/>
  <c r="AI10" s="1"/>
  <c r="AU10" s="1"/>
  <c r="C10" i="102"/>
  <c r="M10" s="1"/>
  <c r="Q10" s="1"/>
  <c r="Q14" i="74"/>
  <c r="AG14" s="1"/>
  <c r="AS14" s="1"/>
  <c r="C14" i="101"/>
  <c r="K14" s="1"/>
  <c r="Q14" s="1"/>
  <c r="J65" i="74"/>
  <c r="AB65" s="1"/>
  <c r="AN65" s="1"/>
  <c r="N10"/>
  <c r="AE10" s="1"/>
  <c r="AQ10" s="1"/>
  <c r="W14"/>
  <c r="AK14" s="1"/>
  <c r="AW14" s="1"/>
  <c r="S67"/>
  <c r="AH67" s="1"/>
  <c r="AT67" s="1"/>
  <c r="Q10"/>
  <c r="AG10" s="1"/>
  <c r="AS10" s="1"/>
  <c r="C10" i="101"/>
  <c r="K10" s="1"/>
  <c r="Q10" s="1"/>
  <c r="N14" i="74"/>
  <c r="AE14" s="1"/>
  <c r="AQ14" s="1"/>
  <c r="K10"/>
  <c r="AC10" s="1"/>
  <c r="AO10" s="1"/>
  <c r="T14"/>
  <c r="AI14" s="1"/>
  <c r="AU14" s="1"/>
  <c r="C14" i="102"/>
  <c r="M14" s="1"/>
  <c r="Q14" s="1"/>
  <c r="P65" i="74"/>
  <c r="AF65" s="1"/>
  <c r="AR65" s="1"/>
  <c r="C65" i="101"/>
  <c r="K65" s="1"/>
  <c r="Q65" s="1"/>
  <c r="P50" i="74"/>
  <c r="AF50" s="1"/>
  <c r="AR50" s="1"/>
  <c r="C50" i="101"/>
  <c r="K50" s="1"/>
  <c r="Q50" s="1"/>
  <c r="I11" i="88"/>
  <c r="K11" s="1"/>
  <c r="H51" i="74" s="1"/>
  <c r="AA51" s="1"/>
  <c r="AM51" s="1"/>
  <c r="AG11" i="88"/>
  <c r="AI11" s="1"/>
  <c r="T51" i="74" s="1"/>
  <c r="AI51" s="1"/>
  <c r="AU51" s="1"/>
  <c r="G53"/>
  <c r="Z53" s="1"/>
  <c r="AL53" s="1"/>
  <c r="I99" i="89"/>
  <c r="I58"/>
  <c r="G55" i="74"/>
  <c r="Z55" s="1"/>
  <c r="AL55" s="1"/>
  <c r="S61"/>
  <c r="AH61" s="1"/>
  <c r="AT61" s="1"/>
  <c r="M62"/>
  <c r="AD62" s="1"/>
  <c r="AP62" s="1"/>
  <c r="J87"/>
  <c r="AB87" s="1"/>
  <c r="AN87" s="1"/>
  <c r="J89"/>
  <c r="AB89" s="1"/>
  <c r="AN89" s="1"/>
  <c r="J91"/>
  <c r="AB91" s="1"/>
  <c r="AN91" s="1"/>
  <c r="J93"/>
  <c r="AB93" s="1"/>
  <c r="AN93" s="1"/>
  <c r="I71" i="89"/>
  <c r="C46" i="101"/>
  <c r="K46" s="1"/>
  <c r="Q46" s="1"/>
  <c r="J98" i="74"/>
  <c r="AB98" s="1"/>
  <c r="AN98" s="1"/>
  <c r="N7" i="84"/>
  <c r="F5" i="91" s="1"/>
  <c r="I9" i="89"/>
  <c r="I93"/>
  <c r="I31"/>
  <c r="J50" i="74"/>
  <c r="AB50" s="1"/>
  <c r="AN50" s="1"/>
  <c r="M51"/>
  <c r="AD51" s="1"/>
  <c r="AP51" s="1"/>
  <c r="M53"/>
  <c r="AD53" s="1"/>
  <c r="AP53" s="1"/>
  <c r="I16" i="89"/>
  <c r="I100"/>
  <c r="G56" i="74"/>
  <c r="Z56" s="1"/>
  <c r="AL56" s="1"/>
  <c r="K24" i="85"/>
  <c r="H51" i="91" s="1"/>
  <c r="R50" i="89"/>
  <c r="G58" i="74"/>
  <c r="Z58" s="1"/>
  <c r="AL58" s="1"/>
  <c r="S58"/>
  <c r="AH58" s="1"/>
  <c r="AT58" s="1"/>
  <c r="G60"/>
  <c r="Z60" s="1"/>
  <c r="AL60" s="1"/>
  <c r="N61"/>
  <c r="AE61" s="1"/>
  <c r="AQ61" s="1"/>
  <c r="I30" i="85"/>
  <c r="H43" i="91" s="1"/>
  <c r="H7" i="83"/>
  <c r="C102" i="91" s="1"/>
  <c r="G77" i="74"/>
  <c r="Z77" s="1"/>
  <c r="AL77" s="1"/>
  <c r="L12" i="83"/>
  <c r="D107" i="91" s="1"/>
  <c r="G80" i="74"/>
  <c r="Z80" s="1"/>
  <c r="AL80" s="1"/>
  <c r="H15" i="83"/>
  <c r="C110" i="91" s="1"/>
  <c r="J86" i="74"/>
  <c r="AB86" s="1"/>
  <c r="AN86" s="1"/>
  <c r="J88"/>
  <c r="AB88" s="1"/>
  <c r="AN88" s="1"/>
  <c r="N34" i="84"/>
  <c r="I10" i="91" s="1"/>
  <c r="F7" i="84"/>
  <c r="D5" i="91" s="1"/>
  <c r="I92" i="89"/>
  <c r="I51"/>
  <c r="M56" i="74"/>
  <c r="AD56" s="1"/>
  <c r="AP56" s="1"/>
  <c r="E8" i="85"/>
  <c r="D38" i="91" s="1"/>
  <c r="K25" i="85"/>
  <c r="H52" i="91" s="1"/>
  <c r="M58" i="74"/>
  <c r="AD58" s="1"/>
  <c r="AP58" s="1"/>
  <c r="M60"/>
  <c r="AD60" s="1"/>
  <c r="AP60" s="1"/>
  <c r="J76"/>
  <c r="AB76" s="1"/>
  <c r="AN76" s="1"/>
  <c r="J80"/>
  <c r="AB80" s="1"/>
  <c r="AN80" s="1"/>
  <c r="J81"/>
  <c r="AB81" s="1"/>
  <c r="AN81" s="1"/>
  <c r="O7" i="88"/>
  <c r="Q7" s="1"/>
  <c r="K47" i="74" s="1"/>
  <c r="AC47" s="1"/>
  <c r="AO47" s="1"/>
  <c r="I52" i="89"/>
  <c r="U10" i="88"/>
  <c r="P51" i="74"/>
  <c r="AF51" s="1"/>
  <c r="AR51" s="1"/>
  <c r="C51" i="101"/>
  <c r="K51" s="1"/>
  <c r="Q51" s="1"/>
  <c r="O14" i="88"/>
  <c r="Q14" s="1"/>
  <c r="K54" i="74" s="1"/>
  <c r="AC54" s="1"/>
  <c r="AO54" s="1"/>
  <c r="P57"/>
  <c r="AF57" s="1"/>
  <c r="AR57" s="1"/>
  <c r="C57" i="101"/>
  <c r="K57" s="1"/>
  <c r="Q57" s="1"/>
  <c r="P61" i="74"/>
  <c r="AF61" s="1"/>
  <c r="AR61" s="1"/>
  <c r="C61" i="101"/>
  <c r="K61" s="1"/>
  <c r="Q61" s="1"/>
  <c r="H10" i="83"/>
  <c r="C105" i="91" s="1"/>
  <c r="L11" i="83"/>
  <c r="D106" i="91" s="1"/>
  <c r="J79" i="74"/>
  <c r="AB79" s="1"/>
  <c r="AN79" s="1"/>
  <c r="I90" i="88"/>
  <c r="K90" s="1"/>
  <c r="H87" i="74" s="1"/>
  <c r="AA87" s="1"/>
  <c r="AM87" s="1"/>
  <c r="J96"/>
  <c r="AB96" s="1"/>
  <c r="AN96" s="1"/>
  <c r="J46"/>
  <c r="AB46" s="1"/>
  <c r="AN46" s="1"/>
  <c r="P47"/>
  <c r="AF47" s="1"/>
  <c r="AR47" s="1"/>
  <c r="C47" i="101"/>
  <c r="K47" s="1"/>
  <c r="Q47" s="1"/>
  <c r="I10" i="88"/>
  <c r="J12" i="84"/>
  <c r="E10" i="91" s="1"/>
  <c r="I79" i="89"/>
  <c r="C54" i="101"/>
  <c r="K54" s="1"/>
  <c r="Q54" s="1"/>
  <c r="P56" i="74"/>
  <c r="AF56" s="1"/>
  <c r="AR56" s="1"/>
  <c r="C56" i="101"/>
  <c r="K56" s="1"/>
  <c r="Q56" s="1"/>
  <c r="J57" i="74"/>
  <c r="AB57" s="1"/>
  <c r="AN57" s="1"/>
  <c r="P58"/>
  <c r="AF58" s="1"/>
  <c r="AR58" s="1"/>
  <c r="C58" i="101"/>
  <c r="K58" s="1"/>
  <c r="Q58" s="1"/>
  <c r="P60" i="74"/>
  <c r="AF60" s="1"/>
  <c r="AR60" s="1"/>
  <c r="C60" i="101"/>
  <c r="K60" s="1"/>
  <c r="Q60" s="1"/>
  <c r="K61" i="74"/>
  <c r="AC61" s="1"/>
  <c r="AO61" s="1"/>
  <c r="P62"/>
  <c r="AF62" s="1"/>
  <c r="AR62" s="1"/>
  <c r="C62" i="101"/>
  <c r="K62" s="1"/>
  <c r="Q62" s="1"/>
  <c r="H8" i="83"/>
  <c r="C103" i="91" s="1"/>
  <c r="H12" i="83"/>
  <c r="C107" i="91" s="1"/>
  <c r="G79" i="74"/>
  <c r="Z79" s="1"/>
  <c r="AL79" s="1"/>
  <c r="I91" i="88"/>
  <c r="K91" s="1"/>
  <c r="H88" i="74" s="1"/>
  <c r="AA88" s="1"/>
  <c r="AM88" s="1"/>
  <c r="J97"/>
  <c r="AB97" s="1"/>
  <c r="AN97" s="1"/>
  <c r="J99"/>
  <c r="AB99" s="1"/>
  <c r="AN99" s="1"/>
  <c r="E18" i="87"/>
  <c r="L14" i="83"/>
  <c r="D109" i="91" s="1"/>
  <c r="E20" i="87"/>
  <c r="O65" i="88"/>
  <c r="N12" i="86"/>
  <c r="F67" i="91" s="1"/>
  <c r="G68" i="74"/>
  <c r="Z68" s="1"/>
  <c r="AL68" s="1"/>
  <c r="G70"/>
  <c r="Z70" s="1"/>
  <c r="AL70" s="1"/>
  <c r="J36" i="86"/>
  <c r="H69" i="91" s="1"/>
  <c r="P68" i="74"/>
  <c r="AF68" s="1"/>
  <c r="AR68" s="1"/>
  <c r="C68" i="101"/>
  <c r="K68" s="1"/>
  <c r="Q68" s="1"/>
  <c r="P70" i="74"/>
  <c r="AF70" s="1"/>
  <c r="AR70" s="1"/>
  <c r="J68"/>
  <c r="AB68" s="1"/>
  <c r="AN68" s="1"/>
  <c r="J70"/>
  <c r="AB70" s="1"/>
  <c r="AN70" s="1"/>
  <c r="N64"/>
  <c r="AE64" s="1"/>
  <c r="AQ64" s="1"/>
  <c r="U50" i="89"/>
  <c r="N30" i="86"/>
  <c r="I63" i="91" s="1"/>
  <c r="U113" i="89"/>
  <c r="F30" i="86"/>
  <c r="G63" i="91" s="1"/>
  <c r="U71" i="89"/>
  <c r="J8" i="86"/>
  <c r="E63" i="91" s="1"/>
  <c r="U29" i="89"/>
  <c r="X93"/>
  <c r="U92"/>
  <c r="G64" i="74"/>
  <c r="Z64" s="1"/>
  <c r="AL64" s="1"/>
  <c r="U8" i="89"/>
  <c r="N14" i="86"/>
  <c r="F69" i="91" s="1"/>
  <c r="H7" i="81"/>
  <c r="D80" i="90" s="1"/>
  <c r="O63" i="88"/>
  <c r="Q63" s="1"/>
  <c r="K79" i="74" s="1"/>
  <c r="AC79" s="1"/>
  <c r="AO79" s="1"/>
  <c r="J74"/>
  <c r="AB74" s="1"/>
  <c r="AN74" s="1"/>
  <c r="H14" i="83"/>
  <c r="C109" i="91" s="1"/>
  <c r="F34" i="86"/>
  <c r="G67" i="91" s="1"/>
  <c r="J73" i="74"/>
  <c r="AB73" s="1"/>
  <c r="AN73" s="1"/>
  <c r="K75"/>
  <c r="AC75" s="1"/>
  <c r="AO75" s="1"/>
  <c r="L13" i="83"/>
  <c r="D108" i="91" s="1"/>
  <c r="N7" i="86"/>
  <c r="F62" i="91" s="1"/>
  <c r="I59" i="77"/>
  <c r="K59" s="1"/>
  <c r="J9" i="78" s="1"/>
  <c r="C129" i="90" s="1"/>
  <c r="I58" i="77"/>
  <c r="K58" s="1"/>
  <c r="J8" i="78" s="1"/>
  <c r="C128" i="90" s="1"/>
  <c r="G74" i="74"/>
  <c r="Z74" s="1"/>
  <c r="AL74" s="1"/>
  <c r="I57" i="77"/>
  <c r="K57" s="1"/>
  <c r="J7" i="78" s="1"/>
  <c r="C127" i="90" s="1"/>
  <c r="G73" i="74"/>
  <c r="Z73" s="1"/>
  <c r="AL73" s="1"/>
  <c r="F15" i="86"/>
  <c r="D70" i="91" s="1"/>
  <c r="H66" i="96"/>
  <c r="H65"/>
  <c r="H64"/>
  <c r="K26" i="92"/>
  <c r="X26" s="1"/>
  <c r="AJ26" s="1"/>
  <c r="K23"/>
  <c r="X23" s="1"/>
  <c r="AJ23" s="1"/>
  <c r="K22"/>
  <c r="X22" s="1"/>
  <c r="AJ22" s="1"/>
  <c r="K21"/>
  <c r="X21" s="1"/>
  <c r="AJ21" s="1"/>
  <c r="C150" i="90"/>
  <c r="H97" i="77"/>
  <c r="E15" i="82" s="1"/>
  <c r="Q20" i="92"/>
  <c r="AD20" s="1"/>
  <c r="AP20" s="1"/>
  <c r="J31" i="96"/>
  <c r="J30"/>
  <c r="J29"/>
  <c r="H31"/>
  <c r="H30"/>
  <c r="H29"/>
  <c r="Q26" i="92"/>
  <c r="AD26" s="1"/>
  <c r="AP26" s="1"/>
  <c r="Q23"/>
  <c r="AD23" s="1"/>
  <c r="AP23" s="1"/>
  <c r="Q22"/>
  <c r="AD22" s="1"/>
  <c r="AP22" s="1"/>
  <c r="Q21"/>
  <c r="AD21" s="1"/>
  <c r="AP21" s="1"/>
  <c r="K20"/>
  <c r="X20" s="1"/>
  <c r="AJ20" s="1"/>
  <c r="J66" i="96"/>
  <c r="J65"/>
  <c r="J64"/>
  <c r="G38"/>
  <c r="G3"/>
  <c r="G39" i="95"/>
  <c r="G3"/>
  <c r="AF9" i="77"/>
  <c r="J31" i="79" s="1"/>
  <c r="H8" i="90" s="1"/>
  <c r="F19" i="75"/>
  <c r="L16" s="1"/>
  <c r="H68" i="88" s="1"/>
  <c r="E25" i="85"/>
  <c r="G38" i="91" s="1"/>
  <c r="AL9" i="77"/>
  <c r="N31" i="79" s="1"/>
  <c r="I8" i="90" s="1"/>
  <c r="J29" i="84"/>
  <c r="H5" i="91" s="1"/>
  <c r="I92" i="77"/>
  <c r="K92" s="1"/>
  <c r="E29" i="85"/>
  <c r="G42" i="91" s="1"/>
  <c r="E35" i="85"/>
  <c r="N38" i="86"/>
  <c r="I71" i="91" s="1"/>
  <c r="O3" i="87"/>
  <c r="O11" i="88"/>
  <c r="Q11" s="1"/>
  <c r="L34" i="89" s="1"/>
  <c r="AG13" i="88"/>
  <c r="Q61" i="74"/>
  <c r="AG61" s="1"/>
  <c r="AS61" s="1"/>
  <c r="R100" i="89"/>
  <c r="F26" i="75"/>
  <c r="L18" s="1"/>
  <c r="J10" i="81"/>
  <c r="E65" i="90" s="1"/>
  <c r="N95" i="77"/>
  <c r="D152" i="90" s="1"/>
  <c r="AG6" i="88"/>
  <c r="AI6" s="1"/>
  <c r="T46" i="74" s="1"/>
  <c r="AI46" s="1"/>
  <c r="AU46" s="1"/>
  <c r="AG14" i="88"/>
  <c r="AI14" s="1"/>
  <c r="T54" i="74" s="1"/>
  <c r="AI54" s="1"/>
  <c r="AU54" s="1"/>
  <c r="K68"/>
  <c r="AC68" s="1"/>
  <c r="AO68" s="1"/>
  <c r="Q68"/>
  <c r="AG68" s="1"/>
  <c r="AS68" s="1"/>
  <c r="D160" i="91"/>
  <c r="AM10" i="77"/>
  <c r="H31" i="81"/>
  <c r="G83" i="90" s="1"/>
  <c r="M8" i="85"/>
  <c r="F38" i="91" s="1"/>
  <c r="H12" i="86"/>
  <c r="D85" i="91" s="1"/>
  <c r="T68" i="74"/>
  <c r="AI68" s="1"/>
  <c r="AU68" s="1"/>
  <c r="S53"/>
  <c r="AH53" s="1"/>
  <c r="AT53" s="1"/>
  <c r="E13" i="82"/>
  <c r="L8" i="78"/>
  <c r="D102" i="90" s="1"/>
  <c r="J11" i="79"/>
  <c r="E9" i="90" s="1"/>
  <c r="P31" i="81"/>
  <c r="I83" i="90" s="1"/>
  <c r="N15" i="84"/>
  <c r="F13" i="91" s="1"/>
  <c r="M35" i="85"/>
  <c r="N34" i="86"/>
  <c r="I67" i="91" s="1"/>
  <c r="R49" i="89"/>
  <c r="Q58" i="74"/>
  <c r="AG58" s="1"/>
  <c r="AS58" s="1"/>
  <c r="J7" i="83"/>
  <c r="C128" i="91" s="1"/>
  <c r="N95" i="88"/>
  <c r="U80" i="89"/>
  <c r="S51" i="74"/>
  <c r="AH51" s="1"/>
  <c r="AT51" s="1"/>
  <c r="T12" i="77"/>
  <c r="U12" s="1"/>
  <c r="W12" s="1"/>
  <c r="P13" i="79" s="1"/>
  <c r="F29" i="90" s="1"/>
  <c r="F34" i="81"/>
  <c r="G68" i="90" s="1"/>
  <c r="J29" i="86"/>
  <c r="H62" i="91" s="1"/>
  <c r="Z9" i="77"/>
  <c r="AA9" s="1"/>
  <c r="AC9" s="1"/>
  <c r="H31" i="79" s="1"/>
  <c r="G26" i="90" s="1"/>
  <c r="E14" i="82"/>
  <c r="H13" i="83"/>
  <c r="C108" i="91" s="1"/>
  <c r="F34" i="84"/>
  <c r="G10" i="91" s="1"/>
  <c r="I26" i="85"/>
  <c r="H39" i="91" s="1"/>
  <c r="F38" i="86"/>
  <c r="G71" i="91" s="1"/>
  <c r="E8" i="87"/>
  <c r="U6" i="88"/>
  <c r="W6" s="1"/>
  <c r="N46" i="74" s="1"/>
  <c r="AE46" s="1"/>
  <c r="AQ46" s="1"/>
  <c r="AA11" i="88"/>
  <c r="AC11" s="1"/>
  <c r="L76" i="89" s="1"/>
  <c r="U13" i="88"/>
  <c r="U14"/>
  <c r="W14" s="1"/>
  <c r="N54" i="74" s="1"/>
  <c r="AE54" s="1"/>
  <c r="AQ54" s="1"/>
  <c r="H57"/>
  <c r="AA57" s="1"/>
  <c r="AM57" s="1"/>
  <c r="O9" i="85"/>
  <c r="F53" i="91" s="1"/>
  <c r="R94" i="89"/>
  <c r="I63" i="88"/>
  <c r="K63" s="1"/>
  <c r="H79" i="74" s="1"/>
  <c r="AA79" s="1"/>
  <c r="AM79" s="1"/>
  <c r="P3" i="81"/>
  <c r="P3" i="84"/>
  <c r="O3" i="85"/>
  <c r="O3" i="82"/>
  <c r="P3" i="79"/>
  <c r="O3" i="80"/>
  <c r="N3" i="83"/>
  <c r="A4" i="74"/>
  <c r="A5" s="1"/>
  <c r="O8" i="77"/>
  <c r="Q8" s="1"/>
  <c r="L9" i="79" s="1"/>
  <c r="E25" i="90" s="1"/>
  <c r="N9" i="77"/>
  <c r="O9" s="1"/>
  <c r="Q9" s="1"/>
  <c r="L10" i="79" s="1"/>
  <c r="E26" i="90" s="1"/>
  <c r="O62" i="77"/>
  <c r="Q62" s="1"/>
  <c r="N12" i="78" s="1"/>
  <c r="D132" i="90" s="1"/>
  <c r="L12" i="78"/>
  <c r="D106" i="90" s="1"/>
  <c r="G95" i="74"/>
  <c r="Z95" s="1"/>
  <c r="AL95" s="1"/>
  <c r="E16" i="87"/>
  <c r="N65" i="74"/>
  <c r="AE65" s="1"/>
  <c r="AQ65" s="1"/>
  <c r="M65"/>
  <c r="AD65" s="1"/>
  <c r="AP65" s="1"/>
  <c r="U52" i="89"/>
  <c r="C25" i="108"/>
  <c r="I25" s="1"/>
  <c r="Q25" s="1"/>
  <c r="N9" i="86"/>
  <c r="F64" i="91" s="1"/>
  <c r="M67" i="74"/>
  <c r="AD67" s="1"/>
  <c r="AP67" s="1"/>
  <c r="N11" i="86"/>
  <c r="F66" i="91" s="1"/>
  <c r="I80" i="89"/>
  <c r="P55" i="74"/>
  <c r="AF55" s="1"/>
  <c r="AR55" s="1"/>
  <c r="L63" i="89"/>
  <c r="L28" i="92"/>
  <c r="Y28" s="1"/>
  <c r="AK28" s="1"/>
  <c r="L105" i="89"/>
  <c r="P28" i="92"/>
  <c r="AC28" s="1"/>
  <c r="AO28" s="1"/>
  <c r="L64" i="89"/>
  <c r="L29" i="92"/>
  <c r="Y29" s="1"/>
  <c r="AK29" s="1"/>
  <c r="L106" i="89"/>
  <c r="P29" i="92"/>
  <c r="AC29" s="1"/>
  <c r="AO29" s="1"/>
  <c r="L65" i="89"/>
  <c r="L30" i="92"/>
  <c r="Y30" s="1"/>
  <c r="AK30" s="1"/>
  <c r="L107" i="89"/>
  <c r="P30" i="92"/>
  <c r="AC30" s="1"/>
  <c r="AO30" s="1"/>
  <c r="O28" i="89"/>
  <c r="J56" i="74"/>
  <c r="AB56" s="1"/>
  <c r="AN56" s="1"/>
  <c r="O113" i="89"/>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N57" i="74"/>
  <c r="AE57" s="1"/>
  <c r="AQ57" s="1"/>
  <c r="O121" i="89"/>
  <c r="V61" i="74"/>
  <c r="AJ61" s="1"/>
  <c r="AV61" s="1"/>
  <c r="O105" i="89"/>
  <c r="O32" i="92"/>
  <c r="AB32" s="1"/>
  <c r="AN32" s="1"/>
  <c r="N63" i="74"/>
  <c r="AE63" s="1"/>
  <c r="AQ63" s="1"/>
  <c r="J67"/>
  <c r="AB67" s="1"/>
  <c r="AN67" s="1"/>
  <c r="L33" i="92"/>
  <c r="Y33" s="1"/>
  <c r="AK33" s="1"/>
  <c r="P34"/>
  <c r="AC34" s="1"/>
  <c r="AO34" s="1"/>
  <c r="I28" i="83"/>
  <c r="H39" i="92"/>
  <c r="U39" s="1"/>
  <c r="AG39" s="1"/>
  <c r="J42"/>
  <c r="W42" s="1"/>
  <c r="AI42" s="1"/>
  <c r="G26"/>
  <c r="T26" s="1"/>
  <c r="AF26" s="1"/>
  <c r="G23"/>
  <c r="T23" s="1"/>
  <c r="AF23" s="1"/>
  <c r="G22"/>
  <c r="T22" s="1"/>
  <c r="AF22" s="1"/>
  <c r="G21"/>
  <c r="T21" s="1"/>
  <c r="AF21" s="1"/>
  <c r="I38" i="89"/>
  <c r="J55" i="74"/>
  <c r="AB55" s="1"/>
  <c r="AN55" s="1"/>
  <c r="L42" i="89"/>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S56" i="74"/>
  <c r="AH56" s="1"/>
  <c r="AT56" s="1"/>
  <c r="O50" i="89"/>
  <c r="M57" i="74"/>
  <c r="AD57" s="1"/>
  <c r="AP57" s="1"/>
  <c r="I25" i="85"/>
  <c r="H38" i="91" s="1"/>
  <c r="S57" i="74"/>
  <c r="AH57" s="1"/>
  <c r="AT57" s="1"/>
  <c r="O96" i="89"/>
  <c r="S60" i="74"/>
  <c r="AH60" s="1"/>
  <c r="AT60" s="1"/>
  <c r="O38" i="89"/>
  <c r="J62" i="74"/>
  <c r="AB62" s="1"/>
  <c r="AN62" s="1"/>
  <c r="R41" i="89"/>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U94" i="89"/>
  <c r="S65" i="74"/>
  <c r="AH65" s="1"/>
  <c r="AT65" s="1"/>
  <c r="U75" i="89"/>
  <c r="P67" i="74"/>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K62" s="1"/>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47"/>
  <c r="V47" s="1"/>
  <c r="AH47" s="1"/>
  <c r="D169" i="91"/>
  <c r="I48" i="92"/>
  <c r="V48" s="1"/>
  <c r="AH48" s="1"/>
  <c r="D170" i="91"/>
  <c r="I49" i="92"/>
  <c r="V49" s="1"/>
  <c r="AH49" s="1"/>
  <c r="D171" i="91"/>
  <c r="I50" i="92"/>
  <c r="V50" s="1"/>
  <c r="AH50" s="1"/>
  <c r="D173" i="91"/>
  <c r="J51" i="92"/>
  <c r="W51" s="1"/>
  <c r="AI51" s="1"/>
  <c r="P46" i="74"/>
  <c r="AF46" s="1"/>
  <c r="AR46" s="1"/>
  <c r="H11" i="83"/>
  <c r="C106" i="91" s="1"/>
  <c r="J7" i="86"/>
  <c r="E62" i="91" s="1"/>
  <c r="J16" i="86"/>
  <c r="E71" i="91" s="1"/>
  <c r="D158"/>
  <c r="V54" i="74"/>
  <c r="AJ54" s="1"/>
  <c r="AV54" s="1"/>
  <c r="N35" i="81"/>
  <c r="I69" i="90" s="1"/>
  <c r="L15" i="83"/>
  <c r="D110" i="91" s="1"/>
  <c r="I27" i="83"/>
  <c r="F8" i="84"/>
  <c r="D6" i="91" s="1"/>
  <c r="M18" i="85"/>
  <c r="M25"/>
  <c r="I38" i="91" s="1"/>
  <c r="M29" i="85"/>
  <c r="I42" i="91" s="1"/>
  <c r="E7" i="87"/>
  <c r="E17"/>
  <c r="F32" i="86"/>
  <c r="G65" i="91" s="1"/>
  <c r="D154"/>
  <c r="S46" i="74"/>
  <c r="AH46" s="1"/>
  <c r="AT46" s="1"/>
  <c r="M26" i="92"/>
  <c r="Z26" s="1"/>
  <c r="AL26" s="1"/>
  <c r="M23"/>
  <c r="Z23" s="1"/>
  <c r="AL23" s="1"/>
  <c r="M22"/>
  <c r="Z22" s="1"/>
  <c r="AL22" s="1"/>
  <c r="M21"/>
  <c r="Z21" s="1"/>
  <c r="AL21" s="1"/>
  <c r="W61" i="74"/>
  <c r="AK61" s="1"/>
  <c r="AW61" s="1"/>
  <c r="U37" i="89"/>
  <c r="J71" i="74"/>
  <c r="AB71" s="1"/>
  <c r="AN71" s="1"/>
  <c r="U79" i="89"/>
  <c r="P71" i="74"/>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K60" s="1"/>
  <c r="G76" i="74"/>
  <c r="Z76" s="1"/>
  <c r="AL76" s="1"/>
  <c r="O61" i="88"/>
  <c r="Q61" s="1"/>
  <c r="J77" i="74"/>
  <c r="AB77" s="1"/>
  <c r="AN77" s="1"/>
  <c r="O62" i="88"/>
  <c r="Q62" s="1"/>
  <c r="J78" i="74"/>
  <c r="AB78" s="1"/>
  <c r="AN78" s="1"/>
  <c r="I25" i="83"/>
  <c r="H36" i="92"/>
  <c r="U36" s="1"/>
  <c r="AG36" s="1"/>
  <c r="I26" i="83"/>
  <c r="H37" i="92"/>
  <c r="U37" s="1"/>
  <c r="AG37" s="1"/>
  <c r="M31" i="83"/>
  <c r="D122" i="91" s="1"/>
  <c r="J41" i="92"/>
  <c r="W41" s="1"/>
  <c r="AI41" s="1"/>
  <c r="C148" i="91"/>
  <c r="G87" i="74"/>
  <c r="Z87" s="1"/>
  <c r="AL87" s="1"/>
  <c r="D156" i="91"/>
  <c r="J95" i="74"/>
  <c r="AB95" s="1"/>
  <c r="AN95" s="1"/>
  <c r="J45" i="92"/>
  <c r="W45" s="1"/>
  <c r="AI45" s="1"/>
  <c r="J46"/>
  <c r="W46" s="1"/>
  <c r="AI46" s="1"/>
  <c r="J47"/>
  <c r="W47" s="1"/>
  <c r="AI47" s="1"/>
  <c r="J48"/>
  <c r="W48" s="1"/>
  <c r="AI48" s="1"/>
  <c r="J49"/>
  <c r="W49" s="1"/>
  <c r="AI49" s="1"/>
  <c r="I101" i="89"/>
  <c r="S55" i="74"/>
  <c r="AH55" s="1"/>
  <c r="AT55" s="1"/>
  <c r="I42" i="89"/>
  <c r="I28" i="92"/>
  <c r="V28" s="1"/>
  <c r="AH28" s="1"/>
  <c r="F41" i="84"/>
  <c r="G17" i="91" s="1"/>
  <c r="M28" i="92"/>
  <c r="Z28" s="1"/>
  <c r="AL28" s="1"/>
  <c r="I43" i="89"/>
  <c r="I29" i="92"/>
  <c r="V29" s="1"/>
  <c r="AH29" s="1"/>
  <c r="I85" i="89"/>
  <c r="M29" i="92"/>
  <c r="Z29" s="1"/>
  <c r="AL29" s="1"/>
  <c r="I127" i="89"/>
  <c r="Q29" i="92"/>
  <c r="AD29" s="1"/>
  <c r="AP29" s="1"/>
  <c r="I44" i="89"/>
  <c r="I30" i="92"/>
  <c r="V30" s="1"/>
  <c r="AH30" s="1"/>
  <c r="O58" i="89"/>
  <c r="M61" i="74"/>
  <c r="AD61" s="1"/>
  <c r="AP61" s="1"/>
  <c r="O101" i="89"/>
  <c r="S62" i="74"/>
  <c r="AH62" s="1"/>
  <c r="AT62" s="1"/>
  <c r="O41" i="89"/>
  <c r="I31" i="92"/>
  <c r="V31" s="1"/>
  <c r="AH31" s="1"/>
  <c r="O83" i="89"/>
  <c r="M31" i="92"/>
  <c r="Z31" s="1"/>
  <c r="AL31" s="1"/>
  <c r="O125" i="89"/>
  <c r="Q31" i="92"/>
  <c r="AD31" s="1"/>
  <c r="AP31" s="1"/>
  <c r="O42" i="89"/>
  <c r="I32" i="92"/>
  <c r="V32" s="1"/>
  <c r="AH32" s="1"/>
  <c r="O84" i="89"/>
  <c r="M32" i="92"/>
  <c r="Z32" s="1"/>
  <c r="AL32" s="1"/>
  <c r="O126" i="89"/>
  <c r="Q32" i="92"/>
  <c r="AD32" s="1"/>
  <c r="AP32" s="1"/>
  <c r="U117" i="89"/>
  <c r="V67" i="74"/>
  <c r="AJ67" s="1"/>
  <c r="AV67" s="1"/>
  <c r="U59" i="89"/>
  <c r="M72" i="74"/>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M48" i="74"/>
  <c r="AD48" s="1"/>
  <c r="AP48" s="1"/>
  <c r="N93" i="77"/>
  <c r="D150" i="90" s="1"/>
  <c r="F29" i="84"/>
  <c r="G5" i="91" s="1"/>
  <c r="O29" i="85"/>
  <c r="I56" i="91" s="1"/>
  <c r="F31" i="86"/>
  <c r="G64" i="91" s="1"/>
  <c r="M54" i="74"/>
  <c r="AD54" s="1"/>
  <c r="AP54" s="1"/>
  <c r="AA10" i="77"/>
  <c r="H40" i="90"/>
  <c r="N10" i="81"/>
  <c r="F65" i="90" s="1"/>
  <c r="J13" i="81"/>
  <c r="E68" i="90" s="1"/>
  <c r="N34" i="81"/>
  <c r="I68" i="90" s="1"/>
  <c r="N94" i="77"/>
  <c r="L10" i="78"/>
  <c r="D104" i="90" s="1"/>
  <c r="L9" i="83"/>
  <c r="D104" i="91" s="1"/>
  <c r="N30" i="84"/>
  <c r="I6" i="91" s="1"/>
  <c r="F38" i="84"/>
  <c r="G14" i="91" s="1"/>
  <c r="I7" i="85"/>
  <c r="E37" i="91" s="1"/>
  <c r="I13" i="85"/>
  <c r="E43" i="91" s="1"/>
  <c r="I28" i="85"/>
  <c r="H41" i="91" s="1"/>
  <c r="J15" i="86"/>
  <c r="E70" i="91" s="1"/>
  <c r="F29" i="86"/>
  <c r="G62" i="91" s="1"/>
  <c r="N37" i="86"/>
  <c r="I70" i="91" s="1"/>
  <c r="E19" i="87"/>
  <c r="U8" i="88"/>
  <c r="W8" s="1"/>
  <c r="N48" i="74" s="1"/>
  <c r="AE48" s="1"/>
  <c r="AQ48" s="1"/>
  <c r="AM11" i="88"/>
  <c r="AO11" s="1"/>
  <c r="I14"/>
  <c r="K14" s="1"/>
  <c r="L16" i="89" s="1"/>
  <c r="Q56" i="74"/>
  <c r="AG56" s="1"/>
  <c r="AS56" s="1"/>
  <c r="R112" i="89"/>
  <c r="Q57" i="74"/>
  <c r="AG57" s="1"/>
  <c r="AS57" s="1"/>
  <c r="K63"/>
  <c r="AC63" s="1"/>
  <c r="AO63" s="1"/>
  <c r="H29" i="86"/>
  <c r="G80" i="91" s="1"/>
  <c r="K71" i="74"/>
  <c r="AC71" s="1"/>
  <c r="AO71" s="1"/>
  <c r="Q71"/>
  <c r="AG71" s="1"/>
  <c r="AS71" s="1"/>
  <c r="W71"/>
  <c r="AK71" s="1"/>
  <c r="AW71" s="1"/>
  <c r="I61" i="88"/>
  <c r="K61" s="1"/>
  <c r="I89"/>
  <c r="K89" s="1"/>
  <c r="H86" i="74" s="1"/>
  <c r="AA86" s="1"/>
  <c r="AM86" s="1"/>
  <c r="O96" i="88"/>
  <c r="Q96" s="1"/>
  <c r="U38" i="89"/>
  <c r="O79"/>
  <c r="O115"/>
  <c r="U122"/>
  <c r="J54" i="74"/>
  <c r="AB54" s="1"/>
  <c r="AN54" s="1"/>
  <c r="M50"/>
  <c r="AD50" s="1"/>
  <c r="AP50" s="1"/>
  <c r="G47"/>
  <c r="Z47" s="1"/>
  <c r="AL47" s="1"/>
  <c r="G20" i="92"/>
  <c r="T20" s="1"/>
  <c r="AF20" s="1"/>
  <c r="J32" i="61"/>
  <c r="H8" i="92"/>
  <c r="U8" s="1"/>
  <c r="AG8" s="1"/>
  <c r="R4"/>
  <c r="AE4" s="1"/>
  <c r="AQ4" s="1"/>
  <c r="N4"/>
  <c r="AA4" s="1"/>
  <c r="AM4" s="1"/>
  <c r="N28" i="61"/>
  <c r="J4" i="92"/>
  <c r="W4" s="1"/>
  <c r="AI4" s="1"/>
  <c r="P11"/>
  <c r="AC11" s="1"/>
  <c r="AO11" s="1"/>
  <c r="J35" i="61"/>
  <c r="H11" i="92"/>
  <c r="U11" s="1"/>
  <c r="AG11" s="1"/>
  <c r="R76" i="56"/>
  <c r="N67" i="96" s="1"/>
  <c r="R26" i="92"/>
  <c r="AE26" s="1"/>
  <c r="AQ26" s="1"/>
  <c r="J76" i="56"/>
  <c r="J67" i="96" s="1"/>
  <c r="N26" i="92"/>
  <c r="AA26" s="1"/>
  <c r="AM26" s="1"/>
  <c r="N34" i="56"/>
  <c r="J26" i="92"/>
  <c r="W26" s="1"/>
  <c r="AI26" s="1"/>
  <c r="R75" i="56"/>
  <c r="R25" i="92"/>
  <c r="AE25" s="1"/>
  <c r="AQ25" s="1"/>
  <c r="J75" i="56"/>
  <c r="N25" i="92"/>
  <c r="AA25" s="1"/>
  <c r="AM25" s="1"/>
  <c r="N33" i="56"/>
  <c r="J25" i="92"/>
  <c r="W25" s="1"/>
  <c r="AI25" s="1"/>
  <c r="R74" i="56"/>
  <c r="R24" i="92"/>
  <c r="AE24" s="1"/>
  <c r="AQ24" s="1"/>
  <c r="J74" i="56"/>
  <c r="N24" i="92"/>
  <c r="AA24" s="1"/>
  <c r="AM24" s="1"/>
  <c r="N32" i="56"/>
  <c r="J24" i="92"/>
  <c r="W24" s="1"/>
  <c r="AI24" s="1"/>
  <c r="R73" i="56"/>
  <c r="N63" i="96" s="1"/>
  <c r="R23" i="92"/>
  <c r="AE23" s="1"/>
  <c r="AQ23" s="1"/>
  <c r="J73" i="56"/>
  <c r="J63" i="96" s="1"/>
  <c r="N23" i="92"/>
  <c r="AA23" s="1"/>
  <c r="AM23" s="1"/>
  <c r="N31" i="56"/>
  <c r="J23" i="92"/>
  <c r="W23" s="1"/>
  <c r="AI23" s="1"/>
  <c r="R72" i="56"/>
  <c r="N62" i="96" s="1"/>
  <c r="R22" i="92"/>
  <c r="AE22" s="1"/>
  <c r="AQ22" s="1"/>
  <c r="J72" i="56"/>
  <c r="J62" i="96" s="1"/>
  <c r="N22" i="92"/>
  <c r="AA22" s="1"/>
  <c r="AM22" s="1"/>
  <c r="N30" i="56"/>
  <c r="J22" i="92"/>
  <c r="W22" s="1"/>
  <c r="AI22" s="1"/>
  <c r="R71" i="56"/>
  <c r="N61" i="96" s="1"/>
  <c r="R21" i="92"/>
  <c r="AE21" s="1"/>
  <c r="AQ21" s="1"/>
  <c r="J71" i="56"/>
  <c r="J61" i="96" s="1"/>
  <c r="N21" i="92"/>
  <c r="AA21" s="1"/>
  <c r="AM21" s="1"/>
  <c r="N29" i="56"/>
  <c r="J21" i="92"/>
  <c r="W21" s="1"/>
  <c r="AI21" s="1"/>
  <c r="J29" i="61"/>
  <c r="H5" i="92"/>
  <c r="U5" s="1"/>
  <c r="AG5" s="1"/>
  <c r="R10"/>
  <c r="AE10" s="1"/>
  <c r="AQ10" s="1"/>
  <c r="N10"/>
  <c r="AA10" s="1"/>
  <c r="AM10" s="1"/>
  <c r="N34" i="61"/>
  <c r="J10" i="92"/>
  <c r="W10" s="1"/>
  <c r="AI10" s="1"/>
  <c r="P9"/>
  <c r="AC9" s="1"/>
  <c r="AO9" s="1"/>
  <c r="R33" i="61"/>
  <c r="L9" i="92"/>
  <c r="Y9" s="1"/>
  <c r="AK9" s="1"/>
  <c r="R8"/>
  <c r="AE8" s="1"/>
  <c r="AQ8" s="1"/>
  <c r="N8"/>
  <c r="AA8" s="1"/>
  <c r="AM8" s="1"/>
  <c r="N32" i="61"/>
  <c r="J8" i="92"/>
  <c r="W8" s="1"/>
  <c r="AI8" s="1"/>
  <c r="P7"/>
  <c r="AC7" s="1"/>
  <c r="AO7" s="1"/>
  <c r="R31" i="61"/>
  <c r="L7" i="92"/>
  <c r="Y7" s="1"/>
  <c r="AK7" s="1"/>
  <c r="R6"/>
  <c r="AE6" s="1"/>
  <c r="AQ6" s="1"/>
  <c r="N6"/>
  <c r="AA6" s="1"/>
  <c r="AM6" s="1"/>
  <c r="N30" i="61"/>
  <c r="J6" i="92"/>
  <c r="W6" s="1"/>
  <c r="AI6" s="1"/>
  <c r="P5"/>
  <c r="AC5" s="1"/>
  <c r="AO5" s="1"/>
  <c r="R29" i="61"/>
  <c r="L5" i="92"/>
  <c r="Y5" s="1"/>
  <c r="AK5" s="1"/>
  <c r="R11"/>
  <c r="AE11" s="1"/>
  <c r="AQ11" s="1"/>
  <c r="N35" i="61"/>
  <c r="J11" i="92"/>
  <c r="W11" s="1"/>
  <c r="AI11" s="1"/>
  <c r="R70" i="56"/>
  <c r="N60" i="96" s="1"/>
  <c r="R20" i="92"/>
  <c r="AE20" s="1"/>
  <c r="AQ20" s="1"/>
  <c r="J70" i="56"/>
  <c r="J60" i="96" s="1"/>
  <c r="N20" i="92"/>
  <c r="AA20" s="1"/>
  <c r="AM20" s="1"/>
  <c r="N28" i="56"/>
  <c r="J20" i="92"/>
  <c r="W20" s="1"/>
  <c r="AI20" s="1"/>
  <c r="R18"/>
  <c r="AE18" s="1"/>
  <c r="AQ18" s="1"/>
  <c r="N18"/>
  <c r="AA18" s="1"/>
  <c r="AM18" s="1"/>
  <c r="N32" i="54"/>
  <c r="J18" i="92"/>
  <c r="W18" s="1"/>
  <c r="AI18" s="1"/>
  <c r="P17"/>
  <c r="AC17" s="1"/>
  <c r="AO17" s="1"/>
  <c r="R31" i="54"/>
  <c r="L17" i="92"/>
  <c r="Y17" s="1"/>
  <c r="AK17" s="1"/>
  <c r="R16"/>
  <c r="AE16" s="1"/>
  <c r="AQ16" s="1"/>
  <c r="N16"/>
  <c r="AA16" s="1"/>
  <c r="AM16" s="1"/>
  <c r="N30" i="54"/>
  <c r="J16" i="92"/>
  <c r="W16" s="1"/>
  <c r="AI16" s="1"/>
  <c r="R14"/>
  <c r="AE14" s="1"/>
  <c r="AQ14" s="1"/>
  <c r="N14"/>
  <c r="AA14" s="1"/>
  <c r="AM14" s="1"/>
  <c r="N28" i="54"/>
  <c r="J14" i="92"/>
  <c r="W14" s="1"/>
  <c r="AI14" s="1"/>
  <c r="P13"/>
  <c r="AC13" s="1"/>
  <c r="AO13" s="1"/>
  <c r="R27" i="54"/>
  <c r="L13" i="92"/>
  <c r="Y13" s="1"/>
  <c r="AK13" s="1"/>
  <c r="J28" i="54"/>
  <c r="H14" i="92"/>
  <c r="U14" s="1"/>
  <c r="AG14" s="1"/>
  <c r="P14" i="74"/>
  <c r="AF14" s="1"/>
  <c r="AR14" s="1"/>
  <c r="J34" i="61"/>
  <c r="H10" i="92"/>
  <c r="U10" s="1"/>
  <c r="AG10" s="1"/>
  <c r="J30" i="61"/>
  <c r="H6" i="92"/>
  <c r="U6" s="1"/>
  <c r="AG6" s="1"/>
  <c r="P4"/>
  <c r="AC4" s="1"/>
  <c r="AO4" s="1"/>
  <c r="R28" i="61"/>
  <c r="L4" i="92"/>
  <c r="Y4" s="1"/>
  <c r="AK4" s="1"/>
  <c r="J28" i="61"/>
  <c r="H4" i="92"/>
  <c r="U4" s="1"/>
  <c r="AG4" s="1"/>
  <c r="R35" i="61"/>
  <c r="L11" i="92"/>
  <c r="Y11" s="1"/>
  <c r="AK11" s="1"/>
  <c r="N76" i="56"/>
  <c r="P26" i="92"/>
  <c r="AC26" s="1"/>
  <c r="AO26" s="1"/>
  <c r="R34" i="56"/>
  <c r="N32" i="96" s="1"/>
  <c r="L26" i="92"/>
  <c r="Y26" s="1"/>
  <c r="AK26" s="1"/>
  <c r="J34" i="56"/>
  <c r="J32" i="96" s="1"/>
  <c r="H26" i="92"/>
  <c r="U26" s="1"/>
  <c r="AG26" s="1"/>
  <c r="N75" i="56"/>
  <c r="P25" i="92"/>
  <c r="AC25" s="1"/>
  <c r="AO25" s="1"/>
  <c r="R33" i="56"/>
  <c r="L25" i="92"/>
  <c r="Y25" s="1"/>
  <c r="AK25" s="1"/>
  <c r="J33" i="56"/>
  <c r="H25" i="92"/>
  <c r="U25" s="1"/>
  <c r="AG25" s="1"/>
  <c r="N74" i="56"/>
  <c r="P24" i="92"/>
  <c r="AC24" s="1"/>
  <c r="AO24" s="1"/>
  <c r="R32" i="56"/>
  <c r="L24" i="92"/>
  <c r="Y24" s="1"/>
  <c r="AK24" s="1"/>
  <c r="J32" i="56"/>
  <c r="H24" i="92"/>
  <c r="U24" s="1"/>
  <c r="AG24" s="1"/>
  <c r="N73" i="56"/>
  <c r="P23" i="92"/>
  <c r="AC23" s="1"/>
  <c r="AO23" s="1"/>
  <c r="R31" i="56"/>
  <c r="N28" i="96" s="1"/>
  <c r="L23" i="92"/>
  <c r="Y23" s="1"/>
  <c r="AK23" s="1"/>
  <c r="J31" i="56"/>
  <c r="J28" i="96" s="1"/>
  <c r="H23" i="92"/>
  <c r="U23" s="1"/>
  <c r="AG23" s="1"/>
  <c r="N72" i="56"/>
  <c r="P22" i="92"/>
  <c r="AC22" s="1"/>
  <c r="AO22" s="1"/>
  <c r="R30" i="56"/>
  <c r="N27" i="96" s="1"/>
  <c r="L22" i="92"/>
  <c r="Y22" s="1"/>
  <c r="AK22" s="1"/>
  <c r="J30" i="56"/>
  <c r="J27" i="96" s="1"/>
  <c r="H22" i="92"/>
  <c r="U22" s="1"/>
  <c r="AG22" s="1"/>
  <c r="N71" i="56"/>
  <c r="P21" i="92"/>
  <c r="AC21" s="1"/>
  <c r="AO21" s="1"/>
  <c r="R29" i="56"/>
  <c r="N26" i="96" s="1"/>
  <c r="L21" i="92"/>
  <c r="Y21" s="1"/>
  <c r="AK21" s="1"/>
  <c r="J29" i="56"/>
  <c r="J26" i="96" s="1"/>
  <c r="H21" i="92"/>
  <c r="U21" s="1"/>
  <c r="AG21" s="1"/>
  <c r="J31" i="61"/>
  <c r="H7" i="92"/>
  <c r="U7" s="1"/>
  <c r="AG7" s="1"/>
  <c r="P10"/>
  <c r="AC10" s="1"/>
  <c r="AO10" s="1"/>
  <c r="R34" i="61"/>
  <c r="L10" i="92"/>
  <c r="Y10" s="1"/>
  <c r="AK10" s="1"/>
  <c r="R9"/>
  <c r="AE9" s="1"/>
  <c r="AQ9" s="1"/>
  <c r="N9"/>
  <c r="AA9" s="1"/>
  <c r="AM9" s="1"/>
  <c r="N33" i="61"/>
  <c r="J9" i="92"/>
  <c r="W9" s="1"/>
  <c r="AI9" s="1"/>
  <c r="P8"/>
  <c r="AC8" s="1"/>
  <c r="AO8" s="1"/>
  <c r="R32" i="61"/>
  <c r="L8" i="92"/>
  <c r="Y8" s="1"/>
  <c r="AK8" s="1"/>
  <c r="R7"/>
  <c r="AE7" s="1"/>
  <c r="AQ7" s="1"/>
  <c r="N7"/>
  <c r="AA7" s="1"/>
  <c r="AM7" s="1"/>
  <c r="N31" i="61"/>
  <c r="J7" i="92"/>
  <c r="W7" s="1"/>
  <c r="AI7" s="1"/>
  <c r="P6"/>
  <c r="AC6" s="1"/>
  <c r="AO6" s="1"/>
  <c r="R30" i="61"/>
  <c r="L6" i="92"/>
  <c r="Y6" s="1"/>
  <c r="AK6" s="1"/>
  <c r="R5"/>
  <c r="AE5" s="1"/>
  <c r="AQ5" s="1"/>
  <c r="N5"/>
  <c r="AA5" s="1"/>
  <c r="AM5" s="1"/>
  <c r="N29" i="61"/>
  <c r="J5" i="92"/>
  <c r="W5" s="1"/>
  <c r="AI5" s="1"/>
  <c r="N11"/>
  <c r="AA11" s="1"/>
  <c r="AM11" s="1"/>
  <c r="N70" i="56"/>
  <c r="P20" i="92"/>
  <c r="AC20" s="1"/>
  <c r="AO20" s="1"/>
  <c r="R28" i="56"/>
  <c r="N25" i="96" s="1"/>
  <c r="L20" i="92"/>
  <c r="Y20" s="1"/>
  <c r="AK20" s="1"/>
  <c r="J28" i="56"/>
  <c r="J25" i="96" s="1"/>
  <c r="H20" i="92"/>
  <c r="U20" s="1"/>
  <c r="AG20" s="1"/>
  <c r="R33" i="54"/>
  <c r="L19" i="92"/>
  <c r="Y19" s="1"/>
  <c r="AK19" s="1"/>
  <c r="R17"/>
  <c r="AE17" s="1"/>
  <c r="AQ17" s="1"/>
  <c r="N17"/>
  <c r="AA17" s="1"/>
  <c r="AM17" s="1"/>
  <c r="N15"/>
  <c r="AA15" s="1"/>
  <c r="AM15" s="1"/>
  <c r="R13"/>
  <c r="AE13" s="1"/>
  <c r="AQ13" s="1"/>
  <c r="N13"/>
  <c r="AA13" s="1"/>
  <c r="AM13" s="1"/>
  <c r="N27" i="54"/>
  <c r="J13" i="92"/>
  <c r="W13" s="1"/>
  <c r="AI13" s="1"/>
  <c r="U30" i="89"/>
  <c r="J64" i="74"/>
  <c r="AB64" s="1"/>
  <c r="AN64" s="1"/>
  <c r="U72" i="89"/>
  <c r="P64" i="74"/>
  <c r="AF64" s="1"/>
  <c r="AR64" s="1"/>
  <c r="U114" i="89"/>
  <c r="V64" i="74"/>
  <c r="AJ64" s="1"/>
  <c r="AV64" s="1"/>
  <c r="U51" i="89"/>
  <c r="M64" i="74"/>
  <c r="AD64" s="1"/>
  <c r="AP64" s="1"/>
  <c r="U93" i="89"/>
  <c r="S64" i="74"/>
  <c r="AH64" s="1"/>
  <c r="AT64" s="1"/>
  <c r="N8" i="86"/>
  <c r="F63" i="91" s="1"/>
  <c r="J30" i="86"/>
  <c r="H63" i="91" s="1"/>
  <c r="X114" i="89"/>
  <c r="R35" i="56"/>
  <c r="N33" i="96" s="1"/>
  <c r="L27" i="92"/>
  <c r="Y27" s="1"/>
  <c r="AK27" s="1"/>
  <c r="N77" i="56"/>
  <c r="P27" i="92"/>
  <c r="AC27" s="1"/>
  <c r="AO27" s="1"/>
  <c r="J35" i="56"/>
  <c r="J33" i="96" s="1"/>
  <c r="H27" i="92"/>
  <c r="U27" s="1"/>
  <c r="AG27" s="1"/>
  <c r="R77" i="56"/>
  <c r="N68" i="96" s="1"/>
  <c r="R27" i="92"/>
  <c r="AE27" s="1"/>
  <c r="AQ27" s="1"/>
  <c r="N35" i="56"/>
  <c r="J27" i="92"/>
  <c r="W27" s="1"/>
  <c r="AI27" s="1"/>
  <c r="J77" i="56"/>
  <c r="J68" i="96" s="1"/>
  <c r="N27" i="92"/>
  <c r="AA27" s="1"/>
  <c r="AM27" s="1"/>
  <c r="U9" i="89"/>
  <c r="F8" i="86"/>
  <c r="D63" i="91" s="1"/>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U17" i="89"/>
  <c r="G72" i="74"/>
  <c r="Z72" s="1"/>
  <c r="AL72" s="1"/>
  <c r="U16" i="89"/>
  <c r="G71" i="74"/>
  <c r="Z71" s="1"/>
  <c r="AL71" s="1"/>
  <c r="F11" i="86"/>
  <c r="D66" i="91" s="1"/>
  <c r="G67" i="74"/>
  <c r="Z67" s="1"/>
  <c r="AL67" s="1"/>
  <c r="G65"/>
  <c r="Z65" s="1"/>
  <c r="AL65" s="1"/>
  <c r="F9" i="86"/>
  <c r="D64" i="91" s="1"/>
  <c r="U10" i="89"/>
  <c r="G63" i="74"/>
  <c r="Z63" s="1"/>
  <c r="AL63" s="1"/>
  <c r="E13" i="85"/>
  <c r="D43" i="91" s="1"/>
  <c r="G62" i="74"/>
  <c r="Z62" s="1"/>
  <c r="AL62" s="1"/>
  <c r="O16" i="89"/>
  <c r="G61" i="74"/>
  <c r="Z61" s="1"/>
  <c r="AL61" s="1"/>
  <c r="E12" i="85"/>
  <c r="D42" i="91" s="1"/>
  <c r="O8" i="89"/>
  <c r="G57" i="74"/>
  <c r="Z57" s="1"/>
  <c r="AL57" s="1"/>
  <c r="I13" i="88"/>
  <c r="G51" i="74"/>
  <c r="Z51" s="1"/>
  <c r="AL51" s="1"/>
  <c r="I13" i="89"/>
  <c r="J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I21" i="89"/>
  <c r="G28" i="92"/>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E27" i="87"/>
  <c r="E31"/>
  <c r="D168" i="91"/>
  <c r="E24" i="87"/>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I8" s="1"/>
  <c r="AF9"/>
  <c r="C49" i="104" s="1"/>
  <c r="I96" i="89"/>
  <c r="S50" i="74"/>
  <c r="AH50" s="1"/>
  <c r="AT50" s="1"/>
  <c r="P53"/>
  <c r="AF53" s="1"/>
  <c r="AR53" s="1"/>
  <c r="F36" i="84"/>
  <c r="G12" i="91" s="1"/>
  <c r="I73" i="89"/>
  <c r="P48" i="74"/>
  <c r="AF48" s="1"/>
  <c r="AR48" s="1"/>
  <c r="F31" i="84"/>
  <c r="G7" i="91" s="1"/>
  <c r="Z9" i="88"/>
  <c r="AA8"/>
  <c r="AC8" s="1"/>
  <c r="Q48" i="74" s="1"/>
  <c r="AG48" s="1"/>
  <c r="AS48" s="1"/>
  <c r="J53"/>
  <c r="AB53" s="1"/>
  <c r="AN53" s="1"/>
  <c r="J14" i="84"/>
  <c r="E12" i="91" s="1"/>
  <c r="I10" i="89"/>
  <c r="F9" i="84"/>
  <c r="D7" i="91" s="1"/>
  <c r="G48" i="74"/>
  <c r="Z48" s="1"/>
  <c r="AL48" s="1"/>
  <c r="I8" i="88"/>
  <c r="K8" s="1"/>
  <c r="H48" i="74" s="1"/>
  <c r="AA48" s="1"/>
  <c r="AM48" s="1"/>
  <c r="AM13" i="88"/>
  <c r="V53" i="74"/>
  <c r="AJ53" s="1"/>
  <c r="AV53" s="1"/>
  <c r="N36" i="84"/>
  <c r="I12" i="91" s="1"/>
  <c r="I8" i="89"/>
  <c r="S47" i="74"/>
  <c r="AH47" s="1"/>
  <c r="AT47" s="1"/>
  <c r="J14" i="79"/>
  <c r="E12" i="90" s="1"/>
  <c r="F11" i="84"/>
  <c r="D9" i="91" s="1"/>
  <c r="V48" i="74"/>
  <c r="AJ48" s="1"/>
  <c r="AV48" s="1"/>
  <c r="J48"/>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W7" s="1"/>
  <c r="AL9"/>
  <c r="U11"/>
  <c r="W11" s="1"/>
  <c r="N51" i="74" s="1"/>
  <c r="AE51" s="1"/>
  <c r="AQ51" s="1"/>
  <c r="AA14" i="88"/>
  <c r="AC14" s="1"/>
  <c r="L79" i="89" s="1"/>
  <c r="AM14" i="88"/>
  <c r="AO14" s="1"/>
  <c r="S54" i="74"/>
  <c r="AH54" s="1"/>
  <c r="AT54" s="1"/>
  <c r="G54"/>
  <c r="Z54" s="1"/>
  <c r="AL54" s="1"/>
  <c r="G50"/>
  <c r="Z50" s="1"/>
  <c r="AL50" s="1"/>
  <c r="M47"/>
  <c r="AD47" s="1"/>
  <c r="AP47" s="1"/>
  <c r="G46"/>
  <c r="Z46" s="1"/>
  <c r="AL46" s="1"/>
  <c r="H12" i="77"/>
  <c r="F13" i="79" s="1"/>
  <c r="D11" i="90" s="1"/>
  <c r="J9" i="84"/>
  <c r="E7" i="91" s="1"/>
  <c r="J16" i="84"/>
  <c r="E14" i="91" s="1"/>
  <c r="J30" i="84"/>
  <c r="H6" i="91" s="1"/>
  <c r="J38" i="84"/>
  <c r="H14" i="91" s="1"/>
  <c r="I6" i="88"/>
  <c r="K6" s="1"/>
  <c r="AG7"/>
  <c r="AI7" s="1"/>
  <c r="T47" i="74" s="1"/>
  <c r="AI47" s="1"/>
  <c r="AU47" s="1"/>
  <c r="O8" i="88"/>
  <c r="Q8" s="1"/>
  <c r="K48" i="74" s="1"/>
  <c r="AC48" s="1"/>
  <c r="AO48" s="1"/>
  <c r="AM8" i="88"/>
  <c r="AO8" s="1"/>
  <c r="I12" i="89"/>
  <c r="I54"/>
  <c r="M46" i="74"/>
  <c r="AD46" s="1"/>
  <c r="AP46" s="1"/>
  <c r="P54"/>
  <c r="AF54" s="1"/>
  <c r="AR54" s="1"/>
  <c r="J51"/>
  <c r="AB51" s="1"/>
  <c r="AN51" s="1"/>
  <c r="V47"/>
  <c r="AJ47" s="1"/>
  <c r="AV47" s="1"/>
  <c r="J47"/>
  <c r="AB47" s="1"/>
  <c r="AN47" s="1"/>
  <c r="I34" i="85"/>
  <c r="I33"/>
  <c r="E34"/>
  <c r="N20" i="86"/>
  <c r="F41"/>
  <c r="N41"/>
  <c r="J42"/>
  <c r="F43"/>
  <c r="N43"/>
  <c r="F42" i="84"/>
  <c r="G18" i="91" s="1"/>
  <c r="N19" i="84"/>
  <c r="F17" i="91" s="1"/>
  <c r="N21" i="84"/>
  <c r="F19" i="91" s="1"/>
  <c r="H72" i="88"/>
  <c r="H72" i="77"/>
  <c r="W72" s="1"/>
  <c r="H22" i="83"/>
  <c r="H17"/>
  <c r="H20"/>
  <c r="L20" s="1"/>
  <c r="H70" i="88"/>
  <c r="T70" s="1"/>
  <c r="H70" i="77"/>
  <c r="H18" i="83"/>
  <c r="H69" i="88"/>
  <c r="T69" s="1"/>
  <c r="H69" i="77"/>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G39"/>
  <c r="I39"/>
  <c r="C147"/>
  <c r="I90" i="77"/>
  <c r="K90" s="1"/>
  <c r="E8" i="82"/>
  <c r="D182" i="91"/>
  <c r="D181" i="90"/>
  <c r="C154"/>
  <c r="D155"/>
  <c r="O98" i="77"/>
  <c r="Q98" s="1"/>
  <c r="I113" i="89"/>
  <c r="AM6" i="88"/>
  <c r="AO6" s="1"/>
  <c r="N29" i="84"/>
  <c r="I5" i="91" s="1"/>
  <c r="I75" i="89"/>
  <c r="AA10" i="88"/>
  <c r="F33" i="84"/>
  <c r="G9" i="91" s="1"/>
  <c r="O33" i="89"/>
  <c r="O75"/>
  <c r="E28" i="85"/>
  <c r="G41" i="91" s="1"/>
  <c r="O117" i="89"/>
  <c r="M28" i="85"/>
  <c r="I41" i="91" s="1"/>
  <c r="O80" i="89"/>
  <c r="E30" i="85"/>
  <c r="G43" i="91" s="1"/>
  <c r="L29" i="86"/>
  <c r="H80" i="91" s="1"/>
  <c r="U31" i="89"/>
  <c r="K65" i="74"/>
  <c r="AC65" s="1"/>
  <c r="AO65" s="1"/>
  <c r="J9" i="86"/>
  <c r="E64" i="91" s="1"/>
  <c r="F36" i="86"/>
  <c r="G69" i="91" s="1"/>
  <c r="N36" i="86"/>
  <c r="I69" i="91" s="1"/>
  <c r="L7" i="83"/>
  <c r="D102" i="91" s="1"/>
  <c r="L8" i="83"/>
  <c r="D103" i="91" s="1"/>
  <c r="D147"/>
  <c r="O89" i="88"/>
  <c r="Q89" s="1"/>
  <c r="O92"/>
  <c r="Q92" s="1"/>
  <c r="D150" i="91"/>
  <c r="N30" i="79"/>
  <c r="I7" i="90" s="1"/>
  <c r="AM8" i="77"/>
  <c r="AO8" s="1"/>
  <c r="P30" i="79" s="1"/>
  <c r="I25" i="90" s="1"/>
  <c r="F35" i="79"/>
  <c r="G12" i="90" s="1"/>
  <c r="AA13" i="77"/>
  <c r="AM13"/>
  <c r="N35" i="79"/>
  <c r="I12" i="90" s="1"/>
  <c r="F30" i="81"/>
  <c r="G64" i="90" s="1"/>
  <c r="H30" i="81"/>
  <c r="G82" i="90" s="1"/>
  <c r="D147"/>
  <c r="O90" i="77"/>
  <c r="Q90" s="1"/>
  <c r="D149" i="90"/>
  <c r="O92" i="77"/>
  <c r="Q92" s="1"/>
  <c r="C151" i="90"/>
  <c r="E12" i="82"/>
  <c r="I94" i="77"/>
  <c r="K94" s="1"/>
  <c r="D184" i="91"/>
  <c r="D183" i="90"/>
  <c r="L92" i="89"/>
  <c r="L29" i="84"/>
  <c r="H23" i="91" s="1"/>
  <c r="I72" i="89"/>
  <c r="AA7" i="88"/>
  <c r="AC7" s="1"/>
  <c r="Q47" i="74" s="1"/>
  <c r="AG47" s="1"/>
  <c r="AS47" s="1"/>
  <c r="F30" i="84"/>
  <c r="G6" i="91" s="1"/>
  <c r="I117" i="89"/>
  <c r="AM10" i="88"/>
  <c r="N33" i="84"/>
  <c r="I9" i="91" s="1"/>
  <c r="I122" i="89"/>
  <c r="N38" i="84"/>
  <c r="I14" i="91" s="1"/>
  <c r="O60" i="88"/>
  <c r="Q60" s="1"/>
  <c r="L10" i="83"/>
  <c r="D105" i="91" s="1"/>
  <c r="O90" i="88"/>
  <c r="Q90" s="1"/>
  <c r="D148" i="91"/>
  <c r="T9" i="77"/>
  <c r="N97"/>
  <c r="L7" i="78"/>
  <c r="D101" i="90" s="1"/>
  <c r="L9" i="78"/>
  <c r="D103" i="90" s="1"/>
  <c r="L11" i="78"/>
  <c r="D105" i="90" s="1"/>
  <c r="L13" i="78"/>
  <c r="D107" i="90" s="1"/>
  <c r="F7" i="79"/>
  <c r="D5" i="90" s="1"/>
  <c r="J8" i="79"/>
  <c r="E6" i="90" s="1"/>
  <c r="N9" i="79"/>
  <c r="F7" i="90" s="1"/>
  <c r="F11" i="79"/>
  <c r="D9" i="90" s="1"/>
  <c r="N11" i="79"/>
  <c r="F9" i="90" s="1"/>
  <c r="N12" i="79"/>
  <c r="F10" i="90" s="1"/>
  <c r="F14" i="79"/>
  <c r="D12" i="90" s="1"/>
  <c r="N14" i="79"/>
  <c r="F12" i="90" s="1"/>
  <c r="N15" i="79"/>
  <c r="F13" i="90" s="1"/>
  <c r="G37"/>
  <c r="I38"/>
  <c r="G42"/>
  <c r="J8" i="81"/>
  <c r="E63" i="90" s="1"/>
  <c r="F11" i="81"/>
  <c r="D66" i="90" s="1"/>
  <c r="F15" i="81"/>
  <c r="D70" i="90" s="1"/>
  <c r="J28" i="81"/>
  <c r="H62" i="90" s="1"/>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5" i="77"/>
  <c r="G7" i="80" s="1"/>
  <c r="D51" i="90" s="1"/>
  <c r="O7" i="80"/>
  <c r="F51" i="90" s="1"/>
  <c r="H51"/>
  <c r="K26" i="77"/>
  <c r="G8" i="80" s="1"/>
  <c r="D52" i="90" s="1"/>
  <c r="O8" i="80"/>
  <c r="F52" i="90" s="1"/>
  <c r="H52"/>
  <c r="H53"/>
  <c r="K30" i="77"/>
  <c r="G12" i="80" s="1"/>
  <c r="D56" i="90" s="1"/>
  <c r="O12" i="80"/>
  <c r="F56" i="90" s="1"/>
  <c r="H56"/>
  <c r="L7" i="81"/>
  <c r="E80" i="90" s="1"/>
  <c r="H28" i="81"/>
  <c r="G80" i="90" s="1"/>
  <c r="P28" i="81"/>
  <c r="I80" i="90" s="1"/>
  <c r="H29" i="81"/>
  <c r="G81" i="90" s="1"/>
  <c r="P29" i="81"/>
  <c r="I81" i="90" s="1"/>
  <c r="P15" i="81"/>
  <c r="F88" i="90" s="1"/>
  <c r="L36" i="81"/>
  <c r="H88" i="90" s="1"/>
  <c r="H11" i="78"/>
  <c r="C105" i="90" s="1"/>
  <c r="H13" i="78"/>
  <c r="C107" i="90" s="1"/>
  <c r="J9" i="79"/>
  <c r="E7" i="90" s="1"/>
  <c r="J12" i="79"/>
  <c r="E10" i="90" s="1"/>
  <c r="G38"/>
  <c r="N7" i="81"/>
  <c r="F62" i="90" s="1"/>
  <c r="N11" i="81"/>
  <c r="F66" i="90" s="1"/>
  <c r="J30" i="81"/>
  <c r="H64" i="90" s="1"/>
  <c r="J32" i="81"/>
  <c r="H66" i="90" s="1"/>
  <c r="N33" i="81"/>
  <c r="I67" i="90" s="1"/>
  <c r="J14" i="86"/>
  <c r="E69" i="91" s="1"/>
  <c r="H71" i="88"/>
  <c r="H71" i="77"/>
  <c r="W71" s="1"/>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I28" i="77"/>
  <c r="M9" i="80"/>
  <c r="F39" i="90" s="1"/>
  <c r="F12" i="81"/>
  <c r="D67" i="90" s="1"/>
  <c r="N12" i="81"/>
  <c r="F67" i="90" s="1"/>
  <c r="J33" i="81"/>
  <c r="H67" i="90" s="1"/>
  <c r="C146"/>
  <c r="I89" i="77"/>
  <c r="K89" s="1"/>
  <c r="E7" i="82"/>
  <c r="I91" i="77"/>
  <c r="K91" s="1"/>
  <c r="E9" i="82"/>
  <c r="C148" i="90"/>
  <c r="D149" i="91"/>
  <c r="O91" i="88"/>
  <c r="Q91" s="1"/>
  <c r="F30" i="79"/>
  <c r="G7" i="90" s="1"/>
  <c r="AA8" i="77"/>
  <c r="AC8" s="1"/>
  <c r="H30" i="79" s="1"/>
  <c r="G25" i="90" s="1"/>
  <c r="AM9" i="77"/>
  <c r="AO9" s="1"/>
  <c r="P31" i="79" s="1"/>
  <c r="I26" i="90" s="1"/>
  <c r="I11" i="80"/>
  <c r="E41" i="90" s="1"/>
  <c r="G41"/>
  <c r="I41"/>
  <c r="J9" i="81"/>
  <c r="E64" i="90" s="1"/>
  <c r="L9" i="81"/>
  <c r="E82" i="90" s="1"/>
  <c r="N30" i="81"/>
  <c r="I64" i="90" s="1"/>
  <c r="P30" i="81"/>
  <c r="I82" i="90" s="1"/>
  <c r="D146"/>
  <c r="O89" i="77"/>
  <c r="Q89" s="1"/>
  <c r="D148" i="90"/>
  <c r="O91" i="77"/>
  <c r="Q91" s="1"/>
  <c r="D180" i="91"/>
  <c r="D179" i="90"/>
  <c r="D153"/>
  <c r="O96" i="77"/>
  <c r="Q96" s="1"/>
  <c r="C155" i="90"/>
  <c r="E16" i="82"/>
  <c r="I98" i="77"/>
  <c r="K98" s="1"/>
  <c r="I29" i="89"/>
  <c r="O6" i="88"/>
  <c r="Q6" s="1"/>
  <c r="K46" i="74" s="1"/>
  <c r="AC46" s="1"/>
  <c r="AO46" s="1"/>
  <c r="J7" i="84"/>
  <c r="E5" i="91" s="1"/>
  <c r="I33" i="89"/>
  <c r="O10" i="88"/>
  <c r="J11" i="84"/>
  <c r="E9" i="91" s="1"/>
  <c r="U115" i="89"/>
  <c r="N31" i="86"/>
  <c r="I64" i="91" s="1"/>
  <c r="L12" i="86"/>
  <c r="E85" i="91" s="1"/>
  <c r="F9" i="79"/>
  <c r="D7" i="90" s="1"/>
  <c r="F12" i="79"/>
  <c r="D10" i="90" s="1"/>
  <c r="F15" i="79"/>
  <c r="D13" i="90" s="1"/>
  <c r="I37"/>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53"/>
  <c r="I53"/>
  <c r="K12" i="80"/>
  <c r="E56" i="90" s="1"/>
  <c r="I56"/>
  <c r="H8" i="81"/>
  <c r="D81" i="90" s="1"/>
  <c r="P8" i="81"/>
  <c r="F81" i="90" s="1"/>
  <c r="L29" i="81"/>
  <c r="H81" i="90" s="1"/>
  <c r="L12" i="81"/>
  <c r="E85" i="90" s="1"/>
  <c r="H33" i="81"/>
  <c r="G85" i="90" s="1"/>
  <c r="P33" i="81"/>
  <c r="I85" i="90" s="1"/>
  <c r="L13" i="81"/>
  <c r="E86" i="90" s="1"/>
  <c r="L15" i="81"/>
  <c r="E88" i="90" s="1"/>
  <c r="H36" i="81"/>
  <c r="G88" i="90" s="1"/>
  <c r="P36" i="81"/>
  <c r="I88" i="90" s="1"/>
  <c r="H8" i="78"/>
  <c r="C102" i="90" s="1"/>
  <c r="H10" i="78"/>
  <c r="C104" i="90" s="1"/>
  <c r="H12" i="78"/>
  <c r="C106" i="90" s="1"/>
  <c r="H39"/>
  <c r="F9" i="81"/>
  <c r="D64" i="90" s="1"/>
  <c r="J12" i="81"/>
  <c r="E67" i="90" s="1"/>
  <c r="J14" i="81"/>
  <c r="E69" i="90" s="1"/>
  <c r="F35" i="81"/>
  <c r="G69" i="90" s="1"/>
  <c r="P7" i="86"/>
  <c r="F80" i="91" s="1"/>
  <c r="N16" i="86"/>
  <c r="F71"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F12" i="84"/>
  <c r="D10" i="91" s="1"/>
  <c r="I55" i="89"/>
  <c r="T12" i="88"/>
  <c r="C11" i="108" s="1"/>
  <c r="I11" s="1"/>
  <c r="Q11" s="1"/>
  <c r="N12" i="84"/>
  <c r="F10" i="91" s="1"/>
  <c r="I97" i="89"/>
  <c r="AF12" i="88"/>
  <c r="C52" i="104" s="1"/>
  <c r="I15" i="89"/>
  <c r="F14" i="84"/>
  <c r="D12" i="91" s="1"/>
  <c r="I57" i="89"/>
  <c r="N14" i="84"/>
  <c r="F12" i="91" s="1"/>
  <c r="I17" i="89"/>
  <c r="F16" i="84"/>
  <c r="D14" i="91" s="1"/>
  <c r="I84" i="89"/>
  <c r="I126"/>
  <c r="N41" i="84"/>
  <c r="I17" i="91" s="1"/>
  <c r="I86" i="89"/>
  <c r="F43" i="84"/>
  <c r="G19" i="91" s="1"/>
  <c r="I128" i="89"/>
  <c r="N43" i="84"/>
  <c r="I19" i="91" s="1"/>
  <c r="O70" i="89"/>
  <c r="E24" i="85"/>
  <c r="G37" i="91" s="1"/>
  <c r="O112" i="89"/>
  <c r="M24" i="85"/>
  <c r="I37" i="91" s="1"/>
  <c r="O29" i="89"/>
  <c r="I8" i="85"/>
  <c r="E38" i="91" s="1"/>
  <c r="O71" i="89"/>
  <c r="O31"/>
  <c r="O73"/>
  <c r="E26" i="85"/>
  <c r="G39" i="91" s="1"/>
  <c r="M26" i="85"/>
  <c r="I39" i="91" s="1"/>
  <c r="O59" i="89"/>
  <c r="M13" i="85"/>
  <c r="F43" i="91" s="1"/>
  <c r="O63" i="89"/>
  <c r="M17" i="85"/>
  <c r="V69" i="74"/>
  <c r="AJ69" s="1"/>
  <c r="AV69" s="1"/>
  <c r="C180" i="91"/>
  <c r="G11" i="87"/>
  <c r="H94" i="88"/>
  <c r="H95"/>
  <c r="G11" i="82"/>
  <c r="G13"/>
  <c r="G15"/>
  <c r="N8" i="84"/>
  <c r="F6" i="91" s="1"/>
  <c r="N37" i="84"/>
  <c r="I13" i="91" s="1"/>
  <c r="M12" i="85"/>
  <c r="F42" i="91" s="1"/>
  <c r="I24" i="85"/>
  <c r="H37" i="91" s="1"/>
  <c r="N15" i="86"/>
  <c r="F70" i="91" s="1"/>
  <c r="N29" i="86"/>
  <c r="I62" i="91" s="1"/>
  <c r="F33" i="86"/>
  <c r="G66" i="91" s="1"/>
  <c r="J34" i="86"/>
  <c r="H67" i="91" s="1"/>
  <c r="AA6" i="88"/>
  <c r="AC6" s="1"/>
  <c r="Q46" i="74" s="1"/>
  <c r="AG46" s="1"/>
  <c r="AS46" s="1"/>
  <c r="AM7" i="88"/>
  <c r="AO7" s="1"/>
  <c r="H9"/>
  <c r="N9"/>
  <c r="T9"/>
  <c r="C8" i="108" s="1"/>
  <c r="I8" s="1"/>
  <c r="Q8" s="1"/>
  <c r="C66" i="104"/>
  <c r="O98" i="88"/>
  <c r="Q98" s="1"/>
  <c r="O37" i="89"/>
  <c r="I50"/>
  <c r="I93" i="91"/>
  <c r="I30" i="89"/>
  <c r="J8" i="84"/>
  <c r="E6" i="91" s="1"/>
  <c r="I36" i="89"/>
  <c r="O13" i="88"/>
  <c r="I78" i="89"/>
  <c r="AA13" i="88"/>
  <c r="O122" i="89"/>
  <c r="M30" i="85"/>
  <c r="I43" i="91" s="1"/>
  <c r="U73" i="89"/>
  <c r="Q65" i="74"/>
  <c r="AG65" s="1"/>
  <c r="AS65" s="1"/>
  <c r="U33" i="89"/>
  <c r="J11" i="86"/>
  <c r="E66" i="91" s="1"/>
  <c r="X16" i="89"/>
  <c r="H15" i="86"/>
  <c r="D88" i="91" s="1"/>
  <c r="U100" i="89"/>
  <c r="T71" i="74"/>
  <c r="AI71" s="1"/>
  <c r="AU71" s="1"/>
  <c r="D152" i="91"/>
  <c r="O94" i="88"/>
  <c r="Q94" s="1"/>
  <c r="E91" i="90"/>
  <c r="D31" i="89"/>
  <c r="I91" i="90"/>
  <c r="I91" i="91"/>
  <c r="G92" i="90"/>
  <c r="D76" i="89"/>
  <c r="E93" i="90"/>
  <c r="E93" i="91"/>
  <c r="G94" i="90"/>
  <c r="G94" i="91"/>
  <c r="I34" i="89"/>
  <c r="N12" i="88"/>
  <c r="I76" i="89"/>
  <c r="Z12" i="88"/>
  <c r="I118" i="89"/>
  <c r="AL12" i="88"/>
  <c r="I37" i="89"/>
  <c r="J15" i="84"/>
  <c r="E13" i="91" s="1"/>
  <c r="I106" i="89"/>
  <c r="J42" i="84"/>
  <c r="H18" i="91" s="1"/>
  <c r="O7" i="89"/>
  <c r="E7" i="85"/>
  <c r="D37" i="91" s="1"/>
  <c r="O49" i="89"/>
  <c r="M7" i="85"/>
  <c r="F37" i="91" s="1"/>
  <c r="O10" i="89"/>
  <c r="E9" i="85"/>
  <c r="D39" i="91" s="1"/>
  <c r="O52" i="89"/>
  <c r="C18" i="108"/>
  <c r="I18" s="1"/>
  <c r="Q18" s="1"/>
  <c r="M9" i="85"/>
  <c r="F39" i="91" s="1"/>
  <c r="C59" i="104"/>
  <c r="O94" i="89"/>
  <c r="O12"/>
  <c r="E11" i="85"/>
  <c r="D41" i="91" s="1"/>
  <c r="O54" i="89"/>
  <c r="M11" i="85"/>
  <c r="F41" i="91" s="1"/>
  <c r="O100" i="89"/>
  <c r="I29" i="85"/>
  <c r="H42" i="91" s="1"/>
  <c r="T65" i="74"/>
  <c r="AI65" s="1"/>
  <c r="AU65" s="1"/>
  <c r="J31" i="86"/>
  <c r="H64" i="91" s="1"/>
  <c r="U12" i="89"/>
  <c r="U54"/>
  <c r="U96"/>
  <c r="J33" i="86"/>
  <c r="H66" i="91" s="1"/>
  <c r="C156"/>
  <c r="I98" i="88"/>
  <c r="K98" s="1"/>
  <c r="H95" i="74" s="1"/>
  <c r="AA95" s="1"/>
  <c r="AM95" s="1"/>
  <c r="D157" i="91"/>
  <c r="D159"/>
  <c r="P12" i="86"/>
  <c r="F85" i="91" s="1"/>
  <c r="J37" i="86"/>
  <c r="H70" i="91" s="1"/>
  <c r="N93" i="88"/>
  <c r="O17" i="89"/>
  <c r="I120"/>
  <c r="E91" i="91"/>
  <c r="H93" i="88"/>
  <c r="H92"/>
  <c r="N33" i="54"/>
  <c r="R30"/>
  <c r="N26"/>
  <c r="N31"/>
  <c r="V14" i="74"/>
  <c r="AJ14" s="1"/>
  <c r="AV14" s="1"/>
  <c r="J32" i="54"/>
  <c r="R28"/>
  <c r="J27"/>
  <c r="V10" i="74"/>
  <c r="AJ10" s="1"/>
  <c r="AV10" s="1"/>
  <c r="J10"/>
  <c r="AB10" s="1"/>
  <c r="AN10" s="1"/>
  <c r="N29" i="54"/>
  <c r="S14" i="74"/>
  <c r="AH14" s="1"/>
  <c r="AT14" s="1"/>
  <c r="S10"/>
  <c r="AH10" s="1"/>
  <c r="AT10" s="1"/>
  <c r="P10"/>
  <c r="AF10" s="1"/>
  <c r="AR10" s="1"/>
  <c r="R32" i="54"/>
  <c r="J31"/>
  <c r="M14" i="74"/>
  <c r="AD14" s="1"/>
  <c r="AP14" s="1"/>
  <c r="M10"/>
  <c r="AD10" s="1"/>
  <c r="AP10" s="1"/>
  <c r="J29" i="54"/>
  <c r="J33"/>
  <c r="R26"/>
  <c r="J26"/>
  <c r="AL19" i="24"/>
  <c r="AF19"/>
  <c r="Z19"/>
  <c r="T19"/>
  <c r="N19"/>
  <c r="H19"/>
  <c r="F17" i="112" s="1"/>
  <c r="AL81" i="24"/>
  <c r="H68" i="77" l="1"/>
  <c r="W68" s="1"/>
  <c r="H67"/>
  <c r="W67" s="1"/>
  <c r="I12" i="80"/>
  <c r="E42" i="90" s="1"/>
  <c r="I11" i="85"/>
  <c r="E41" i="91" s="1"/>
  <c r="O27" i="88"/>
  <c r="Q27" s="1"/>
  <c r="K58" i="74" s="1"/>
  <c r="AC58" s="1"/>
  <c r="AO58" s="1"/>
  <c r="N28" i="88"/>
  <c r="I10" i="85" s="1"/>
  <c r="E40" i="91" s="1"/>
  <c r="I9" i="85"/>
  <c r="E39" i="91" s="1"/>
  <c r="J58" i="74"/>
  <c r="AB58" s="1"/>
  <c r="AN58" s="1"/>
  <c r="K30" i="88"/>
  <c r="I30"/>
  <c r="K28"/>
  <c r="H59" i="74" s="1"/>
  <c r="AA59" s="1"/>
  <c r="AM59" s="1"/>
  <c r="I28" i="88"/>
  <c r="J14" i="74"/>
  <c r="AB14" s="1"/>
  <c r="AN14" s="1"/>
  <c r="K12" i="85"/>
  <c r="E56" i="91" s="1"/>
  <c r="L37" i="89"/>
  <c r="L30"/>
  <c r="Q51" i="74"/>
  <c r="AG51" s="1"/>
  <c r="AS51" s="1"/>
  <c r="G82"/>
  <c r="Z82" s="1"/>
  <c r="AL82" s="1"/>
  <c r="H34" i="84"/>
  <c r="G28" i="91" s="1"/>
  <c r="R37" i="89"/>
  <c r="C30" i="108"/>
  <c r="I30" s="1"/>
  <c r="Q30" s="1"/>
  <c r="M82" i="74"/>
  <c r="AD82" s="1"/>
  <c r="AP82" s="1"/>
  <c r="C178" i="91"/>
  <c r="R92" i="89"/>
  <c r="N58" i="74"/>
  <c r="AE58" s="1"/>
  <c r="AQ58" s="1"/>
  <c r="G9" i="87"/>
  <c r="L8" i="84"/>
  <c r="E24" i="91" s="1"/>
  <c r="O8" i="85"/>
  <c r="F52" i="91" s="1"/>
  <c r="T57" i="74"/>
  <c r="AI57" s="1"/>
  <c r="AU57" s="1"/>
  <c r="X58" i="89"/>
  <c r="K29" i="85"/>
  <c r="H56" i="91" s="1"/>
  <c r="J13" i="83"/>
  <c r="C134" i="91" s="1"/>
  <c r="P15" i="86"/>
  <c r="F88" i="91" s="1"/>
  <c r="E11" i="82"/>
  <c r="G26" i="85"/>
  <c r="G53" i="91" s="1"/>
  <c r="T61" i="74"/>
  <c r="AI61" s="1"/>
  <c r="AU61" s="1"/>
  <c r="T71" i="88"/>
  <c r="H54" i="90"/>
  <c r="T68" i="88"/>
  <c r="T72"/>
  <c r="C29" i="108"/>
  <c r="I29" s="1"/>
  <c r="Q29" s="1"/>
  <c r="M81" i="74"/>
  <c r="AD81" s="1"/>
  <c r="AP81" s="1"/>
  <c r="P9" i="86"/>
  <c r="F82" i="91" s="1"/>
  <c r="V66" i="74"/>
  <c r="AJ66" s="1"/>
  <c r="AV66" s="1"/>
  <c r="O66" i="104"/>
  <c r="Q66" s="1"/>
  <c r="C25" i="109"/>
  <c r="O25" s="1"/>
  <c r="Q25" s="1"/>
  <c r="V59" i="74"/>
  <c r="AJ59" s="1"/>
  <c r="AV59" s="1"/>
  <c r="O59" i="104"/>
  <c r="Q59" s="1"/>
  <c r="C18" i="109"/>
  <c r="O18" s="1"/>
  <c r="Q18" s="1"/>
  <c r="V49" i="74"/>
  <c r="AJ49" s="1"/>
  <c r="AV49" s="1"/>
  <c r="C8" i="109"/>
  <c r="O8" s="1"/>
  <c r="Q8" s="1"/>
  <c r="O49" i="104"/>
  <c r="Q49" s="1"/>
  <c r="L10" i="81"/>
  <c r="E83" i="90" s="1"/>
  <c r="L15" i="84"/>
  <c r="E31" i="91" s="1"/>
  <c r="L34" i="84"/>
  <c r="H28" i="91" s="1"/>
  <c r="AG9" i="77"/>
  <c r="AI9" s="1"/>
  <c r="L31" i="79" s="1"/>
  <c r="H26" i="90" s="1"/>
  <c r="N13" i="79"/>
  <c r="F11" i="90" s="1"/>
  <c r="G24" i="85"/>
  <c r="G51" i="91" s="1"/>
  <c r="R79" i="89"/>
  <c r="V11" i="74"/>
  <c r="AJ11" s="1"/>
  <c r="AV11" s="1"/>
  <c r="C11" i="104"/>
  <c r="O11" s="1"/>
  <c r="Q11" s="1"/>
  <c r="V52" i="74"/>
  <c r="AJ52" s="1"/>
  <c r="AV52" s="1"/>
  <c r="O52" i="104"/>
  <c r="Q52" s="1"/>
  <c r="C11" i="109"/>
  <c r="O11" s="1"/>
  <c r="Q11" s="1"/>
  <c r="F31" i="81"/>
  <c r="G65" i="90" s="1"/>
  <c r="O7" i="85"/>
  <c r="F51" i="91" s="1"/>
  <c r="L97" i="89"/>
  <c r="P10" i="81"/>
  <c r="F83" i="90" s="1"/>
  <c r="P15" i="84"/>
  <c r="F31" i="91" s="1"/>
  <c r="G29" i="85"/>
  <c r="G56" i="91" s="1"/>
  <c r="N56" i="74"/>
  <c r="AE56" s="1"/>
  <c r="AQ56" s="1"/>
  <c r="A4" i="102"/>
  <c r="A5" s="1"/>
  <c r="J11" i="74"/>
  <c r="AB11" s="1"/>
  <c r="AN11" s="1"/>
  <c r="S66"/>
  <c r="AH66" s="1"/>
  <c r="AT66" s="1"/>
  <c r="S11"/>
  <c r="AH11" s="1"/>
  <c r="AT11" s="1"/>
  <c r="C11" i="102"/>
  <c r="M11" s="1"/>
  <c r="Q11" s="1"/>
  <c r="P11" i="74"/>
  <c r="AF11" s="1"/>
  <c r="AR11" s="1"/>
  <c r="C11" i="101"/>
  <c r="K11" s="1"/>
  <c r="Q11" s="1"/>
  <c r="P66" i="74"/>
  <c r="AF66" s="1"/>
  <c r="AR66" s="1"/>
  <c r="C66" i="101"/>
  <c r="K66" s="1"/>
  <c r="Q66" s="1"/>
  <c r="M11" i="74"/>
  <c r="AD11" s="1"/>
  <c r="AP11" s="1"/>
  <c r="G66"/>
  <c r="Z66" s="1"/>
  <c r="AL66" s="1"/>
  <c r="J66"/>
  <c r="AB66" s="1"/>
  <c r="AN66" s="1"/>
  <c r="M66"/>
  <c r="AD66" s="1"/>
  <c r="AP66" s="1"/>
  <c r="H37" i="86"/>
  <c r="G88" i="91" s="1"/>
  <c r="R91" i="89"/>
  <c r="O12" i="85"/>
  <c r="F56" i="91" s="1"/>
  <c r="R58" i="89"/>
  <c r="T56" i="74"/>
  <c r="AI56" s="1"/>
  <c r="AU56" s="1"/>
  <c r="W65"/>
  <c r="AK65" s="1"/>
  <c r="AW65" s="1"/>
  <c r="X113" i="89"/>
  <c r="F31" i="79"/>
  <c r="G8" i="90" s="1"/>
  <c r="C152"/>
  <c r="H9" i="78"/>
  <c r="C103" i="90" s="1"/>
  <c r="E10" i="82"/>
  <c r="C149" i="90"/>
  <c r="G59" i="74"/>
  <c r="Z59" s="1"/>
  <c r="AL59" s="1"/>
  <c r="P52"/>
  <c r="AF52" s="1"/>
  <c r="AR52" s="1"/>
  <c r="C52" i="101"/>
  <c r="K52" s="1"/>
  <c r="Q52" s="1"/>
  <c r="G91" i="74"/>
  <c r="Z91" s="1"/>
  <c r="AL91" s="1"/>
  <c r="S52"/>
  <c r="AH52" s="1"/>
  <c r="AT52" s="1"/>
  <c r="P59"/>
  <c r="AF59" s="1"/>
  <c r="AR59" s="1"/>
  <c r="C59" i="101"/>
  <c r="K59" s="1"/>
  <c r="Q59" s="1"/>
  <c r="M52" i="74"/>
  <c r="AD52" s="1"/>
  <c r="AP52" s="1"/>
  <c r="J52"/>
  <c r="AB52" s="1"/>
  <c r="AN52" s="1"/>
  <c r="M49"/>
  <c r="AD49" s="1"/>
  <c r="AP49" s="1"/>
  <c r="G52"/>
  <c r="Z52" s="1"/>
  <c r="AL52" s="1"/>
  <c r="G94"/>
  <c r="Z94" s="1"/>
  <c r="AL94" s="1"/>
  <c r="W58"/>
  <c r="AK58" s="1"/>
  <c r="AW58" s="1"/>
  <c r="L100" i="89"/>
  <c r="L30" i="86"/>
  <c r="H81" i="91" s="1"/>
  <c r="C177"/>
  <c r="T58" i="74"/>
  <c r="AI58" s="1"/>
  <c r="AU58" s="1"/>
  <c r="G49"/>
  <c r="Z49" s="1"/>
  <c r="AL49" s="1"/>
  <c r="W48"/>
  <c r="AK48" s="1"/>
  <c r="AW48" s="1"/>
  <c r="W54"/>
  <c r="AK54" s="1"/>
  <c r="AW54" s="1"/>
  <c r="J92"/>
  <c r="AB92" s="1"/>
  <c r="AN92" s="1"/>
  <c r="S59"/>
  <c r="AH59" s="1"/>
  <c r="AT59" s="1"/>
  <c r="J49"/>
  <c r="AB49" s="1"/>
  <c r="AN49" s="1"/>
  <c r="G92"/>
  <c r="Z92" s="1"/>
  <c r="AL92" s="1"/>
  <c r="G90"/>
  <c r="Z90" s="1"/>
  <c r="AL90" s="1"/>
  <c r="J90"/>
  <c r="AB90" s="1"/>
  <c r="AN90" s="1"/>
  <c r="W46"/>
  <c r="AK46" s="1"/>
  <c r="AW46" s="1"/>
  <c r="W57"/>
  <c r="AK57" s="1"/>
  <c r="AW57" s="1"/>
  <c r="G89"/>
  <c r="Z89" s="1"/>
  <c r="AL89" s="1"/>
  <c r="M59"/>
  <c r="AD59" s="1"/>
  <c r="AP59" s="1"/>
  <c r="W47"/>
  <c r="AK47" s="1"/>
  <c r="AW47" s="1"/>
  <c r="J59"/>
  <c r="AB59" s="1"/>
  <c r="AN59" s="1"/>
  <c r="G93"/>
  <c r="Z93" s="1"/>
  <c r="AL93" s="1"/>
  <c r="G83"/>
  <c r="Z83" s="1"/>
  <c r="AL83" s="1"/>
  <c r="P49"/>
  <c r="AF49" s="1"/>
  <c r="AR49" s="1"/>
  <c r="C49" i="101"/>
  <c r="K49" s="1"/>
  <c r="Q49" s="1"/>
  <c r="W56" i="74"/>
  <c r="AK56" s="1"/>
  <c r="AW56" s="1"/>
  <c r="L118" i="89"/>
  <c r="L13"/>
  <c r="N66" i="74"/>
  <c r="AE66" s="1"/>
  <c r="AQ66" s="1"/>
  <c r="G8" i="87"/>
  <c r="P9" i="84"/>
  <c r="F25" i="91" s="1"/>
  <c r="H12" i="84"/>
  <c r="D28" i="91" s="1"/>
  <c r="R73" i="89"/>
  <c r="L58"/>
  <c r="H15" i="84"/>
  <c r="D31" i="91" s="1"/>
  <c r="K51" i="74"/>
  <c r="AC51" s="1"/>
  <c r="AO51" s="1"/>
  <c r="G69"/>
  <c r="Z69" s="1"/>
  <c r="AL69" s="1"/>
  <c r="P69"/>
  <c r="AF69" s="1"/>
  <c r="AR69" s="1"/>
  <c r="C69" i="101"/>
  <c r="K69" s="1"/>
  <c r="Q69" s="1"/>
  <c r="W68" i="74"/>
  <c r="AK68" s="1"/>
  <c r="AW68" s="1"/>
  <c r="J69"/>
  <c r="AB69" s="1"/>
  <c r="AN69" s="1"/>
  <c r="X51" i="89"/>
  <c r="P8" i="86"/>
  <c r="F81" i="91" s="1"/>
  <c r="Q64" i="74"/>
  <c r="AG64" s="1"/>
  <c r="AS64" s="1"/>
  <c r="X71" i="89"/>
  <c r="T64" i="74"/>
  <c r="AI64" s="1"/>
  <c r="AU64" s="1"/>
  <c r="X92" i="89"/>
  <c r="L8" i="86"/>
  <c r="E81" i="91" s="1"/>
  <c r="X29" i="89"/>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K26" i="85"/>
  <c r="H53" i="91" s="1"/>
  <c r="L7" i="86"/>
  <c r="E80" i="91" s="1"/>
  <c r="F32" i="84"/>
  <c r="G8" i="91" s="1"/>
  <c r="X79" i="89"/>
  <c r="L12" i="84"/>
  <c r="E28" i="91" s="1"/>
  <c r="W51" i="74"/>
  <c r="AK51" s="1"/>
  <c r="AW51" s="1"/>
  <c r="H68"/>
  <c r="AA68" s="1"/>
  <c r="AM68" s="1"/>
  <c r="J75"/>
  <c r="AB75" s="1"/>
  <c r="AN75" s="1"/>
  <c r="H8" i="84"/>
  <c r="D24" i="91" s="1"/>
  <c r="R52" i="89"/>
  <c r="L121"/>
  <c r="L30" i="84"/>
  <c r="H24" i="91" s="1"/>
  <c r="H31" i="84"/>
  <c r="G25" i="91" s="1"/>
  <c r="L34" i="86"/>
  <c r="H85" i="91" s="1"/>
  <c r="G8" i="85"/>
  <c r="D52" i="91" s="1"/>
  <c r="G7" i="87"/>
  <c r="H34" i="86"/>
  <c r="G85" i="91" s="1"/>
  <c r="N32" i="84"/>
  <c r="I8" i="91" s="1"/>
  <c r="I96" i="77"/>
  <c r="K96" s="1"/>
  <c r="C182" i="90" s="1"/>
  <c r="O26" i="85"/>
  <c r="I53" i="91" s="1"/>
  <c r="O25" i="85"/>
  <c r="I52" i="91" s="1"/>
  <c r="L37" i="84"/>
  <c r="H31" i="91" s="1"/>
  <c r="P7" i="84"/>
  <c r="F23" i="91" s="1"/>
  <c r="X37" i="89"/>
  <c r="R8"/>
  <c r="H73" i="74"/>
  <c r="AA73" s="1"/>
  <c r="AM73" s="1"/>
  <c r="L55" i="89"/>
  <c r="L115"/>
  <c r="L9" i="84"/>
  <c r="E25" i="91" s="1"/>
  <c r="H8" i="86"/>
  <c r="D81" i="91" s="1"/>
  <c r="C176"/>
  <c r="L52" i="89"/>
  <c r="L31"/>
  <c r="C153" i="90"/>
  <c r="R115" i="89"/>
  <c r="L15" i="86"/>
  <c r="E88" i="91" s="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95"/>
  <c r="AC95" s="1"/>
  <c r="AO95" s="1"/>
  <c r="K87"/>
  <c r="AC87" s="1"/>
  <c r="AO87" s="1"/>
  <c r="G84"/>
  <c r="Z84" s="1"/>
  <c r="AL84" s="1"/>
  <c r="J11" i="83"/>
  <c r="C132" i="91" s="1"/>
  <c r="H77" i="74"/>
  <c r="AA77" s="1"/>
  <c r="AM77" s="1"/>
  <c r="W63"/>
  <c r="AK63" s="1"/>
  <c r="AW63" s="1"/>
  <c r="P29" i="86"/>
  <c r="I80" i="91" s="1"/>
  <c r="K91" i="74"/>
  <c r="AC91" s="1"/>
  <c r="AO91" s="1"/>
  <c r="N10" i="83"/>
  <c r="D131" i="91" s="1"/>
  <c r="K76" i="74"/>
  <c r="AC76" s="1"/>
  <c r="AO76" s="1"/>
  <c r="K89"/>
  <c r="AC89" s="1"/>
  <c r="AO89" s="1"/>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K88" i="74"/>
  <c r="AC88" s="1"/>
  <c r="AO88" s="1"/>
  <c r="K86"/>
  <c r="AC86" s="1"/>
  <c r="AO86" s="1"/>
  <c r="Q63"/>
  <c r="AG63" s="1"/>
  <c r="AS63" s="1"/>
  <c r="R29" i="89"/>
  <c r="K57" i="74"/>
  <c r="AC57" s="1"/>
  <c r="AO57" s="1"/>
  <c r="K8" i="85"/>
  <c r="E52" i="91" s="1"/>
  <c r="D155"/>
  <c r="J94" i="74"/>
  <c r="AB94" s="1"/>
  <c r="AN94" s="1"/>
  <c r="N12" i="83"/>
  <c r="D133" i="91" s="1"/>
  <c r="K78" i="74"/>
  <c r="AC78" s="1"/>
  <c r="AO78" s="1"/>
  <c r="J10" i="83"/>
  <c r="C131" i="91" s="1"/>
  <c r="H76" i="74"/>
  <c r="AA76" s="1"/>
  <c r="AM76" s="1"/>
  <c r="M69"/>
  <c r="AD69" s="1"/>
  <c r="AP69" s="1"/>
  <c r="N13" i="86"/>
  <c r="F68" i="91" s="1"/>
  <c r="R28" i="89"/>
  <c r="K56" i="74"/>
  <c r="AC56" s="1"/>
  <c r="AO56" s="1"/>
  <c r="K7" i="85"/>
  <c r="E51" i="91" s="1"/>
  <c r="G85" i="74"/>
  <c r="Z85" s="1"/>
  <c r="AL85" s="1"/>
  <c r="K93"/>
  <c r="AC93" s="1"/>
  <c r="AO93" s="1"/>
  <c r="H78"/>
  <c r="AA78" s="1"/>
  <c r="AM78" s="1"/>
  <c r="J12" i="83"/>
  <c r="C133" i="91" s="1"/>
  <c r="P34" i="81"/>
  <c r="I86" i="90" s="1"/>
  <c r="I74" i="89"/>
  <c r="N10" i="86"/>
  <c r="F65" i="91" s="1"/>
  <c r="AA9" i="88"/>
  <c r="AC9" s="1"/>
  <c r="Q49" i="74" s="1"/>
  <c r="AG49" s="1"/>
  <c r="AS49" s="1"/>
  <c r="P31" i="84"/>
  <c r="I25" i="91" s="1"/>
  <c r="L9" i="89"/>
  <c r="O94" i="77"/>
  <c r="Q94" s="1"/>
  <c r="G25" i="85"/>
  <c r="G52" i="91" s="1"/>
  <c r="Q66" i="74"/>
  <c r="AG66" s="1"/>
  <c r="AS66" s="1"/>
  <c r="L73" i="89"/>
  <c r="P30" i="86"/>
  <c r="I81" i="91" s="1"/>
  <c r="W64" i="74"/>
  <c r="AK64" s="1"/>
  <c r="AW64" s="1"/>
  <c r="X72" i="89"/>
  <c r="X30"/>
  <c r="K64" i="74"/>
  <c r="AC64" s="1"/>
  <c r="AO64" s="1"/>
  <c r="H30" i="86"/>
  <c r="G81" i="91" s="1"/>
  <c r="X9" i="89"/>
  <c r="N8" i="83"/>
  <c r="D129" i="91" s="1"/>
  <c r="K74" i="74"/>
  <c r="AC74" s="1"/>
  <c r="AO74" s="1"/>
  <c r="N7" i="83"/>
  <c r="D128" i="91" s="1"/>
  <c r="K73" i="74"/>
  <c r="AC73" s="1"/>
  <c r="AO73" s="1"/>
  <c r="X10" i="89"/>
  <c r="H65" i="74"/>
  <c r="AA65" s="1"/>
  <c r="AM65" s="1"/>
  <c r="H9" i="86"/>
  <c r="D82" i="91" s="1"/>
  <c r="G12" i="85"/>
  <c r="D56" i="91" s="1"/>
  <c r="H61" i="74"/>
  <c r="AA61" s="1"/>
  <c r="AM61" s="1"/>
  <c r="R16" i="89"/>
  <c r="R10"/>
  <c r="H58" i="74"/>
  <c r="AA58" s="1"/>
  <c r="AM58" s="1"/>
  <c r="G9" i="85"/>
  <c r="D53" i="91" s="1"/>
  <c r="R7" i="89"/>
  <c r="H56" i="74"/>
  <c r="AA56" s="1"/>
  <c r="AM56" s="1"/>
  <c r="G7" i="85"/>
  <c r="D51" i="91" s="1"/>
  <c r="H9" i="84"/>
  <c r="D25" i="91" s="1"/>
  <c r="G3" i="78"/>
  <c r="L8" i="89"/>
  <c r="H46" i="74"/>
  <c r="AA46" s="1"/>
  <c r="AM46" s="1"/>
  <c r="H7" i="84"/>
  <c r="D23" i="91" s="1"/>
  <c r="J32" i="84"/>
  <c r="H8" i="91" s="1"/>
  <c r="S49" i="74"/>
  <c r="AH49" s="1"/>
  <c r="AT49"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AI9" s="1"/>
  <c r="T49" i="74" s="1"/>
  <c r="AI49" s="1"/>
  <c r="AU49" s="1"/>
  <c r="P12" i="84"/>
  <c r="F28" i="91" s="1"/>
  <c r="AM9" i="88"/>
  <c r="AO9" s="1"/>
  <c r="L10" i="89"/>
  <c r="N35" i="86"/>
  <c r="I68" i="91" s="1"/>
  <c r="D182" i="90"/>
  <c r="D183" i="91"/>
  <c r="C114"/>
  <c r="D114"/>
  <c r="C151"/>
  <c r="E11" i="87"/>
  <c r="D151" i="91"/>
  <c r="P10" i="86"/>
  <c r="F83" i="91" s="1"/>
  <c r="O53" i="89"/>
  <c r="N59" i="74"/>
  <c r="AE59" s="1"/>
  <c r="AQ59" s="1"/>
  <c r="M10" i="85"/>
  <c r="F40" i="91" s="1"/>
  <c r="U11" i="89"/>
  <c r="H66" i="74"/>
  <c r="AA66" s="1"/>
  <c r="AM66" s="1"/>
  <c r="F10" i="86"/>
  <c r="D65" i="91" s="1"/>
  <c r="L114" i="89"/>
  <c r="P30" i="84"/>
  <c r="I24" i="91" s="1"/>
  <c r="C152"/>
  <c r="E12" i="87"/>
  <c r="I94" i="88"/>
  <c r="K94" s="1"/>
  <c r="H91" i="74" s="1"/>
  <c r="AA91" s="1"/>
  <c r="AM91" s="1"/>
  <c r="O116" i="89"/>
  <c r="M27" i="85"/>
  <c r="I40" i="91" s="1"/>
  <c r="O32" i="89"/>
  <c r="I98"/>
  <c r="J35" i="84"/>
  <c r="H11" i="91" s="1"/>
  <c r="AG12" i="88"/>
  <c r="AI12" s="1"/>
  <c r="T52" i="74" s="1"/>
  <c r="AI52" s="1"/>
  <c r="AU52" s="1"/>
  <c r="C155" i="91"/>
  <c r="E15" i="87"/>
  <c r="N32" i="86"/>
  <c r="I65" i="91" s="1"/>
  <c r="U116" i="89"/>
  <c r="L29"/>
  <c r="L7" i="84"/>
  <c r="E23" i="91" s="1"/>
  <c r="D178"/>
  <c r="D177" i="90"/>
  <c r="N13" i="81"/>
  <c r="F68" i="90" s="1"/>
  <c r="P13" i="81"/>
  <c r="F86" i="90" s="1"/>
  <c r="F34" i="79"/>
  <c r="G11" i="90" s="1"/>
  <c r="AA12" i="77"/>
  <c r="AC12" s="1"/>
  <c r="H34" i="79" s="1"/>
  <c r="G29" i="90" s="1"/>
  <c r="H21" i="78"/>
  <c r="F10" i="81"/>
  <c r="D65" i="90" s="1"/>
  <c r="H10" i="81"/>
  <c r="D83" i="90" s="1"/>
  <c r="C180"/>
  <c r="G12" i="82"/>
  <c r="D184" i="90"/>
  <c r="D185" i="91"/>
  <c r="C178" i="90"/>
  <c r="G10" i="82"/>
  <c r="I67" i="77"/>
  <c r="K67" s="1"/>
  <c r="H69" i="74"/>
  <c r="AA69" s="1"/>
  <c r="AM69" s="1"/>
  <c r="F13" i="86"/>
  <c r="D68" i="91" s="1"/>
  <c r="I119" i="89"/>
  <c r="N35" i="84"/>
  <c r="I11" i="91" s="1"/>
  <c r="AM12" i="88"/>
  <c r="AO12" s="1"/>
  <c r="I35" i="89"/>
  <c r="J13" i="84"/>
  <c r="E11" i="91" s="1"/>
  <c r="O12" i="88"/>
  <c r="Q12" s="1"/>
  <c r="K52" i="74" s="1"/>
  <c r="AC52" s="1"/>
  <c r="AO52" s="1"/>
  <c r="I53" i="89"/>
  <c r="U9" i="88"/>
  <c r="W9" s="1"/>
  <c r="N49" i="74" s="1"/>
  <c r="AE49" s="1"/>
  <c r="AQ49" s="1"/>
  <c r="N10" i="84"/>
  <c r="F8" i="91" s="1"/>
  <c r="L71" i="89"/>
  <c r="H29" i="84"/>
  <c r="G23" i="91" s="1"/>
  <c r="J13" i="86"/>
  <c r="E68" i="91" s="1"/>
  <c r="K69" i="74"/>
  <c r="AC69" s="1"/>
  <c r="AO69" s="1"/>
  <c r="C177" i="90"/>
  <c r="G9" i="82"/>
  <c r="M10" i="80"/>
  <c r="F40" i="90" s="1"/>
  <c r="O10" i="80"/>
  <c r="F54" i="90" s="1"/>
  <c r="U9" i="77"/>
  <c r="W9" s="1"/>
  <c r="P10" i="79" s="1"/>
  <c r="F26" i="90" s="1"/>
  <c r="N10" i="79"/>
  <c r="F8" i="90" s="1"/>
  <c r="D176"/>
  <c r="D177" i="91"/>
  <c r="U32" i="89"/>
  <c r="K66" i="74"/>
  <c r="AC66" s="1"/>
  <c r="AO66" s="1"/>
  <c r="J10" i="86"/>
  <c r="E65" i="91" s="1"/>
  <c r="I54" i="90"/>
  <c r="I40"/>
  <c r="I10" i="80"/>
  <c r="E40" i="90" s="1"/>
  <c r="K10" i="80"/>
  <c r="E54" i="90" s="1"/>
  <c r="C112" i="91"/>
  <c r="D112"/>
  <c r="H20" i="78"/>
  <c r="I70" i="77"/>
  <c r="K70" s="1"/>
  <c r="C150" i="91"/>
  <c r="I92" i="88"/>
  <c r="K92" s="1"/>
  <c r="H89" i="74" s="1"/>
  <c r="AA89" s="1"/>
  <c r="AM89" s="1"/>
  <c r="E10" i="87"/>
  <c r="C185" i="91"/>
  <c r="G16" i="87"/>
  <c r="O11" i="89"/>
  <c r="E10" i="85"/>
  <c r="D40" i="91" s="1"/>
  <c r="I77" i="89"/>
  <c r="AA12" i="88"/>
  <c r="AC12" s="1"/>
  <c r="Q52" i="74" s="1"/>
  <c r="AG52" s="1"/>
  <c r="AS52" s="1"/>
  <c r="F35" i="84"/>
  <c r="G11" i="91" s="1"/>
  <c r="U95" i="89"/>
  <c r="T66" i="74"/>
  <c r="AI66" s="1"/>
  <c r="AU66" s="1"/>
  <c r="J32" i="86"/>
  <c r="H65" i="91" s="1"/>
  <c r="I11" i="89"/>
  <c r="F10" i="84"/>
  <c r="D8" i="91" s="1"/>
  <c r="I9" i="88"/>
  <c r="K9" s="1"/>
  <c r="H49" i="74" s="1"/>
  <c r="AA49" s="1"/>
  <c r="AM49" s="1"/>
  <c r="C153" i="91"/>
  <c r="E13" i="87"/>
  <c r="F35" i="86"/>
  <c r="G68" i="91" s="1"/>
  <c r="Q69" i="74"/>
  <c r="AG69" s="1"/>
  <c r="AS69" s="1"/>
  <c r="I56" i="89"/>
  <c r="N13" i="84"/>
  <c r="F11" i="91" s="1"/>
  <c r="U12" i="88"/>
  <c r="W12" s="1"/>
  <c r="N52" i="74" s="1"/>
  <c r="AE52" s="1"/>
  <c r="AQ52" s="1"/>
  <c r="C154" i="91"/>
  <c r="I96" i="88"/>
  <c r="K96" s="1"/>
  <c r="H93" i="74" s="1"/>
  <c r="AA93" s="1"/>
  <c r="AM93" s="1"/>
  <c r="E14" i="87"/>
  <c r="X115" i="89"/>
  <c r="P31" i="86"/>
  <c r="I82" i="91" s="1"/>
  <c r="C175" i="90"/>
  <c r="G7" i="82"/>
  <c r="E10" i="80"/>
  <c r="D40" i="90" s="1"/>
  <c r="K28" i="77"/>
  <c r="G10" i="80" s="1"/>
  <c r="D54" i="90" s="1"/>
  <c r="C113" i="91"/>
  <c r="D113"/>
  <c r="J31" i="81"/>
  <c r="H65" i="90" s="1"/>
  <c r="L31" i="81"/>
  <c r="H83" i="90" s="1"/>
  <c r="L72" i="89"/>
  <c r="H30" i="84"/>
  <c r="G24" i="91" s="1"/>
  <c r="D178" i="90"/>
  <c r="D179" i="91"/>
  <c r="X31" i="89"/>
  <c r="L9" i="86"/>
  <c r="E82" i="91" s="1"/>
  <c r="C176" i="90"/>
  <c r="G8" i="82"/>
  <c r="G54" i="90"/>
  <c r="G40"/>
  <c r="J34" i="79"/>
  <c r="H11" i="90" s="1"/>
  <c r="AG12" i="77"/>
  <c r="AI12" s="1"/>
  <c r="L34" i="79" s="1"/>
  <c r="H29" i="90" s="1"/>
  <c r="I69" i="88"/>
  <c r="K69" s="1"/>
  <c r="C111" i="91"/>
  <c r="D111"/>
  <c r="X94" i="89"/>
  <c r="L31" i="86"/>
  <c r="H82" i="91" s="1"/>
  <c r="I27" i="85"/>
  <c r="H40" i="91" s="1"/>
  <c r="T59" i="74"/>
  <c r="AI59" s="1"/>
  <c r="AU59" s="1"/>
  <c r="O95" i="89"/>
  <c r="X100"/>
  <c r="L37" i="86"/>
  <c r="H88" i="91" s="1"/>
  <c r="H31" i="86"/>
  <c r="G82" i="91" s="1"/>
  <c r="X73" i="89"/>
  <c r="I32"/>
  <c r="J10" i="84"/>
  <c r="E8" i="91" s="1"/>
  <c r="O9" i="88"/>
  <c r="Q9" s="1"/>
  <c r="K49" i="74" s="1"/>
  <c r="AC49" s="1"/>
  <c r="AO49" s="1"/>
  <c r="O74" i="89"/>
  <c r="E27" i="85"/>
  <c r="G40" i="91" s="1"/>
  <c r="Q59" i="74"/>
  <c r="AG59" s="1"/>
  <c r="AS59" s="1"/>
  <c r="I14" i="89"/>
  <c r="F13" i="84"/>
  <c r="D11" i="91" s="1"/>
  <c r="I12" i="88"/>
  <c r="K12" s="1"/>
  <c r="H52" i="74" s="1"/>
  <c r="AA52" s="1"/>
  <c r="AM52" s="1"/>
  <c r="C184" i="90"/>
  <c r="G16" i="82"/>
  <c r="D176" i="91"/>
  <c r="D175" i="90"/>
  <c r="L34" i="81"/>
  <c r="H86" i="90" s="1"/>
  <c r="J34" i="81"/>
  <c r="H68" i="90" s="1"/>
  <c r="F13" i="81"/>
  <c r="D68" i="90" s="1"/>
  <c r="H13" i="81"/>
  <c r="D86" i="90" s="1"/>
  <c r="N34" i="79"/>
  <c r="I11" i="90" s="1"/>
  <c r="AM12" i="77"/>
  <c r="AO12" s="1"/>
  <c r="P34" i="79" s="1"/>
  <c r="I29" i="90" s="1"/>
  <c r="D154"/>
  <c r="L113" i="89"/>
  <c r="P29" i="84"/>
  <c r="I23" i="91" s="1"/>
  <c r="I69" i="77"/>
  <c r="K69" s="1"/>
  <c r="H19" i="78"/>
  <c r="I68" i="88"/>
  <c r="K68" s="1"/>
  <c r="H83" i="74" s="1"/>
  <c r="AA83" s="1"/>
  <c r="AM83" s="1"/>
  <c r="I70" i="88"/>
  <c r="K70" s="1"/>
  <c r="I67"/>
  <c r="K67" s="1"/>
  <c r="H82" i="74" s="1"/>
  <c r="AA82" s="1"/>
  <c r="AM82" s="1"/>
  <c r="H22" i="78"/>
  <c r="AK40" i="24"/>
  <c r="AL40" s="1"/>
  <c r="AE40"/>
  <c r="AF40" s="1"/>
  <c r="Y40"/>
  <c r="Z40" s="1"/>
  <c r="S40"/>
  <c r="T40" s="1"/>
  <c r="M40"/>
  <c r="N40" s="1"/>
  <c r="AK39"/>
  <c r="AL39" s="1"/>
  <c r="AE39"/>
  <c r="AF39" s="1"/>
  <c r="Y39"/>
  <c r="Z39" s="1"/>
  <c r="S39"/>
  <c r="T39" s="1"/>
  <c r="M39"/>
  <c r="N39" s="1"/>
  <c r="I68" i="77" l="1"/>
  <c r="K68" s="1"/>
  <c r="J18" i="78" s="1"/>
  <c r="O28" i="88"/>
  <c r="Q28" s="1"/>
  <c r="K59" i="74" s="1"/>
  <c r="AC59" s="1"/>
  <c r="AO59" s="1"/>
  <c r="R31" i="89"/>
  <c r="K9" i="85"/>
  <c r="E53" i="91" s="1"/>
  <c r="C31" i="108"/>
  <c r="I31" s="1"/>
  <c r="Q31" s="1"/>
  <c r="M83" i="74"/>
  <c r="AD83" s="1"/>
  <c r="AP83" s="1"/>
  <c r="C32" i="108"/>
  <c r="I32" s="1"/>
  <c r="Q32" s="1"/>
  <c r="M84" i="74"/>
  <c r="AD84" s="1"/>
  <c r="AP84" s="1"/>
  <c r="C33" i="108"/>
  <c r="I33" s="1"/>
  <c r="Q33" s="1"/>
  <c r="M85" i="74"/>
  <c r="AD85" s="1"/>
  <c r="AP85" s="1"/>
  <c r="V20"/>
  <c r="AJ20" s="1"/>
  <c r="AV20" s="1"/>
  <c r="C20" i="104"/>
  <c r="O20" s="1"/>
  <c r="Q20" s="1"/>
  <c r="V21" i="74"/>
  <c r="AJ21" s="1"/>
  <c r="AV21" s="1"/>
  <c r="C21" i="104"/>
  <c r="O21" s="1"/>
  <c r="Q21" s="1"/>
  <c r="A4"/>
  <c r="A4" i="109"/>
  <c r="A19" i="102"/>
  <c r="A35"/>
  <c r="A6"/>
  <c r="A22"/>
  <c r="A38"/>
  <c r="A13"/>
  <c r="A29"/>
  <c r="A45"/>
  <c r="A16"/>
  <c r="A12"/>
  <c r="A8"/>
  <c r="A11"/>
  <c r="A27"/>
  <c r="A43"/>
  <c r="A14"/>
  <c r="A30"/>
  <c r="A21"/>
  <c r="A37"/>
  <c r="A36"/>
  <c r="A44"/>
  <c r="A15"/>
  <c r="A31"/>
  <c r="A18"/>
  <c r="A34"/>
  <c r="A9"/>
  <c r="A25"/>
  <c r="A41"/>
  <c r="A40"/>
  <c r="A7"/>
  <c r="A23"/>
  <c r="A39"/>
  <c r="A10"/>
  <c r="A26"/>
  <c r="A42"/>
  <c r="A17"/>
  <c r="A33"/>
  <c r="A20"/>
  <c r="A32"/>
  <c r="A28"/>
  <c r="A24"/>
  <c r="M20" i="74"/>
  <c r="AD20" s="1"/>
  <c r="AP20" s="1"/>
  <c r="J21"/>
  <c r="AB21" s="1"/>
  <c r="AN21" s="1"/>
  <c r="W66"/>
  <c r="AK66" s="1"/>
  <c r="AW66" s="1"/>
  <c r="J20"/>
  <c r="AB20" s="1"/>
  <c r="AN20" s="1"/>
  <c r="S20"/>
  <c r="AH20" s="1"/>
  <c r="AT20" s="1"/>
  <c r="C20" i="102"/>
  <c r="M20" s="1"/>
  <c r="Q20" s="1"/>
  <c r="P21" i="74"/>
  <c r="AF21" s="1"/>
  <c r="AR21" s="1"/>
  <c r="C21" i="101"/>
  <c r="K21" s="1"/>
  <c r="Q21" s="1"/>
  <c r="S21" i="74"/>
  <c r="AH21" s="1"/>
  <c r="AT21" s="1"/>
  <c r="C21" i="102"/>
  <c r="M21" s="1"/>
  <c r="Q21" s="1"/>
  <c r="P20" i="74"/>
  <c r="AF20" s="1"/>
  <c r="AR20" s="1"/>
  <c r="C20" i="101"/>
  <c r="K20" s="1"/>
  <c r="Q20" s="1"/>
  <c r="M21" i="74"/>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D3" i="80"/>
  <c r="D3" i="85"/>
  <c r="C2" i="90"/>
  <c r="E3" i="86"/>
  <c r="C2" i="91"/>
  <c r="G3" i="83"/>
  <c r="E3" i="84"/>
  <c r="E3" i="79"/>
  <c r="E3" i="81"/>
  <c r="E3" i="89"/>
  <c r="I14" i="75"/>
  <c r="L56" i="89"/>
  <c r="P13" i="84"/>
  <c r="F29" i="91" s="1"/>
  <c r="X95" i="89"/>
  <c r="L32" i="86"/>
  <c r="H83" i="91" s="1"/>
  <c r="J20" i="78"/>
  <c r="L98" i="89"/>
  <c r="L35" i="84"/>
  <c r="H29" i="91" s="1"/>
  <c r="K82" i="74"/>
  <c r="AC82" s="1"/>
  <c r="AO82" s="1"/>
  <c r="J17" i="83"/>
  <c r="J19" i="78"/>
  <c r="L14" i="89"/>
  <c r="H13" i="84"/>
  <c r="D29" i="91" s="1"/>
  <c r="J19" i="83"/>
  <c r="N19" s="1"/>
  <c r="H35" i="86"/>
  <c r="G86" i="91" s="1"/>
  <c r="C110" i="90"/>
  <c r="D110"/>
  <c r="C111"/>
  <c r="D111"/>
  <c r="K10" i="85"/>
  <c r="E54" i="91" s="1"/>
  <c r="H10" i="86"/>
  <c r="D83" i="91" s="1"/>
  <c r="X11" i="89"/>
  <c r="P35" i="86"/>
  <c r="I86" i="91" s="1"/>
  <c r="C113" i="90"/>
  <c r="D113"/>
  <c r="J20" i="83"/>
  <c r="N20" s="1"/>
  <c r="R74" i="89"/>
  <c r="G27" i="85"/>
  <c r="G54" i="91" s="1"/>
  <c r="C183"/>
  <c r="G14" i="87"/>
  <c r="L13" i="86"/>
  <c r="E86" i="91" s="1"/>
  <c r="L35" i="89"/>
  <c r="L13" i="84"/>
  <c r="E29" i="91" s="1"/>
  <c r="C112" i="90"/>
  <c r="D112"/>
  <c r="R116" i="89"/>
  <c r="O27" i="85"/>
  <c r="I54" i="91" s="1"/>
  <c r="R53" i="89"/>
  <c r="O10" i="85"/>
  <c r="F54" i="91" s="1"/>
  <c r="K83" i="74"/>
  <c r="AC83" s="1"/>
  <c r="AO83" s="1"/>
  <c r="J18" i="83"/>
  <c r="L11" i="89"/>
  <c r="H10" i="84"/>
  <c r="D26" i="91" s="1"/>
  <c r="R11" i="89"/>
  <c r="G10" i="85"/>
  <c r="D54" i="91" s="1"/>
  <c r="P10" i="84"/>
  <c r="F26" i="91" s="1"/>
  <c r="L53" i="89"/>
  <c r="L32"/>
  <c r="L10" i="84"/>
  <c r="E26" i="91" s="1"/>
  <c r="R95" i="89"/>
  <c r="K27" i="85"/>
  <c r="H54" i="91" s="1"/>
  <c r="L77" i="89"/>
  <c r="H35" i="84"/>
  <c r="G29" i="91" s="1"/>
  <c r="C179"/>
  <c r="G10" i="87"/>
  <c r="X32" i="89"/>
  <c r="L10" i="86"/>
  <c r="E83" i="91" s="1"/>
  <c r="L119" i="89"/>
  <c r="P35" i="84"/>
  <c r="I29" i="91" s="1"/>
  <c r="H13" i="86"/>
  <c r="D86" i="91" s="1"/>
  <c r="J17" i="78"/>
  <c r="X116" i="89"/>
  <c r="P32" i="86"/>
  <c r="I83" i="91" s="1"/>
  <c r="C181"/>
  <c r="G12" i="87"/>
  <c r="AA39" i="24"/>
  <c r="AC39" s="1"/>
  <c r="Q20" i="74" s="1"/>
  <c r="AG20" s="1"/>
  <c r="AS20" s="1"/>
  <c r="U40" i="24"/>
  <c r="W40" s="1"/>
  <c r="N21" i="74" s="1"/>
  <c r="AE21" s="1"/>
  <c r="AQ21" s="1"/>
  <c r="O39" i="24"/>
  <c r="Q39" s="1"/>
  <c r="K20" i="74" s="1"/>
  <c r="AC20" s="1"/>
  <c r="AO20" s="1"/>
  <c r="AM39" i="24"/>
  <c r="AO39" s="1"/>
  <c r="AG40"/>
  <c r="AI40" s="1"/>
  <c r="T21" i="74" s="1"/>
  <c r="AI21" s="1"/>
  <c r="AU21" s="1"/>
  <c r="AG39" i="24"/>
  <c r="AI39" s="1"/>
  <c r="T20" i="74" s="1"/>
  <c r="AI20" s="1"/>
  <c r="AU20" s="1"/>
  <c r="AA40" i="24"/>
  <c r="AC40" s="1"/>
  <c r="Q21" i="74" s="1"/>
  <c r="AG21" s="1"/>
  <c r="AS21" s="1"/>
  <c r="U39" i="24"/>
  <c r="W39" s="1"/>
  <c r="N20" i="74" s="1"/>
  <c r="AE20" s="1"/>
  <c r="AQ20" s="1"/>
  <c r="O40" i="24"/>
  <c r="Q40" s="1"/>
  <c r="K21" i="74" s="1"/>
  <c r="AC21" s="1"/>
  <c r="AO21" s="1"/>
  <c r="AM40" i="24"/>
  <c r="AO40" s="1"/>
  <c r="AK41"/>
  <c r="AL41" s="1"/>
  <c r="AE41"/>
  <c r="AF41" s="1"/>
  <c r="Y41"/>
  <c r="Z41" s="1"/>
  <c r="S41"/>
  <c r="T41" s="1"/>
  <c r="M41"/>
  <c r="N41" s="1"/>
  <c r="AK38"/>
  <c r="AL38" s="1"/>
  <c r="AE38"/>
  <c r="AF38" s="1"/>
  <c r="Y38"/>
  <c r="Z38" s="1"/>
  <c r="S38"/>
  <c r="T38" s="1"/>
  <c r="M38"/>
  <c r="N38" s="1"/>
  <c r="AK37"/>
  <c r="AL37" s="1"/>
  <c r="AE37"/>
  <c r="AF37" s="1"/>
  <c r="Y37"/>
  <c r="Z37" s="1"/>
  <c r="S37"/>
  <c r="T37" s="1"/>
  <c r="M37"/>
  <c r="N37" s="1"/>
  <c r="AK43"/>
  <c r="AL43" s="1"/>
  <c r="AM43" s="1"/>
  <c r="AO43" s="1"/>
  <c r="AE43"/>
  <c r="AF43" s="1"/>
  <c r="AG43" s="1"/>
  <c r="AI43" s="1"/>
  <c r="Y43"/>
  <c r="Z43" s="1"/>
  <c r="AA43" s="1"/>
  <c r="AC43" s="1"/>
  <c r="S43"/>
  <c r="T43" s="1"/>
  <c r="U43" s="1"/>
  <c r="W43" s="1"/>
  <c r="M43"/>
  <c r="R32" i="89" l="1"/>
  <c r="N43" i="24"/>
  <c r="O43" s="1"/>
  <c r="Q43" s="1"/>
  <c r="K24" i="74" s="1"/>
  <c r="AC24" s="1"/>
  <c r="AO24" s="1"/>
  <c r="V22"/>
  <c r="AJ22" s="1"/>
  <c r="AV22" s="1"/>
  <c r="C22" i="104"/>
  <c r="O22" s="1"/>
  <c r="Q22" s="1"/>
  <c r="V18" i="74"/>
  <c r="AJ18" s="1"/>
  <c r="AV18" s="1"/>
  <c r="C18" i="104"/>
  <c r="O18" s="1"/>
  <c r="Q18" s="1"/>
  <c r="V19" i="74"/>
  <c r="AJ19" s="1"/>
  <c r="AV19" s="1"/>
  <c r="C19" i="104"/>
  <c r="O19" s="1"/>
  <c r="Q19" s="1"/>
  <c r="A14"/>
  <c r="A30"/>
  <c r="A46"/>
  <c r="A62"/>
  <c r="A21"/>
  <c r="A37"/>
  <c r="A53"/>
  <c r="A69"/>
  <c r="A12"/>
  <c r="A28"/>
  <c r="A44"/>
  <c r="A60"/>
  <c r="A51"/>
  <c r="A31"/>
  <c r="A59"/>
  <c r="A23"/>
  <c r="A10"/>
  <c r="A26"/>
  <c r="A42"/>
  <c r="A58"/>
  <c r="A17"/>
  <c r="A33"/>
  <c r="A49"/>
  <c r="A65"/>
  <c r="A8"/>
  <c r="A24"/>
  <c r="A40"/>
  <c r="A56"/>
  <c r="A35"/>
  <c r="A15"/>
  <c r="A43"/>
  <c r="A7"/>
  <c r="A6"/>
  <c r="A22"/>
  <c r="A38"/>
  <c r="A54"/>
  <c r="A13"/>
  <c r="A29"/>
  <c r="A45"/>
  <c r="A61"/>
  <c r="A20"/>
  <c r="A36"/>
  <c r="A52"/>
  <c r="A68"/>
  <c r="A19"/>
  <c r="A63"/>
  <c r="A27"/>
  <c r="A55"/>
  <c r="A18"/>
  <c r="A34"/>
  <c r="A50"/>
  <c r="A66"/>
  <c r="A9"/>
  <c r="A25"/>
  <c r="A41"/>
  <c r="A57"/>
  <c r="A16"/>
  <c r="A32"/>
  <c r="A48"/>
  <c r="A64"/>
  <c r="A67"/>
  <c r="A47"/>
  <c r="A11"/>
  <c r="A39"/>
  <c r="A5"/>
  <c r="A8" i="109"/>
  <c r="A24"/>
  <c r="A15"/>
  <c r="A18"/>
  <c r="A9"/>
  <c r="A20"/>
  <c r="A11"/>
  <c r="A27"/>
  <c r="A14"/>
  <c r="A21"/>
  <c r="A16"/>
  <c r="A7"/>
  <c r="A23"/>
  <c r="A10"/>
  <c r="A26"/>
  <c r="A5"/>
  <c r="A13"/>
  <c r="A12"/>
  <c r="A28"/>
  <c r="A19"/>
  <c r="A6"/>
  <c r="A22"/>
  <c r="A25"/>
  <c r="A17"/>
  <c r="S22" i="74"/>
  <c r="AH22" s="1"/>
  <c r="AT22" s="1"/>
  <c r="C22" i="102"/>
  <c r="M22" s="1"/>
  <c r="Q22" s="1"/>
  <c r="W20" i="74"/>
  <c r="AK20" s="1"/>
  <c r="AW20" s="1"/>
  <c r="J18"/>
  <c r="AB18" s="1"/>
  <c r="AN18" s="1"/>
  <c r="S19"/>
  <c r="AH19" s="1"/>
  <c r="AT19" s="1"/>
  <c r="C19" i="102"/>
  <c r="M19" s="1"/>
  <c r="Q19" s="1"/>
  <c r="P22" i="74"/>
  <c r="AF22" s="1"/>
  <c r="AR22" s="1"/>
  <c r="C22" i="101"/>
  <c r="K22" s="1"/>
  <c r="Q22" s="1"/>
  <c r="M18" i="74"/>
  <c r="AD18" s="1"/>
  <c r="AP18" s="1"/>
  <c r="J19"/>
  <c r="AB19" s="1"/>
  <c r="AN19" s="1"/>
  <c r="S18"/>
  <c r="AH18" s="1"/>
  <c r="AT18" s="1"/>
  <c r="C18" i="102"/>
  <c r="M18" s="1"/>
  <c r="Q18" s="1"/>
  <c r="P19" i="74"/>
  <c r="AF19" s="1"/>
  <c r="AR19" s="1"/>
  <c r="C19" i="101"/>
  <c r="K19" s="1"/>
  <c r="Q19" s="1"/>
  <c r="M22" i="74"/>
  <c r="AD22" s="1"/>
  <c r="AP22" s="1"/>
  <c r="W21"/>
  <c r="AK21" s="1"/>
  <c r="AW21" s="1"/>
  <c r="P18"/>
  <c r="AF18" s="1"/>
  <c r="AR18" s="1"/>
  <c r="C18" i="101"/>
  <c r="K18" s="1"/>
  <c r="Q18" s="1"/>
  <c r="M19" i="74"/>
  <c r="AD19" s="1"/>
  <c r="AP19" s="1"/>
  <c r="J22"/>
  <c r="AB22" s="1"/>
  <c r="AN22" s="1"/>
  <c r="E24" i="89"/>
  <c r="E108"/>
  <c r="E66"/>
  <c r="E45"/>
  <c r="E87"/>
  <c r="B3" i="87"/>
  <c r="B3" i="82"/>
  <c r="E24" i="79"/>
  <c r="C137" i="90"/>
  <c r="D137"/>
  <c r="C138" i="91"/>
  <c r="D138"/>
  <c r="C137"/>
  <c r="D137"/>
  <c r="C136" i="90"/>
  <c r="D136"/>
  <c r="AM37" i="24"/>
  <c r="AO37" s="1"/>
  <c r="AG38"/>
  <c r="AI38" s="1"/>
  <c r="T19" i="74" s="1"/>
  <c r="AI19" s="1"/>
  <c r="AU19" s="1"/>
  <c r="AA41" i="24"/>
  <c r="AC41" s="1"/>
  <c r="Q22" i="74" s="1"/>
  <c r="AG22" s="1"/>
  <c r="AS22" s="1"/>
  <c r="AA37" i="24"/>
  <c r="AC37" s="1"/>
  <c r="Q18" i="74" s="1"/>
  <c r="AG18" s="1"/>
  <c r="AS18" s="1"/>
  <c r="U38" i="24"/>
  <c r="W38" s="1"/>
  <c r="N19" i="74" s="1"/>
  <c r="AE19" s="1"/>
  <c r="AQ19" s="1"/>
  <c r="O41" i="24"/>
  <c r="Q41" s="1"/>
  <c r="K22" i="74" s="1"/>
  <c r="AC22" s="1"/>
  <c r="AO22" s="1"/>
  <c r="AM41" i="24"/>
  <c r="AO41" s="1"/>
  <c r="U37"/>
  <c r="W37" s="1"/>
  <c r="N18" i="74" s="1"/>
  <c r="AE18" s="1"/>
  <c r="AQ18" s="1"/>
  <c r="O38" i="24"/>
  <c r="Q38" s="1"/>
  <c r="K19" i="74" s="1"/>
  <c r="AC19" s="1"/>
  <c r="AO19" s="1"/>
  <c r="AM38" i="24"/>
  <c r="AO38" s="1"/>
  <c r="AG41"/>
  <c r="AI41" s="1"/>
  <c r="T22" i="74" s="1"/>
  <c r="AI22" s="1"/>
  <c r="AU22" s="1"/>
  <c r="O37" i="24"/>
  <c r="Q37" s="1"/>
  <c r="K18" i="74" s="1"/>
  <c r="AC18" s="1"/>
  <c r="AO18" s="1"/>
  <c r="AG37" i="24"/>
  <c r="AI37" s="1"/>
  <c r="T18" i="74" s="1"/>
  <c r="AI18" s="1"/>
  <c r="AU18" s="1"/>
  <c r="AA38" i="24"/>
  <c r="AC38" s="1"/>
  <c r="Q19" i="74" s="1"/>
  <c r="AG19" s="1"/>
  <c r="AS19" s="1"/>
  <c r="U41" i="24"/>
  <c r="W41" s="1"/>
  <c r="N22" i="74" s="1"/>
  <c r="AE22" s="1"/>
  <c r="AQ22" s="1"/>
  <c r="AK17" i="24"/>
  <c r="AL17" s="1"/>
  <c r="AE17"/>
  <c r="AF17" s="1"/>
  <c r="Y17"/>
  <c r="Z17" s="1"/>
  <c r="S17"/>
  <c r="T17" s="1"/>
  <c r="M17"/>
  <c r="N17" s="1"/>
  <c r="AK15"/>
  <c r="AL15" s="1"/>
  <c r="AE15"/>
  <c r="AF15" s="1"/>
  <c r="Y15"/>
  <c r="Z15" s="1"/>
  <c r="S15"/>
  <c r="T15" s="1"/>
  <c r="M15"/>
  <c r="N15" s="1"/>
  <c r="AK14"/>
  <c r="AL14" s="1"/>
  <c r="AE14"/>
  <c r="AF14" s="1"/>
  <c r="Y14"/>
  <c r="Z14" s="1"/>
  <c r="S14"/>
  <c r="T14" s="1"/>
  <c r="M14"/>
  <c r="N14" s="1"/>
  <c r="AK11"/>
  <c r="AL11" s="1"/>
  <c r="AE11"/>
  <c r="AF11" s="1"/>
  <c r="Y11"/>
  <c r="Z11" s="1"/>
  <c r="S11"/>
  <c r="T11" s="1"/>
  <c r="M11"/>
  <c r="N11" s="1"/>
  <c r="AK10"/>
  <c r="AL10" s="1"/>
  <c r="AE10"/>
  <c r="AF10" s="1"/>
  <c r="Y10"/>
  <c r="Z10" s="1"/>
  <c r="S10"/>
  <c r="T10" s="1"/>
  <c r="M10"/>
  <c r="N10" s="1"/>
  <c r="V6" i="74"/>
  <c r="AJ6" s="1"/>
  <c r="AV6" s="1"/>
  <c r="S6"/>
  <c r="AH6" s="1"/>
  <c r="AT6" s="1"/>
  <c r="P6"/>
  <c r="AF6" s="1"/>
  <c r="AR6" s="1"/>
  <c r="M6"/>
  <c r="AD6" s="1"/>
  <c r="AP6" s="1"/>
  <c r="J6"/>
  <c r="AB6" s="1"/>
  <c r="AN6" s="1"/>
  <c r="AK6" i="24"/>
  <c r="AL6" s="1"/>
  <c r="AE6"/>
  <c r="AF6" s="1"/>
  <c r="C4" i="102" s="1"/>
  <c r="M4" s="1"/>
  <c r="Q4" s="1"/>
  <c r="Y6" i="24"/>
  <c r="Z6" s="1"/>
  <c r="C4" i="101" s="1"/>
  <c r="K4" s="1"/>
  <c r="Q4" s="1"/>
  <c r="S6" i="24"/>
  <c r="T6" s="1"/>
  <c r="M6"/>
  <c r="N6" s="1"/>
  <c r="AK18"/>
  <c r="AE18"/>
  <c r="Y18"/>
  <c r="Z18" s="1"/>
  <c r="S18"/>
  <c r="M18"/>
  <c r="G17" i="10"/>
  <c r="H17" s="1"/>
  <c r="I17" s="1"/>
  <c r="G18"/>
  <c r="H18" s="1"/>
  <c r="I18" s="1"/>
  <c r="D48" i="65"/>
  <c r="D49" s="1"/>
  <c r="L48"/>
  <c r="L49" s="1"/>
  <c r="K48"/>
  <c r="K49" s="1"/>
  <c r="J48"/>
  <c r="J49" s="1"/>
  <c r="I48"/>
  <c r="I49" s="1"/>
  <c r="H48"/>
  <c r="H49" s="1"/>
  <c r="G48"/>
  <c r="G49" s="1"/>
  <c r="F48"/>
  <c r="F49" s="1"/>
  <c r="E48"/>
  <c r="E49" s="1"/>
  <c r="C48"/>
  <c r="C49" s="1"/>
  <c r="B48"/>
  <c r="B49" s="1"/>
  <c r="AA18" i="24" l="1"/>
  <c r="AC18" s="1"/>
  <c r="J24" i="74"/>
  <c r="AB24" s="1"/>
  <c r="AN24" s="1"/>
  <c r="V9"/>
  <c r="AJ9" s="1"/>
  <c r="AV9" s="1"/>
  <c r="C9" i="104"/>
  <c r="O9" s="1"/>
  <c r="Q9" s="1"/>
  <c r="V15" i="74"/>
  <c r="AJ15" s="1"/>
  <c r="AV15" s="1"/>
  <c r="C15" i="104"/>
  <c r="O15" s="1"/>
  <c r="Q15" s="1"/>
  <c r="W24" i="74"/>
  <c r="AK24" s="1"/>
  <c r="AW24" s="1"/>
  <c r="C24" i="104"/>
  <c r="O24" s="1"/>
  <c r="Q24" s="1"/>
  <c r="I4" i="108"/>
  <c r="Q4" s="1"/>
  <c r="V13" i="74"/>
  <c r="AJ13" s="1"/>
  <c r="AV13" s="1"/>
  <c r="C13" i="104"/>
  <c r="O13" s="1"/>
  <c r="Q13" s="1"/>
  <c r="V8" i="74"/>
  <c r="AJ8" s="1"/>
  <c r="AV8" s="1"/>
  <c r="C8" i="104"/>
  <c r="O8" s="1"/>
  <c r="Q8" s="1"/>
  <c r="O4" i="109"/>
  <c r="Q4" s="1"/>
  <c r="C4" i="104"/>
  <c r="O4" s="1"/>
  <c r="Q4" s="1"/>
  <c r="V12" i="74"/>
  <c r="AJ12" s="1"/>
  <c r="AV12" s="1"/>
  <c r="C12" i="104"/>
  <c r="O12" s="1"/>
  <c r="Q12" s="1"/>
  <c r="Q24" i="74"/>
  <c r="AG24" s="1"/>
  <c r="AS24" s="1"/>
  <c r="C24" i="101"/>
  <c r="K24" s="1"/>
  <c r="Q24" s="1"/>
  <c r="W22" i="74"/>
  <c r="AK22" s="1"/>
  <c r="AW22" s="1"/>
  <c r="P8"/>
  <c r="AF8" s="1"/>
  <c r="AR8" s="1"/>
  <c r="C8" i="101"/>
  <c r="K8" s="1"/>
  <c r="Q8" s="1"/>
  <c r="M9" i="74"/>
  <c r="AD9" s="1"/>
  <c r="AP9" s="1"/>
  <c r="J12"/>
  <c r="AB12" s="1"/>
  <c r="AN12" s="1"/>
  <c r="S13"/>
  <c r="AH13" s="1"/>
  <c r="AT13" s="1"/>
  <c r="C13" i="102"/>
  <c r="M13" s="1"/>
  <c r="Q13" s="1"/>
  <c r="P15" i="74"/>
  <c r="AF15" s="1"/>
  <c r="AR15" s="1"/>
  <c r="C15" i="101"/>
  <c r="K15" s="1"/>
  <c r="Q15" s="1"/>
  <c r="T24" i="74"/>
  <c r="AI24" s="1"/>
  <c r="AU24" s="1"/>
  <c r="C24" i="102"/>
  <c r="M24" s="1"/>
  <c r="Q24" s="1"/>
  <c r="M8" i="74"/>
  <c r="AD8" s="1"/>
  <c r="AP8" s="1"/>
  <c r="J9"/>
  <c r="AB9" s="1"/>
  <c r="AN9" s="1"/>
  <c r="S12"/>
  <c r="AH12" s="1"/>
  <c r="AT12" s="1"/>
  <c r="C12" i="102"/>
  <c r="M12" s="1"/>
  <c r="Q12" s="1"/>
  <c r="P13" i="74"/>
  <c r="AF13" s="1"/>
  <c r="AR13" s="1"/>
  <c r="C13" i="101"/>
  <c r="K13" s="1"/>
  <c r="Q13" s="1"/>
  <c r="M15" i="74"/>
  <c r="AD15" s="1"/>
  <c r="AP15" s="1"/>
  <c r="J8"/>
  <c r="AB8" s="1"/>
  <c r="AN8" s="1"/>
  <c r="S9"/>
  <c r="AH9" s="1"/>
  <c r="AT9" s="1"/>
  <c r="C9" i="102"/>
  <c r="M9" s="1"/>
  <c r="Q9" s="1"/>
  <c r="P12" i="74"/>
  <c r="AF12" s="1"/>
  <c r="AR12" s="1"/>
  <c r="C12" i="101"/>
  <c r="K12" s="1"/>
  <c r="Q12" s="1"/>
  <c r="M13" i="74"/>
  <c r="AD13" s="1"/>
  <c r="AP13" s="1"/>
  <c r="J15"/>
  <c r="AB15" s="1"/>
  <c r="AN15" s="1"/>
  <c r="W18"/>
  <c r="AK18" s="1"/>
  <c r="AW18" s="1"/>
  <c r="S8"/>
  <c r="AH8" s="1"/>
  <c r="AT8" s="1"/>
  <c r="C8" i="102"/>
  <c r="M8" s="1"/>
  <c r="Q8" s="1"/>
  <c r="P9" i="74"/>
  <c r="AF9" s="1"/>
  <c r="AR9" s="1"/>
  <c r="C9" i="101"/>
  <c r="K9" s="1"/>
  <c r="Q9" s="1"/>
  <c r="M12" i="74"/>
  <c r="AD12" s="1"/>
  <c r="AP12" s="1"/>
  <c r="J13"/>
  <c r="AB13" s="1"/>
  <c r="AN13" s="1"/>
  <c r="S15"/>
  <c r="AH15" s="1"/>
  <c r="AT15" s="1"/>
  <c r="C15" i="102"/>
  <c r="M15" s="1"/>
  <c r="Q15" s="1"/>
  <c r="W19" i="74"/>
  <c r="AK19" s="1"/>
  <c r="AW19" s="1"/>
  <c r="N24"/>
  <c r="AE24" s="1"/>
  <c r="AQ24" s="1"/>
  <c r="S24"/>
  <c r="AH24" s="1"/>
  <c r="AT24" s="1"/>
  <c r="V24"/>
  <c r="AJ24" s="1"/>
  <c r="AV24" s="1"/>
  <c r="P24"/>
  <c r="AF24" s="1"/>
  <c r="AR24" s="1"/>
  <c r="M24"/>
  <c r="AD24" s="1"/>
  <c r="AP24" s="1"/>
  <c r="K6"/>
  <c r="AC6" s="1"/>
  <c r="AO6" s="1"/>
  <c r="AM8" i="24"/>
  <c r="AO8" s="1"/>
  <c r="AA10"/>
  <c r="AC10" s="1"/>
  <c r="Q8" i="74" s="1"/>
  <c r="AG8" s="1"/>
  <c r="AS8" s="1"/>
  <c r="U11" i="24"/>
  <c r="W11" s="1"/>
  <c r="O14"/>
  <c r="Q14" s="1"/>
  <c r="K12" i="74" s="1"/>
  <c r="AC12" s="1"/>
  <c r="AO12" s="1"/>
  <c r="AM14" i="24"/>
  <c r="AO14" s="1"/>
  <c r="AG15"/>
  <c r="AI15" s="1"/>
  <c r="T13" i="74" s="1"/>
  <c r="AI13" s="1"/>
  <c r="AU13" s="1"/>
  <c r="AA17" i="24"/>
  <c r="AC17" s="1"/>
  <c r="Q15" i="74" s="1"/>
  <c r="AG15" s="1"/>
  <c r="AS15" s="1"/>
  <c r="T6"/>
  <c r="AI6" s="1"/>
  <c r="AU6" s="1"/>
  <c r="U10" i="24"/>
  <c r="W10" s="1"/>
  <c r="O11"/>
  <c r="Q11" s="1"/>
  <c r="AM11"/>
  <c r="AO11" s="1"/>
  <c r="AG14"/>
  <c r="AI14" s="1"/>
  <c r="T12" i="74" s="1"/>
  <c r="AI12" s="1"/>
  <c r="AU12" s="1"/>
  <c r="AA15" i="24"/>
  <c r="AC15" s="1"/>
  <c r="Q13" i="74" s="1"/>
  <c r="AG13" s="1"/>
  <c r="AS13" s="1"/>
  <c r="U17" i="24"/>
  <c r="W17" s="1"/>
  <c r="N15" i="74" s="1"/>
  <c r="AE15" s="1"/>
  <c r="AQ15" s="1"/>
  <c r="Q6"/>
  <c r="AG6" s="1"/>
  <c r="AS6" s="1"/>
  <c r="O10" i="24"/>
  <c r="Q10" s="1"/>
  <c r="AM10"/>
  <c r="AO10" s="1"/>
  <c r="AG11"/>
  <c r="AI11" s="1"/>
  <c r="T9" i="74" s="1"/>
  <c r="AI9" s="1"/>
  <c r="AU9" s="1"/>
  <c r="AA14" i="24"/>
  <c r="AC14" s="1"/>
  <c r="Q12" i="74" s="1"/>
  <c r="AG12" s="1"/>
  <c r="AS12" s="1"/>
  <c r="U15" i="24"/>
  <c r="W15" s="1"/>
  <c r="N13" i="74" s="1"/>
  <c r="AE13" s="1"/>
  <c r="AQ13" s="1"/>
  <c r="O17" i="24"/>
  <c r="Q17" s="1"/>
  <c r="K15" i="74" s="1"/>
  <c r="AC15" s="1"/>
  <c r="AO15" s="1"/>
  <c r="AM17" i="24"/>
  <c r="AO17" s="1"/>
  <c r="N6" i="74"/>
  <c r="AE6" s="1"/>
  <c r="AQ6" s="1"/>
  <c r="AG10" i="24"/>
  <c r="AI10" s="1"/>
  <c r="T8" i="74" s="1"/>
  <c r="AI8" s="1"/>
  <c r="AU8" s="1"/>
  <c r="AA11" i="24"/>
  <c r="AC11" s="1"/>
  <c r="Q9" i="74" s="1"/>
  <c r="AG9" s="1"/>
  <c r="AS9" s="1"/>
  <c r="U14" i="24"/>
  <c r="W14" s="1"/>
  <c r="N12" i="74" s="1"/>
  <c r="AE12" s="1"/>
  <c r="AQ12" s="1"/>
  <c r="O15" i="24"/>
  <c r="Q15" s="1"/>
  <c r="K13" i="74" s="1"/>
  <c r="AC13" s="1"/>
  <c r="AO13" s="1"/>
  <c r="AM15" i="24"/>
  <c r="AO15" s="1"/>
  <c r="AG17"/>
  <c r="AI17" s="1"/>
  <c r="T15" i="74" s="1"/>
  <c r="AI15" s="1"/>
  <c r="AU15" s="1"/>
  <c r="M4"/>
  <c r="AD4" s="1"/>
  <c r="AP4" s="1"/>
  <c r="V5"/>
  <c r="AJ5" s="1"/>
  <c r="AV5" s="1"/>
  <c r="V4"/>
  <c r="AJ4" s="1"/>
  <c r="AV4" s="1"/>
  <c r="M7"/>
  <c r="AD7" s="1"/>
  <c r="AP7" s="1"/>
  <c r="S4"/>
  <c r="AH4" s="1"/>
  <c r="AT4" s="1"/>
  <c r="P5"/>
  <c r="AF5" s="1"/>
  <c r="AR5" s="1"/>
  <c r="J7"/>
  <c r="AB7" s="1"/>
  <c r="AN7" s="1"/>
  <c r="V7"/>
  <c r="AJ7" s="1"/>
  <c r="AV7" s="1"/>
  <c r="J5"/>
  <c r="AB5" s="1"/>
  <c r="AN5" s="1"/>
  <c r="P7"/>
  <c r="AF7" s="1"/>
  <c r="AR7" s="1"/>
  <c r="J4"/>
  <c r="AB4" s="1"/>
  <c r="AN4" s="1"/>
  <c r="S5"/>
  <c r="AH5" s="1"/>
  <c r="AT5" s="1"/>
  <c r="P4"/>
  <c r="AF4" s="1"/>
  <c r="AR4" s="1"/>
  <c r="M5"/>
  <c r="AD5" s="1"/>
  <c r="AP5" s="1"/>
  <c r="S7"/>
  <c r="AH7" s="1"/>
  <c r="AT7" s="1"/>
  <c r="I50" i="65"/>
  <c r="W8" i="74" l="1"/>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M6" i="24"/>
  <c r="AO6" s="1"/>
  <c r="K5" i="74"/>
  <c r="AC5" s="1"/>
  <c r="AO5" s="1"/>
  <c r="N5"/>
  <c r="AE5" s="1"/>
  <c r="AQ5" s="1"/>
  <c r="Q7"/>
  <c r="AG7" s="1"/>
  <c r="AS7" s="1"/>
  <c r="Q5"/>
  <c r="AG5" s="1"/>
  <c r="AS5" s="1"/>
  <c r="AM7" i="24"/>
  <c r="AO7" s="1"/>
  <c r="T5" i="74"/>
  <c r="AI5" s="1"/>
  <c r="AU5" s="1"/>
  <c r="AM9" i="24"/>
  <c r="AO9" s="1"/>
  <c r="N7" i="74"/>
  <c r="AE7" s="1"/>
  <c r="AQ7" s="1"/>
  <c r="U6" i="24"/>
  <c r="W6" s="1"/>
  <c r="N4" i="74" s="1"/>
  <c r="AE4" s="1"/>
  <c r="AQ4" s="1"/>
  <c r="O6" i="24"/>
  <c r="Q6" s="1"/>
  <c r="K4" i="74" s="1"/>
  <c r="AC4" s="1"/>
  <c r="AO4" s="1"/>
  <c r="AA6" i="24"/>
  <c r="AC6" s="1"/>
  <c r="Q4" i="74" s="1"/>
  <c r="AG4" s="1"/>
  <c r="AS4" s="1"/>
  <c r="AG6" i="24"/>
  <c r="AI6" s="1"/>
  <c r="T4" i="74" s="1"/>
  <c r="AI4" s="1"/>
  <c r="AU4" s="1"/>
  <c r="C40" i="65"/>
  <c r="C39"/>
  <c r="W7" i="74" l="1"/>
  <c r="AK7" s="1"/>
  <c r="AW7" s="1"/>
  <c r="W4"/>
  <c r="AK4" s="1"/>
  <c r="AW4" s="1"/>
  <c r="W5"/>
  <c r="AK5" s="1"/>
  <c r="AW5" s="1"/>
  <c r="I34" i="65"/>
  <c r="I35" s="1"/>
  <c r="I36" s="1"/>
  <c r="C35"/>
  <c r="C36" s="1"/>
  <c r="D35"/>
  <c r="D36" s="1"/>
  <c r="E35"/>
  <c r="E36" s="1"/>
  <c r="F35"/>
  <c r="F36" s="1"/>
  <c r="G35"/>
  <c r="G36" s="1"/>
  <c r="H35"/>
  <c r="H36" s="1"/>
  <c r="J35"/>
  <c r="J36" s="1"/>
  <c r="K35"/>
  <c r="K36" s="1"/>
  <c r="L35"/>
  <c r="L36" s="1"/>
  <c r="B35"/>
  <c r="B36" s="1"/>
  <c r="N81" i="24"/>
  <c r="J65" i="56"/>
  <c r="N65"/>
  <c r="R65"/>
  <c r="P65"/>
  <c r="AF81" i="24"/>
  <c r="Z81"/>
  <c r="T81"/>
  <c r="M80"/>
  <c r="S80"/>
  <c r="Y80"/>
  <c r="AE80"/>
  <c r="AK80"/>
  <c r="G80"/>
  <c r="AK80" i="10"/>
  <c r="AL80" s="1"/>
  <c r="AM80" s="1"/>
  <c r="AO80" s="1"/>
  <c r="AE80"/>
  <c r="AF80" s="1"/>
  <c r="AG80" s="1"/>
  <c r="AI80" s="1"/>
  <c r="Y80"/>
  <c r="Z80" s="1"/>
  <c r="AA80" s="1"/>
  <c r="AC80" s="1"/>
  <c r="S80"/>
  <c r="T80" s="1"/>
  <c r="U80" s="1"/>
  <c r="W80" s="1"/>
  <c r="M80"/>
  <c r="N80" s="1"/>
  <c r="O80" s="1"/>
  <c r="Q80" s="1"/>
  <c r="G80"/>
  <c r="H80" s="1"/>
  <c r="I80" s="1"/>
  <c r="H63" i="60"/>
  <c r="H64" i="95" s="1"/>
  <c r="H63" i="24"/>
  <c r="H62"/>
  <c r="N63"/>
  <c r="N62"/>
  <c r="T63"/>
  <c r="X35" i="58" s="1"/>
  <c r="T62" i="24"/>
  <c r="Z63"/>
  <c r="D168" i="69"/>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114"/>
  <c r="E114"/>
  <c r="F114"/>
  <c r="G114"/>
  <c r="H114"/>
  <c r="I114"/>
  <c r="D115"/>
  <c r="E115"/>
  <c r="F115"/>
  <c r="G115"/>
  <c r="H115"/>
  <c r="I115"/>
  <c r="D117"/>
  <c r="E117"/>
  <c r="F117"/>
  <c r="G117"/>
  <c r="H117"/>
  <c r="I117"/>
  <c r="D118"/>
  <c r="E118"/>
  <c r="F118"/>
  <c r="G118"/>
  <c r="H118"/>
  <c r="I118"/>
  <c r="D120"/>
  <c r="E120"/>
  <c r="F120"/>
  <c r="G120"/>
  <c r="H120"/>
  <c r="I120"/>
  <c r="D122"/>
  <c r="E122"/>
  <c r="F122"/>
  <c r="G122"/>
  <c r="H122"/>
  <c r="I122"/>
  <c r="D104"/>
  <c r="E104"/>
  <c r="D58"/>
  <c r="E58"/>
  <c r="F58"/>
  <c r="G58"/>
  <c r="H58"/>
  <c r="I58"/>
  <c r="D59"/>
  <c r="E59"/>
  <c r="F59"/>
  <c r="G59"/>
  <c r="H59"/>
  <c r="I59"/>
  <c r="D61"/>
  <c r="E61"/>
  <c r="F61"/>
  <c r="G61"/>
  <c r="H61"/>
  <c r="I61"/>
  <c r="D62"/>
  <c r="E62"/>
  <c r="F62"/>
  <c r="G62"/>
  <c r="H62"/>
  <c r="I62"/>
  <c r="D64"/>
  <c r="E64"/>
  <c r="F64"/>
  <c r="G64"/>
  <c r="H64"/>
  <c r="I64"/>
  <c r="D66"/>
  <c r="E66"/>
  <c r="F66"/>
  <c r="G66"/>
  <c r="H66"/>
  <c r="I66"/>
  <c r="I6"/>
  <c r="I8"/>
  <c r="I10"/>
  <c r="I12"/>
  <c r="H6"/>
  <c r="H8"/>
  <c r="H10"/>
  <c r="H12"/>
  <c r="G6"/>
  <c r="G8"/>
  <c r="G10"/>
  <c r="G12"/>
  <c r="F6"/>
  <c r="F8"/>
  <c r="F10"/>
  <c r="F12"/>
  <c r="E6"/>
  <c r="E8"/>
  <c r="E10"/>
  <c r="E12"/>
  <c r="D6"/>
  <c r="D8"/>
  <c r="D10"/>
  <c r="D12"/>
  <c r="K80" i="24" l="1"/>
  <c r="J22" i="56" s="1"/>
  <c r="P30" i="74"/>
  <c r="AF30" s="1"/>
  <c r="AR30" s="1"/>
  <c r="C30" i="101"/>
  <c r="K30" s="1"/>
  <c r="Q30" s="1"/>
  <c r="J30" i="74"/>
  <c r="AB30" s="1"/>
  <c r="AN30" s="1"/>
  <c r="M31"/>
  <c r="AD31" s="1"/>
  <c r="AP31" s="1"/>
  <c r="G31"/>
  <c r="Z31" s="1"/>
  <c r="AL31" s="1"/>
  <c r="M30"/>
  <c r="AD30" s="1"/>
  <c r="AP30" s="1"/>
  <c r="G30"/>
  <c r="Z30" s="1"/>
  <c r="AL30" s="1"/>
  <c r="P31"/>
  <c r="AF31" s="1"/>
  <c r="AR31" s="1"/>
  <c r="C31" i="101"/>
  <c r="K31" s="1"/>
  <c r="Q31" s="1"/>
  <c r="J31" i="74"/>
  <c r="AB31" s="1"/>
  <c r="AN31" s="1"/>
  <c r="P23" i="56"/>
  <c r="H65"/>
  <c r="L64"/>
  <c r="L23"/>
  <c r="AM80" i="24"/>
  <c r="O80"/>
  <c r="L65" i="56"/>
  <c r="H23"/>
  <c r="I80" i="24"/>
  <c r="H22" i="56"/>
  <c r="I37" i="65"/>
  <c r="H64" i="56"/>
  <c r="AA80" i="24"/>
  <c r="U80"/>
  <c r="P22" i="56"/>
  <c r="P64"/>
  <c r="AG80" i="24"/>
  <c r="L22" i="56"/>
  <c r="K80" i="10"/>
  <c r="R22" i="56" l="1"/>
  <c r="R64"/>
  <c r="N22"/>
  <c r="N64"/>
  <c r="J64"/>
  <c r="L53" i="96"/>
  <c r="AK84" i="10"/>
  <c r="AK85"/>
  <c r="AL85" s="1"/>
  <c r="AK86"/>
  <c r="AK87"/>
  <c r="AL87" s="1"/>
  <c r="AK84" i="24"/>
  <c r="AK85"/>
  <c r="AK86"/>
  <c r="AL86" s="1"/>
  <c r="AK87"/>
  <c r="AL84" i="10" l="1"/>
  <c r="AM84" s="1"/>
  <c r="AO84" s="1"/>
  <c r="Z111"/>
  <c r="AL86"/>
  <c r="AM86" s="1"/>
  <c r="AO86" s="1"/>
  <c r="Z113"/>
  <c r="AL85" i="24"/>
  <c r="AM85" s="1"/>
  <c r="AL84"/>
  <c r="L51" i="95"/>
  <c r="L50"/>
  <c r="L53"/>
  <c r="B1" i="69"/>
  <c r="AM87" i="10"/>
  <c r="AO87" s="1"/>
  <c r="AM85"/>
  <c r="AO85" s="1"/>
  <c r="R3" i="61"/>
  <c r="R7" i="65"/>
  <c r="Q7"/>
  <c r="Q8" s="1"/>
  <c r="Q9" s="1"/>
  <c r="P7"/>
  <c r="P8" s="1"/>
  <c r="P9" s="1"/>
  <c r="N7"/>
  <c r="N8" s="1"/>
  <c r="N9" s="1"/>
  <c r="M7"/>
  <c r="M8" s="1"/>
  <c r="M9" s="1"/>
  <c r="L7"/>
  <c r="L8" s="1"/>
  <c r="L9" s="1"/>
  <c r="K7"/>
  <c r="J7"/>
  <c r="I7"/>
  <c r="H7"/>
  <c r="G7"/>
  <c r="F7"/>
  <c r="E7"/>
  <c r="D7"/>
  <c r="C7"/>
  <c r="B7"/>
  <c r="B1" i="62"/>
  <c r="D168"/>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114"/>
  <c r="E114"/>
  <c r="F114"/>
  <c r="G114"/>
  <c r="H114"/>
  <c r="I114"/>
  <c r="D115"/>
  <c r="E115"/>
  <c r="F115"/>
  <c r="G115"/>
  <c r="H115"/>
  <c r="I115"/>
  <c r="D117"/>
  <c r="E117"/>
  <c r="F117"/>
  <c r="G117"/>
  <c r="H117"/>
  <c r="I117"/>
  <c r="D118"/>
  <c r="E118"/>
  <c r="F118"/>
  <c r="G118"/>
  <c r="H118"/>
  <c r="I118"/>
  <c r="D120"/>
  <c r="E120"/>
  <c r="F120"/>
  <c r="G120"/>
  <c r="H120"/>
  <c r="I120"/>
  <c r="D122"/>
  <c r="E122"/>
  <c r="F122"/>
  <c r="G122"/>
  <c r="H122"/>
  <c r="I122"/>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L52" i="95" l="1"/>
  <c r="L50" i="96"/>
  <c r="AO85" i="24"/>
  <c r="AM84"/>
  <c r="AO84" s="1"/>
  <c r="AL87"/>
  <c r="L49" i="96"/>
  <c r="N52" i="95"/>
  <c r="N53"/>
  <c r="N51"/>
  <c r="N50"/>
  <c r="F8" i="65"/>
  <c r="F9" s="1"/>
  <c r="D8"/>
  <c r="D9" s="1"/>
  <c r="H8"/>
  <c r="H9" s="1"/>
  <c r="B8"/>
  <c r="B9" s="1"/>
  <c r="J8"/>
  <c r="J9" s="1"/>
  <c r="AM87" i="24" l="1"/>
  <c r="AO87" s="1"/>
  <c r="L52" i="96"/>
  <c r="AM86" i="24"/>
  <c r="AO86" s="1"/>
  <c r="L51" i="96"/>
  <c r="J26" i="7"/>
  <c r="J27" s="1"/>
  <c r="N65" i="61"/>
  <c r="J59"/>
  <c r="J65"/>
  <c r="R19"/>
  <c r="R25"/>
  <c r="N19"/>
  <c r="N25"/>
  <c r="J19"/>
  <c r="J25"/>
  <c r="P35"/>
  <c r="L35"/>
  <c r="H35"/>
  <c r="P34"/>
  <c r="L34"/>
  <c r="H34"/>
  <c r="P33"/>
  <c r="L33"/>
  <c r="H33"/>
  <c r="P32"/>
  <c r="L32"/>
  <c r="H32"/>
  <c r="P31"/>
  <c r="L31"/>
  <c r="H31"/>
  <c r="P30"/>
  <c r="L30"/>
  <c r="H30"/>
  <c r="P29"/>
  <c r="L29"/>
  <c r="H29"/>
  <c r="P28"/>
  <c r="L28"/>
  <c r="H28"/>
  <c r="I30" i="62"/>
  <c r="X65" i="46"/>
  <c r="I24" i="62" s="1"/>
  <c r="X66" i="46"/>
  <c r="I25" i="62" s="1"/>
  <c r="X67" i="46"/>
  <c r="I26" i="62" s="1"/>
  <c r="X68" i="46"/>
  <c r="I27" i="62" s="1"/>
  <c r="X69" i="46"/>
  <c r="I28" i="62" s="1"/>
  <c r="X70" i="46"/>
  <c r="I29" i="62" s="1"/>
  <c r="X71" i="46"/>
  <c r="X64"/>
  <c r="I23" i="62" s="1"/>
  <c r="H30"/>
  <c r="H24"/>
  <c r="H25"/>
  <c r="H26"/>
  <c r="H27"/>
  <c r="H28"/>
  <c r="H29"/>
  <c r="P71" i="46"/>
  <c r="H23" i="62"/>
  <c r="G30"/>
  <c r="H65" i="46"/>
  <c r="G24" i="62" s="1"/>
  <c r="G25"/>
  <c r="H67" i="46"/>
  <c r="G26" i="62" s="1"/>
  <c r="G27"/>
  <c r="H69" i="46"/>
  <c r="G28" i="62" s="1"/>
  <c r="H70" i="46"/>
  <c r="G29" i="62" s="1"/>
  <c r="H71" i="46"/>
  <c r="H64"/>
  <c r="G23" i="62" s="1"/>
  <c r="F30"/>
  <c r="X27" i="46"/>
  <c r="F24" i="62" s="1"/>
  <c r="X28" i="46"/>
  <c r="F25" i="62" s="1"/>
  <c r="X29" i="46"/>
  <c r="F26" i="62" s="1"/>
  <c r="F27"/>
  <c r="X31" i="46"/>
  <c r="F28" i="62" s="1"/>
  <c r="X32" i="46"/>
  <c r="F29" i="62" s="1"/>
  <c r="X33" i="46"/>
  <c r="F23" i="62"/>
  <c r="E30"/>
  <c r="P27" i="46"/>
  <c r="E24" i="62" s="1"/>
  <c r="P28" i="46"/>
  <c r="E25" i="62" s="1"/>
  <c r="P29" i="46"/>
  <c r="E26" i="62" s="1"/>
  <c r="E27"/>
  <c r="P31" i="46"/>
  <c r="E28" i="62" s="1"/>
  <c r="P32" i="46"/>
  <c r="E29" i="62" s="1"/>
  <c r="P33" i="46"/>
  <c r="E23" i="62"/>
  <c r="Z57" i="46"/>
  <c r="X57"/>
  <c r="I16" i="62" s="1"/>
  <c r="R57" i="46"/>
  <c r="H16" i="62"/>
  <c r="J57" i="46"/>
  <c r="H57"/>
  <c r="G16" i="62" s="1"/>
  <c r="G41" i="46"/>
  <c r="Z19"/>
  <c r="X19"/>
  <c r="F16" i="62" s="1"/>
  <c r="R19" i="46"/>
  <c r="P19"/>
  <c r="E16" i="62" s="1"/>
  <c r="E30" i="69" l="1"/>
  <c r="H30"/>
  <c r="D23"/>
  <c r="F23"/>
  <c r="E24"/>
  <c r="D25"/>
  <c r="F25"/>
  <c r="E26"/>
  <c r="D27"/>
  <c r="F27"/>
  <c r="E28"/>
  <c r="D29"/>
  <c r="F29"/>
  <c r="G23"/>
  <c r="I23"/>
  <c r="H24"/>
  <c r="G25"/>
  <c r="I25"/>
  <c r="H26"/>
  <c r="G27"/>
  <c r="I27"/>
  <c r="H28"/>
  <c r="G29"/>
  <c r="I29"/>
  <c r="D30"/>
  <c r="F30"/>
  <c r="G30"/>
  <c r="I30"/>
  <c r="E23"/>
  <c r="D24"/>
  <c r="F24"/>
  <c r="E25"/>
  <c r="D26"/>
  <c r="F26"/>
  <c r="E27"/>
  <c r="D28"/>
  <c r="F28"/>
  <c r="E29"/>
  <c r="H23"/>
  <c r="G24"/>
  <c r="I24"/>
  <c r="H25"/>
  <c r="G26"/>
  <c r="I26"/>
  <c r="H27"/>
  <c r="G28"/>
  <c r="I28"/>
  <c r="H29"/>
  <c r="F48"/>
  <c r="H48"/>
  <c r="G48"/>
  <c r="I48"/>
  <c r="D48"/>
  <c r="E48"/>
  <c r="F48" i="62"/>
  <c r="G48"/>
  <c r="I48"/>
  <c r="E48"/>
  <c r="H48"/>
  <c r="J61" i="54"/>
  <c r="L65" i="61"/>
  <c r="AL50" i="24"/>
  <c r="AF50"/>
  <c r="R23" i="54"/>
  <c r="AL63" i="24"/>
  <c r="AL62"/>
  <c r="AF63"/>
  <c r="AE17" i="10"/>
  <c r="AG17" s="1"/>
  <c r="AI17" s="1"/>
  <c r="V31" i="74" l="1"/>
  <c r="AJ31" s="1"/>
  <c r="AV31" s="1"/>
  <c r="C31" i="104"/>
  <c r="O31" s="1"/>
  <c r="Q31" s="1"/>
  <c r="V39" i="74"/>
  <c r="AJ39" s="1"/>
  <c r="AV39" s="1"/>
  <c r="C39" i="104"/>
  <c r="O39" s="1"/>
  <c r="Q39" s="1"/>
  <c r="V30" i="74"/>
  <c r="AJ30" s="1"/>
  <c r="AV30" s="1"/>
  <c r="C30" i="104"/>
  <c r="O30" s="1"/>
  <c r="Q30" s="1"/>
  <c r="S31" i="74"/>
  <c r="AH31" s="1"/>
  <c r="AT31" s="1"/>
  <c r="C31" i="102"/>
  <c r="M31" s="1"/>
  <c r="Q31" s="1"/>
  <c r="S39" i="74"/>
  <c r="AH39" s="1"/>
  <c r="AT39" s="1"/>
  <c r="C39" i="102"/>
  <c r="M39" s="1"/>
  <c r="Q39" s="1"/>
  <c r="S30" i="74"/>
  <c r="AH30" s="1"/>
  <c r="AT30" s="1"/>
  <c r="C30" i="102"/>
  <c r="M30" s="1"/>
  <c r="Q30" s="1"/>
  <c r="I88" i="69"/>
  <c r="I16"/>
  <c r="H16"/>
  <c r="Z53" i="60"/>
  <c r="X53"/>
  <c r="R53"/>
  <c r="P53"/>
  <c r="H180" i="62" s="1"/>
  <c r="J53" i="60"/>
  <c r="H53"/>
  <c r="Z17"/>
  <c r="R17"/>
  <c r="J17"/>
  <c r="X17"/>
  <c r="P17"/>
  <c r="E180" i="62" s="1"/>
  <c r="H17" i="60"/>
  <c r="I126" i="62"/>
  <c r="H126"/>
  <c r="G126"/>
  <c r="F126"/>
  <c r="E126"/>
  <c r="D126"/>
  <c r="Z53" i="58"/>
  <c r="R53"/>
  <c r="J53"/>
  <c r="I180" i="62" l="1"/>
  <c r="G180"/>
  <c r="F180"/>
  <c r="D180"/>
  <c r="G104"/>
  <c r="G159"/>
  <c r="D214"/>
  <c r="I214"/>
  <c r="H104"/>
  <c r="D159"/>
  <c r="F159"/>
  <c r="H159"/>
  <c r="F214"/>
  <c r="H214"/>
  <c r="I104"/>
  <c r="E159"/>
  <c r="I159"/>
  <c r="G214"/>
  <c r="E214"/>
  <c r="Z17" i="58"/>
  <c r="R17"/>
  <c r="J17"/>
  <c r="G39" i="60"/>
  <c r="G3"/>
  <c r="G39" i="58"/>
  <c r="G3"/>
  <c r="G3" i="61" s="1"/>
  <c r="G43" s="1"/>
  <c r="D104" i="62" l="1"/>
  <c r="F104"/>
  <c r="E104"/>
  <c r="D133"/>
  <c r="I143"/>
  <c r="H143"/>
  <c r="I142"/>
  <c r="H142"/>
  <c r="I139"/>
  <c r="I133"/>
  <c r="I134"/>
  <c r="I135"/>
  <c r="I136"/>
  <c r="I137"/>
  <c r="I138"/>
  <c r="H139"/>
  <c r="H133"/>
  <c r="H134"/>
  <c r="H135"/>
  <c r="H136"/>
  <c r="H137"/>
  <c r="H138"/>
  <c r="I132"/>
  <c r="H132"/>
  <c r="H194"/>
  <c r="P61" i="60"/>
  <c r="H188" i="62" s="1"/>
  <c r="P62" i="60"/>
  <c r="H189" i="62" s="1"/>
  <c r="P63" i="60"/>
  <c r="H190" i="62" s="1"/>
  <c r="P64" i="60"/>
  <c r="H191" i="62" s="1"/>
  <c r="P65" i="60"/>
  <c r="H192" i="62" s="1"/>
  <c r="P66" i="60"/>
  <c r="H193" i="62" s="1"/>
  <c r="P60" i="60"/>
  <c r="H187" i="62" s="1"/>
  <c r="P59" i="56"/>
  <c r="L59"/>
  <c r="E214" i="69" l="1"/>
  <c r="H214"/>
  <c r="H180"/>
  <c r="G214"/>
  <c r="I214"/>
  <c r="F214"/>
  <c r="I180"/>
  <c r="D214"/>
  <c r="D132" i="62"/>
  <c r="X60" i="60"/>
  <c r="L61" i="95" s="1"/>
  <c r="X65" i="60"/>
  <c r="I192" i="62" s="1"/>
  <c r="X66" i="60"/>
  <c r="L68" i="95" s="1"/>
  <c r="X62" i="60"/>
  <c r="L63" i="95" s="1"/>
  <c r="X64" i="60"/>
  <c r="I191" i="62" s="1"/>
  <c r="X61" i="60"/>
  <c r="L62" i="95" s="1"/>
  <c r="X63" i="60"/>
  <c r="L64" i="95" s="1"/>
  <c r="P70" i="56"/>
  <c r="P75"/>
  <c r="L74"/>
  <c r="P71"/>
  <c r="P72"/>
  <c r="L75"/>
  <c r="L71"/>
  <c r="P76"/>
  <c r="L76"/>
  <c r="L72"/>
  <c r="P73"/>
  <c r="L73"/>
  <c r="P74"/>
  <c r="L70"/>
  <c r="G45"/>
  <c r="R3"/>
  <c r="I143" i="69"/>
  <c r="I142"/>
  <c r="H143"/>
  <c r="H142"/>
  <c r="I139"/>
  <c r="I133"/>
  <c r="I134"/>
  <c r="I135"/>
  <c r="I136"/>
  <c r="I137"/>
  <c r="I138"/>
  <c r="H139"/>
  <c r="H133"/>
  <c r="H134"/>
  <c r="H135"/>
  <c r="H136"/>
  <c r="H137"/>
  <c r="H138"/>
  <c r="I132"/>
  <c r="H132"/>
  <c r="I159"/>
  <c r="I126"/>
  <c r="H159"/>
  <c r="G159"/>
  <c r="D133"/>
  <c r="D132"/>
  <c r="F159"/>
  <c r="E159"/>
  <c r="D159"/>
  <c r="X71" i="58"/>
  <c r="I88" i="62" s="1"/>
  <c r="X70" i="58"/>
  <c r="I87" i="62" s="1"/>
  <c r="P71" i="58"/>
  <c r="H88" i="62" s="1"/>
  <c r="H87"/>
  <c r="I84"/>
  <c r="X61" i="58"/>
  <c r="I78" i="62" s="1"/>
  <c r="X62" i="58"/>
  <c r="I79" i="62" s="1"/>
  <c r="X63" i="58"/>
  <c r="I80" i="62" s="1"/>
  <c r="X64" i="58"/>
  <c r="I81" i="62" s="1"/>
  <c r="X65" i="58"/>
  <c r="I82" i="62" s="1"/>
  <c r="X66" i="58"/>
  <c r="I83" i="62" s="1"/>
  <c r="H84"/>
  <c r="P61" i="58"/>
  <c r="H78" i="62" s="1"/>
  <c r="P62" i="58"/>
  <c r="H79" i="62" s="1"/>
  <c r="P63" i="58"/>
  <c r="H80" i="62" s="1"/>
  <c r="P64" i="58"/>
  <c r="H81" i="62" s="1"/>
  <c r="P65" i="58"/>
  <c r="H82" i="62" s="1"/>
  <c r="P66" i="58"/>
  <c r="H83" i="62" s="1"/>
  <c r="X60" i="58"/>
  <c r="I77" i="62" s="1"/>
  <c r="P60" i="58"/>
  <c r="H77" i="62" s="1"/>
  <c r="J55" i="54"/>
  <c r="R17"/>
  <c r="G41"/>
  <c r="R3"/>
  <c r="G3" i="56"/>
  <c r="G3" i="54"/>
  <c r="AK79" i="24"/>
  <c r="AL79" s="1"/>
  <c r="AM79" s="1"/>
  <c r="AO79" s="1"/>
  <c r="AE79"/>
  <c r="AF79" s="1"/>
  <c r="AG79" s="1"/>
  <c r="AI79" s="1"/>
  <c r="AK78"/>
  <c r="AL78" s="1"/>
  <c r="AM78" s="1"/>
  <c r="AO78" s="1"/>
  <c r="AE78"/>
  <c r="AF78" s="1"/>
  <c r="AG78" s="1"/>
  <c r="AI78" s="1"/>
  <c r="AK77"/>
  <c r="AL77" s="1"/>
  <c r="AM77" s="1"/>
  <c r="AO77" s="1"/>
  <c r="AE77"/>
  <c r="AF77" s="1"/>
  <c r="AG77" s="1"/>
  <c r="AI77" s="1"/>
  <c r="AK76"/>
  <c r="AL76" s="1"/>
  <c r="AM76" s="1"/>
  <c r="AO76" s="1"/>
  <c r="AE76"/>
  <c r="AF76" s="1"/>
  <c r="AG76" s="1"/>
  <c r="AI76" s="1"/>
  <c r="AK74"/>
  <c r="AL74" s="1"/>
  <c r="AM74" s="1"/>
  <c r="AO74" s="1"/>
  <c r="AE74"/>
  <c r="AF74" s="1"/>
  <c r="AG74" s="1"/>
  <c r="AI74" s="1"/>
  <c r="AK73"/>
  <c r="AL73" s="1"/>
  <c r="AE73"/>
  <c r="AF73" s="1"/>
  <c r="AK72"/>
  <c r="AL72" s="1"/>
  <c r="AM72" s="1"/>
  <c r="AO72" s="1"/>
  <c r="AE72"/>
  <c r="AF72" s="1"/>
  <c r="AG72" s="1"/>
  <c r="AI72" s="1"/>
  <c r="AK71"/>
  <c r="AL71" s="1"/>
  <c r="AM71" s="1"/>
  <c r="AO71" s="1"/>
  <c r="AE71"/>
  <c r="AF71" s="1"/>
  <c r="AG71" s="1"/>
  <c r="AI71" s="1"/>
  <c r="AK70"/>
  <c r="AL70" s="1"/>
  <c r="AM70" s="1"/>
  <c r="AO70" s="1"/>
  <c r="AE70"/>
  <c r="AF70" s="1"/>
  <c r="AG70" s="1"/>
  <c r="AI70" s="1"/>
  <c r="AK69"/>
  <c r="AL69" s="1"/>
  <c r="AE69"/>
  <c r="AK68"/>
  <c r="AL68" s="1"/>
  <c r="AE68"/>
  <c r="AK49"/>
  <c r="AL49" s="1"/>
  <c r="AE49"/>
  <c r="AF49" s="1"/>
  <c r="AK48"/>
  <c r="AL48" s="1"/>
  <c r="AE48"/>
  <c r="AF48" s="1"/>
  <c r="AK47"/>
  <c r="AL47" s="1"/>
  <c r="AE47"/>
  <c r="AF47" s="1"/>
  <c r="AK46"/>
  <c r="AL46" s="1"/>
  <c r="AE46"/>
  <c r="AF46" s="1"/>
  <c r="AK45"/>
  <c r="AE45"/>
  <c r="AK42"/>
  <c r="AL42" s="1"/>
  <c r="AE42"/>
  <c r="AF42" s="1"/>
  <c r="AK77" i="10"/>
  <c r="AL77" s="1"/>
  <c r="AK78"/>
  <c r="AL78" s="1"/>
  <c r="AK79"/>
  <c r="AL79" s="1"/>
  <c r="AM79" s="1"/>
  <c r="AO79" s="1"/>
  <c r="AK76"/>
  <c r="AL76" s="1"/>
  <c r="AK69"/>
  <c r="AL69" s="1"/>
  <c r="AM69" s="1"/>
  <c r="AO69" s="1"/>
  <c r="AK70"/>
  <c r="AL70" s="1"/>
  <c r="AM70" s="1"/>
  <c r="AO70" s="1"/>
  <c r="AK71"/>
  <c r="AL71" s="1"/>
  <c r="AM71" s="1"/>
  <c r="AO71" s="1"/>
  <c r="AK72"/>
  <c r="AL72" s="1"/>
  <c r="X50" i="60" s="1"/>
  <c r="AK73" i="10"/>
  <c r="AK74"/>
  <c r="AL74" s="1"/>
  <c r="AM74" s="1"/>
  <c r="AO74" s="1"/>
  <c r="AK68"/>
  <c r="AL68" s="1"/>
  <c r="AM68" s="1"/>
  <c r="AO68" s="1"/>
  <c r="AE77"/>
  <c r="AF77" s="1"/>
  <c r="P55" i="60" s="1"/>
  <c r="H182" i="62" s="1"/>
  <c r="AE78" i="10"/>
  <c r="AF78" s="1"/>
  <c r="P56" i="60" s="1"/>
  <c r="H183" i="62" s="1"/>
  <c r="AE79" i="10"/>
  <c r="AF79" s="1"/>
  <c r="AG79" s="1"/>
  <c r="AI79" s="1"/>
  <c r="AE76"/>
  <c r="AF76" s="1"/>
  <c r="P54" i="60" s="1"/>
  <c r="H181" i="62" s="1"/>
  <c r="AE69" i="10"/>
  <c r="AF69" s="1"/>
  <c r="AG69" s="1"/>
  <c r="AI69" s="1"/>
  <c r="AE70"/>
  <c r="AF70" s="1"/>
  <c r="AG70" s="1"/>
  <c r="AI70" s="1"/>
  <c r="AE71"/>
  <c r="AF71" s="1"/>
  <c r="AG71" s="1"/>
  <c r="AI71" s="1"/>
  <c r="AE72"/>
  <c r="AF72" s="1"/>
  <c r="P50" i="60" s="1"/>
  <c r="H177" i="62" s="1"/>
  <c r="AE73" i="10"/>
  <c r="AE74"/>
  <c r="AF74" s="1"/>
  <c r="AG74" s="1"/>
  <c r="AI74" s="1"/>
  <c r="AE68"/>
  <c r="AF68" s="1"/>
  <c r="AG68" s="1"/>
  <c r="AI68" s="1"/>
  <c r="AK15"/>
  <c r="AM15" s="1"/>
  <c r="AO15" s="1"/>
  <c r="AK16"/>
  <c r="AL16" s="1"/>
  <c r="AM16" s="1"/>
  <c r="AO16" s="1"/>
  <c r="AK17"/>
  <c r="AL17" s="1"/>
  <c r="AM17" s="1"/>
  <c r="AO17" s="1"/>
  <c r="AK18"/>
  <c r="AL18" s="1"/>
  <c r="AM18" s="1"/>
  <c r="AO18" s="1"/>
  <c r="AK14"/>
  <c r="AL14" s="1"/>
  <c r="AM14" s="1"/>
  <c r="AO14" s="1"/>
  <c r="AE15"/>
  <c r="AG15" s="1"/>
  <c r="AI15" s="1"/>
  <c r="AE16"/>
  <c r="AG16" s="1"/>
  <c r="AI16" s="1"/>
  <c r="AE18"/>
  <c r="AF18" s="1"/>
  <c r="AG18" s="1"/>
  <c r="AI18" s="1"/>
  <c r="AE14"/>
  <c r="AG14" s="1"/>
  <c r="AI14" s="1"/>
  <c r="AK46"/>
  <c r="AL46" s="1"/>
  <c r="AM46" s="1"/>
  <c r="AO46" s="1"/>
  <c r="AK47"/>
  <c r="AL47" s="1"/>
  <c r="AM47" s="1"/>
  <c r="AO47" s="1"/>
  <c r="AK48"/>
  <c r="AL48" s="1"/>
  <c r="AM48" s="1"/>
  <c r="AO48" s="1"/>
  <c r="AK49"/>
  <c r="AL49" s="1"/>
  <c r="AM49" s="1"/>
  <c r="AO49" s="1"/>
  <c r="AK45"/>
  <c r="AL45" s="1"/>
  <c r="AM45" s="1"/>
  <c r="AO45" s="1"/>
  <c r="AE46"/>
  <c r="AG46" s="1"/>
  <c r="AI46" s="1"/>
  <c r="AE47"/>
  <c r="AG47" s="1"/>
  <c r="AI47" s="1"/>
  <c r="AE48"/>
  <c r="AG48" s="1"/>
  <c r="AI48" s="1"/>
  <c r="AE49"/>
  <c r="AF49" s="1"/>
  <c r="AG49" s="1"/>
  <c r="AI49" s="1"/>
  <c r="AE45"/>
  <c r="AG45" s="1"/>
  <c r="AI45" s="1"/>
  <c r="AK38"/>
  <c r="AM38" s="1"/>
  <c r="AO38" s="1"/>
  <c r="AK39"/>
  <c r="AL39" s="1"/>
  <c r="AM39" s="1"/>
  <c r="AO39" s="1"/>
  <c r="AK40"/>
  <c r="AM40" s="1"/>
  <c r="AO40" s="1"/>
  <c r="AK41"/>
  <c r="AL41" s="1"/>
  <c r="AM41" s="1"/>
  <c r="AO41" s="1"/>
  <c r="AK42"/>
  <c r="AM42" s="1"/>
  <c r="AO42" s="1"/>
  <c r="AK43"/>
  <c r="AM43" s="1"/>
  <c r="AO43" s="1"/>
  <c r="AK37"/>
  <c r="AM37" s="1"/>
  <c r="AO37" s="1"/>
  <c r="AE38"/>
  <c r="AG38" s="1"/>
  <c r="AI38" s="1"/>
  <c r="AE39"/>
  <c r="AG39" s="1"/>
  <c r="AI39" s="1"/>
  <c r="AE40"/>
  <c r="AG40" s="1"/>
  <c r="AI40" s="1"/>
  <c r="AE41"/>
  <c r="AG41" s="1"/>
  <c r="AI41" s="1"/>
  <c r="AE42"/>
  <c r="AG42" s="1"/>
  <c r="AI42" s="1"/>
  <c r="AE43"/>
  <c r="AG43" s="1"/>
  <c r="AI43" s="1"/>
  <c r="AE37"/>
  <c r="AG37" s="1"/>
  <c r="AI37" s="1"/>
  <c r="AK7"/>
  <c r="AL7" s="1"/>
  <c r="AM7" s="1"/>
  <c r="AO7" s="1"/>
  <c r="AK8"/>
  <c r="AK9"/>
  <c r="AK10"/>
  <c r="AM10" s="1"/>
  <c r="AO10" s="1"/>
  <c r="AK11"/>
  <c r="AM11" s="1"/>
  <c r="AO11" s="1"/>
  <c r="AK12"/>
  <c r="AL12" s="1"/>
  <c r="AM12" s="1"/>
  <c r="AO12" s="1"/>
  <c r="AK6"/>
  <c r="AL6" s="1"/>
  <c r="AM6" s="1"/>
  <c r="AO6" s="1"/>
  <c r="AE7"/>
  <c r="AG7" s="1"/>
  <c r="AI7" s="1"/>
  <c r="AE8"/>
  <c r="AE9"/>
  <c r="AE10"/>
  <c r="AG10" s="1"/>
  <c r="AI10" s="1"/>
  <c r="AE11"/>
  <c r="AG11" s="1"/>
  <c r="AI11" s="1"/>
  <c r="AE12"/>
  <c r="AG12" s="1"/>
  <c r="AI12" s="1"/>
  <c r="AE6"/>
  <c r="AG6" s="1"/>
  <c r="AI6" s="1"/>
  <c r="AL73" l="1"/>
  <c r="AM73" s="1"/>
  <c r="AO73" s="1"/>
  <c r="Z51" i="60" s="1"/>
  <c r="AF73" i="10"/>
  <c r="AG73" s="1"/>
  <c r="AI73" s="1"/>
  <c r="R51" i="60" s="1"/>
  <c r="V23" i="74"/>
  <c r="AJ23" s="1"/>
  <c r="AV23" s="1"/>
  <c r="C23" i="104"/>
  <c r="O23" s="1"/>
  <c r="Q23" s="1"/>
  <c r="V29" i="74"/>
  <c r="AJ29" s="1"/>
  <c r="AV29" s="1"/>
  <c r="C29" i="104"/>
  <c r="O29" s="1"/>
  <c r="Q29" s="1"/>
  <c r="C34"/>
  <c r="O34" s="1"/>
  <c r="Q34" s="1"/>
  <c r="V38" i="74"/>
  <c r="AJ38" s="1"/>
  <c r="AV38" s="1"/>
  <c r="C38" i="104"/>
  <c r="O38" s="1"/>
  <c r="Q38" s="1"/>
  <c r="V28" i="74"/>
  <c r="AJ28" s="1"/>
  <c r="AV28" s="1"/>
  <c r="C28" i="104"/>
  <c r="O28" s="1"/>
  <c r="Q28" s="1"/>
  <c r="V33" i="74"/>
  <c r="AJ33" s="1"/>
  <c r="AV33" s="1"/>
  <c r="C33" i="104"/>
  <c r="O33" s="1"/>
  <c r="Q33" s="1"/>
  <c r="C35"/>
  <c r="O35" s="1"/>
  <c r="Q35" s="1"/>
  <c r="V37" i="74"/>
  <c r="AJ37" s="1"/>
  <c r="AV37" s="1"/>
  <c r="C37" i="104"/>
  <c r="O37" s="1"/>
  <c r="Q37" s="1"/>
  <c r="V40" i="74"/>
  <c r="AJ40" s="1"/>
  <c r="AV40" s="1"/>
  <c r="C40" i="104"/>
  <c r="O40" s="1"/>
  <c r="Q40" s="1"/>
  <c r="V42" i="74"/>
  <c r="AJ42" s="1"/>
  <c r="AV42" s="1"/>
  <c r="C42" i="104"/>
  <c r="O42" s="1"/>
  <c r="Q42" s="1"/>
  <c r="V27" i="74"/>
  <c r="AJ27" s="1"/>
  <c r="AV27" s="1"/>
  <c r="C27" i="104"/>
  <c r="O27" s="1"/>
  <c r="Q27" s="1"/>
  <c r="V32" i="74"/>
  <c r="AJ32" s="1"/>
  <c r="AV32" s="1"/>
  <c r="C32" i="104"/>
  <c r="O32" s="1"/>
  <c r="Q32" s="1"/>
  <c r="V36" i="74"/>
  <c r="AJ36" s="1"/>
  <c r="AV36" s="1"/>
  <c r="C36" i="104"/>
  <c r="O36" s="1"/>
  <c r="Q36" s="1"/>
  <c r="V41" i="74"/>
  <c r="AJ41" s="1"/>
  <c r="AV41" s="1"/>
  <c r="C41" i="104"/>
  <c r="O41" s="1"/>
  <c r="Q41" s="1"/>
  <c r="R44" i="60"/>
  <c r="R45" s="1"/>
  <c r="P44"/>
  <c r="H170" i="62" s="1"/>
  <c r="S23" i="74"/>
  <c r="AH23" s="1"/>
  <c r="AT23" s="1"/>
  <c r="C23" i="102"/>
  <c r="M23" s="1"/>
  <c r="Q23" s="1"/>
  <c r="S27" i="74"/>
  <c r="AH27" s="1"/>
  <c r="AT27" s="1"/>
  <c r="C27" i="102"/>
  <c r="M27" s="1"/>
  <c r="Q27" s="1"/>
  <c r="S29" i="74"/>
  <c r="AH29" s="1"/>
  <c r="AT29" s="1"/>
  <c r="C29" i="102"/>
  <c r="M29" s="1"/>
  <c r="Q29" s="1"/>
  <c r="S34" i="74"/>
  <c r="AH34" s="1"/>
  <c r="AT34" s="1"/>
  <c r="C34" i="102"/>
  <c r="M34" s="1"/>
  <c r="Q34" s="1"/>
  <c r="S36" i="74"/>
  <c r="AH36" s="1"/>
  <c r="AT36" s="1"/>
  <c r="C36" i="102"/>
  <c r="M36" s="1"/>
  <c r="Q36" s="1"/>
  <c r="S38" i="74"/>
  <c r="AH38" s="1"/>
  <c r="AT38" s="1"/>
  <c r="C38" i="102"/>
  <c r="M38" s="1"/>
  <c r="Q38" s="1"/>
  <c r="S41" i="74"/>
  <c r="AH41" s="1"/>
  <c r="AT41" s="1"/>
  <c r="C41" i="102"/>
  <c r="M41" s="1"/>
  <c r="Q41" s="1"/>
  <c r="S43" i="74"/>
  <c r="AH43" s="1"/>
  <c r="AT43" s="1"/>
  <c r="C43" i="102"/>
  <c r="M43" s="1"/>
  <c r="Q43" s="1"/>
  <c r="R42" i="60"/>
  <c r="R43" s="1"/>
  <c r="S28" i="74"/>
  <c r="AH28" s="1"/>
  <c r="AT28" s="1"/>
  <c r="C28" i="102"/>
  <c r="M28" s="1"/>
  <c r="Q28" s="1"/>
  <c r="S35" i="74"/>
  <c r="AH35" s="1"/>
  <c r="AT35" s="1"/>
  <c r="C35" i="102"/>
  <c r="M35" s="1"/>
  <c r="Q35" s="1"/>
  <c r="S37" i="74"/>
  <c r="AH37" s="1"/>
  <c r="AT37" s="1"/>
  <c r="C37" i="102"/>
  <c r="M37" s="1"/>
  <c r="Q37" s="1"/>
  <c r="S40" i="74"/>
  <c r="AH40" s="1"/>
  <c r="AT40" s="1"/>
  <c r="C40" i="102"/>
  <c r="M40" s="1"/>
  <c r="Q40" s="1"/>
  <c r="S42" i="74"/>
  <c r="AH42" s="1"/>
  <c r="AT42" s="1"/>
  <c r="C42" i="102"/>
  <c r="M42" s="1"/>
  <c r="Q42" s="1"/>
  <c r="L42" i="95"/>
  <c r="L48"/>
  <c r="L58"/>
  <c r="L46"/>
  <c r="L57"/>
  <c r="L67" i="96"/>
  <c r="H67"/>
  <c r="L61"/>
  <c r="H61"/>
  <c r="L55" i="95"/>
  <c r="L44"/>
  <c r="L56"/>
  <c r="H63" i="96"/>
  <c r="L63"/>
  <c r="L62"/>
  <c r="H62"/>
  <c r="L60"/>
  <c r="H60"/>
  <c r="AG49" i="24"/>
  <c r="AI49" s="1"/>
  <c r="AM49"/>
  <c r="AO49" s="1"/>
  <c r="AG9" i="10"/>
  <c r="AI9" s="1"/>
  <c r="R52" i="46" s="1"/>
  <c r="R53" s="1"/>
  <c r="AM8" i="10"/>
  <c r="AO8" s="1"/>
  <c r="Z50" i="46" s="1"/>
  <c r="Z51" s="1"/>
  <c r="AG8" i="10"/>
  <c r="AI8" s="1"/>
  <c r="R50" i="46" s="1"/>
  <c r="R51" s="1"/>
  <c r="AM9" i="10"/>
  <c r="AO9" s="1"/>
  <c r="Z52" i="46" s="1"/>
  <c r="Z53" s="1"/>
  <c r="AG47" i="24"/>
  <c r="AI47" s="1"/>
  <c r="T28" i="74" s="1"/>
  <c r="AI28" s="1"/>
  <c r="AU28" s="1"/>
  <c r="AG42" i="24"/>
  <c r="AI42" s="1"/>
  <c r="T23" i="74" s="1"/>
  <c r="AI23" s="1"/>
  <c r="AU23" s="1"/>
  <c r="AG46" i="24"/>
  <c r="AI46" s="1"/>
  <c r="T27" i="74" s="1"/>
  <c r="AI27" s="1"/>
  <c r="AU27" s="1"/>
  <c r="AG48" i="24"/>
  <c r="AI48" s="1"/>
  <c r="T29" i="74" s="1"/>
  <c r="AI29" s="1"/>
  <c r="AU29" s="1"/>
  <c r="T38"/>
  <c r="AI38" s="1"/>
  <c r="AU38" s="1"/>
  <c r="T43"/>
  <c r="AI43" s="1"/>
  <c r="AU43" s="1"/>
  <c r="AM47" i="24"/>
  <c r="AO47" s="1"/>
  <c r="AM42"/>
  <c r="AO42" s="1"/>
  <c r="AM46"/>
  <c r="AO46" s="1"/>
  <c r="AM48"/>
  <c r="AO48" s="1"/>
  <c r="H104" i="69"/>
  <c r="G104"/>
  <c r="I104"/>
  <c r="H189"/>
  <c r="H194"/>
  <c r="F104"/>
  <c r="H187"/>
  <c r="I191"/>
  <c r="H188"/>
  <c r="H190"/>
  <c r="H191"/>
  <c r="H193"/>
  <c r="H192"/>
  <c r="I192"/>
  <c r="Z52" i="58"/>
  <c r="R52"/>
  <c r="V35" i="74"/>
  <c r="AJ35" s="1"/>
  <c r="AV35" s="1"/>
  <c r="AF69" i="24"/>
  <c r="V34" i="74"/>
  <c r="AJ34" s="1"/>
  <c r="AV34" s="1"/>
  <c r="AF68" i="24"/>
  <c r="AL45"/>
  <c r="AF45"/>
  <c r="R57" i="60"/>
  <c r="I187" i="62"/>
  <c r="H126" i="69"/>
  <c r="I190"/>
  <c r="I188"/>
  <c r="I189" i="62"/>
  <c r="I189" i="69"/>
  <c r="I188" i="62"/>
  <c r="I194" i="69"/>
  <c r="I193"/>
  <c r="I187"/>
  <c r="I194" i="62"/>
  <c r="AM68" i="24"/>
  <c r="AO68" s="1"/>
  <c r="AM69"/>
  <c r="AO69" s="1"/>
  <c r="X57" i="60"/>
  <c r="I184" i="62" s="1"/>
  <c r="I190"/>
  <c r="I193"/>
  <c r="X56" i="60"/>
  <c r="I183" i="62" s="1"/>
  <c r="X54" i="60"/>
  <c r="I181" i="62" s="1"/>
  <c r="X55" i="60"/>
  <c r="I182" i="62" s="1"/>
  <c r="I177"/>
  <c r="R52" i="60"/>
  <c r="Z52"/>
  <c r="H160" i="69"/>
  <c r="N64" i="61"/>
  <c r="L64"/>
  <c r="R55" i="46"/>
  <c r="P55"/>
  <c r="H14" i="62" s="1"/>
  <c r="Z54" i="46"/>
  <c r="I45" i="62" s="1"/>
  <c r="X54" i="46"/>
  <c r="I13" i="62" s="1"/>
  <c r="R44" i="46"/>
  <c r="R45" s="1"/>
  <c r="R46" s="1"/>
  <c r="P44"/>
  <c r="H5" i="62" s="1"/>
  <c r="Z56" i="46"/>
  <c r="X56"/>
  <c r="I15" i="62" s="1"/>
  <c r="R58" i="46"/>
  <c r="P58"/>
  <c r="H17" i="62" s="1"/>
  <c r="R59" i="46"/>
  <c r="P59"/>
  <c r="H18" i="62" s="1"/>
  <c r="Z60" i="46"/>
  <c r="X60"/>
  <c r="I19" i="62" s="1"/>
  <c r="R54" i="46"/>
  <c r="H45" i="62" s="1"/>
  <c r="P54" i="46"/>
  <c r="H13" i="62" s="1"/>
  <c r="Z44" i="46"/>
  <c r="Z45" s="1"/>
  <c r="Z46" s="1"/>
  <c r="X44"/>
  <c r="I5" i="62" s="1"/>
  <c r="R60" i="46"/>
  <c r="P60"/>
  <c r="H19" i="62" s="1"/>
  <c r="Z61" i="46"/>
  <c r="X61"/>
  <c r="I20" i="62" s="1"/>
  <c r="R47" i="46"/>
  <c r="R48" s="1"/>
  <c r="R49" s="1"/>
  <c r="P47"/>
  <c r="H7" i="62" s="1"/>
  <c r="R61" i="46"/>
  <c r="P61"/>
  <c r="H20" i="62" s="1"/>
  <c r="R56" i="46"/>
  <c r="P56"/>
  <c r="H15" i="62" s="1"/>
  <c r="Z55" i="46"/>
  <c r="X55"/>
  <c r="I14" i="62" s="1"/>
  <c r="Z47" i="46"/>
  <c r="Z48" s="1"/>
  <c r="Z49" s="1"/>
  <c r="X47"/>
  <c r="I7" i="62" s="1"/>
  <c r="Z58" i="46"/>
  <c r="X58"/>
  <c r="I17" i="62" s="1"/>
  <c r="Z59" i="46"/>
  <c r="X59"/>
  <c r="I18" i="62" s="1"/>
  <c r="H129"/>
  <c r="H127" i="69"/>
  <c r="H162"/>
  <c r="H129"/>
  <c r="H125"/>
  <c r="AG73" i="24"/>
  <c r="AI73" s="1"/>
  <c r="T37" i="74" s="1"/>
  <c r="AI37" s="1"/>
  <c r="AU37" s="1"/>
  <c r="L57" i="56"/>
  <c r="L54"/>
  <c r="P58"/>
  <c r="T41" i="74"/>
  <c r="AI41" s="1"/>
  <c r="AU41" s="1"/>
  <c r="L61" i="56"/>
  <c r="L63"/>
  <c r="P48"/>
  <c r="L41" i="96" s="1"/>
  <c r="P56" i="56"/>
  <c r="L58"/>
  <c r="P60"/>
  <c r="L54" i="96" s="1"/>
  <c r="P62" i="56"/>
  <c r="L56" i="96" s="1"/>
  <c r="I127" i="69"/>
  <c r="I123"/>
  <c r="I162"/>
  <c r="H113"/>
  <c r="H121"/>
  <c r="H161"/>
  <c r="I128"/>
  <c r="I124"/>
  <c r="I116"/>
  <c r="T36" i="74"/>
  <c r="AI36" s="1"/>
  <c r="AU36" s="1"/>
  <c r="L56" i="56"/>
  <c r="AM73" i="24"/>
  <c r="AO73" s="1"/>
  <c r="P57" i="56"/>
  <c r="T40" i="74"/>
  <c r="AI40" s="1"/>
  <c r="AU40" s="1"/>
  <c r="L60" i="56"/>
  <c r="T42" i="74"/>
  <c r="AI42" s="1"/>
  <c r="AU42" s="1"/>
  <c r="L62" i="56"/>
  <c r="P50"/>
  <c r="L43" i="96" s="1"/>
  <c r="P61" i="56"/>
  <c r="L55" i="96" s="1"/>
  <c r="H123" i="69"/>
  <c r="I129"/>
  <c r="I125"/>
  <c r="H128"/>
  <c r="H124"/>
  <c r="H116"/>
  <c r="I113"/>
  <c r="I161"/>
  <c r="R46" i="60"/>
  <c r="R47" s="1"/>
  <c r="P46"/>
  <c r="H173" i="62" s="1"/>
  <c r="X46" i="60"/>
  <c r="X44"/>
  <c r="P42"/>
  <c r="H167" i="62" s="1"/>
  <c r="R48" i="60"/>
  <c r="R49" s="1"/>
  <c r="P48"/>
  <c r="H175" i="62" s="1"/>
  <c r="X42" i="60"/>
  <c r="X48"/>
  <c r="AG78" i="10"/>
  <c r="AI78" s="1"/>
  <c r="R56" i="60" s="1"/>
  <c r="AG72" i="10"/>
  <c r="AI72" s="1"/>
  <c r="R50" i="60" s="1"/>
  <c r="H211" i="62" s="1"/>
  <c r="AG76" i="10"/>
  <c r="AI76" s="1"/>
  <c r="R54" i="60" s="1"/>
  <c r="AG77" i="10"/>
  <c r="AI77" s="1"/>
  <c r="R55" i="60" s="1"/>
  <c r="AM72" i="10"/>
  <c r="AO72" s="1"/>
  <c r="Z50" i="60" s="1"/>
  <c r="AM76" i="10"/>
  <c r="AO76" s="1"/>
  <c r="AM77"/>
  <c r="AO77" s="1"/>
  <c r="AM78"/>
  <c r="AO78" s="1"/>
  <c r="R57" i="58"/>
  <c r="P57"/>
  <c r="H74" i="62" s="1"/>
  <c r="Z51" i="58"/>
  <c r="X51"/>
  <c r="I68" i="62" s="1"/>
  <c r="H127"/>
  <c r="R54" i="58"/>
  <c r="P54"/>
  <c r="H71" i="62" s="1"/>
  <c r="R48" i="58"/>
  <c r="R49" s="1"/>
  <c r="P48"/>
  <c r="H65" i="62" s="1"/>
  <c r="H124"/>
  <c r="Z42" i="58"/>
  <c r="Z43" s="1"/>
  <c r="X42"/>
  <c r="I57" i="62" s="1"/>
  <c r="R51" i="58"/>
  <c r="P51"/>
  <c r="H68" i="62" s="1"/>
  <c r="R44" i="58"/>
  <c r="R45" s="1"/>
  <c r="P44"/>
  <c r="H60" i="62" s="1"/>
  <c r="Z50" i="58"/>
  <c r="X50"/>
  <c r="I67" i="62" s="1"/>
  <c r="H146"/>
  <c r="H113"/>
  <c r="H154"/>
  <c r="H121"/>
  <c r="I125"/>
  <c r="I152"/>
  <c r="I119"/>
  <c r="I129"/>
  <c r="R42" i="58"/>
  <c r="R43" s="1"/>
  <c r="P42"/>
  <c r="H57" i="62" s="1"/>
  <c r="H149"/>
  <c r="H116"/>
  <c r="I127"/>
  <c r="R46" i="58"/>
  <c r="R47" s="1"/>
  <c r="P46"/>
  <c r="H63" i="62" s="1"/>
  <c r="Z44" i="58"/>
  <c r="Z45" s="1"/>
  <c r="X44"/>
  <c r="I60" i="62" s="1"/>
  <c r="H123"/>
  <c r="I146"/>
  <c r="I113"/>
  <c r="I154"/>
  <c r="I121"/>
  <c r="Z54" i="58"/>
  <c r="X54"/>
  <c r="I71" i="62" s="1"/>
  <c r="Z55" i="58"/>
  <c r="X55"/>
  <c r="I72" i="62" s="1"/>
  <c r="Z56" i="58"/>
  <c r="X56"/>
  <c r="I73" i="62" s="1"/>
  <c r="Z46" i="58"/>
  <c r="Z47" s="1"/>
  <c r="X46"/>
  <c r="I63" i="62" s="1"/>
  <c r="I123"/>
  <c r="R55" i="58"/>
  <c r="P55"/>
  <c r="H72" i="62" s="1"/>
  <c r="R50" i="58"/>
  <c r="P50"/>
  <c r="H67" i="62" s="1"/>
  <c r="Z48" i="58"/>
  <c r="Z49" s="1"/>
  <c r="X48"/>
  <c r="I65" i="62" s="1"/>
  <c r="H125"/>
  <c r="H152"/>
  <c r="H119"/>
  <c r="I124"/>
  <c r="I149"/>
  <c r="I116"/>
  <c r="H128"/>
  <c r="I128"/>
  <c r="R56" i="58"/>
  <c r="P56"/>
  <c r="H73" i="62" s="1"/>
  <c r="Z57" i="58"/>
  <c r="X57"/>
  <c r="I74" i="62" s="1"/>
  <c r="H146" i="69"/>
  <c r="H149"/>
  <c r="X52" i="46" l="1"/>
  <c r="I11" i="62" s="1"/>
  <c r="X51" i="60"/>
  <c r="I178" i="62" s="1"/>
  <c r="P52" i="46"/>
  <c r="H11" i="62" s="1"/>
  <c r="P51" i="60"/>
  <c r="H178" i="62" s="1"/>
  <c r="H209"/>
  <c r="H207"/>
  <c r="H208"/>
  <c r="H201"/>
  <c r="H202"/>
  <c r="X50" i="46"/>
  <c r="I9" i="62" s="1"/>
  <c r="V26" i="74"/>
  <c r="AJ26" s="1"/>
  <c r="AV26" s="1"/>
  <c r="C26" i="104"/>
  <c r="O26" s="1"/>
  <c r="Q26" s="1"/>
  <c r="T34" i="74"/>
  <c r="AI34" s="1"/>
  <c r="AU34" s="1"/>
  <c r="V43"/>
  <c r="AJ43" s="1"/>
  <c r="AV43" s="1"/>
  <c r="C43" i="104"/>
  <c r="O43" s="1"/>
  <c r="Q43" s="1"/>
  <c r="L52" i="56"/>
  <c r="H173" i="69" s="1"/>
  <c r="W40" i="74"/>
  <c r="AK40" s="1"/>
  <c r="AW40" s="1"/>
  <c r="S26"/>
  <c r="AH26" s="1"/>
  <c r="AT26" s="1"/>
  <c r="C26" i="102"/>
  <c r="M26" s="1"/>
  <c r="Q26" s="1"/>
  <c r="S33" i="74"/>
  <c r="AH33" s="1"/>
  <c r="AT33" s="1"/>
  <c r="C33" i="102"/>
  <c r="M33" s="1"/>
  <c r="Q33" s="1"/>
  <c r="W29" i="74"/>
  <c r="AK29" s="1"/>
  <c r="AW29" s="1"/>
  <c r="W38"/>
  <c r="AK38" s="1"/>
  <c r="AW38" s="1"/>
  <c r="W28"/>
  <c r="AK28" s="1"/>
  <c r="AW28" s="1"/>
  <c r="W36"/>
  <c r="AK36" s="1"/>
  <c r="AW36" s="1"/>
  <c r="W41"/>
  <c r="AK41" s="1"/>
  <c r="AW41" s="1"/>
  <c r="W42"/>
  <c r="AK42" s="1"/>
  <c r="AW42" s="1"/>
  <c r="S32"/>
  <c r="AH32" s="1"/>
  <c r="AT32" s="1"/>
  <c r="C32" i="102"/>
  <c r="M32" s="1"/>
  <c r="Q32" s="1"/>
  <c r="W23" i="74"/>
  <c r="AK23" s="1"/>
  <c r="AW23" s="1"/>
  <c r="W37"/>
  <c r="AK37" s="1"/>
  <c r="AW37" s="1"/>
  <c r="W27"/>
  <c r="AK27" s="1"/>
  <c r="AW27" s="1"/>
  <c r="P50" i="46"/>
  <c r="H9" i="62" s="1"/>
  <c r="N44" i="95"/>
  <c r="N45" s="1"/>
  <c r="N57"/>
  <c r="N56"/>
  <c r="N42"/>
  <c r="N43" s="1"/>
  <c r="N55"/>
  <c r="N48"/>
  <c r="N49" s="1"/>
  <c r="N46"/>
  <c r="N47" s="1"/>
  <c r="N58"/>
  <c r="W33" i="74"/>
  <c r="AK33" s="1"/>
  <c r="AW33" s="1"/>
  <c r="W32"/>
  <c r="AK32" s="1"/>
  <c r="AW32" s="1"/>
  <c r="T35"/>
  <c r="AI35" s="1"/>
  <c r="AU35" s="1"/>
  <c r="AM45" i="24"/>
  <c r="AO45" s="1"/>
  <c r="AG45"/>
  <c r="AI45" s="1"/>
  <c r="T26" i="74" s="1"/>
  <c r="AI26" s="1"/>
  <c r="AU26" s="1"/>
  <c r="AG69" i="24"/>
  <c r="AI69" s="1"/>
  <c r="AG68"/>
  <c r="AI68" s="1"/>
  <c r="X52" i="58"/>
  <c r="I69" i="62" s="1"/>
  <c r="P52" i="58"/>
  <c r="H69" i="62" s="1"/>
  <c r="L50" i="56"/>
  <c r="H170" i="69" s="1"/>
  <c r="P54" i="56"/>
  <c r="L47" i="96" s="1"/>
  <c r="L48" i="56"/>
  <c r="H167" i="69" s="1"/>
  <c r="H88"/>
  <c r="I77"/>
  <c r="I82"/>
  <c r="H83"/>
  <c r="I80"/>
  <c r="H67"/>
  <c r="H183"/>
  <c r="H182"/>
  <c r="I63"/>
  <c r="I17"/>
  <c r="I15"/>
  <c r="I14"/>
  <c r="I79"/>
  <c r="H77"/>
  <c r="H87"/>
  <c r="I68"/>
  <c r="I170"/>
  <c r="I177"/>
  <c r="H184"/>
  <c r="H175"/>
  <c r="I5"/>
  <c r="H72"/>
  <c r="H78"/>
  <c r="H80"/>
  <c r="H84"/>
  <c r="I78"/>
  <c r="H181"/>
  <c r="H177"/>
  <c r="I183"/>
  <c r="H179"/>
  <c r="I167"/>
  <c r="I179"/>
  <c r="H178"/>
  <c r="I20"/>
  <c r="I9"/>
  <c r="I83"/>
  <c r="I182"/>
  <c r="I178"/>
  <c r="I181"/>
  <c r="H82"/>
  <c r="I84"/>
  <c r="H79"/>
  <c r="I18"/>
  <c r="I19"/>
  <c r="H60"/>
  <c r="I87"/>
  <c r="I81"/>
  <c r="H81"/>
  <c r="H69"/>
  <c r="H68"/>
  <c r="I69"/>
  <c r="I67"/>
  <c r="I7"/>
  <c r="I13"/>
  <c r="I11"/>
  <c r="P52" i="56"/>
  <c r="L45" i="96" s="1"/>
  <c r="H97" i="62"/>
  <c r="H98"/>
  <c r="H99"/>
  <c r="H100"/>
  <c r="H94"/>
  <c r="I91"/>
  <c r="I99"/>
  <c r="I100"/>
  <c r="I97"/>
  <c r="I98"/>
  <c r="I94"/>
  <c r="H91"/>
  <c r="P63" i="56"/>
  <c r="L57" i="96" s="1"/>
  <c r="P57" i="60"/>
  <c r="H184" i="62" s="1"/>
  <c r="H154" i="69"/>
  <c r="I39" i="62"/>
  <c r="I40"/>
  <c r="H41"/>
  <c r="H42"/>
  <c r="I43"/>
  <c r="I41"/>
  <c r="I42"/>
  <c r="H43"/>
  <c r="H39"/>
  <c r="H40"/>
  <c r="I37"/>
  <c r="I38"/>
  <c r="H37"/>
  <c r="H38"/>
  <c r="I121" i="69"/>
  <c r="H9"/>
  <c r="H17"/>
  <c r="H7"/>
  <c r="I146"/>
  <c r="I149"/>
  <c r="H18"/>
  <c r="H13"/>
  <c r="H5"/>
  <c r="H19"/>
  <c r="H11"/>
  <c r="H20"/>
  <c r="H15"/>
  <c r="H14"/>
  <c r="Z44" i="60"/>
  <c r="Z45" s="1"/>
  <c r="Z48"/>
  <c r="Z49" s="1"/>
  <c r="Z46"/>
  <c r="Z47" s="1"/>
  <c r="Z54"/>
  <c r="Z56"/>
  <c r="Z55"/>
  <c r="Z57"/>
  <c r="Z42"/>
  <c r="Z43" s="1"/>
  <c r="I167" i="62"/>
  <c r="I211"/>
  <c r="I170"/>
  <c r="I175"/>
  <c r="I173"/>
  <c r="I119" i="69"/>
  <c r="I158"/>
  <c r="H156"/>
  <c r="H213" i="62"/>
  <c r="I162"/>
  <c r="H160"/>
  <c r="H215"/>
  <c r="H218"/>
  <c r="I50"/>
  <c r="I157"/>
  <c r="H101"/>
  <c r="I103"/>
  <c r="H216"/>
  <c r="I213"/>
  <c r="I46"/>
  <c r="I160"/>
  <c r="I101"/>
  <c r="H102"/>
  <c r="H157"/>
  <c r="H105"/>
  <c r="I102"/>
  <c r="H204"/>
  <c r="H217"/>
  <c r="I158"/>
  <c r="H108"/>
  <c r="I212"/>
  <c r="H162"/>
  <c r="H46"/>
  <c r="H107"/>
  <c r="H161"/>
  <c r="H158"/>
  <c r="I156"/>
  <c r="I106"/>
  <c r="H156"/>
  <c r="H212"/>
  <c r="H47"/>
  <c r="H51"/>
  <c r="I51"/>
  <c r="I47"/>
  <c r="I108"/>
  <c r="I161"/>
  <c r="H106"/>
  <c r="I107"/>
  <c r="I105"/>
  <c r="H103"/>
  <c r="H52"/>
  <c r="I52"/>
  <c r="H50"/>
  <c r="P52" i="60"/>
  <c r="H179" i="62" s="1"/>
  <c r="H147" i="69"/>
  <c r="H150"/>
  <c r="H49" i="62"/>
  <c r="I49"/>
  <c r="H158" i="69"/>
  <c r="X52" i="60"/>
  <c r="I157" i="69"/>
  <c r="I156"/>
  <c r="H153" i="62"/>
  <c r="I155"/>
  <c r="I153"/>
  <c r="H155"/>
  <c r="I160" i="69"/>
  <c r="H210" i="62"/>
  <c r="H205"/>
  <c r="N62" i="56"/>
  <c r="N52"/>
  <c r="N53" s="1"/>
  <c r="R60"/>
  <c r="N54" i="96" s="1"/>
  <c r="R56" i="56"/>
  <c r="N61"/>
  <c r="N54"/>
  <c r="N55" s="1"/>
  <c r="R61"/>
  <c r="N55" i="96" s="1"/>
  <c r="R50" i="56"/>
  <c r="R51" s="1"/>
  <c r="N60"/>
  <c r="N56"/>
  <c r="R62"/>
  <c r="N56" i="96" s="1"/>
  <c r="N58" i="56"/>
  <c r="N63"/>
  <c r="R58"/>
  <c r="N57"/>
  <c r="R57"/>
  <c r="R48"/>
  <c r="R49" s="1"/>
  <c r="I204" i="62" l="1"/>
  <c r="I205"/>
  <c r="N43" i="96"/>
  <c r="N44"/>
  <c r="N41"/>
  <c r="N42"/>
  <c r="W26" i="74"/>
  <c r="AK26" s="1"/>
  <c r="AW26" s="1"/>
  <c r="W43"/>
  <c r="AK43" s="1"/>
  <c r="AW43" s="1"/>
  <c r="T32"/>
  <c r="AI32" s="1"/>
  <c r="AU32" s="1"/>
  <c r="T33"/>
  <c r="AI33" s="1"/>
  <c r="AU33" s="1"/>
  <c r="W34"/>
  <c r="AK34" s="1"/>
  <c r="AW34" s="1"/>
  <c r="R52" i="56"/>
  <c r="R53" s="1"/>
  <c r="I105" i="69"/>
  <c r="N48" i="56"/>
  <c r="N49" s="1"/>
  <c r="H105" i="69"/>
  <c r="R54" i="56"/>
  <c r="R55" s="1"/>
  <c r="W35" i="74"/>
  <c r="AK35" s="1"/>
  <c r="AW35" s="1"/>
  <c r="N50" i="56"/>
  <c r="N51" s="1"/>
  <c r="R63"/>
  <c r="I175" i="69"/>
  <c r="I45"/>
  <c r="I60"/>
  <c r="I108"/>
  <c r="I215"/>
  <c r="I101"/>
  <c r="I213"/>
  <c r="H211"/>
  <c r="I47"/>
  <c r="I50"/>
  <c r="I51"/>
  <c r="I49"/>
  <c r="I57"/>
  <c r="I74"/>
  <c r="I71"/>
  <c r="I46"/>
  <c r="I52"/>
  <c r="H101"/>
  <c r="I65"/>
  <c r="H73"/>
  <c r="I184"/>
  <c r="H71"/>
  <c r="I212"/>
  <c r="H218"/>
  <c r="H213"/>
  <c r="H215"/>
  <c r="I216"/>
  <c r="H216"/>
  <c r="H217"/>
  <c r="H103"/>
  <c r="H98"/>
  <c r="I106"/>
  <c r="H74"/>
  <c r="H212"/>
  <c r="I217"/>
  <c r="I98"/>
  <c r="I211"/>
  <c r="I103"/>
  <c r="I102"/>
  <c r="I107"/>
  <c r="I72"/>
  <c r="I73"/>
  <c r="H108"/>
  <c r="I173"/>
  <c r="I204"/>
  <c r="I201"/>
  <c r="H91"/>
  <c r="H94"/>
  <c r="I152"/>
  <c r="I153"/>
  <c r="H152"/>
  <c r="H155"/>
  <c r="I154"/>
  <c r="I155"/>
  <c r="H41"/>
  <c r="H43"/>
  <c r="H37"/>
  <c r="H39"/>
  <c r="I97"/>
  <c r="H207"/>
  <c r="I39"/>
  <c r="H49"/>
  <c r="I43"/>
  <c r="H46"/>
  <c r="H50"/>
  <c r="I94"/>
  <c r="H57"/>
  <c r="H63"/>
  <c r="H99"/>
  <c r="I37"/>
  <c r="H52"/>
  <c r="I41"/>
  <c r="H51"/>
  <c r="H45"/>
  <c r="I91"/>
  <c r="H102"/>
  <c r="H119"/>
  <c r="H157"/>
  <c r="I151"/>
  <c r="I150"/>
  <c r="H209"/>
  <c r="H97"/>
  <c r="H106"/>
  <c r="H107"/>
  <c r="H47"/>
  <c r="I148"/>
  <c r="I147"/>
  <c r="H65"/>
  <c r="I99"/>
  <c r="I202" i="62"/>
  <c r="I215"/>
  <c r="I216"/>
  <c r="I209"/>
  <c r="I218"/>
  <c r="I201"/>
  <c r="I207"/>
  <c r="I208"/>
  <c r="I217"/>
  <c r="I210"/>
  <c r="I179"/>
  <c r="H93"/>
  <c r="H92"/>
  <c r="H44"/>
  <c r="I93"/>
  <c r="I92"/>
  <c r="I96"/>
  <c r="I95"/>
  <c r="H96"/>
  <c r="H95"/>
  <c r="I44"/>
  <c r="H151" i="69"/>
  <c r="H148"/>
  <c r="I148" i="62"/>
  <c r="I147"/>
  <c r="I151"/>
  <c r="I150"/>
  <c r="H148"/>
  <c r="H147"/>
  <c r="H151"/>
  <c r="H150"/>
  <c r="H206"/>
  <c r="H203"/>
  <c r="I207" i="69" l="1"/>
  <c r="H201"/>
  <c r="H202"/>
  <c r="N45" i="96"/>
  <c r="N46"/>
  <c r="I209" i="69"/>
  <c r="N47" i="96"/>
  <c r="I218" i="69"/>
  <c r="N57" i="96"/>
  <c r="H204" i="69"/>
  <c r="H100"/>
  <c r="I42"/>
  <c r="I44"/>
  <c r="H95"/>
  <c r="I202"/>
  <c r="I100"/>
  <c r="I205"/>
  <c r="I38"/>
  <c r="I40"/>
  <c r="H92"/>
  <c r="H210"/>
  <c r="H208"/>
  <c r="H153"/>
  <c r="I206" i="62"/>
  <c r="I203"/>
  <c r="I93" i="69"/>
  <c r="I92"/>
  <c r="H206"/>
  <c r="H205"/>
  <c r="I96"/>
  <c r="I95"/>
  <c r="H44"/>
  <c r="H40"/>
  <c r="H203"/>
  <c r="H42"/>
  <c r="H38"/>
  <c r="I203"/>
  <c r="I206"/>
  <c r="H96"/>
  <c r="H93"/>
  <c r="D30" i="62"/>
  <c r="H27" i="46"/>
  <c r="D24" i="62" s="1"/>
  <c r="H28" i="46"/>
  <c r="D25" i="62" s="1"/>
  <c r="H29" i="46"/>
  <c r="D26" i="62" s="1"/>
  <c r="D27"/>
  <c r="H31" i="46"/>
  <c r="D28" i="62" s="1"/>
  <c r="H32" i="46"/>
  <c r="D29" i="62" s="1"/>
  <c r="H33" i="46"/>
  <c r="H26"/>
  <c r="D23" i="62" s="1"/>
  <c r="J19" i="46"/>
  <c r="I208" i="69" l="1"/>
  <c r="I210"/>
  <c r="N48" i="96"/>
  <c r="D48" i="62"/>
  <c r="D116" l="1"/>
  <c r="M68" i="10"/>
  <c r="N68" s="1"/>
  <c r="O68" s="1"/>
  <c r="Q68" s="1"/>
  <c r="Y87" i="24"/>
  <c r="S87"/>
  <c r="M87"/>
  <c r="G87"/>
  <c r="Y87" i="10"/>
  <c r="Z87" s="1"/>
  <c r="S87"/>
  <c r="T87" s="1"/>
  <c r="M87"/>
  <c r="G87"/>
  <c r="H87" s="1"/>
  <c r="G37" i="24"/>
  <c r="H37" s="1"/>
  <c r="G38"/>
  <c r="H38" s="1"/>
  <c r="G39"/>
  <c r="H39" s="1"/>
  <c r="G40"/>
  <c r="H40" s="1"/>
  <c r="G18" i="74" l="1"/>
  <c r="Z18" s="1"/>
  <c r="AL18" s="1"/>
  <c r="G20"/>
  <c r="Z20" s="1"/>
  <c r="AL20" s="1"/>
  <c r="G19"/>
  <c r="Z19" s="1"/>
  <c r="AL19" s="1"/>
  <c r="G21"/>
  <c r="Z21" s="1"/>
  <c r="AL21" s="1"/>
  <c r="L17" i="95"/>
  <c r="H53"/>
  <c r="H17"/>
  <c r="I37" i="24"/>
  <c r="K37" s="1"/>
  <c r="H18" i="74" s="1"/>
  <c r="AA18" s="1"/>
  <c r="AM18" s="1"/>
  <c r="I38" i="24"/>
  <c r="K38" s="1"/>
  <c r="H19" i="74" s="1"/>
  <c r="AA19" s="1"/>
  <c r="AM19" s="1"/>
  <c r="I39" i="24"/>
  <c r="K39" s="1"/>
  <c r="H20" i="74" s="1"/>
  <c r="AA20" s="1"/>
  <c r="AM20" s="1"/>
  <c r="I40" i="24"/>
  <c r="K40" s="1"/>
  <c r="H21" i="74" s="1"/>
  <c r="AA21" s="1"/>
  <c r="AM21" s="1"/>
  <c r="H12" i="54"/>
  <c r="H10"/>
  <c r="H6"/>
  <c r="AA87" i="10"/>
  <c r="AC87" s="1"/>
  <c r="U87"/>
  <c r="W87" s="1"/>
  <c r="I87"/>
  <c r="K87" s="1"/>
  <c r="L18" i="96"/>
  <c r="Y85" i="24"/>
  <c r="Z85" s="1"/>
  <c r="AA85" s="1"/>
  <c r="Y86"/>
  <c r="Z86" s="1"/>
  <c r="Y84"/>
  <c r="Z84" s="1"/>
  <c r="S85"/>
  <c r="S86"/>
  <c r="T86" s="1"/>
  <c r="S84"/>
  <c r="M85"/>
  <c r="M86"/>
  <c r="M84"/>
  <c r="Y85" i="10"/>
  <c r="Y86"/>
  <c r="Y84"/>
  <c r="S85"/>
  <c r="T85" s="1"/>
  <c r="S86"/>
  <c r="S84"/>
  <c r="M85"/>
  <c r="M86"/>
  <c r="M84"/>
  <c r="Z86" l="1"/>
  <c r="H52" i="95" s="1"/>
  <c r="T113" i="10"/>
  <c r="Z84"/>
  <c r="T111"/>
  <c r="U111" s="1"/>
  <c r="W111" s="1"/>
  <c r="T86"/>
  <c r="N113"/>
  <c r="T84"/>
  <c r="U84" s="1"/>
  <c r="W84" s="1"/>
  <c r="N111"/>
  <c r="O111" s="1"/>
  <c r="Q111" s="1"/>
  <c r="AC85" i="24"/>
  <c r="AC86"/>
  <c r="AA86"/>
  <c r="AA84"/>
  <c r="AC84" s="1"/>
  <c r="Z87"/>
  <c r="T85"/>
  <c r="U85" s="1"/>
  <c r="T84"/>
  <c r="L14" i="96" s="1"/>
  <c r="H50"/>
  <c r="N17" i="95"/>
  <c r="H50"/>
  <c r="L15"/>
  <c r="H49" i="96"/>
  <c r="H53"/>
  <c r="J53" i="95"/>
  <c r="J17"/>
  <c r="D65" i="69"/>
  <c r="D63"/>
  <c r="D57"/>
  <c r="H8" i="54"/>
  <c r="J6"/>
  <c r="J10"/>
  <c r="J11" s="1"/>
  <c r="J8"/>
  <c r="J12"/>
  <c r="J13" s="1"/>
  <c r="R6" i="60"/>
  <c r="R7" s="1"/>
  <c r="P6"/>
  <c r="E167" i="62" s="1"/>
  <c r="AA84" i="10"/>
  <c r="AC84" s="1"/>
  <c r="U85"/>
  <c r="W85" s="1"/>
  <c r="Z85"/>
  <c r="AA86" l="1"/>
  <c r="AC86" s="1"/>
  <c r="J52" i="95" s="1"/>
  <c r="L14"/>
  <c r="E201" i="62"/>
  <c r="E202"/>
  <c r="AA87" i="24"/>
  <c r="AC87" s="1"/>
  <c r="H52" i="96"/>
  <c r="T87" i="24"/>
  <c r="U84"/>
  <c r="W85"/>
  <c r="W84"/>
  <c r="H51" i="96"/>
  <c r="L15"/>
  <c r="N14" i="95"/>
  <c r="H51"/>
  <c r="J50"/>
  <c r="L16"/>
  <c r="N15"/>
  <c r="D60" i="69"/>
  <c r="D94"/>
  <c r="J9" i="54"/>
  <c r="D91" i="69"/>
  <c r="J7" i="54"/>
  <c r="D99" i="69"/>
  <c r="D97"/>
  <c r="AA85" i="10"/>
  <c r="AC85" s="1"/>
  <c r="U86"/>
  <c r="W86" s="1"/>
  <c r="U87" i="24" l="1"/>
  <c r="W87" s="1"/>
  <c r="L17" i="96"/>
  <c r="U86" i="24"/>
  <c r="W86" s="1"/>
  <c r="L16" i="96"/>
  <c r="N16" i="95"/>
  <c r="J51"/>
  <c r="D98" i="69"/>
  <c r="D100"/>
  <c r="D95"/>
  <c r="D92"/>
  <c r="D96"/>
  <c r="D93"/>
  <c r="E203" i="62"/>
  <c r="G86" i="24"/>
  <c r="H86" s="1"/>
  <c r="F51" i="112" s="1"/>
  <c r="G85" i="24"/>
  <c r="H85" s="1"/>
  <c r="G84"/>
  <c r="H84" s="1"/>
  <c r="F49" i="112" s="1"/>
  <c r="N14" i="96" l="1"/>
  <c r="N50"/>
  <c r="N16"/>
  <c r="N51"/>
  <c r="N15"/>
  <c r="N49"/>
  <c r="N17"/>
  <c r="H87" i="24"/>
  <c r="N52" i="96"/>
  <c r="H18"/>
  <c r="H15"/>
  <c r="I85" i="24"/>
  <c r="K85" s="1"/>
  <c r="G84" i="10"/>
  <c r="G85"/>
  <c r="H85" s="1"/>
  <c r="G86"/>
  <c r="H65" i="61"/>
  <c r="H59"/>
  <c r="P25"/>
  <c r="P19"/>
  <c r="L25"/>
  <c r="L19"/>
  <c r="G39" i="10"/>
  <c r="G40"/>
  <c r="G41"/>
  <c r="H41" s="1"/>
  <c r="G79" i="24"/>
  <c r="H79" s="1"/>
  <c r="I79" s="1"/>
  <c r="K79" s="1"/>
  <c r="G78"/>
  <c r="G77"/>
  <c r="G76"/>
  <c r="H76" s="1"/>
  <c r="G74"/>
  <c r="H74" s="1"/>
  <c r="G73"/>
  <c r="H73" s="1"/>
  <c r="F42" i="112" s="1"/>
  <c r="G72" i="24"/>
  <c r="H72" s="1"/>
  <c r="F43" i="112" s="1"/>
  <c r="G71" i="24"/>
  <c r="H71" s="1"/>
  <c r="G70"/>
  <c r="H70" s="1"/>
  <c r="G69"/>
  <c r="G68"/>
  <c r="Y77"/>
  <c r="Y78"/>
  <c r="Y79"/>
  <c r="Z79" s="1"/>
  <c r="AA79" s="1"/>
  <c r="AC79" s="1"/>
  <c r="S77"/>
  <c r="T77" s="1"/>
  <c r="U77" s="1"/>
  <c r="W77" s="1"/>
  <c r="S78"/>
  <c r="T78" s="1"/>
  <c r="U78" s="1"/>
  <c r="W78" s="1"/>
  <c r="S79"/>
  <c r="T79" s="1"/>
  <c r="U79" s="1"/>
  <c r="W79" s="1"/>
  <c r="M77"/>
  <c r="N77" s="1"/>
  <c r="O77" s="1"/>
  <c r="Q77" s="1"/>
  <c r="M78"/>
  <c r="N78" s="1"/>
  <c r="O78" s="1"/>
  <c r="Q78" s="1"/>
  <c r="M79"/>
  <c r="N79" s="1"/>
  <c r="O79" s="1"/>
  <c r="Q79" s="1"/>
  <c r="Y77" i="10"/>
  <c r="Z77" s="1"/>
  <c r="Y78"/>
  <c r="Z78" s="1"/>
  <c r="Y79"/>
  <c r="Z79" s="1"/>
  <c r="AA79" s="1"/>
  <c r="AC79" s="1"/>
  <c r="S77"/>
  <c r="S78"/>
  <c r="S79"/>
  <c r="T79" s="1"/>
  <c r="U79" s="1"/>
  <c r="W79" s="1"/>
  <c r="M77"/>
  <c r="M78"/>
  <c r="N78" s="1"/>
  <c r="M79"/>
  <c r="N79" s="1"/>
  <c r="O79" s="1"/>
  <c r="Q79" s="1"/>
  <c r="G77"/>
  <c r="H77" s="1"/>
  <c r="G78"/>
  <c r="H78" s="1"/>
  <c r="G79"/>
  <c r="H79" s="1"/>
  <c r="I79" s="1"/>
  <c r="Y76" i="24"/>
  <c r="Y69"/>
  <c r="Z69" s="1"/>
  <c r="C33" i="101" s="1"/>
  <c r="K33" s="1"/>
  <c r="Q33" s="1"/>
  <c r="Y70" i="24"/>
  <c r="Y71"/>
  <c r="Y72"/>
  <c r="Z72" s="1"/>
  <c r="AA72" s="1"/>
  <c r="AC72" s="1"/>
  <c r="Y73"/>
  <c r="Z73" s="1"/>
  <c r="Y74"/>
  <c r="Z74" s="1"/>
  <c r="AA74" s="1"/>
  <c r="AC74" s="1"/>
  <c r="Y68"/>
  <c r="Z68" s="1"/>
  <c r="C32" i="101" s="1"/>
  <c r="K32" s="1"/>
  <c r="Q32" s="1"/>
  <c r="S76" i="24"/>
  <c r="T76" s="1"/>
  <c r="U76" s="1"/>
  <c r="W76" s="1"/>
  <c r="S69"/>
  <c r="T69" s="1"/>
  <c r="S70"/>
  <c r="S71"/>
  <c r="T71" s="1"/>
  <c r="U71" s="1"/>
  <c r="W71" s="1"/>
  <c r="S72"/>
  <c r="T72" s="1"/>
  <c r="U72" s="1"/>
  <c r="W72" s="1"/>
  <c r="S73"/>
  <c r="T73" s="1"/>
  <c r="S74"/>
  <c r="T74" s="1"/>
  <c r="U74" s="1"/>
  <c r="W74" s="1"/>
  <c r="S68"/>
  <c r="T68" s="1"/>
  <c r="M76"/>
  <c r="M69"/>
  <c r="M70"/>
  <c r="N70" s="1"/>
  <c r="O70" s="1"/>
  <c r="M71"/>
  <c r="N71" s="1"/>
  <c r="O71" s="1"/>
  <c r="Q71" s="1"/>
  <c r="M72"/>
  <c r="N72" s="1"/>
  <c r="O72" s="1"/>
  <c r="Q72" s="1"/>
  <c r="M73"/>
  <c r="N73" s="1"/>
  <c r="M74"/>
  <c r="N74" s="1"/>
  <c r="O74" s="1"/>
  <c r="Q74" s="1"/>
  <c r="M68"/>
  <c r="Y76" i="10"/>
  <c r="S76"/>
  <c r="M76"/>
  <c r="N76" s="1"/>
  <c r="G76"/>
  <c r="H76" s="1"/>
  <c r="Y69"/>
  <c r="Z69" s="1"/>
  <c r="AA69" s="1"/>
  <c r="AC69" s="1"/>
  <c r="Y70"/>
  <c r="Z70" s="1"/>
  <c r="AA70" s="1"/>
  <c r="AC70" s="1"/>
  <c r="Y71"/>
  <c r="Z71" s="1"/>
  <c r="AA71" s="1"/>
  <c r="AC71" s="1"/>
  <c r="Y72"/>
  <c r="Z72" s="1"/>
  <c r="Y73"/>
  <c r="Z73" s="1"/>
  <c r="AA73" s="1"/>
  <c r="AC73" s="1"/>
  <c r="Y74"/>
  <c r="Z74" s="1"/>
  <c r="AA74" s="1"/>
  <c r="AC74" s="1"/>
  <c r="Y68"/>
  <c r="Z68" s="1"/>
  <c r="AA68" s="1"/>
  <c r="AC68" s="1"/>
  <c r="S69"/>
  <c r="T69" s="1"/>
  <c r="U69" s="1"/>
  <c r="W69" s="1"/>
  <c r="S70"/>
  <c r="T70" s="1"/>
  <c r="U70" s="1"/>
  <c r="W70" s="1"/>
  <c r="S71"/>
  <c r="T71" s="1"/>
  <c r="U71" s="1"/>
  <c r="W71" s="1"/>
  <c r="S72"/>
  <c r="T72" s="1"/>
  <c r="S73"/>
  <c r="T73" s="1"/>
  <c r="U73" s="1"/>
  <c r="W73" s="1"/>
  <c r="S74"/>
  <c r="T74" s="1"/>
  <c r="U74" s="1"/>
  <c r="W74" s="1"/>
  <c r="S68"/>
  <c r="T68" s="1"/>
  <c r="U68" s="1"/>
  <c r="W68" s="1"/>
  <c r="M69"/>
  <c r="N69" s="1"/>
  <c r="O69" s="1"/>
  <c r="Q69" s="1"/>
  <c r="M70"/>
  <c r="N70" s="1"/>
  <c r="O70" s="1"/>
  <c r="Q70" s="1"/>
  <c r="M71"/>
  <c r="N71" s="1"/>
  <c r="O71" s="1"/>
  <c r="Q71" s="1"/>
  <c r="M72"/>
  <c r="M73"/>
  <c r="N73" s="1"/>
  <c r="O73" s="1"/>
  <c r="Q73" s="1"/>
  <c r="M74"/>
  <c r="N74" s="1"/>
  <c r="O74" s="1"/>
  <c r="Q74" s="1"/>
  <c r="G69"/>
  <c r="H69" s="1"/>
  <c r="G70"/>
  <c r="H70" s="1"/>
  <c r="G71"/>
  <c r="H71" s="1"/>
  <c r="G72"/>
  <c r="H72" s="1"/>
  <c r="G73"/>
  <c r="H73" s="1"/>
  <c r="G74"/>
  <c r="H74" s="1"/>
  <c r="G68"/>
  <c r="H68" s="1"/>
  <c r="F126" i="69"/>
  <c r="H37" i="54"/>
  <c r="H36"/>
  <c r="H62" i="58"/>
  <c r="H29" i="54"/>
  <c r="H24" i="58"/>
  <c r="Z50" i="24"/>
  <c r="T50"/>
  <c r="N50"/>
  <c r="H50"/>
  <c r="F36" i="112" s="1"/>
  <c r="H25" i="61"/>
  <c r="Y49" i="24"/>
  <c r="Z49" s="1"/>
  <c r="S49"/>
  <c r="T49" s="1"/>
  <c r="U49" s="1"/>
  <c r="W49" s="1"/>
  <c r="M49"/>
  <c r="N49" s="1"/>
  <c r="O49" s="1"/>
  <c r="Q49" s="1"/>
  <c r="G49"/>
  <c r="H49" s="1"/>
  <c r="F35" i="112" s="1"/>
  <c r="Y48" i="24"/>
  <c r="Z48" s="1"/>
  <c r="S48"/>
  <c r="T48" s="1"/>
  <c r="M48"/>
  <c r="N48" s="1"/>
  <c r="G48"/>
  <c r="H48" s="1"/>
  <c r="Y47"/>
  <c r="Z47" s="1"/>
  <c r="S47"/>
  <c r="T47" s="1"/>
  <c r="M47"/>
  <c r="N47" s="1"/>
  <c r="G47"/>
  <c r="H47" s="1"/>
  <c r="Y46"/>
  <c r="Z46" s="1"/>
  <c r="S46"/>
  <c r="T46" s="1"/>
  <c r="M46"/>
  <c r="N46" s="1"/>
  <c r="G46"/>
  <c r="H46" s="1"/>
  <c r="Y45"/>
  <c r="Z45" s="1"/>
  <c r="S45"/>
  <c r="T45" s="1"/>
  <c r="M45"/>
  <c r="N45" s="1"/>
  <c r="G45"/>
  <c r="G43"/>
  <c r="Y42"/>
  <c r="Z42" s="1"/>
  <c r="S42"/>
  <c r="T42" s="1"/>
  <c r="M42"/>
  <c r="N42" s="1"/>
  <c r="G42"/>
  <c r="H42" s="1"/>
  <c r="F23" i="112" s="1"/>
  <c r="G41" i="24"/>
  <c r="H41" s="1"/>
  <c r="F24" i="112" s="1"/>
  <c r="G18" i="24"/>
  <c r="H18" s="1"/>
  <c r="G17"/>
  <c r="H17" s="1"/>
  <c r="G16"/>
  <c r="H16" s="1"/>
  <c r="G15"/>
  <c r="H15" s="1"/>
  <c r="G14"/>
  <c r="H14" s="1"/>
  <c r="G12"/>
  <c r="H12" s="1"/>
  <c r="G11"/>
  <c r="H11" s="1"/>
  <c r="F4" i="112" s="1"/>
  <c r="G10" i="24"/>
  <c r="H10" s="1"/>
  <c r="F5" i="112" s="1"/>
  <c r="G9" i="24"/>
  <c r="G8"/>
  <c r="H8" s="1"/>
  <c r="G7"/>
  <c r="H7" s="1"/>
  <c r="G6"/>
  <c r="H6" s="1"/>
  <c r="Y49" i="10"/>
  <c r="Z49" s="1"/>
  <c r="AA49" s="1"/>
  <c r="AC49" s="1"/>
  <c r="S49"/>
  <c r="T49" s="1"/>
  <c r="U49" s="1"/>
  <c r="W49" s="1"/>
  <c r="M49"/>
  <c r="N49" s="1"/>
  <c r="O49" s="1"/>
  <c r="Q49" s="1"/>
  <c r="G49"/>
  <c r="H49" s="1"/>
  <c r="Y48"/>
  <c r="Z48" s="1"/>
  <c r="AA48" s="1"/>
  <c r="AC48" s="1"/>
  <c r="S48"/>
  <c r="T48" s="1"/>
  <c r="U48" s="1"/>
  <c r="W48" s="1"/>
  <c r="M48"/>
  <c r="N48" s="1"/>
  <c r="O48" s="1"/>
  <c r="Q48" s="1"/>
  <c r="G48"/>
  <c r="H48" s="1"/>
  <c r="Y47"/>
  <c r="Z47" s="1"/>
  <c r="AA47" s="1"/>
  <c r="AC47" s="1"/>
  <c r="S47"/>
  <c r="T47" s="1"/>
  <c r="U47" s="1"/>
  <c r="W47" s="1"/>
  <c r="M47"/>
  <c r="N47" s="1"/>
  <c r="O47" s="1"/>
  <c r="Q47" s="1"/>
  <c r="G47"/>
  <c r="Y46"/>
  <c r="Z46" s="1"/>
  <c r="AA46" s="1"/>
  <c r="AC46" s="1"/>
  <c r="S46"/>
  <c r="U46" s="1"/>
  <c r="W46" s="1"/>
  <c r="M46"/>
  <c r="O46" s="1"/>
  <c r="Q46" s="1"/>
  <c r="G46"/>
  <c r="Y45"/>
  <c r="Z45" s="1"/>
  <c r="AA45" s="1"/>
  <c r="AC45" s="1"/>
  <c r="S45"/>
  <c r="U45" s="1"/>
  <c r="W45" s="1"/>
  <c r="M45"/>
  <c r="O45" s="1"/>
  <c r="Q45" s="1"/>
  <c r="G45"/>
  <c r="Y43"/>
  <c r="AA43" s="1"/>
  <c r="AC43" s="1"/>
  <c r="S43"/>
  <c r="U43" s="1"/>
  <c r="W43" s="1"/>
  <c r="M43"/>
  <c r="O43" s="1"/>
  <c r="Q43" s="1"/>
  <c r="G43"/>
  <c r="I43" s="1"/>
  <c r="Y42"/>
  <c r="AA42" s="1"/>
  <c r="AC42" s="1"/>
  <c r="S42"/>
  <c r="U42" s="1"/>
  <c r="W42" s="1"/>
  <c r="M42"/>
  <c r="O42" s="1"/>
  <c r="Q42" s="1"/>
  <c r="G42"/>
  <c r="Y41"/>
  <c r="Z41" s="1"/>
  <c r="AA41" s="1"/>
  <c r="AC41" s="1"/>
  <c r="S41"/>
  <c r="T41" s="1"/>
  <c r="U41" s="1"/>
  <c r="W41" s="1"/>
  <c r="M41"/>
  <c r="N41" s="1"/>
  <c r="O41" s="1"/>
  <c r="Q41" s="1"/>
  <c r="Y40"/>
  <c r="AA40" s="1"/>
  <c r="AC40" s="1"/>
  <c r="S40"/>
  <c r="U40" s="1"/>
  <c r="W40" s="1"/>
  <c r="Z12" i="58" s="1"/>
  <c r="M40" i="10"/>
  <c r="O40" s="1"/>
  <c r="Q40" s="1"/>
  <c r="Y39"/>
  <c r="AA39" s="1"/>
  <c r="AC39" s="1"/>
  <c r="S39"/>
  <c r="U39" s="1"/>
  <c r="W39" s="1"/>
  <c r="M39"/>
  <c r="O39" s="1"/>
  <c r="Q39" s="1"/>
  <c r="Y38"/>
  <c r="AA38" s="1"/>
  <c r="AC38" s="1"/>
  <c r="S38"/>
  <c r="U38" s="1"/>
  <c r="W38" s="1"/>
  <c r="M38"/>
  <c r="O38" s="1"/>
  <c r="Q38" s="1"/>
  <c r="G38"/>
  <c r="Y37"/>
  <c r="AA37" s="1"/>
  <c r="AC37" s="1"/>
  <c r="S37"/>
  <c r="U37" s="1"/>
  <c r="W37" s="1"/>
  <c r="M37"/>
  <c r="N37" s="1"/>
  <c r="O37" s="1"/>
  <c r="Q37" s="1"/>
  <c r="G37"/>
  <c r="Y18"/>
  <c r="Z18" s="1"/>
  <c r="AA18" s="1"/>
  <c r="AC18" s="1"/>
  <c r="S18"/>
  <c r="T18" s="1"/>
  <c r="U18" s="1"/>
  <c r="W18" s="1"/>
  <c r="M18"/>
  <c r="N18" s="1"/>
  <c r="O18" s="1"/>
  <c r="Q18" s="1"/>
  <c r="Y17"/>
  <c r="Z17" s="1"/>
  <c r="AA17" s="1"/>
  <c r="AC17" s="1"/>
  <c r="S17"/>
  <c r="T17" s="1"/>
  <c r="U17" s="1"/>
  <c r="W17" s="1"/>
  <c r="M17"/>
  <c r="N17" s="1"/>
  <c r="O17" s="1"/>
  <c r="Q17" s="1"/>
  <c r="Y16"/>
  <c r="Z16" s="1"/>
  <c r="AA16" s="1"/>
  <c r="AC16" s="1"/>
  <c r="S16"/>
  <c r="T16" s="1"/>
  <c r="U16" s="1"/>
  <c r="W16" s="1"/>
  <c r="M16"/>
  <c r="N16" s="1"/>
  <c r="O16" s="1"/>
  <c r="Q16" s="1"/>
  <c r="G16"/>
  <c r="Y15"/>
  <c r="S15"/>
  <c r="U15" s="1"/>
  <c r="W15" s="1"/>
  <c r="M15"/>
  <c r="O15" s="1"/>
  <c r="Q15" s="1"/>
  <c r="G15"/>
  <c r="I15" s="1"/>
  <c r="Y14"/>
  <c r="Z14" s="1"/>
  <c r="AA14" s="1"/>
  <c r="AC14" s="1"/>
  <c r="S14"/>
  <c r="U14" s="1"/>
  <c r="W14" s="1"/>
  <c r="M14"/>
  <c r="N14" s="1"/>
  <c r="O14" s="1"/>
  <c r="Q14" s="1"/>
  <c r="G14"/>
  <c r="I14" s="1"/>
  <c r="Y12"/>
  <c r="AA12" s="1"/>
  <c r="AC12" s="1"/>
  <c r="S12"/>
  <c r="U12" s="1"/>
  <c r="W12" s="1"/>
  <c r="M12"/>
  <c r="N12" s="1"/>
  <c r="O12" s="1"/>
  <c r="Q12" s="1"/>
  <c r="G12"/>
  <c r="H12" s="1"/>
  <c r="I12" s="1"/>
  <c r="Y11"/>
  <c r="Z11" s="1"/>
  <c r="AA11" s="1"/>
  <c r="AC11" s="1"/>
  <c r="S11"/>
  <c r="T11" s="1"/>
  <c r="U11" s="1"/>
  <c r="W11" s="1"/>
  <c r="M11"/>
  <c r="N11" s="1"/>
  <c r="O11" s="1"/>
  <c r="Q11" s="1"/>
  <c r="G11"/>
  <c r="H11" s="1"/>
  <c r="Y10"/>
  <c r="Z10" s="1"/>
  <c r="AA10" s="1"/>
  <c r="AC10" s="1"/>
  <c r="S10"/>
  <c r="T10" s="1"/>
  <c r="U10" s="1"/>
  <c r="W10" s="1"/>
  <c r="M10"/>
  <c r="N10" s="1"/>
  <c r="O10" s="1"/>
  <c r="Q10" s="1"/>
  <c r="G10"/>
  <c r="H10" s="1"/>
  <c r="I10" s="1"/>
  <c r="Y9"/>
  <c r="S9"/>
  <c r="M9"/>
  <c r="G9"/>
  <c r="Y8"/>
  <c r="S8"/>
  <c r="M8"/>
  <c r="G8"/>
  <c r="Y7"/>
  <c r="Z7" s="1"/>
  <c r="AA7" s="1"/>
  <c r="AC7" s="1"/>
  <c r="S7"/>
  <c r="U7" s="1"/>
  <c r="W7" s="1"/>
  <c r="M7"/>
  <c r="N7" s="1"/>
  <c r="O7" s="1"/>
  <c r="Q7" s="1"/>
  <c r="G7"/>
  <c r="H7" s="1"/>
  <c r="I7" s="1"/>
  <c r="Y6"/>
  <c r="Z6" s="1"/>
  <c r="AA6" s="1"/>
  <c r="AC6" s="1"/>
  <c r="S6"/>
  <c r="U6" s="1"/>
  <c r="W6" s="1"/>
  <c r="M6"/>
  <c r="N6" s="1"/>
  <c r="O6" s="1"/>
  <c r="Q6" s="1"/>
  <c r="G6"/>
  <c r="H6" s="1"/>
  <c r="I6" s="1"/>
  <c r="F16" i="112" l="1"/>
  <c r="K18" i="24"/>
  <c r="H86" i="10"/>
  <c r="I86" s="1"/>
  <c r="K86" s="1"/>
  <c r="H113"/>
  <c r="I113" s="1"/>
  <c r="K113" s="1"/>
  <c r="H111"/>
  <c r="I111" s="1"/>
  <c r="K111" s="1"/>
  <c r="I74" i="24"/>
  <c r="K74" s="1"/>
  <c r="F57" i="112"/>
  <c r="I12" i="24"/>
  <c r="K12" s="1"/>
  <c r="F11" i="112"/>
  <c r="I74" i="10"/>
  <c r="K74" s="1"/>
  <c r="H43" i="24"/>
  <c r="I46" i="10"/>
  <c r="I47"/>
  <c r="K47" s="1"/>
  <c r="J20" i="58" s="1"/>
  <c r="I39" i="10"/>
  <c r="K39" s="1"/>
  <c r="H37"/>
  <c r="I37" s="1"/>
  <c r="I38"/>
  <c r="K38" s="1"/>
  <c r="I40"/>
  <c r="K40" s="1"/>
  <c r="J12" i="58" s="1"/>
  <c r="J13" s="1"/>
  <c r="Z78" i="24"/>
  <c r="AA78" s="1"/>
  <c r="AC78" s="1"/>
  <c r="Z70"/>
  <c r="AA70" s="1"/>
  <c r="AC70" s="1"/>
  <c r="Z76"/>
  <c r="AA76" s="1"/>
  <c r="AC76" s="1"/>
  <c r="Z71"/>
  <c r="AA71" s="1"/>
  <c r="AC71" s="1"/>
  <c r="Z77"/>
  <c r="AA77" s="1"/>
  <c r="AC77" s="1"/>
  <c r="N76"/>
  <c r="O76" s="1"/>
  <c r="Q76" s="1"/>
  <c r="Q70"/>
  <c r="T70"/>
  <c r="U70" s="1"/>
  <c r="W70" s="1"/>
  <c r="G10" i="74"/>
  <c r="Z10" s="1"/>
  <c r="AL10" s="1"/>
  <c r="J23"/>
  <c r="AB23" s="1"/>
  <c r="AN23" s="1"/>
  <c r="G27"/>
  <c r="Z27" s="1"/>
  <c r="AL27" s="1"/>
  <c r="M32"/>
  <c r="AD32" s="1"/>
  <c r="AP32" s="1"/>
  <c r="G14"/>
  <c r="Z14" s="1"/>
  <c r="AL14" s="1"/>
  <c r="P26"/>
  <c r="AF26" s="1"/>
  <c r="AR26" s="1"/>
  <c r="C26" i="101"/>
  <c r="K26" s="1"/>
  <c r="Q26" s="1"/>
  <c r="P28" i="74"/>
  <c r="AF28" s="1"/>
  <c r="AR28" s="1"/>
  <c r="C28" i="101"/>
  <c r="K28" s="1"/>
  <c r="Q28" s="1"/>
  <c r="P36" i="74"/>
  <c r="AF36" s="1"/>
  <c r="AR36" s="1"/>
  <c r="C36" i="101"/>
  <c r="K36" s="1"/>
  <c r="Q36" s="1"/>
  <c r="H10" i="56"/>
  <c r="P39" i="74"/>
  <c r="AF39" s="1"/>
  <c r="AR39" s="1"/>
  <c r="C39" i="101"/>
  <c r="K39" s="1"/>
  <c r="Q39" s="1"/>
  <c r="G13" i="74"/>
  <c r="Z13" s="1"/>
  <c r="AL13" s="1"/>
  <c r="P23"/>
  <c r="AF23" s="1"/>
  <c r="AR23" s="1"/>
  <c r="C23" i="101"/>
  <c r="K23" s="1"/>
  <c r="Q23" s="1"/>
  <c r="M26" i="74"/>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G15"/>
  <c r="Z15" s="1"/>
  <c r="AL15" s="1"/>
  <c r="G28"/>
  <c r="Z28" s="1"/>
  <c r="AL28" s="1"/>
  <c r="G29"/>
  <c r="Z29" s="1"/>
  <c r="AL29" s="1"/>
  <c r="J35"/>
  <c r="AB35" s="1"/>
  <c r="AN35" s="1"/>
  <c r="M35"/>
  <c r="AD35" s="1"/>
  <c r="AP35" s="1"/>
  <c r="I7" i="24"/>
  <c r="K7" s="1"/>
  <c r="G9" i="74"/>
  <c r="Z9" s="1"/>
  <c r="AL9" s="1"/>
  <c r="G23"/>
  <c r="Z23" s="1"/>
  <c r="AL23" s="1"/>
  <c r="P27"/>
  <c r="AF27" s="1"/>
  <c r="AR27" s="1"/>
  <c r="C27" i="101"/>
  <c r="K27" s="1"/>
  <c r="Q27" s="1"/>
  <c r="P29" i="74"/>
  <c r="AF29" s="1"/>
  <c r="AR29" s="1"/>
  <c r="C29" i="101"/>
  <c r="K29" s="1"/>
  <c r="Q29" s="1"/>
  <c r="J36" i="74"/>
  <c r="AB36" s="1"/>
  <c r="AN36" s="1"/>
  <c r="M36"/>
  <c r="AD36" s="1"/>
  <c r="AP36" s="1"/>
  <c r="G8"/>
  <c r="Z8" s="1"/>
  <c r="AL8" s="1"/>
  <c r="G22"/>
  <c r="Z22" s="1"/>
  <c r="AL22" s="1"/>
  <c r="P37"/>
  <c r="AF37" s="1"/>
  <c r="AR37" s="1"/>
  <c r="C37" i="101"/>
  <c r="K37" s="1"/>
  <c r="Q37" s="1"/>
  <c r="G12" i="74"/>
  <c r="Z12" s="1"/>
  <c r="AL12" s="1"/>
  <c r="M23"/>
  <c r="AD23" s="1"/>
  <c r="AP23" s="1"/>
  <c r="J26"/>
  <c r="AB26" s="1"/>
  <c r="AN26" s="1"/>
  <c r="J27"/>
  <c r="AB27" s="1"/>
  <c r="AN27" s="1"/>
  <c r="J28"/>
  <c r="AB28" s="1"/>
  <c r="AN28" s="1"/>
  <c r="J29"/>
  <c r="AB29" s="1"/>
  <c r="AN29" s="1"/>
  <c r="J38"/>
  <c r="AB38" s="1"/>
  <c r="AN38" s="1"/>
  <c r="J34"/>
  <c r="AB34" s="1"/>
  <c r="AN34" s="1"/>
  <c r="M38"/>
  <c r="AD38" s="1"/>
  <c r="AP38" s="1"/>
  <c r="P38"/>
  <c r="AF38" s="1"/>
  <c r="AR38" s="1"/>
  <c r="C38" i="101"/>
  <c r="K38" s="1"/>
  <c r="Q38" s="1"/>
  <c r="J42" i="74"/>
  <c r="AB42" s="1"/>
  <c r="AN42" s="1"/>
  <c r="M41"/>
  <c r="AD41" s="1"/>
  <c r="AP41" s="1"/>
  <c r="G36"/>
  <c r="Z36" s="1"/>
  <c r="AL36" s="1"/>
  <c r="J39"/>
  <c r="AB39" s="1"/>
  <c r="AN39" s="1"/>
  <c r="J43"/>
  <c r="AB43" s="1"/>
  <c r="AN43" s="1"/>
  <c r="M42"/>
  <c r="AD42" s="1"/>
  <c r="AP42" s="1"/>
  <c r="H12" i="56"/>
  <c r="G39" i="74"/>
  <c r="Z39" s="1"/>
  <c r="AL39" s="1"/>
  <c r="J52" i="96"/>
  <c r="J49"/>
  <c r="H17"/>
  <c r="I87" i="24"/>
  <c r="K87" s="1"/>
  <c r="J50" i="96"/>
  <c r="J51"/>
  <c r="M40" i="74"/>
  <c r="AD40" s="1"/>
  <c r="AP40" s="1"/>
  <c r="P18" i="56"/>
  <c r="L19" i="96" s="1"/>
  <c r="L10" i="95"/>
  <c r="H44"/>
  <c r="H56"/>
  <c r="L8"/>
  <c r="H22"/>
  <c r="J15" i="96"/>
  <c r="H42" i="95"/>
  <c r="H48"/>
  <c r="H20" i="60"/>
  <c r="H21" i="95"/>
  <c r="H14" i="96"/>
  <c r="H10" i="95"/>
  <c r="L6"/>
  <c r="L12"/>
  <c r="H46"/>
  <c r="H20"/>
  <c r="H57"/>
  <c r="H15"/>
  <c r="H16" i="96"/>
  <c r="AA49" i="24"/>
  <c r="AC49" s="1"/>
  <c r="O8" i="10"/>
  <c r="Q8" s="1"/>
  <c r="R12" i="46" s="1"/>
  <c r="AA8" i="10"/>
  <c r="AC8" s="1"/>
  <c r="J50" i="46" s="1"/>
  <c r="J51" s="1"/>
  <c r="N9" i="10"/>
  <c r="O9" s="1"/>
  <c r="Q9" s="1"/>
  <c r="R14" i="46" s="1"/>
  <c r="Z9" i="10"/>
  <c r="AA9" s="1"/>
  <c r="AC9" s="1"/>
  <c r="J52" i="46" s="1"/>
  <c r="J53" s="1"/>
  <c r="I8" i="10"/>
  <c r="U8"/>
  <c r="W8" s="1"/>
  <c r="Z12" i="46" s="1"/>
  <c r="H9" i="10"/>
  <c r="I9" s="1"/>
  <c r="K9" s="1"/>
  <c r="U9"/>
  <c r="W9" s="1"/>
  <c r="Z14" i="46" s="1"/>
  <c r="H9" i="24"/>
  <c r="I84"/>
  <c r="K84" s="1"/>
  <c r="I49" i="10"/>
  <c r="K49" s="1"/>
  <c r="P33" i="74"/>
  <c r="AF33" s="1"/>
  <c r="AR33" s="1"/>
  <c r="I86" i="24"/>
  <c r="K86" s="1"/>
  <c r="P32" i="74"/>
  <c r="AF32" s="1"/>
  <c r="AR32" s="1"/>
  <c r="P41"/>
  <c r="AF41" s="1"/>
  <c r="AR41" s="1"/>
  <c r="H69" i="24"/>
  <c r="I71"/>
  <c r="H78"/>
  <c r="I78" s="1"/>
  <c r="I70"/>
  <c r="H68"/>
  <c r="H6" i="56" s="1"/>
  <c r="I8" i="24"/>
  <c r="K8" s="1"/>
  <c r="H6" i="74" s="1"/>
  <c r="AA6" s="1"/>
  <c r="AM6" s="1"/>
  <c r="U42" i="24"/>
  <c r="W42" s="1"/>
  <c r="N23" i="74" s="1"/>
  <c r="AE23" s="1"/>
  <c r="AQ23" s="1"/>
  <c r="O45" i="24"/>
  <c r="Q45" s="1"/>
  <c r="K26" i="74" s="1"/>
  <c r="AC26" s="1"/>
  <c r="AO26" s="1"/>
  <c r="O46" i="24"/>
  <c r="Q46" s="1"/>
  <c r="K27" i="74" s="1"/>
  <c r="AC27" s="1"/>
  <c r="AO27" s="1"/>
  <c r="O47" i="24"/>
  <c r="Q47" s="1"/>
  <c r="K28" i="74" s="1"/>
  <c r="AC28" s="1"/>
  <c r="AO28" s="1"/>
  <c r="O48" i="24"/>
  <c r="Q48" s="1"/>
  <c r="K29" i="74" s="1"/>
  <c r="AC29" s="1"/>
  <c r="AO29" s="1"/>
  <c r="H61" i="54"/>
  <c r="K38" i="74"/>
  <c r="AC38" s="1"/>
  <c r="AO38" s="1"/>
  <c r="Q38"/>
  <c r="AG38" s="1"/>
  <c r="AS38" s="1"/>
  <c r="O42" i="24"/>
  <c r="Q42" s="1"/>
  <c r="K23" i="74" s="1"/>
  <c r="AC23" s="1"/>
  <c r="AO23" s="1"/>
  <c r="P23" i="54"/>
  <c r="K43" i="74"/>
  <c r="AC43" s="1"/>
  <c r="AO43" s="1"/>
  <c r="AA42" i="24"/>
  <c r="AC42" s="1"/>
  <c r="Q23" i="74" s="1"/>
  <c r="AG23" s="1"/>
  <c r="AS23" s="1"/>
  <c r="U45" i="24"/>
  <c r="W45" s="1"/>
  <c r="N26" i="74" s="1"/>
  <c r="AE26" s="1"/>
  <c r="AQ26" s="1"/>
  <c r="U46" i="24"/>
  <c r="W46" s="1"/>
  <c r="N27" i="74" s="1"/>
  <c r="AE27" s="1"/>
  <c r="AQ27" s="1"/>
  <c r="U47" i="24"/>
  <c r="W47" s="1"/>
  <c r="N28" i="74" s="1"/>
  <c r="AE28" s="1"/>
  <c r="AQ28" s="1"/>
  <c r="U48" i="24"/>
  <c r="W48" s="1"/>
  <c r="N29" i="74" s="1"/>
  <c r="AE29" s="1"/>
  <c r="AQ29" s="1"/>
  <c r="N38"/>
  <c r="AE38" s="1"/>
  <c r="AQ38" s="1"/>
  <c r="AA45" i="24"/>
  <c r="AC45" s="1"/>
  <c r="Q26" i="74" s="1"/>
  <c r="AG26" s="1"/>
  <c r="AS26" s="1"/>
  <c r="AA46" i="24"/>
  <c r="AC46" s="1"/>
  <c r="Q27" i="74" s="1"/>
  <c r="AG27" s="1"/>
  <c r="AS27" s="1"/>
  <c r="AA47" i="24"/>
  <c r="AC47" s="1"/>
  <c r="Q28" i="74" s="1"/>
  <c r="AG28" s="1"/>
  <c r="AS28" s="1"/>
  <c r="AA48" i="24"/>
  <c r="AC48" s="1"/>
  <c r="Q29" i="74" s="1"/>
  <c r="AG29" s="1"/>
  <c r="AS29" s="1"/>
  <c r="L23" i="54"/>
  <c r="I10" i="24"/>
  <c r="K10" s="1"/>
  <c r="I15"/>
  <c r="K15" s="1"/>
  <c r="H13" i="74" s="1"/>
  <c r="AA13" s="1"/>
  <c r="AM13" s="1"/>
  <c r="H23" i="54"/>
  <c r="I14" i="24"/>
  <c r="K14" s="1"/>
  <c r="H12" i="74" s="1"/>
  <c r="AA12" s="1"/>
  <c r="AM12" s="1"/>
  <c r="H10"/>
  <c r="AA10" s="1"/>
  <c r="AM10" s="1"/>
  <c r="I17" i="24"/>
  <c r="K17" s="1"/>
  <c r="H15" i="74" s="1"/>
  <c r="AA15" s="1"/>
  <c r="AM15" s="1"/>
  <c r="I11" i="24"/>
  <c r="K11" s="1"/>
  <c r="I16"/>
  <c r="K16" s="1"/>
  <c r="H14" i="74" s="1"/>
  <c r="AA14" s="1"/>
  <c r="AM14" s="1"/>
  <c r="I42" i="24"/>
  <c r="K42" s="1"/>
  <c r="H23" i="74" s="1"/>
  <c r="AA23" s="1"/>
  <c r="AM23" s="1"/>
  <c r="I41" i="24"/>
  <c r="K41" s="1"/>
  <c r="H22" i="74" s="1"/>
  <c r="AA22" s="1"/>
  <c r="AM22" s="1"/>
  <c r="I46" i="24"/>
  <c r="K46" s="1"/>
  <c r="H27" i="74" s="1"/>
  <c r="AA27" s="1"/>
  <c r="AM27" s="1"/>
  <c r="I47" i="24"/>
  <c r="K47" s="1"/>
  <c r="H28" i="74" s="1"/>
  <c r="AA28" s="1"/>
  <c r="AM28" s="1"/>
  <c r="I48" i="24"/>
  <c r="K48" s="1"/>
  <c r="H29" i="74" s="1"/>
  <c r="AA29" s="1"/>
  <c r="AM29" s="1"/>
  <c r="D80" i="69"/>
  <c r="D87"/>
  <c r="G84"/>
  <c r="F16"/>
  <c r="D88"/>
  <c r="H16" i="10"/>
  <c r="I16" s="1"/>
  <c r="K16" s="1"/>
  <c r="G5" i="74"/>
  <c r="Z5" s="1"/>
  <c r="AL5" s="1"/>
  <c r="N69" i="24"/>
  <c r="I18"/>
  <c r="H24" i="61"/>
  <c r="N68" i="24"/>
  <c r="G4" i="74"/>
  <c r="Z4" s="1"/>
  <c r="AL4" s="1"/>
  <c r="AA15" i="10"/>
  <c r="AC15" s="1"/>
  <c r="H59" i="46"/>
  <c r="G18" i="62" s="1"/>
  <c r="R14" i="58"/>
  <c r="R15"/>
  <c r="R16"/>
  <c r="R21"/>
  <c r="J50"/>
  <c r="J51"/>
  <c r="J52"/>
  <c r="J57"/>
  <c r="H15"/>
  <c r="D68" i="62" s="1"/>
  <c r="I42" i="10"/>
  <c r="K42" s="1"/>
  <c r="J15" i="58" s="1"/>
  <c r="H45" i="24"/>
  <c r="H14" i="58"/>
  <c r="D67" i="62" s="1"/>
  <c r="I41" i="10"/>
  <c r="K41" s="1"/>
  <c r="J14" i="58" s="1"/>
  <c r="H21"/>
  <c r="D74" i="62" s="1"/>
  <c r="I48" i="10"/>
  <c r="K48" s="1"/>
  <c r="J21" i="58" s="1"/>
  <c r="H48" i="60"/>
  <c r="P19" i="56"/>
  <c r="L20" i="96" s="1"/>
  <c r="H77" i="24"/>
  <c r="I77" s="1"/>
  <c r="D124" i="62"/>
  <c r="I77" i="10"/>
  <c r="K77" s="1"/>
  <c r="C43" i="101"/>
  <c r="K43" s="1"/>
  <c r="Q43" s="1"/>
  <c r="I78" i="10"/>
  <c r="K79"/>
  <c r="I11"/>
  <c r="J54" i="46"/>
  <c r="G45" i="62" s="1"/>
  <c r="J55" i="46"/>
  <c r="Z16"/>
  <c r="F45" i="62" s="1"/>
  <c r="Z17" i="46"/>
  <c r="R16"/>
  <c r="E45" i="62" s="1"/>
  <c r="R17" i="46"/>
  <c r="J61"/>
  <c r="Z23"/>
  <c r="R23"/>
  <c r="K17" i="10"/>
  <c r="R6" i="58"/>
  <c r="R7" s="1"/>
  <c r="E128" i="62"/>
  <c r="E16" i="69"/>
  <c r="G16"/>
  <c r="E126"/>
  <c r="H21" i="46"/>
  <c r="D18" i="62" s="1"/>
  <c r="D126" i="69"/>
  <c r="G126"/>
  <c r="H57" i="54"/>
  <c r="U69" i="24"/>
  <c r="W69" s="1"/>
  <c r="AA69"/>
  <c r="AC69" s="1"/>
  <c r="P19" i="54"/>
  <c r="L19"/>
  <c r="U68" i="24"/>
  <c r="W68" s="1"/>
  <c r="AA68"/>
  <c r="AC68" s="1"/>
  <c r="H55" i="58"/>
  <c r="G72" i="62" s="1"/>
  <c r="H56" i="58"/>
  <c r="G73" i="62" s="1"/>
  <c r="H20" i="54"/>
  <c r="H19"/>
  <c r="P10"/>
  <c r="P14"/>
  <c r="H46"/>
  <c r="D123" i="62"/>
  <c r="D119" i="69"/>
  <c r="H14" i="54"/>
  <c r="P6"/>
  <c r="L8"/>
  <c r="H15" i="60"/>
  <c r="H51"/>
  <c r="H19"/>
  <c r="H55"/>
  <c r="P18" i="46"/>
  <c r="E15" i="62" s="1"/>
  <c r="H10" i="60"/>
  <c r="P20"/>
  <c r="E183" i="62" s="1"/>
  <c r="H56" i="60"/>
  <c r="J56" i="46"/>
  <c r="H14" i="60"/>
  <c r="X15"/>
  <c r="H50"/>
  <c r="X18" i="46"/>
  <c r="F15" i="62" s="1"/>
  <c r="H16" i="46"/>
  <c r="D13" i="62" s="1"/>
  <c r="P15" i="60"/>
  <c r="E178" i="62" s="1"/>
  <c r="X14" i="60"/>
  <c r="P18"/>
  <c r="E181" i="62" s="1"/>
  <c r="H21" i="60"/>
  <c r="P21"/>
  <c r="E184" i="62" s="1"/>
  <c r="P6" i="56"/>
  <c r="L6" i="96" s="1"/>
  <c r="H48" i="56"/>
  <c r="H41" i="96" s="1"/>
  <c r="P8" i="56"/>
  <c r="L8" i="96" s="1"/>
  <c r="H50" i="56"/>
  <c r="H43" i="96" s="1"/>
  <c r="H16" i="60"/>
  <c r="D127" i="62"/>
  <c r="F128" i="69"/>
  <c r="G128"/>
  <c r="E128"/>
  <c r="P6" i="61"/>
  <c r="P12"/>
  <c r="P16"/>
  <c r="P18"/>
  <c r="P20"/>
  <c r="P21"/>
  <c r="P23"/>
  <c r="R24"/>
  <c r="P24"/>
  <c r="L6"/>
  <c r="L9"/>
  <c r="L12"/>
  <c r="L14"/>
  <c r="L16"/>
  <c r="L17"/>
  <c r="L18"/>
  <c r="L20"/>
  <c r="L21"/>
  <c r="L22"/>
  <c r="L23"/>
  <c r="N24"/>
  <c r="L24"/>
  <c r="P9"/>
  <c r="P14"/>
  <c r="P17"/>
  <c r="P22"/>
  <c r="H16"/>
  <c r="H17"/>
  <c r="H20"/>
  <c r="H21"/>
  <c r="H22"/>
  <c r="H23"/>
  <c r="H46"/>
  <c r="H49"/>
  <c r="H52"/>
  <c r="H54"/>
  <c r="H56"/>
  <c r="H57"/>
  <c r="H58"/>
  <c r="H60"/>
  <c r="H61"/>
  <c r="H62"/>
  <c r="H63"/>
  <c r="J64"/>
  <c r="H64"/>
  <c r="P22" i="54"/>
  <c r="L22"/>
  <c r="J47" i="46"/>
  <c r="J48" s="1"/>
  <c r="J49" s="1"/>
  <c r="H47"/>
  <c r="G7" i="62" s="1"/>
  <c r="Z6" i="46"/>
  <c r="X6"/>
  <c r="F5" i="62" s="1"/>
  <c r="R6" i="46"/>
  <c r="P6"/>
  <c r="E5" i="62" s="1"/>
  <c r="R9" i="46"/>
  <c r="P9"/>
  <c r="E7" i="62" s="1"/>
  <c r="J44" i="46"/>
  <c r="J45" s="1"/>
  <c r="J46" s="1"/>
  <c r="H44"/>
  <c r="G5" i="62" s="1"/>
  <c r="Z9" i="46"/>
  <c r="X9"/>
  <c r="F7" i="62" s="1"/>
  <c r="L14" i="54"/>
  <c r="L18"/>
  <c r="L20"/>
  <c r="D129" i="69"/>
  <c r="E116"/>
  <c r="L21" i="56"/>
  <c r="L6" i="54"/>
  <c r="H48"/>
  <c r="H15"/>
  <c r="D121" i="69"/>
  <c r="E125"/>
  <c r="E129"/>
  <c r="F116"/>
  <c r="N36" i="74"/>
  <c r="AE36" s="1"/>
  <c r="AQ36" s="1"/>
  <c r="P14" i="56"/>
  <c r="Q36" i="74"/>
  <c r="AG36" s="1"/>
  <c r="AS36" s="1"/>
  <c r="H56" i="56"/>
  <c r="H50" i="54"/>
  <c r="H52"/>
  <c r="H53"/>
  <c r="H54"/>
  <c r="H56"/>
  <c r="H58"/>
  <c r="H59"/>
  <c r="D125" i="69"/>
  <c r="D127"/>
  <c r="E146"/>
  <c r="E113"/>
  <c r="E121"/>
  <c r="F125"/>
  <c r="F119"/>
  <c r="F129"/>
  <c r="G124"/>
  <c r="G116"/>
  <c r="O73" i="24"/>
  <c r="Q73" s="1"/>
  <c r="K37" i="74" s="1"/>
  <c r="AC37" s="1"/>
  <c r="AO37" s="1"/>
  <c r="L15" i="56"/>
  <c r="U73" i="24"/>
  <c r="W73" s="1"/>
  <c r="N37" i="74" s="1"/>
  <c r="AE37" s="1"/>
  <c r="AQ37" s="1"/>
  <c r="P15" i="56"/>
  <c r="AA73" i="24"/>
  <c r="AC73" s="1"/>
  <c r="Q37" i="74" s="1"/>
  <c r="AG37" s="1"/>
  <c r="AS37" s="1"/>
  <c r="H57" i="56"/>
  <c r="K41" i="74"/>
  <c r="AC41" s="1"/>
  <c r="AO41" s="1"/>
  <c r="L19" i="56"/>
  <c r="I73" i="24"/>
  <c r="K73" s="1"/>
  <c r="H37" i="74" s="1"/>
  <c r="AA37" s="1"/>
  <c r="AM37" s="1"/>
  <c r="H15" i="56"/>
  <c r="L12" i="54"/>
  <c r="L15"/>
  <c r="L16"/>
  <c r="L21"/>
  <c r="E124" i="69"/>
  <c r="F123"/>
  <c r="G146"/>
  <c r="G113"/>
  <c r="G121"/>
  <c r="D124"/>
  <c r="N42" i="74"/>
  <c r="AE42" s="1"/>
  <c r="AQ42" s="1"/>
  <c r="P20" i="56"/>
  <c r="L21" i="96" s="1"/>
  <c r="P8" i="54"/>
  <c r="E119" i="69"/>
  <c r="F124"/>
  <c r="G156"/>
  <c r="G123"/>
  <c r="K36" i="74"/>
  <c r="AC36" s="1"/>
  <c r="AO36" s="1"/>
  <c r="L14" i="56"/>
  <c r="H44" i="54"/>
  <c r="L10"/>
  <c r="P12"/>
  <c r="P15"/>
  <c r="P16"/>
  <c r="P18"/>
  <c r="P20"/>
  <c r="P21"/>
  <c r="D146" i="69"/>
  <c r="D113"/>
  <c r="D116"/>
  <c r="D128"/>
  <c r="E123"/>
  <c r="E127"/>
  <c r="F113"/>
  <c r="F121"/>
  <c r="G125"/>
  <c r="G119"/>
  <c r="G129"/>
  <c r="D123"/>
  <c r="L16" i="56"/>
  <c r="P16"/>
  <c r="H58"/>
  <c r="K42" i="74"/>
  <c r="AC42" s="1"/>
  <c r="AO42" s="1"/>
  <c r="L20" i="56"/>
  <c r="N41" i="74"/>
  <c r="AE41" s="1"/>
  <c r="AQ41" s="1"/>
  <c r="I72" i="24"/>
  <c r="K72" s="1"/>
  <c r="H36" i="74" s="1"/>
  <c r="AA36" s="1"/>
  <c r="AM36" s="1"/>
  <c r="H14" i="56"/>
  <c r="P10" i="60"/>
  <c r="E173" i="62" s="1"/>
  <c r="P12" i="60"/>
  <c r="E175" i="62" s="1"/>
  <c r="X10" i="60"/>
  <c r="X12"/>
  <c r="H46"/>
  <c r="Z8" i="58"/>
  <c r="Z9" s="1"/>
  <c r="X8"/>
  <c r="F60" i="62" s="1"/>
  <c r="D84"/>
  <c r="P30" i="58"/>
  <c r="E83" i="62" s="1"/>
  <c r="L32" i="54"/>
  <c r="X28" i="58"/>
  <c r="F81" i="62" s="1"/>
  <c r="P30" i="54"/>
  <c r="G79" i="62"/>
  <c r="P35" i="58"/>
  <c r="E88" i="62" s="1"/>
  <c r="L37" i="54"/>
  <c r="G133" i="62"/>
  <c r="G133" i="69"/>
  <c r="G134" i="62"/>
  <c r="G134" i="69"/>
  <c r="E135" i="62"/>
  <c r="E135" i="69"/>
  <c r="E136" i="62"/>
  <c r="E136" i="69"/>
  <c r="G137" i="62"/>
  <c r="G137" i="69"/>
  <c r="F142" i="62"/>
  <c r="F142" i="69"/>
  <c r="E146" i="62"/>
  <c r="E113"/>
  <c r="E154"/>
  <c r="E121"/>
  <c r="G149"/>
  <c r="G116"/>
  <c r="H28" i="60"/>
  <c r="H32" i="56"/>
  <c r="P24" i="60"/>
  <c r="E187" i="62" s="1"/>
  <c r="L28" i="56"/>
  <c r="X24" i="60"/>
  <c r="L25" i="95" s="1"/>
  <c r="P28" i="56"/>
  <c r="L25" i="96" s="1"/>
  <c r="R8" i="58"/>
  <c r="R9" s="1"/>
  <c r="P8"/>
  <c r="E60" i="62" s="1"/>
  <c r="J48" i="58"/>
  <c r="J49" s="1"/>
  <c r="H48"/>
  <c r="G65" i="62" s="1"/>
  <c r="P24" i="58"/>
  <c r="E77" i="62" s="1"/>
  <c r="L26" i="54"/>
  <c r="H60" i="58"/>
  <c r="G77" i="62" s="1"/>
  <c r="D78"/>
  <c r="H27" i="54"/>
  <c r="E80" i="62"/>
  <c r="L29" i="54"/>
  <c r="X25" i="58"/>
  <c r="F78" i="62" s="1"/>
  <c r="P27" i="54"/>
  <c r="H63" i="58"/>
  <c r="G80" i="62" s="1"/>
  <c r="P34" i="58"/>
  <c r="E87" i="62" s="1"/>
  <c r="L36" i="54"/>
  <c r="F132" i="62"/>
  <c r="F132" i="69"/>
  <c r="D139" i="62"/>
  <c r="D139" i="69"/>
  <c r="F139" i="62"/>
  <c r="F139" i="69"/>
  <c r="E143" i="62"/>
  <c r="E143" i="69"/>
  <c r="X27" i="60"/>
  <c r="L28" i="95" s="1"/>
  <c r="P31" i="56"/>
  <c r="L28" i="96" s="1"/>
  <c r="H73" i="56"/>
  <c r="H59"/>
  <c r="R10" i="58"/>
  <c r="R11" s="1"/>
  <c r="P10"/>
  <c r="E63" i="62" s="1"/>
  <c r="Z13" i="58"/>
  <c r="X12"/>
  <c r="F65" i="62" s="1"/>
  <c r="H30" i="58"/>
  <c r="D83" i="62" s="1"/>
  <c r="H32" i="54"/>
  <c r="D79" i="62"/>
  <c r="H28" i="54"/>
  <c r="E81" i="62"/>
  <c r="L30" i="54"/>
  <c r="E84" i="62"/>
  <c r="X30" i="58"/>
  <c r="F83" i="62" s="1"/>
  <c r="P32" i="54"/>
  <c r="X26" i="58"/>
  <c r="F79" i="62" s="1"/>
  <c r="P28" i="54"/>
  <c r="H64" i="58"/>
  <c r="G81" i="62" s="1"/>
  <c r="G84"/>
  <c r="H35" i="58"/>
  <c r="D88" i="62" s="1"/>
  <c r="F88"/>
  <c r="F133"/>
  <c r="F133" i="69"/>
  <c r="D134" i="62"/>
  <c r="D134" i="69"/>
  <c r="F134" i="62"/>
  <c r="F134" i="69"/>
  <c r="D135" i="62"/>
  <c r="D135" i="69"/>
  <c r="F135" i="62"/>
  <c r="F135" i="69"/>
  <c r="D136" i="62"/>
  <c r="D136" i="69"/>
  <c r="F136" i="62"/>
  <c r="F136" i="69"/>
  <c r="D137" i="62"/>
  <c r="D137" i="69"/>
  <c r="F137" i="62"/>
  <c r="F137" i="69"/>
  <c r="D138" i="62"/>
  <c r="D138" i="69"/>
  <c r="F138" i="62"/>
  <c r="F138" i="69"/>
  <c r="D142" i="62"/>
  <c r="D142" i="69"/>
  <c r="D143" i="62"/>
  <c r="D143" i="69"/>
  <c r="D146" i="62"/>
  <c r="D113"/>
  <c r="D152"/>
  <c r="D119"/>
  <c r="E149"/>
  <c r="E116"/>
  <c r="G146"/>
  <c r="G113"/>
  <c r="G154"/>
  <c r="G121"/>
  <c r="H26" i="60"/>
  <c r="H27" i="95" s="1"/>
  <c r="H30" i="56"/>
  <c r="H27" i="96" s="1"/>
  <c r="H30" i="60"/>
  <c r="H32" i="95" s="1"/>
  <c r="H34" i="56"/>
  <c r="H32" i="96" s="1"/>
  <c r="P26" i="60"/>
  <c r="E189" i="62" s="1"/>
  <c r="L30" i="56"/>
  <c r="P30" i="60"/>
  <c r="E193" i="62" s="1"/>
  <c r="L34" i="56"/>
  <c r="X26" i="60"/>
  <c r="L27" i="95" s="1"/>
  <c r="P30" i="56"/>
  <c r="L27" i="96" s="1"/>
  <c r="X30" i="60"/>
  <c r="L32" i="95" s="1"/>
  <c r="P34" i="56"/>
  <c r="L32" i="96" s="1"/>
  <c r="H62" i="60"/>
  <c r="H63" i="95" s="1"/>
  <c r="H72" i="56"/>
  <c r="H66" i="60"/>
  <c r="H68" i="95" s="1"/>
  <c r="H76" i="56"/>
  <c r="P17"/>
  <c r="Z6" i="58"/>
  <c r="Z7" s="1"/>
  <c r="X6"/>
  <c r="F57" i="62" s="1"/>
  <c r="J46" i="58"/>
  <c r="J47" s="1"/>
  <c r="H46"/>
  <c r="G63" i="62" s="1"/>
  <c r="H28" i="58"/>
  <c r="D81" i="62" s="1"/>
  <c r="H30" i="54"/>
  <c r="P26" i="58"/>
  <c r="E79" i="62" s="1"/>
  <c r="L28" i="54"/>
  <c r="F84" i="62"/>
  <c r="G83"/>
  <c r="H71" i="58"/>
  <c r="G88" i="62" s="1"/>
  <c r="E133"/>
  <c r="E133" i="69"/>
  <c r="E134" i="62"/>
  <c r="E134" i="69"/>
  <c r="G135" i="62"/>
  <c r="G135" i="69"/>
  <c r="G136" i="62"/>
  <c r="G136" i="69"/>
  <c r="E137" i="62"/>
  <c r="E137" i="69"/>
  <c r="E138" i="62"/>
  <c r="E138" i="69"/>
  <c r="G138" i="62"/>
  <c r="G138" i="69"/>
  <c r="F143" i="62"/>
  <c r="F143" i="69"/>
  <c r="F152" i="62"/>
  <c r="F119"/>
  <c r="H24" i="60"/>
  <c r="H25" i="95" s="1"/>
  <c r="H28" i="56"/>
  <c r="H25" i="96" s="1"/>
  <c r="P28" i="60"/>
  <c r="E191" i="62" s="1"/>
  <c r="L32" i="56"/>
  <c r="X28" i="60"/>
  <c r="P32" i="56"/>
  <c r="H60" i="60"/>
  <c r="H61" i="95" s="1"/>
  <c r="H70" i="56"/>
  <c r="H64" i="60"/>
  <c r="H74" i="56"/>
  <c r="H17"/>
  <c r="Z10" i="58"/>
  <c r="Z11" s="1"/>
  <c r="X10"/>
  <c r="F63" i="62" s="1"/>
  <c r="H29" i="58"/>
  <c r="D82" i="62" s="1"/>
  <c r="H31" i="54"/>
  <c r="X29" i="58"/>
  <c r="F82" i="62" s="1"/>
  <c r="P31" i="54"/>
  <c r="G87" i="62"/>
  <c r="E142"/>
  <c r="E142" i="69"/>
  <c r="F146" i="62"/>
  <c r="F113"/>
  <c r="F154"/>
  <c r="F121"/>
  <c r="G152"/>
  <c r="G119"/>
  <c r="H27" i="60"/>
  <c r="H28" i="95" s="1"/>
  <c r="H31" i="56"/>
  <c r="H28" i="96" s="1"/>
  <c r="P27" i="60"/>
  <c r="E190" i="62" s="1"/>
  <c r="L31" i="56"/>
  <c r="E194" i="62"/>
  <c r="J42" i="58"/>
  <c r="J43" s="1"/>
  <c r="H42"/>
  <c r="G57" i="62" s="1"/>
  <c r="J44" i="58"/>
  <c r="J45" s="1"/>
  <c r="H44"/>
  <c r="G60" i="62" s="1"/>
  <c r="R12" i="58"/>
  <c r="R13" s="1"/>
  <c r="P12"/>
  <c r="E65" i="62" s="1"/>
  <c r="D77"/>
  <c r="X24" i="58"/>
  <c r="F77" i="62" s="1"/>
  <c r="P26" i="54"/>
  <c r="D80" i="62"/>
  <c r="P29" i="58"/>
  <c r="E82" i="62" s="1"/>
  <c r="L31" i="54"/>
  <c r="P25" i="58"/>
  <c r="E78" i="62" s="1"/>
  <c r="L27" i="54"/>
  <c r="F80" i="62"/>
  <c r="P29" i="54"/>
  <c r="H65" i="58"/>
  <c r="G82" i="62" s="1"/>
  <c r="H61" i="58"/>
  <c r="G78" i="62" s="1"/>
  <c r="H34" i="58"/>
  <c r="D87" i="62" s="1"/>
  <c r="X34" i="58"/>
  <c r="F87" i="62" s="1"/>
  <c r="P36" i="54"/>
  <c r="E132" i="62"/>
  <c r="E132" i="69"/>
  <c r="G132" i="62"/>
  <c r="G132" i="69"/>
  <c r="E139" i="62"/>
  <c r="E139" i="69"/>
  <c r="G139" i="62"/>
  <c r="G139" i="69"/>
  <c r="G142" i="62"/>
  <c r="G142" i="69"/>
  <c r="G143" i="62"/>
  <c r="G143" i="69"/>
  <c r="D154" i="62"/>
  <c r="D121"/>
  <c r="E152"/>
  <c r="E119"/>
  <c r="F149"/>
  <c r="F116"/>
  <c r="H25" i="60"/>
  <c r="H26" i="95" s="1"/>
  <c r="H29" i="56"/>
  <c r="H26" i="96" s="1"/>
  <c r="H29" i="60"/>
  <c r="H33" i="56"/>
  <c r="P25" i="60"/>
  <c r="E188" i="62" s="1"/>
  <c r="L29" i="56"/>
  <c r="P29" i="60"/>
  <c r="E192" i="62" s="1"/>
  <c r="L33" i="56"/>
  <c r="X25" i="60"/>
  <c r="L26" i="95" s="1"/>
  <c r="P29" i="56"/>
  <c r="L26" i="96" s="1"/>
  <c r="X29" i="60"/>
  <c r="P33" i="56"/>
  <c r="H61" i="60"/>
  <c r="H62" i="95" s="1"/>
  <c r="H71" i="56"/>
  <c r="H65" i="60"/>
  <c r="H75" i="56"/>
  <c r="L17"/>
  <c r="H44" i="60"/>
  <c r="X6"/>
  <c r="K6" i="10"/>
  <c r="K7"/>
  <c r="H9" i="46"/>
  <c r="D7" i="62" s="1"/>
  <c r="K10" i="10"/>
  <c r="K18"/>
  <c r="U72"/>
  <c r="W72" s="1"/>
  <c r="O76"/>
  <c r="Q76" s="1"/>
  <c r="AA72"/>
  <c r="AC72" s="1"/>
  <c r="AA77"/>
  <c r="AC77" s="1"/>
  <c r="N72"/>
  <c r="O78"/>
  <c r="Q78" s="1"/>
  <c r="AA78"/>
  <c r="AC78" s="1"/>
  <c r="I85"/>
  <c r="K85" s="1"/>
  <c r="H58" i="46"/>
  <c r="G17" i="62" s="1"/>
  <c r="H60" i="46"/>
  <c r="G19" i="62" s="1"/>
  <c r="X20" i="58"/>
  <c r="F73" i="62" s="1"/>
  <c r="X20" i="46"/>
  <c r="F17" i="62" s="1"/>
  <c r="X21" i="46"/>
  <c r="F18" i="62" s="1"/>
  <c r="X22" i="46"/>
  <c r="F19" i="62" s="1"/>
  <c r="P19" i="58"/>
  <c r="E72" i="62" s="1"/>
  <c r="P20" i="58"/>
  <c r="E73" i="62" s="1"/>
  <c r="T76" i="10"/>
  <c r="T78"/>
  <c r="X18" i="58"/>
  <c r="F71" i="62" s="1"/>
  <c r="P20" i="46"/>
  <c r="E17" i="62" s="1"/>
  <c r="P22" i="46"/>
  <c r="E19" i="62" s="1"/>
  <c r="I45" i="10"/>
  <c r="F127" i="62"/>
  <c r="Z76" i="10"/>
  <c r="N77"/>
  <c r="T77"/>
  <c r="H84"/>
  <c r="I73"/>
  <c r="K73" s="1"/>
  <c r="I72"/>
  <c r="K72" s="1"/>
  <c r="D149" i="62"/>
  <c r="H16" i="95" l="1"/>
  <c r="H16" i="54"/>
  <c r="D69" i="69" s="1"/>
  <c r="F30" i="112"/>
  <c r="I43" i="24"/>
  <c r="K43" s="1"/>
  <c r="H24" i="74" s="1"/>
  <c r="AA24" s="1"/>
  <c r="AM24" s="1"/>
  <c r="H10" i="58"/>
  <c r="D63" i="62" s="1"/>
  <c r="C35" i="101"/>
  <c r="K35" s="1"/>
  <c r="Q35" s="1"/>
  <c r="H38" i="74"/>
  <c r="AA38" s="1"/>
  <c r="AM38" s="1"/>
  <c r="H16" i="56"/>
  <c r="D179" i="69" s="1"/>
  <c r="G38" i="74"/>
  <c r="Z38" s="1"/>
  <c r="AL38" s="1"/>
  <c r="H8" i="58"/>
  <c r="D60" i="62" s="1"/>
  <c r="H19" i="58"/>
  <c r="D72" i="62" s="1"/>
  <c r="H20" i="58"/>
  <c r="D73" i="62" s="1"/>
  <c r="C34" i="101"/>
  <c r="K34" s="1"/>
  <c r="Q34" s="1"/>
  <c r="P34" i="74"/>
  <c r="AF34" s="1"/>
  <c r="AR34" s="1"/>
  <c r="H6" i="58"/>
  <c r="D57" i="62" s="1"/>
  <c r="P35" i="74"/>
  <c r="AF35" s="1"/>
  <c r="AR35" s="1"/>
  <c r="M34"/>
  <c r="AD34" s="1"/>
  <c r="AP34" s="1"/>
  <c r="C41" i="101"/>
  <c r="K41" s="1"/>
  <c r="Q41" s="1"/>
  <c r="C40"/>
  <c r="K40" s="1"/>
  <c r="Q40" s="1"/>
  <c r="C42"/>
  <c r="K42" s="1"/>
  <c r="Q42" s="1"/>
  <c r="H52" i="46"/>
  <c r="G11" i="62" s="1"/>
  <c r="H62" i="56"/>
  <c r="H56" i="96" s="1"/>
  <c r="H61" i="56"/>
  <c r="H55" i="96" s="1"/>
  <c r="P42" i="74"/>
  <c r="AF42" s="1"/>
  <c r="AR42" s="1"/>
  <c r="H60" i="56"/>
  <c r="H54" i="96" s="1"/>
  <c r="P40" i="74"/>
  <c r="AF40" s="1"/>
  <c r="AR40" s="1"/>
  <c r="X12" i="46"/>
  <c r="F9" i="62" s="1"/>
  <c r="L18" i="56"/>
  <c r="E181" i="69" s="1"/>
  <c r="H14" i="46"/>
  <c r="D11" i="62" s="1"/>
  <c r="K12" i="10"/>
  <c r="J18" i="46" s="1"/>
  <c r="H18"/>
  <c r="D15" i="62" s="1"/>
  <c r="I76" i="24"/>
  <c r="J40" i="74"/>
  <c r="AB40" s="1"/>
  <c r="AN40" s="1"/>
  <c r="N10" i="56"/>
  <c r="N11" s="1"/>
  <c r="R10"/>
  <c r="R11" s="1"/>
  <c r="P14" i="46"/>
  <c r="E11" i="62" s="1"/>
  <c r="N40" i="74"/>
  <c r="AE40" s="1"/>
  <c r="AQ40" s="1"/>
  <c r="R18" i="56"/>
  <c r="N19" i="96" s="1"/>
  <c r="M43" i="74"/>
  <c r="AD43" s="1"/>
  <c r="AP43" s="1"/>
  <c r="G26"/>
  <c r="Z26" s="1"/>
  <c r="AL26" s="1"/>
  <c r="J33"/>
  <c r="AB33" s="1"/>
  <c r="AN33" s="1"/>
  <c r="I68" i="24"/>
  <c r="K68" s="1"/>
  <c r="H18" i="56"/>
  <c r="I9" i="24"/>
  <c r="K9" s="1"/>
  <c r="H7" i="74" s="1"/>
  <c r="AA7" s="1"/>
  <c r="AM7" s="1"/>
  <c r="H50" i="46"/>
  <c r="G9" i="62" s="1"/>
  <c r="X14" i="46"/>
  <c r="F11" i="62" s="1"/>
  <c r="K40" i="74"/>
  <c r="AC40" s="1"/>
  <c r="AO40" s="1"/>
  <c r="N18" i="56"/>
  <c r="J32" i="74"/>
  <c r="AB32" s="1"/>
  <c r="AN32" s="1"/>
  <c r="I69" i="24"/>
  <c r="K69" s="1"/>
  <c r="J17" i="96"/>
  <c r="P12" i="46"/>
  <c r="E9" i="62" s="1"/>
  <c r="G7" i="74"/>
  <c r="Z7" s="1"/>
  <c r="AL7" s="1"/>
  <c r="H12" i="96"/>
  <c r="J16" i="95"/>
  <c r="H14"/>
  <c r="J15"/>
  <c r="N12"/>
  <c r="N13" s="1"/>
  <c r="H6"/>
  <c r="J44"/>
  <c r="J45" s="1"/>
  <c r="L20"/>
  <c r="J57"/>
  <c r="H8"/>
  <c r="J42"/>
  <c r="J43" s="1"/>
  <c r="I76" i="10"/>
  <c r="K76" s="1"/>
  <c r="J18" i="60" s="1"/>
  <c r="H19" i="95"/>
  <c r="Z21" i="60"/>
  <c r="L22" i="95"/>
  <c r="J57" i="60"/>
  <c r="H58" i="95"/>
  <c r="J20"/>
  <c r="H12" i="60"/>
  <c r="D175" i="62" s="1"/>
  <c r="H12" i="95"/>
  <c r="H55"/>
  <c r="L19"/>
  <c r="J46"/>
  <c r="J47" s="1"/>
  <c r="J56"/>
  <c r="J48"/>
  <c r="J49" s="1"/>
  <c r="N6"/>
  <c r="N7" s="1"/>
  <c r="N8"/>
  <c r="N9" s="1"/>
  <c r="J16" i="96"/>
  <c r="J14"/>
  <c r="L21" i="95"/>
  <c r="J22"/>
  <c r="H9" i="74"/>
  <c r="AA9" s="1"/>
  <c r="AM9" s="1"/>
  <c r="H8"/>
  <c r="AA8" s="1"/>
  <c r="AM8" s="1"/>
  <c r="N33"/>
  <c r="AE33" s="1"/>
  <c r="AQ33" s="1"/>
  <c r="G42"/>
  <c r="Z42" s="1"/>
  <c r="AL42" s="1"/>
  <c r="Q33"/>
  <c r="AG33" s="1"/>
  <c r="AS33" s="1"/>
  <c r="N32"/>
  <c r="AE32" s="1"/>
  <c r="AQ32" s="1"/>
  <c r="G32"/>
  <c r="Z32" s="1"/>
  <c r="AL32" s="1"/>
  <c r="G35"/>
  <c r="Z35" s="1"/>
  <c r="AL35" s="1"/>
  <c r="G43"/>
  <c r="Z43" s="1"/>
  <c r="AL43" s="1"/>
  <c r="P43"/>
  <c r="AF43" s="1"/>
  <c r="AR43" s="1"/>
  <c r="Q40"/>
  <c r="AG40" s="1"/>
  <c r="AS40" s="1"/>
  <c r="G34"/>
  <c r="Z34" s="1"/>
  <c r="AL34" s="1"/>
  <c r="G33"/>
  <c r="Z33" s="1"/>
  <c r="AL33" s="1"/>
  <c r="Q42"/>
  <c r="AG42" s="1"/>
  <c r="AS42" s="1"/>
  <c r="Q41"/>
  <c r="AG41" s="1"/>
  <c r="AS41" s="1"/>
  <c r="Q32"/>
  <c r="AG32" s="1"/>
  <c r="AS32" s="1"/>
  <c r="G41"/>
  <c r="Z41" s="1"/>
  <c r="AL41" s="1"/>
  <c r="G40"/>
  <c r="Z40" s="1"/>
  <c r="AL40" s="1"/>
  <c r="H20" i="56"/>
  <c r="G6" i="74"/>
  <c r="Z6" s="1"/>
  <c r="AL6" s="1"/>
  <c r="K70" i="24"/>
  <c r="J10" i="56" s="1"/>
  <c r="J11" s="1"/>
  <c r="K78" i="24"/>
  <c r="H8" i="56"/>
  <c r="K71" i="24"/>
  <c r="H12" i="61"/>
  <c r="D9" i="69" s="1"/>
  <c r="G24" i="74"/>
  <c r="Z24" s="1"/>
  <c r="AL24" s="1"/>
  <c r="R22" i="54"/>
  <c r="N22"/>
  <c r="L6" i="56"/>
  <c r="E167" i="69" s="1"/>
  <c r="O69" i="24"/>
  <c r="Q69" s="1"/>
  <c r="N15" i="56"/>
  <c r="E212" i="69" s="1"/>
  <c r="J24" i="61"/>
  <c r="H9"/>
  <c r="I49" i="24"/>
  <c r="K49" s="1"/>
  <c r="I6"/>
  <c r="K6" s="1"/>
  <c r="H14" i="61"/>
  <c r="I45" i="24"/>
  <c r="K45" s="1"/>
  <c r="H22" i="46"/>
  <c r="D19" i="62" s="1"/>
  <c r="I71" i="10"/>
  <c r="K71" s="1"/>
  <c r="H16" i="58"/>
  <c r="D69" i="62" s="1"/>
  <c r="H5" i="74"/>
  <c r="AA5" s="1"/>
  <c r="AM5" s="1"/>
  <c r="P21" i="56"/>
  <c r="L22" i="96" s="1"/>
  <c r="O68" i="24"/>
  <c r="Q68" s="1"/>
  <c r="E188" i="69"/>
  <c r="F87"/>
  <c r="E194"/>
  <c r="G87"/>
  <c r="D82"/>
  <c r="G80"/>
  <c r="F78"/>
  <c r="D78"/>
  <c r="E77"/>
  <c r="D191"/>
  <c r="D84"/>
  <c r="G179"/>
  <c r="F65"/>
  <c r="E74"/>
  <c r="E182"/>
  <c r="G71"/>
  <c r="E71"/>
  <c r="F11"/>
  <c r="G170"/>
  <c r="E60"/>
  <c r="F63"/>
  <c r="D73"/>
  <c r="G82"/>
  <c r="E82"/>
  <c r="G191"/>
  <c r="E79"/>
  <c r="G180"/>
  <c r="D177"/>
  <c r="F74"/>
  <c r="F68"/>
  <c r="F181"/>
  <c r="F60"/>
  <c r="E65"/>
  <c r="G73"/>
  <c r="G67"/>
  <c r="G177"/>
  <c r="E57"/>
  <c r="E73"/>
  <c r="F14"/>
  <c r="F17"/>
  <c r="F5"/>
  <c r="G167"/>
  <c r="F67"/>
  <c r="D72"/>
  <c r="G72"/>
  <c r="F182"/>
  <c r="G192"/>
  <c r="F192"/>
  <c r="E192"/>
  <c r="D192"/>
  <c r="F77"/>
  <c r="E190"/>
  <c r="E189"/>
  <c r="G81"/>
  <c r="F83"/>
  <c r="E84"/>
  <c r="D79"/>
  <c r="G77"/>
  <c r="E187"/>
  <c r="G79"/>
  <c r="F81"/>
  <c r="E83"/>
  <c r="E183"/>
  <c r="E179"/>
  <c r="F69"/>
  <c r="G57"/>
  <c r="E68"/>
  <c r="D178"/>
  <c r="G178"/>
  <c r="E178"/>
  <c r="G74"/>
  <c r="G68"/>
  <c r="G63"/>
  <c r="F19"/>
  <c r="F18"/>
  <c r="F9"/>
  <c r="D67"/>
  <c r="G60"/>
  <c r="L8" i="56"/>
  <c r="D77" i="69"/>
  <c r="F82"/>
  <c r="D180"/>
  <c r="E193"/>
  <c r="F88"/>
  <c r="F79"/>
  <c r="E81"/>
  <c r="D83"/>
  <c r="E87"/>
  <c r="E80"/>
  <c r="E88"/>
  <c r="F73"/>
  <c r="F183"/>
  <c r="F178"/>
  <c r="G65"/>
  <c r="E184"/>
  <c r="F15"/>
  <c r="F167"/>
  <c r="F72"/>
  <c r="G88"/>
  <c r="F84"/>
  <c r="D81"/>
  <c r="F180"/>
  <c r="E180"/>
  <c r="G78"/>
  <c r="F80"/>
  <c r="E78"/>
  <c r="F191"/>
  <c r="E191"/>
  <c r="G83"/>
  <c r="F179"/>
  <c r="F71"/>
  <c r="E63"/>
  <c r="E177"/>
  <c r="E69"/>
  <c r="G69"/>
  <c r="F177"/>
  <c r="D68"/>
  <c r="E67"/>
  <c r="F7"/>
  <c r="F20"/>
  <c r="F13"/>
  <c r="F170"/>
  <c r="F57"/>
  <c r="H60" i="54"/>
  <c r="H18"/>
  <c r="H22"/>
  <c r="H19" i="56"/>
  <c r="H20" i="96" s="1"/>
  <c r="E99" i="62"/>
  <c r="G91"/>
  <c r="F99"/>
  <c r="E94"/>
  <c r="G97"/>
  <c r="G94"/>
  <c r="F97"/>
  <c r="E97"/>
  <c r="G99"/>
  <c r="F94"/>
  <c r="E91"/>
  <c r="F91"/>
  <c r="H57" i="58"/>
  <c r="G74" i="62" s="1"/>
  <c r="H52" i="58"/>
  <c r="G69" i="62" s="1"/>
  <c r="H50" i="58"/>
  <c r="G67" i="62" s="1"/>
  <c r="X16" i="58"/>
  <c r="F69" i="62" s="1"/>
  <c r="X14" i="58"/>
  <c r="F67" i="62" s="1"/>
  <c r="P18" i="58"/>
  <c r="E71" i="62" s="1"/>
  <c r="P15" i="58"/>
  <c r="E68" i="62" s="1"/>
  <c r="H54" i="58"/>
  <c r="G71" i="62" s="1"/>
  <c r="H51" i="58"/>
  <c r="G68" i="62" s="1"/>
  <c r="X21" i="58"/>
  <c r="F74" i="62" s="1"/>
  <c r="X15" i="58"/>
  <c r="F68" i="62" s="1"/>
  <c r="P21" i="58"/>
  <c r="E74" i="62" s="1"/>
  <c r="P16" i="58"/>
  <c r="E69" i="62" s="1"/>
  <c r="P14" i="58"/>
  <c r="E67" i="62" s="1"/>
  <c r="K11" i="10"/>
  <c r="J17" i="46" s="1"/>
  <c r="H57" i="60"/>
  <c r="G184" i="62" s="1"/>
  <c r="G124"/>
  <c r="K78" i="10"/>
  <c r="D125" i="62"/>
  <c r="F123"/>
  <c r="H63" i="56"/>
  <c r="H57" i="96" s="1"/>
  <c r="P21" i="46"/>
  <c r="E18" i="62" s="1"/>
  <c r="H21" i="56"/>
  <c r="H22" i="96" s="1"/>
  <c r="H17" i="46"/>
  <c r="D14" i="62" s="1"/>
  <c r="H18" i="60"/>
  <c r="D181" i="62" s="1"/>
  <c r="P17" i="46"/>
  <c r="E14" i="62" s="1"/>
  <c r="F125"/>
  <c r="D129"/>
  <c r="X21" i="60"/>
  <c r="F184" i="62" s="1"/>
  <c r="X17" i="46"/>
  <c r="F14" i="62" s="1"/>
  <c r="G125"/>
  <c r="E125"/>
  <c r="E124"/>
  <c r="G123"/>
  <c r="E123"/>
  <c r="F124"/>
  <c r="H55" i="46"/>
  <c r="G14" i="62" s="1"/>
  <c r="H21" i="54"/>
  <c r="H61" i="46"/>
  <c r="G20" i="62" s="1"/>
  <c r="H6" i="61"/>
  <c r="P16" i="46"/>
  <c r="E13" i="62" s="1"/>
  <c r="X16" i="46"/>
  <c r="F13" i="62" s="1"/>
  <c r="H54" i="46"/>
  <c r="G13" i="62" s="1"/>
  <c r="P23" i="46"/>
  <c r="E20" i="62" s="1"/>
  <c r="H23" i="46"/>
  <c r="D20" i="62" s="1"/>
  <c r="X23" i="46"/>
  <c r="F20" i="62" s="1"/>
  <c r="H18" i="58"/>
  <c r="D71" i="62" s="1"/>
  <c r="K45" i="10"/>
  <c r="J18" i="58" s="1"/>
  <c r="E39" i="62"/>
  <c r="R10" i="46"/>
  <c r="R11" s="1"/>
  <c r="E40" i="62" s="1"/>
  <c r="F43"/>
  <c r="Z15" i="46"/>
  <c r="E41" i="62"/>
  <c r="R13" i="46"/>
  <c r="E42" i="62" s="1"/>
  <c r="E37"/>
  <c r="R7" i="46"/>
  <c r="R8" s="1"/>
  <c r="E38" i="62" s="1"/>
  <c r="F37"/>
  <c r="Z7" i="46"/>
  <c r="Z8" s="1"/>
  <c r="F38" i="62" s="1"/>
  <c r="F39"/>
  <c r="Z10" i="46"/>
  <c r="Z11" s="1"/>
  <c r="F40" i="62" s="1"/>
  <c r="G37"/>
  <c r="G38"/>
  <c r="G43"/>
  <c r="E43"/>
  <c r="R15" i="46"/>
  <c r="F41" i="62"/>
  <c r="Z13" i="46"/>
  <c r="F42" i="62" s="1"/>
  <c r="G41"/>
  <c r="G42"/>
  <c r="G39"/>
  <c r="G40"/>
  <c r="H12" i="58"/>
  <c r="D65" i="62" s="1"/>
  <c r="D158"/>
  <c r="R19" i="54"/>
  <c r="N19"/>
  <c r="X19" i="58"/>
  <c r="F72" i="62" s="1"/>
  <c r="K37" i="10"/>
  <c r="J20" i="54"/>
  <c r="K43" i="10"/>
  <c r="R18" i="46"/>
  <c r="E47" i="62" s="1"/>
  <c r="J55" i="58"/>
  <c r="P6"/>
  <c r="E57" i="62" s="1"/>
  <c r="D128"/>
  <c r="G15" i="69"/>
  <c r="E11"/>
  <c r="G5"/>
  <c r="D14"/>
  <c r="E20"/>
  <c r="E15"/>
  <c r="G19"/>
  <c r="G17"/>
  <c r="E13"/>
  <c r="E9"/>
  <c r="E5"/>
  <c r="E72"/>
  <c r="G20"/>
  <c r="G18"/>
  <c r="E14"/>
  <c r="E7"/>
  <c r="F153"/>
  <c r="F152"/>
  <c r="F149"/>
  <c r="G13"/>
  <c r="G9"/>
  <c r="D20"/>
  <c r="D18"/>
  <c r="E18"/>
  <c r="F155"/>
  <c r="F154"/>
  <c r="G14"/>
  <c r="G11"/>
  <c r="G7"/>
  <c r="D19"/>
  <c r="D17"/>
  <c r="D13"/>
  <c r="E19"/>
  <c r="E17"/>
  <c r="D193"/>
  <c r="F194"/>
  <c r="D194"/>
  <c r="G188"/>
  <c r="F188"/>
  <c r="D188"/>
  <c r="G189"/>
  <c r="F189"/>
  <c r="D189"/>
  <c r="D190"/>
  <c r="G193"/>
  <c r="F193"/>
  <c r="G187"/>
  <c r="F190"/>
  <c r="D187"/>
  <c r="G194"/>
  <c r="G190"/>
  <c r="F187"/>
  <c r="K15" i="10"/>
  <c r="J21" i="46" s="1"/>
  <c r="D156" i="62"/>
  <c r="J56" i="58"/>
  <c r="H8" i="60"/>
  <c r="D170" i="62" s="1"/>
  <c r="K46" i="10"/>
  <c r="J19" i="58" s="1"/>
  <c r="D106" i="62" s="1"/>
  <c r="G194"/>
  <c r="F194"/>
  <c r="G191"/>
  <c r="G190"/>
  <c r="G192"/>
  <c r="G193"/>
  <c r="G187"/>
  <c r="G188"/>
  <c r="G189"/>
  <c r="F192"/>
  <c r="F193"/>
  <c r="F191"/>
  <c r="F190"/>
  <c r="F187"/>
  <c r="F188"/>
  <c r="F189"/>
  <c r="D191"/>
  <c r="D187"/>
  <c r="D192"/>
  <c r="D190"/>
  <c r="D193"/>
  <c r="D188"/>
  <c r="D189"/>
  <c r="D194"/>
  <c r="G182"/>
  <c r="G170"/>
  <c r="G178"/>
  <c r="G173"/>
  <c r="G177"/>
  <c r="G175"/>
  <c r="G183"/>
  <c r="F175"/>
  <c r="F177"/>
  <c r="F178"/>
  <c r="F173"/>
  <c r="F167"/>
  <c r="D184"/>
  <c r="D178"/>
  <c r="D183"/>
  <c r="D177"/>
  <c r="D179"/>
  <c r="D173"/>
  <c r="D182"/>
  <c r="Z18" i="46"/>
  <c r="F47" i="62" s="1"/>
  <c r="H18" i="61"/>
  <c r="H56" i="46"/>
  <c r="G15" i="62" s="1"/>
  <c r="X19" i="60"/>
  <c r="J56"/>
  <c r="J19"/>
  <c r="H6"/>
  <c r="I68" i="10"/>
  <c r="K68" s="1"/>
  <c r="Z12" i="60"/>
  <c r="Z13" s="1"/>
  <c r="R21"/>
  <c r="Z15"/>
  <c r="J15"/>
  <c r="H54"/>
  <c r="J46"/>
  <c r="J47" s="1"/>
  <c r="R10"/>
  <c r="Z14"/>
  <c r="J51"/>
  <c r="X20"/>
  <c r="P14"/>
  <c r="E177" i="62" s="1"/>
  <c r="R18" i="60"/>
  <c r="E215" i="62" s="1"/>
  <c r="J21" i="60"/>
  <c r="J55"/>
  <c r="R15"/>
  <c r="E212" i="62" s="1"/>
  <c r="J14" i="60"/>
  <c r="J16"/>
  <c r="P19"/>
  <c r="E182" i="62" s="1"/>
  <c r="X18" i="60"/>
  <c r="R20"/>
  <c r="E217" i="62" s="1"/>
  <c r="J50" i="60"/>
  <c r="J48"/>
  <c r="J49" s="1"/>
  <c r="I69" i="10"/>
  <c r="K69" s="1"/>
  <c r="J48" i="56"/>
  <c r="J49" s="1"/>
  <c r="R6"/>
  <c r="R7" s="1"/>
  <c r="R8"/>
  <c r="R9" s="1"/>
  <c r="H52" i="60"/>
  <c r="X16"/>
  <c r="G52" i="62"/>
  <c r="D162"/>
  <c r="G101"/>
  <c r="G158"/>
  <c r="F162"/>
  <c r="F158"/>
  <c r="G157"/>
  <c r="E103"/>
  <c r="G102"/>
  <c r="G156"/>
  <c r="E162"/>
  <c r="D161"/>
  <c r="D102"/>
  <c r="F156"/>
  <c r="F46"/>
  <c r="G47"/>
  <c r="F161"/>
  <c r="E158"/>
  <c r="G108"/>
  <c r="E102"/>
  <c r="G162"/>
  <c r="D157"/>
  <c r="F52"/>
  <c r="F157"/>
  <c r="D107"/>
  <c r="D108"/>
  <c r="G46"/>
  <c r="E157"/>
  <c r="E46"/>
  <c r="E156"/>
  <c r="E108"/>
  <c r="G103"/>
  <c r="D101"/>
  <c r="E101"/>
  <c r="E52"/>
  <c r="G160"/>
  <c r="E160"/>
  <c r="D160"/>
  <c r="G147" i="69"/>
  <c r="P16" i="60"/>
  <c r="E179" i="62" s="1"/>
  <c r="F153"/>
  <c r="D155"/>
  <c r="G153"/>
  <c r="G155"/>
  <c r="E155"/>
  <c r="E153"/>
  <c r="F155"/>
  <c r="D153"/>
  <c r="G127" i="69"/>
  <c r="E161"/>
  <c r="F127"/>
  <c r="G161"/>
  <c r="J62" i="61"/>
  <c r="J60"/>
  <c r="J57"/>
  <c r="J54"/>
  <c r="J49"/>
  <c r="J22"/>
  <c r="J20"/>
  <c r="J17"/>
  <c r="R17"/>
  <c r="R9"/>
  <c r="N23"/>
  <c r="N21"/>
  <c r="N18"/>
  <c r="N16"/>
  <c r="N12"/>
  <c r="N6"/>
  <c r="R23"/>
  <c r="R20"/>
  <c r="R16"/>
  <c r="R6"/>
  <c r="J63"/>
  <c r="J61"/>
  <c r="J58"/>
  <c r="J56"/>
  <c r="J52"/>
  <c r="J46"/>
  <c r="J23"/>
  <c r="J21"/>
  <c r="J18"/>
  <c r="J16"/>
  <c r="J12"/>
  <c r="R22"/>
  <c r="R14"/>
  <c r="N22"/>
  <c r="N20"/>
  <c r="N17"/>
  <c r="N14"/>
  <c r="N9"/>
  <c r="R21"/>
  <c r="R18"/>
  <c r="R12"/>
  <c r="R21" i="46"/>
  <c r="E127" i="62"/>
  <c r="F129"/>
  <c r="F128"/>
  <c r="G128"/>
  <c r="G127"/>
  <c r="E129"/>
  <c r="G129"/>
  <c r="G98"/>
  <c r="G100"/>
  <c r="E100"/>
  <c r="E98"/>
  <c r="F98"/>
  <c r="F100"/>
  <c r="D149" i="69"/>
  <c r="D154"/>
  <c r="E149"/>
  <c r="G149"/>
  <c r="E152"/>
  <c r="E154"/>
  <c r="J14" i="56"/>
  <c r="N20"/>
  <c r="R16"/>
  <c r="E160" i="69"/>
  <c r="R20" i="54"/>
  <c r="R15"/>
  <c r="R12"/>
  <c r="R13" s="1"/>
  <c r="J62" i="56"/>
  <c r="J56" i="96" s="1"/>
  <c r="J21" i="54"/>
  <c r="D157" i="69"/>
  <c r="R6" i="54"/>
  <c r="N19" i="56"/>
  <c r="D160" i="69"/>
  <c r="J54" i="54"/>
  <c r="R10"/>
  <c r="R11" s="1"/>
  <c r="E158" i="69"/>
  <c r="J15" i="54"/>
  <c r="J61" i="56"/>
  <c r="J55" i="96" s="1"/>
  <c r="D162" i="69"/>
  <c r="N18" i="54"/>
  <c r="L12" i="56"/>
  <c r="J50"/>
  <c r="J51" s="1"/>
  <c r="H52"/>
  <c r="H45" i="96" s="1"/>
  <c r="R19" i="56"/>
  <c r="N20" i="96" s="1"/>
  <c r="J58" i="56"/>
  <c r="N16"/>
  <c r="G162" i="69"/>
  <c r="G158"/>
  <c r="E156"/>
  <c r="R21" i="54"/>
  <c r="R16"/>
  <c r="R14"/>
  <c r="N10"/>
  <c r="N11" s="1"/>
  <c r="J60" i="56"/>
  <c r="J54" i="96" s="1"/>
  <c r="N14" i="56"/>
  <c r="F161" i="69"/>
  <c r="J14" i="54"/>
  <c r="R20" i="56"/>
  <c r="N21" i="96" s="1"/>
  <c r="F156" i="69"/>
  <c r="E157"/>
  <c r="N21" i="54"/>
  <c r="N16"/>
  <c r="N12"/>
  <c r="N13" s="1"/>
  <c r="J57" i="56"/>
  <c r="F162" i="69"/>
  <c r="F158"/>
  <c r="D158"/>
  <c r="J58" i="54"/>
  <c r="J56"/>
  <c r="J53"/>
  <c r="J50"/>
  <c r="J51" s="1"/>
  <c r="N8"/>
  <c r="R14" i="56"/>
  <c r="G160" i="69"/>
  <c r="E162"/>
  <c r="J48" i="54"/>
  <c r="J49" s="1"/>
  <c r="N21" i="56"/>
  <c r="N20" i="54"/>
  <c r="N14"/>
  <c r="D152" i="69"/>
  <c r="L10" i="56"/>
  <c r="D156" i="69"/>
  <c r="D161"/>
  <c r="R18" i="54"/>
  <c r="J44"/>
  <c r="F157" i="69"/>
  <c r="R8" i="54"/>
  <c r="N15"/>
  <c r="J15" i="56"/>
  <c r="R15"/>
  <c r="G157" i="69"/>
  <c r="J59" i="54"/>
  <c r="J52"/>
  <c r="J56" i="56"/>
  <c r="N6" i="54"/>
  <c r="F160" i="69"/>
  <c r="J46" i="54"/>
  <c r="H54" i="56"/>
  <c r="H47" i="96" s="1"/>
  <c r="P10" i="56"/>
  <c r="L10" i="96" s="1"/>
  <c r="P12" i="56"/>
  <c r="L12" i="96" s="1"/>
  <c r="P8" i="60"/>
  <c r="E170" i="62" s="1"/>
  <c r="H42" i="60"/>
  <c r="X8"/>
  <c r="Z14" i="58"/>
  <c r="Z19"/>
  <c r="Z21"/>
  <c r="Z16"/>
  <c r="R18"/>
  <c r="J54"/>
  <c r="Z15"/>
  <c r="Z8" i="60"/>
  <c r="Z9" s="1"/>
  <c r="J44"/>
  <c r="J45" s="1"/>
  <c r="H12" i="46"/>
  <c r="D9" i="62" s="1"/>
  <c r="K8" i="10"/>
  <c r="J12" i="46" s="1"/>
  <c r="H6"/>
  <c r="D5" i="62" s="1"/>
  <c r="J22" i="46"/>
  <c r="J6"/>
  <c r="J59"/>
  <c r="Z22"/>
  <c r="R20"/>
  <c r="Z20"/>
  <c r="J14"/>
  <c r="R22"/>
  <c r="Z21"/>
  <c r="J58"/>
  <c r="J60"/>
  <c r="J16"/>
  <c r="D45" i="62" s="1"/>
  <c r="J9" i="46"/>
  <c r="J23"/>
  <c r="K14" i="10"/>
  <c r="H20" i="46"/>
  <c r="D17" i="62" s="1"/>
  <c r="U77" i="10"/>
  <c r="W77" s="1"/>
  <c r="I84"/>
  <c r="K84" s="1"/>
  <c r="U76"/>
  <c r="W76" s="1"/>
  <c r="AA76"/>
  <c r="AC76" s="1"/>
  <c r="U78"/>
  <c r="W78" s="1"/>
  <c r="O77"/>
  <c r="Q77" s="1"/>
  <c r="O72"/>
  <c r="Q72" s="1"/>
  <c r="I70"/>
  <c r="K70" s="1"/>
  <c r="R19" i="58"/>
  <c r="R20"/>
  <c r="J10"/>
  <c r="J11" s="1"/>
  <c r="J8"/>
  <c r="J9" s="1"/>
  <c r="J16" i="56" l="1"/>
  <c r="D213" i="69" s="1"/>
  <c r="G182"/>
  <c r="G183"/>
  <c r="J16" i="58"/>
  <c r="D103" i="62" s="1"/>
  <c r="G181" i="69"/>
  <c r="R11" i="60"/>
  <c r="E208" i="62" s="1"/>
  <c r="N8" i="96"/>
  <c r="N9"/>
  <c r="J43"/>
  <c r="J44"/>
  <c r="N6"/>
  <c r="N7"/>
  <c r="J41"/>
  <c r="J42"/>
  <c r="J16" i="54"/>
  <c r="D103" i="69" s="1"/>
  <c r="J12" i="56"/>
  <c r="J13" s="1"/>
  <c r="D175" i="69"/>
  <c r="J20" i="56"/>
  <c r="J21" i="96" s="1"/>
  <c r="N19" i="95"/>
  <c r="D183" i="69"/>
  <c r="H21" i="96"/>
  <c r="N22" i="95"/>
  <c r="N20"/>
  <c r="J14"/>
  <c r="J21"/>
  <c r="D167" i="69"/>
  <c r="H6" i="96"/>
  <c r="D181" i="69"/>
  <c r="H19" i="96"/>
  <c r="J58" i="95"/>
  <c r="J8"/>
  <c r="J9" s="1"/>
  <c r="J6"/>
  <c r="J7" s="1"/>
  <c r="D170" i="69"/>
  <c r="H8" i="96"/>
  <c r="N21" i="95"/>
  <c r="J10"/>
  <c r="J11" s="1"/>
  <c r="J55"/>
  <c r="N10"/>
  <c r="N11" s="1"/>
  <c r="J12"/>
  <c r="J13" s="1"/>
  <c r="D173" i="69"/>
  <c r="H10" i="96"/>
  <c r="J19" i="95"/>
  <c r="K34" i="74"/>
  <c r="AC34" s="1"/>
  <c r="AO34" s="1"/>
  <c r="N34"/>
  <c r="AE34" s="1"/>
  <c r="AQ34" s="1"/>
  <c r="J11" i="96"/>
  <c r="K35" i="74"/>
  <c r="AC35" s="1"/>
  <c r="AO35" s="1"/>
  <c r="K32"/>
  <c r="AC32" s="1"/>
  <c r="AO32" s="1"/>
  <c r="K33"/>
  <c r="AC33" s="1"/>
  <c r="AO33" s="1"/>
  <c r="H42"/>
  <c r="AA42" s="1"/>
  <c r="AM42" s="1"/>
  <c r="Q34"/>
  <c r="AG34" s="1"/>
  <c r="AS34" s="1"/>
  <c r="N35"/>
  <c r="AE35" s="1"/>
  <c r="AQ35" s="1"/>
  <c r="Q35"/>
  <c r="AG35" s="1"/>
  <c r="AS35" s="1"/>
  <c r="J8" i="56"/>
  <c r="J9" s="1"/>
  <c r="H35" i="74"/>
  <c r="AA35" s="1"/>
  <c r="AM35" s="1"/>
  <c r="K76" i="24"/>
  <c r="K77"/>
  <c r="J19" i="56" s="1"/>
  <c r="J20" i="96" s="1"/>
  <c r="H33" i="74"/>
  <c r="AA33" s="1"/>
  <c r="AM33" s="1"/>
  <c r="H34"/>
  <c r="AA34" s="1"/>
  <c r="AM34" s="1"/>
  <c r="H32"/>
  <c r="AA32" s="1"/>
  <c r="AM32" s="1"/>
  <c r="H43"/>
  <c r="AA43" s="1"/>
  <c r="AM43" s="1"/>
  <c r="H4"/>
  <c r="AA4" s="1"/>
  <c r="AM4" s="1"/>
  <c r="J63" i="56"/>
  <c r="Q43" i="74"/>
  <c r="AG43" s="1"/>
  <c r="AS43" s="1"/>
  <c r="H26"/>
  <c r="AA26" s="1"/>
  <c r="AM26" s="1"/>
  <c r="N43"/>
  <c r="AE43" s="1"/>
  <c r="AQ43" s="1"/>
  <c r="R21" i="56"/>
  <c r="N8"/>
  <c r="N9" s="1"/>
  <c r="J60" i="54"/>
  <c r="N6" i="56"/>
  <c r="N7" s="1"/>
  <c r="D7" i="69"/>
  <c r="D11"/>
  <c r="J14" i="61"/>
  <c r="J22" i="54"/>
  <c r="J6" i="61"/>
  <c r="J9"/>
  <c r="J18" i="54"/>
  <c r="D105" i="69" s="1"/>
  <c r="F184"/>
  <c r="J12" i="60"/>
  <c r="G211" i="69"/>
  <c r="F215"/>
  <c r="E173"/>
  <c r="E108"/>
  <c r="G213"/>
  <c r="G216"/>
  <c r="F213"/>
  <c r="F173"/>
  <c r="E218"/>
  <c r="G105"/>
  <c r="E175"/>
  <c r="F102"/>
  <c r="F51"/>
  <c r="R7" i="61"/>
  <c r="R8" s="1"/>
  <c r="F49" i="69"/>
  <c r="R10" i="61"/>
  <c r="R11" s="1"/>
  <c r="D74" i="69"/>
  <c r="D184"/>
  <c r="D182"/>
  <c r="E170"/>
  <c r="G101"/>
  <c r="G212"/>
  <c r="E103"/>
  <c r="D101"/>
  <c r="E213"/>
  <c r="F216"/>
  <c r="D102"/>
  <c r="E216"/>
  <c r="E217"/>
  <c r="D107"/>
  <c r="F106"/>
  <c r="G108"/>
  <c r="F105"/>
  <c r="F217"/>
  <c r="R7" i="54"/>
  <c r="D211" i="69"/>
  <c r="F175"/>
  <c r="F212"/>
  <c r="E102"/>
  <c r="E101"/>
  <c r="G215"/>
  <c r="F103"/>
  <c r="G103"/>
  <c r="G217"/>
  <c r="F47"/>
  <c r="G175"/>
  <c r="D212"/>
  <c r="R9" i="54"/>
  <c r="E107" i="69"/>
  <c r="F211"/>
  <c r="G102"/>
  <c r="G107"/>
  <c r="E211"/>
  <c r="F101"/>
  <c r="F108"/>
  <c r="G173"/>
  <c r="E105"/>
  <c r="E215"/>
  <c r="D108"/>
  <c r="F107"/>
  <c r="R13" i="61"/>
  <c r="F50" i="69"/>
  <c r="R15" i="61"/>
  <c r="F45" i="69"/>
  <c r="F52"/>
  <c r="F46"/>
  <c r="E106"/>
  <c r="G184"/>
  <c r="D71"/>
  <c r="G201"/>
  <c r="G204"/>
  <c r="F204"/>
  <c r="F201"/>
  <c r="J20" i="60"/>
  <c r="D217" i="62" s="1"/>
  <c r="G94" i="69"/>
  <c r="J47" i="54"/>
  <c r="E91" i="69"/>
  <c r="N7" i="54"/>
  <c r="G99" i="69"/>
  <c r="G91"/>
  <c r="J45" i="54"/>
  <c r="G97" i="69"/>
  <c r="E94"/>
  <c r="N9" i="54"/>
  <c r="J6" i="58"/>
  <c r="J7" s="1"/>
  <c r="D94" i="62"/>
  <c r="D95"/>
  <c r="D97"/>
  <c r="G152" i="69"/>
  <c r="G154"/>
  <c r="D5"/>
  <c r="E43"/>
  <c r="N15" i="61"/>
  <c r="D41" i="69"/>
  <c r="J13" i="61"/>
  <c r="G41" i="69"/>
  <c r="J53" i="61"/>
  <c r="E41" i="69"/>
  <c r="N13" i="61"/>
  <c r="G39" i="69"/>
  <c r="J50" i="61"/>
  <c r="J51" s="1"/>
  <c r="E39" i="69"/>
  <c r="N10" i="61"/>
  <c r="N11" s="1"/>
  <c r="G37" i="69"/>
  <c r="J47" i="61"/>
  <c r="J48" s="1"/>
  <c r="E37" i="69"/>
  <c r="N7" i="61"/>
  <c r="N8" s="1"/>
  <c r="G43" i="69"/>
  <c r="J55" i="61"/>
  <c r="D39" i="62"/>
  <c r="J10" i="46"/>
  <c r="J11" s="1"/>
  <c r="D40" i="62" s="1"/>
  <c r="D37"/>
  <c r="J7" i="46"/>
  <c r="J8" s="1"/>
  <c r="D38" i="62" s="1"/>
  <c r="D43"/>
  <c r="J15" i="46"/>
  <c r="D44" i="62" s="1"/>
  <c r="D41"/>
  <c r="J13" i="46"/>
  <c r="D42" i="62" s="1"/>
  <c r="E97" i="69"/>
  <c r="E99"/>
  <c r="J19" i="54"/>
  <c r="D218" i="62"/>
  <c r="J57" i="54"/>
  <c r="E46" i="69"/>
  <c r="G50"/>
  <c r="F37"/>
  <c r="E50"/>
  <c r="D46"/>
  <c r="D51"/>
  <c r="G49"/>
  <c r="F91"/>
  <c r="F41"/>
  <c r="E49"/>
  <c r="F43"/>
  <c r="D47"/>
  <c r="D52"/>
  <c r="G47"/>
  <c r="G52"/>
  <c r="E47"/>
  <c r="E52"/>
  <c r="D49"/>
  <c r="G46"/>
  <c r="G51"/>
  <c r="F97"/>
  <c r="E51"/>
  <c r="D45"/>
  <c r="D50"/>
  <c r="G45"/>
  <c r="E45"/>
  <c r="F39"/>
  <c r="E147"/>
  <c r="F151"/>
  <c r="F150"/>
  <c r="F94"/>
  <c r="F99"/>
  <c r="F146"/>
  <c r="D147"/>
  <c r="D15"/>
  <c r="E207" i="62"/>
  <c r="G212"/>
  <c r="G211"/>
  <c r="G210"/>
  <c r="G209"/>
  <c r="G207"/>
  <c r="G181"/>
  <c r="G216"/>
  <c r="G179"/>
  <c r="G167"/>
  <c r="F211"/>
  <c r="F179"/>
  <c r="F212"/>
  <c r="F170"/>
  <c r="F181"/>
  <c r="F218"/>
  <c r="F183"/>
  <c r="F182"/>
  <c r="F204"/>
  <c r="F209"/>
  <c r="E218"/>
  <c r="D215"/>
  <c r="D167"/>
  <c r="D211"/>
  <c r="D212"/>
  <c r="D213"/>
  <c r="D216"/>
  <c r="G218"/>
  <c r="J10" i="60"/>
  <c r="J11" s="1"/>
  <c r="J8"/>
  <c r="J9" s="1"/>
  <c r="Z16"/>
  <c r="J52"/>
  <c r="J6"/>
  <c r="J7" s="1"/>
  <c r="R14"/>
  <c r="E211" i="62" s="1"/>
  <c r="Z18" i="60"/>
  <c r="G217" i="62"/>
  <c r="Z20" i="60"/>
  <c r="R19"/>
  <c r="Z19"/>
  <c r="J54"/>
  <c r="R16"/>
  <c r="J6" i="56"/>
  <c r="J7" s="1"/>
  <c r="D105" i="62"/>
  <c r="F160"/>
  <c r="G204"/>
  <c r="F106"/>
  <c r="E44"/>
  <c r="D99"/>
  <c r="E105"/>
  <c r="E93"/>
  <c r="E92"/>
  <c r="E50"/>
  <c r="E106"/>
  <c r="D47"/>
  <c r="D46"/>
  <c r="G50"/>
  <c r="G106"/>
  <c r="G107"/>
  <c r="F50"/>
  <c r="D51"/>
  <c r="F102"/>
  <c r="F103"/>
  <c r="F44"/>
  <c r="F108"/>
  <c r="F93"/>
  <c r="F92"/>
  <c r="F96"/>
  <c r="F95"/>
  <c r="G93"/>
  <c r="G92"/>
  <c r="G44"/>
  <c r="D50"/>
  <c r="E107"/>
  <c r="E161"/>
  <c r="D52"/>
  <c r="G51"/>
  <c r="E51"/>
  <c r="F51"/>
  <c r="G105"/>
  <c r="G161"/>
  <c r="F101"/>
  <c r="E96"/>
  <c r="E95"/>
  <c r="G96"/>
  <c r="G95"/>
  <c r="G150" i="69"/>
  <c r="G148"/>
  <c r="G151" i="62"/>
  <c r="G150"/>
  <c r="G148"/>
  <c r="G147"/>
  <c r="F151"/>
  <c r="F150"/>
  <c r="F148"/>
  <c r="F147"/>
  <c r="E148"/>
  <c r="E147"/>
  <c r="E151"/>
  <c r="E150"/>
  <c r="D151"/>
  <c r="D150"/>
  <c r="D148"/>
  <c r="D147"/>
  <c r="E49"/>
  <c r="G49"/>
  <c r="F49"/>
  <c r="D100"/>
  <c r="D98"/>
  <c r="N12" i="56"/>
  <c r="N13" s="1"/>
  <c r="J54"/>
  <c r="J55" s="1"/>
  <c r="R12"/>
  <c r="R13" s="1"/>
  <c r="J52"/>
  <c r="J53" s="1"/>
  <c r="J42" i="60"/>
  <c r="J43" s="1"/>
  <c r="Z10"/>
  <c r="Z11" s="1"/>
  <c r="R12"/>
  <c r="R13" s="1"/>
  <c r="R8"/>
  <c r="R9" s="1"/>
  <c r="Z18" i="58"/>
  <c r="Z6" i="60"/>
  <c r="Z7" s="1"/>
  <c r="Z20" i="58"/>
  <c r="J20" i="46"/>
  <c r="D92" i="62" l="1"/>
  <c r="J13" i="60"/>
  <c r="D210" i="62" s="1"/>
  <c r="E204"/>
  <c r="E205"/>
  <c r="J6" i="96"/>
  <c r="J7"/>
  <c r="D217" i="69"/>
  <c r="J12" i="96"/>
  <c r="J18" i="56"/>
  <c r="J45" i="96"/>
  <c r="J46"/>
  <c r="N12"/>
  <c r="N13"/>
  <c r="J47"/>
  <c r="J48"/>
  <c r="N10"/>
  <c r="N11"/>
  <c r="D209" i="69"/>
  <c r="J13" i="96"/>
  <c r="G218" i="69"/>
  <c r="J57" i="96"/>
  <c r="D207" i="69"/>
  <c r="J10" i="96"/>
  <c r="D204" i="69"/>
  <c r="J8" i="96"/>
  <c r="F218" i="69"/>
  <c r="N22" i="96"/>
  <c r="H41" i="74"/>
  <c r="AA41" s="1"/>
  <c r="AM41" s="1"/>
  <c r="E204" i="69"/>
  <c r="H40" i="74"/>
  <c r="AA40" s="1"/>
  <c r="AM40" s="1"/>
  <c r="J21" i="56"/>
  <c r="D37" i="69"/>
  <c r="D43"/>
  <c r="E201"/>
  <c r="J15" i="61"/>
  <c r="D44" i="69" s="1"/>
  <c r="D39"/>
  <c r="J10" i="61"/>
  <c r="J11" s="1"/>
  <c r="J7"/>
  <c r="J8" s="1"/>
  <c r="D209" i="62"/>
  <c r="F205" i="69"/>
  <c r="G98"/>
  <c r="F44"/>
  <c r="E100"/>
  <c r="E98"/>
  <c r="F40"/>
  <c r="G95"/>
  <c r="E95"/>
  <c r="F202"/>
  <c r="G92"/>
  <c r="D106"/>
  <c r="E92"/>
  <c r="D216"/>
  <c r="D208"/>
  <c r="G202"/>
  <c r="F98"/>
  <c r="G100"/>
  <c r="F42"/>
  <c r="G106"/>
  <c r="G205"/>
  <c r="F100"/>
  <c r="F38"/>
  <c r="D91" i="62"/>
  <c r="D201" i="69"/>
  <c r="F209"/>
  <c r="G209"/>
  <c r="F207"/>
  <c r="G207"/>
  <c r="G153"/>
  <c r="G155"/>
  <c r="E148"/>
  <c r="G40"/>
  <c r="E42"/>
  <c r="D153"/>
  <c r="F148"/>
  <c r="F147"/>
  <c r="F96"/>
  <c r="F95"/>
  <c r="E203"/>
  <c r="E202"/>
  <c r="F93"/>
  <c r="F92"/>
  <c r="D148"/>
  <c r="D155"/>
  <c r="G42"/>
  <c r="E44"/>
  <c r="E153"/>
  <c r="E206"/>
  <c r="E205"/>
  <c r="E207"/>
  <c r="E209"/>
  <c r="E155"/>
  <c r="G38"/>
  <c r="D150"/>
  <c r="D42"/>
  <c r="E150"/>
  <c r="G44"/>
  <c r="E38"/>
  <c r="E40"/>
  <c r="G208" i="62"/>
  <c r="G205"/>
  <c r="G215"/>
  <c r="F215"/>
  <c r="F201"/>
  <c r="F205"/>
  <c r="F216"/>
  <c r="F217"/>
  <c r="F210"/>
  <c r="E216"/>
  <c r="D207"/>
  <c r="F203" i="69"/>
  <c r="G203"/>
  <c r="G206"/>
  <c r="D206"/>
  <c r="F206"/>
  <c r="G213" i="62"/>
  <c r="D204"/>
  <c r="D201"/>
  <c r="E213"/>
  <c r="F213"/>
  <c r="E96" i="69"/>
  <c r="G93"/>
  <c r="G96"/>
  <c r="E93"/>
  <c r="F105" i="62"/>
  <c r="E210"/>
  <c r="E209"/>
  <c r="F207"/>
  <c r="F107"/>
  <c r="G201"/>
  <c r="G151" i="69"/>
  <c r="D49" i="62"/>
  <c r="D96"/>
  <c r="D93"/>
  <c r="D210" i="69" l="1"/>
  <c r="D218"/>
  <c r="J22" i="96"/>
  <c r="D215" i="69"/>
  <c r="J19" i="96"/>
  <c r="D205" i="69"/>
  <c r="J9" i="96"/>
  <c r="D38" i="69"/>
  <c r="D40"/>
  <c r="E208"/>
  <c r="D202"/>
  <c r="G210"/>
  <c r="F208"/>
  <c r="G208"/>
  <c r="F210"/>
  <c r="E210"/>
  <c r="D151"/>
  <c r="E151"/>
  <c r="G206" i="62"/>
  <c r="G202"/>
  <c r="F208"/>
  <c r="F202"/>
  <c r="F206"/>
  <c r="D203"/>
  <c r="D208"/>
  <c r="D202"/>
  <c r="D203" i="69"/>
  <c r="D205" i="62"/>
  <c r="E206"/>
  <c r="G203" l="1"/>
  <c r="F203"/>
  <c r="D206"/>
  <c r="H75" i="46" l="1"/>
  <c r="G34" i="62" s="1"/>
  <c r="Z32" i="24"/>
  <c r="N31"/>
  <c r="P36" i="46"/>
  <c r="E33" i="62" s="1"/>
  <c r="H37" i="46"/>
  <c r="D34" i="62" s="1"/>
  <c r="H32" i="24"/>
  <c r="AL32"/>
  <c r="X75" i="46"/>
  <c r="I34" i="62" s="1"/>
  <c r="AF31" i="24"/>
  <c r="H31"/>
  <c r="N32"/>
  <c r="L39" i="61"/>
  <c r="H33" i="62"/>
  <c r="H38" i="61"/>
  <c r="H74" i="46"/>
  <c r="G33" i="62" s="1"/>
  <c r="Z31" i="24"/>
  <c r="P39" i="61"/>
  <c r="T32" i="24"/>
  <c r="X37" i="46"/>
  <c r="F34" i="62" s="1"/>
  <c r="X74" i="46"/>
  <c r="I33" i="62" s="1"/>
  <c r="AL31" i="24"/>
  <c r="L38" i="61"/>
  <c r="L79"/>
  <c r="AF32" i="24"/>
  <c r="H34" i="62"/>
  <c r="P38" i="61"/>
  <c r="X36" i="46"/>
  <c r="F33" i="62" s="1"/>
  <c r="T31" i="24"/>
  <c r="P37" i="46"/>
  <c r="E34" i="62" s="1"/>
  <c r="H36" i="46"/>
  <c r="D33" i="62" s="1"/>
  <c r="H79" i="61"/>
  <c r="H39"/>
  <c r="P79"/>
  <c r="V16" i="74" l="1"/>
  <c r="AJ16" s="1"/>
  <c r="AV16" s="1"/>
  <c r="C16" i="104"/>
  <c r="O16" s="1"/>
  <c r="Q16" s="1"/>
  <c r="V17" i="74"/>
  <c r="AJ17" s="1"/>
  <c r="AV17" s="1"/>
  <c r="C17" i="104"/>
  <c r="O17" s="1"/>
  <c r="Q17" s="1"/>
  <c r="P16" i="74"/>
  <c r="AF16" s="1"/>
  <c r="AR16" s="1"/>
  <c r="C16" i="101"/>
  <c r="K16" s="1"/>
  <c r="Q16" s="1"/>
  <c r="S16" i="74"/>
  <c r="AH16" s="1"/>
  <c r="AT16" s="1"/>
  <c r="C16" i="102"/>
  <c r="M16" s="1"/>
  <c r="Q16" s="1"/>
  <c r="M17" i="74"/>
  <c r="AD17" s="1"/>
  <c r="AP17" s="1"/>
  <c r="J17"/>
  <c r="AB17" s="1"/>
  <c r="AN17" s="1"/>
  <c r="J16"/>
  <c r="AB16" s="1"/>
  <c r="AN16" s="1"/>
  <c r="M16"/>
  <c r="AD16" s="1"/>
  <c r="AP16" s="1"/>
  <c r="S17"/>
  <c r="AH17" s="1"/>
  <c r="AT17" s="1"/>
  <c r="C17" i="102"/>
  <c r="M17" s="1"/>
  <c r="Q17" s="1"/>
  <c r="G16" i="74"/>
  <c r="Z16" s="1"/>
  <c r="AL16" s="1"/>
  <c r="G17"/>
  <c r="Z17" s="1"/>
  <c r="AL17" s="1"/>
  <c r="P17"/>
  <c r="AF17" s="1"/>
  <c r="AR17" s="1"/>
  <c r="C17" i="101"/>
  <c r="K17" s="1"/>
  <c r="Q17" s="1"/>
  <c r="H34" i="69"/>
  <c r="I33"/>
  <c r="I34"/>
  <c r="F33"/>
  <c r="E33"/>
  <c r="G33"/>
  <c r="E34"/>
  <c r="D34"/>
  <c r="G34"/>
  <c r="F34"/>
  <c r="D33"/>
  <c r="H33"/>
  <c r="T105" i="24"/>
  <c r="R44" i="74"/>
  <c r="N105" i="24"/>
  <c r="H106"/>
  <c r="AL105"/>
  <c r="T44" i="74" s="1"/>
  <c r="AI44" s="1"/>
  <c r="AU44" s="1"/>
  <c r="H105" i="24"/>
  <c r="AF106"/>
  <c r="Q45" i="74" s="1"/>
  <c r="AG45" s="1"/>
  <c r="AS45" s="1"/>
  <c r="N106" i="24"/>
  <c r="V44" i="74" l="1"/>
  <c r="AJ44" s="1"/>
  <c r="AV44" s="1"/>
  <c r="C44" i="104"/>
  <c r="O44" s="1"/>
  <c r="Q44" s="1"/>
  <c r="V45" i="74"/>
  <c r="AJ45" s="1"/>
  <c r="AV45" s="1"/>
  <c r="C45" i="104"/>
  <c r="O45" s="1"/>
  <c r="Q45" s="1"/>
  <c r="J44" i="74"/>
  <c r="AB44" s="1"/>
  <c r="AN44" s="1"/>
  <c r="G44"/>
  <c r="Z44" s="1"/>
  <c r="AL44" s="1"/>
  <c r="P44"/>
  <c r="AF44" s="1"/>
  <c r="AR44" s="1"/>
  <c r="C44" i="101"/>
  <c r="K44" s="1"/>
  <c r="Q44" s="1"/>
  <c r="S45" i="74"/>
  <c r="AH45" s="1"/>
  <c r="AT45" s="1"/>
  <c r="C45" i="102"/>
  <c r="M45" s="1"/>
  <c r="Q45" s="1"/>
  <c r="P45" i="74"/>
  <c r="AF45" s="1"/>
  <c r="AR45" s="1"/>
  <c r="C45" i="101"/>
  <c r="K45" s="1"/>
  <c r="Q45" s="1"/>
  <c r="M44" i="74"/>
  <c r="AD44" s="1"/>
  <c r="AP44" s="1"/>
  <c r="M45"/>
  <c r="AD45" s="1"/>
  <c r="AP45" s="1"/>
  <c r="J45"/>
  <c r="AB45" s="1"/>
  <c r="AN45" s="1"/>
  <c r="G45"/>
  <c r="Z45" s="1"/>
  <c r="AL45" s="1"/>
  <c r="S44"/>
  <c r="AH44" s="1"/>
  <c r="AT44" s="1"/>
  <c r="C44" i="102"/>
  <c r="M44" s="1"/>
  <c r="Q44" s="1"/>
  <c r="H82" i="56"/>
  <c r="G197" i="69" s="1"/>
  <c r="P71" i="60"/>
  <c r="H198" i="62" s="1"/>
  <c r="H71" i="60"/>
  <c r="G198" i="62" s="1"/>
  <c r="X34" i="60"/>
  <c r="F197" i="62" s="1"/>
  <c r="P35" i="60"/>
  <c r="E198" i="62" s="1"/>
  <c r="P70" i="60"/>
  <c r="H197" i="62" s="1"/>
  <c r="P83" i="56"/>
  <c r="X70" i="60"/>
  <c r="I197" i="62" s="1"/>
  <c r="P34" i="60"/>
  <c r="E197" i="62" s="1"/>
  <c r="H41" i="56"/>
  <c r="D198" i="69" s="1"/>
  <c r="H40" i="56"/>
  <c r="D197" i="69" s="1"/>
  <c r="H34" i="60"/>
  <c r="D197" i="62" s="1"/>
  <c r="H35" i="60"/>
  <c r="D198" i="62" s="1"/>
  <c r="H70" i="60"/>
  <c r="G197" i="62" s="1"/>
  <c r="P82" i="56"/>
  <c r="L82"/>
  <c r="H83"/>
  <c r="X71" i="60"/>
  <c r="I198" i="62" s="1"/>
  <c r="L41" i="56"/>
  <c r="X35" i="60"/>
  <c r="F198" i="62" s="1"/>
  <c r="L83" i="56"/>
  <c r="P40"/>
  <c r="L40"/>
  <c r="F198" i="69" l="1"/>
  <c r="I198"/>
  <c r="I197"/>
  <c r="H197"/>
  <c r="G198"/>
  <c r="E198"/>
  <c r="E197"/>
  <c r="H198"/>
  <c r="F197"/>
  <c r="P17" i="58" l="1"/>
  <c r="E70" i="62" s="1"/>
  <c r="H17" i="58"/>
  <c r="D70" i="62" s="1"/>
  <c r="X17" i="58"/>
  <c r="F70" i="62" s="1"/>
  <c r="H70"/>
  <c r="H53" i="58"/>
  <c r="G70" i="62" s="1"/>
  <c r="I70" i="69"/>
  <c r="H55" i="54"/>
  <c r="G70" i="69" s="1"/>
  <c r="P17" i="54"/>
  <c r="F70" i="69" s="1"/>
  <c r="X53" i="58"/>
  <c r="I70" i="62" s="1"/>
  <c r="C25" i="102"/>
  <c r="M25" s="1"/>
  <c r="Q25" s="1"/>
  <c r="L17" i="54"/>
  <c r="E70" i="69" s="1"/>
  <c r="H17" i="54"/>
  <c r="D70" i="69" s="1"/>
  <c r="S25" i="74" l="1"/>
  <c r="AH25" s="1"/>
  <c r="AT25" s="1"/>
  <c r="H70" i="69"/>
  <c r="P25" i="74"/>
  <c r="AF25" s="1"/>
  <c r="AR25" s="1"/>
  <c r="J25"/>
  <c r="AB25" s="1"/>
  <c r="AN25" s="1"/>
  <c r="C25" i="101"/>
  <c r="K25" s="1"/>
  <c r="Q25" s="1"/>
  <c r="C25" i="104"/>
  <c r="O25" s="1"/>
  <c r="Q25" s="1"/>
  <c r="V25" i="74"/>
  <c r="AJ25" s="1"/>
  <c r="AV25" s="1"/>
  <c r="G25"/>
  <c r="Z25" s="1"/>
  <c r="AL25" s="1"/>
  <c r="M25"/>
  <c r="AD25" s="1"/>
  <c r="AP25" s="1"/>
  <c r="H19" i="61"/>
  <c r="D16" i="69" s="1"/>
  <c r="H19" i="46"/>
  <c r="D16" i="62" s="1"/>
  <c r="G11" i="74" l="1"/>
  <c r="Z11" s="1"/>
  <c r="AL11" s="1"/>
</calcChain>
</file>

<file path=xl/comments1.xml><?xml version="1.0" encoding="utf-8"?>
<comments xmlns="http://schemas.openxmlformats.org/spreadsheetml/2006/main">
  <authors>
    <author>SALES</author>
  </authors>
  <commentList>
    <comment ref="R18" authorId="0">
      <text>
        <r>
          <rPr>
            <b/>
            <sz val="9"/>
            <color indexed="81"/>
            <rFont val="Tahoma"/>
            <family val="2"/>
          </rPr>
          <t>OK ĐANG DÙNG</t>
        </r>
      </text>
    </comment>
    <comment ref="R21" authorId="0">
      <text>
        <r>
          <rPr>
            <b/>
            <sz val="9"/>
            <color indexed="81"/>
            <rFont val="Tahoma"/>
            <family val="2"/>
          </rPr>
          <t>OK ĐANG DÙNG</t>
        </r>
      </text>
    </comment>
    <comment ref="R27" authorId="0">
      <text>
        <r>
          <rPr>
            <b/>
            <sz val="9"/>
            <color indexed="81"/>
            <rFont val="Tahoma"/>
            <family val="2"/>
          </rPr>
          <t>F,G</t>
        </r>
      </text>
    </comment>
    <comment ref="R30" authorId="0">
      <text>
        <r>
          <rPr>
            <b/>
            <sz val="9"/>
            <color indexed="81"/>
            <rFont val="Tahoma"/>
            <family val="2"/>
          </rPr>
          <t>CHỜ SỬA</t>
        </r>
      </text>
    </comment>
  </commentList>
</comments>
</file>

<file path=xl/comments2.xml><?xml version="1.0" encoding="utf-8"?>
<comments xmlns="http://schemas.openxmlformats.org/spreadsheetml/2006/main">
  <authors>
    <author>SALES</author>
  </authors>
  <commentList>
    <comment ref="E4" authorId="0">
      <text>
        <r>
          <rPr>
            <b/>
            <sz val="11"/>
            <color indexed="81"/>
            <rFont val="Tahoma"/>
            <family val="2"/>
          </rPr>
          <t>TẤT CẢ Ô TIÊU CHUẨN Đ</t>
        </r>
        <r>
          <rPr>
            <b/>
            <sz val="11"/>
            <color indexed="81"/>
            <rFont val="細明體"/>
            <family val="3"/>
            <charset val="136"/>
          </rPr>
          <t>Ề</t>
        </r>
        <r>
          <rPr>
            <b/>
            <sz val="11"/>
            <color indexed="81"/>
            <rFont val="Tahoma"/>
            <family val="2"/>
          </rPr>
          <t>U CHẠY THEO Ô NÀY</t>
        </r>
        <r>
          <rPr>
            <b/>
            <sz val="9"/>
            <color indexed="81"/>
            <rFont val="Tahoma"/>
            <family val="2"/>
          </rPr>
          <t xml:space="preserve">
</t>
        </r>
      </text>
    </comment>
  </commentList>
</comments>
</file>

<file path=xl/comments3.xml><?xml version="1.0" encoding="utf-8"?>
<comments xmlns="http://schemas.openxmlformats.org/spreadsheetml/2006/main">
  <authors>
    <author>Khuon4</author>
  </authors>
  <commentList>
    <comment ref="B11" authorId="0">
      <text>
        <r>
          <rPr>
            <b/>
            <sz val="14"/>
            <color indexed="81"/>
            <rFont val="Times New Roman"/>
            <family val="1"/>
          </rPr>
          <t xml:space="preserve">CHCl*VHCl=CNaOH*VNaOH
CM=(10*C%*D)/M
CNaOH=1N
VHCl=1
D=1.15
M=36.5
=&gt;C%=(VNaOH*CNaOH*M)/(VHCl*10*D)
             =(VNaOH*1*36.5)/(1*10*1.15)
</t>
        </r>
      </text>
    </comment>
  </commentList>
</comments>
</file>

<file path=xl/sharedStrings.xml><?xml version="1.0" encoding="utf-8"?>
<sst xmlns="http://schemas.openxmlformats.org/spreadsheetml/2006/main" count="12902" uniqueCount="1512">
  <si>
    <t>NaOH</t>
    <phoneticPr fontId="6"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</si>
  <si>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</si>
  <si>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</si>
  <si>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</si>
  <si>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</si>
  <si>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</si>
  <si>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</si>
  <si>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</si>
  <si>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</si>
  <si>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</si>
  <si>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</si>
  <si>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</si>
  <si>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</si>
  <si>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</si>
  <si>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</si>
  <si>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</si>
  <si>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</si>
  <si>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</si>
  <si>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t>HCl Đặc  1</t>
  </si>
  <si>
    <t>HCl Đặc  2</t>
  </si>
  <si>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</si>
  <si>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</si>
  <si>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</si>
  <si>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</si>
  <si>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</si>
  <si>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</si>
  <si>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</si>
  <si>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</si>
  <si>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</si>
  <si>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</si>
  <si>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</si>
  <si>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</si>
  <si>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</si>
  <si>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</si>
  <si>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</si>
  <si>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</si>
  <si>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</si>
  <si>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</si>
  <si>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1 (13,14)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</si>
  <si>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</si>
  <si>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</si>
  <si>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</si>
  <si>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</si>
  <si>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</si>
  <si>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</si>
  <si>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</si>
  <si>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</si>
  <si>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</si>
  <si>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</si>
  <si>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t>
  </si>
  <si>
    <t>ml/KAH</t>
  </si>
  <si>
    <t>25~35g/L
(30±2g/L)</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</si>
  <si>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</si>
  <si>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</si>
  <si>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</si>
  <si>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</si>
  <si>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</si>
  <si>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</si>
  <si>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</si>
  <si>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</si>
  <si>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</si>
  <si>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</si>
  <si>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</si>
  <si>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</si>
  <si>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</si>
  <si>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</si>
  <si>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</si>
  <si>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</si>
  <si>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</si>
  <si>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</si>
  <si>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</si>
  <si>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</si>
  <si>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</si>
  <si>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</si>
  <si>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</si>
  <si>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</si>
  <si>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</si>
  <si>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</si>
  <si>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</si>
  <si>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</si>
  <si>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</si>
  <si>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</si>
  <si>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</si>
  <si>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 xml:space="preserve"> Xà bông  脫脂 (2,3,4)</t>
  </si>
  <si>
    <t>NaOH (26-37)
氫氧化鈉</t>
  </si>
  <si>
    <t>Zn  鋅 (26-37)
(1 pcs Zn=25kg)</t>
  </si>
  <si>
    <t>Nồng độ acid loãng (12)
稀酸 濃度</t>
  </si>
  <si>
    <t>Điện giải  電解  (20,21)</t>
  </si>
  <si>
    <t>Điện giải  電解 (8)</t>
  </si>
  <si>
    <t>Nồng độ acid đặc (13,14)
鹽酸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</si>
  <si>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</si>
  <si>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</si>
  <si>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</si>
  <si>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 xml:space="preserve">  Cr2O3 （K) (49)
三價鉻</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</si>
  <si>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</si>
  <si>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</si>
  <si>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</si>
  <si>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</si>
  <si>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</si>
  <si>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</si>
  <si>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</si>
  <si>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</si>
  <si>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</si>
  <si>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</si>
  <si>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</si>
  <si>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</si>
  <si>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</si>
  <si>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</si>
  <si>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</si>
  <si>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</si>
  <si>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</si>
  <si>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</si>
  <si>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</si>
  <si>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</si>
  <si>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</si>
  <si>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</si>
  <si>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</si>
  <si>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</si>
  <si>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</si>
  <si>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</si>
  <si>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</si>
  <si>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</si>
  <si>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</si>
  <si>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</si>
  <si>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0.5~1.5%
(1±0.4%)</t>
  </si>
  <si>
    <t>Zn</t>
  </si>
  <si>
    <t>Nhiệt độ nước nóng siêm âm
超音波熱水洗槽</t>
  </si>
  <si>
    <t>1.7~1.9g/L
(1.8 ± 0.1g/L)</t>
  </si>
  <si>
    <t>Nhiệt độ bồn xi Zn-Niken
 Zn-Niken 鍍鋅槽溫度</t>
  </si>
  <si>
    <t>Zn (bồn Zn-Niken)</t>
  </si>
  <si>
    <t>Niken (bồn Zn-Niken)</t>
  </si>
  <si>
    <t>NaOH (bồn Zn-Niken)</t>
  </si>
  <si>
    <t>PH</t>
  </si>
  <si>
    <t>Nhiệt độ bồn màu Cr2O3 (Niken)
三價鉻 溫度</t>
  </si>
  <si>
    <t>鋅鎳合金電鍍槽
Zn-Niken Plating</t>
  </si>
  <si>
    <t>Ni</t>
  </si>
  <si>
    <t xml:space="preserve"> Noàng ñoä   Cr2O3 (Niken)
三價鉻</t>
  </si>
  <si>
    <t>Đơn vị
單位</t>
  </si>
  <si>
    <t>Zn-208HT</t>
  </si>
  <si>
    <t>125~135g/L
(130g/L)</t>
  </si>
  <si>
    <t>19.03.2019 TGĐ  yêu cầu biểu đồ kiểm soát chỉ khống chế từ cận giữa trở lên</t>
  </si>
  <si>
    <t>tiêu chuẩn khống chế để bổ sung</t>
  </si>
  <si>
    <t>L.Yen</t>
  </si>
  <si>
    <t>Xà bông  脫脂  (5,6)</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</si>
  <si>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</si>
  <si>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</si>
  <si>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</si>
  <si>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</si>
  <si>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</si>
  <si>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</si>
  <si>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</si>
  <si>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</si>
  <si>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</si>
  <si>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</si>
  <si>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bôm thuoác töï ñoäng </t>
    </r>
    <r>
      <rPr>
        <sz val="11"/>
        <rFont val="標楷體"/>
        <family val="4"/>
        <charset val="136"/>
      </rPr>
      <t>藥液自動添加</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</si>
  <si>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</si>
  <si>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</si>
  <si>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</si>
  <si>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</si>
  <si>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</si>
  <si>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</si>
  <si>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</si>
  <si>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</si>
  <si>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</si>
  <si>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</si>
  <si>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</si>
  <si>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</si>
  <si>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</si>
  <si>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</si>
  <si>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</si>
  <si>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</si>
  <si>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</si>
  <si>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</si>
  <si>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</si>
  <si>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</si>
  <si>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</si>
  <si>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</si>
  <si>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</si>
  <si>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</si>
  <si>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</si>
  <si>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</si>
  <si>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</si>
  <si>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</si>
  <si>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</si>
  <si>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</si>
  <si>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</si>
  <si>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</si>
  <si>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</si>
  <si>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</si>
  <si>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</si>
  <si>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</si>
  <si>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</si>
  <si>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</si>
  <si>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</si>
  <si>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</si>
  <si>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</si>
  <si>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</si>
  <si>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</si>
  <si>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</si>
  <si>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</si>
  <si>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</si>
  <si>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</si>
  <si>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</si>
  <si>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</si>
  <si>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</si>
  <si>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</si>
  <si>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</si>
  <si>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</si>
  <si>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</si>
  <si>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</si>
  <si>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Zn-Niken Plating-         Ni</t>
  </si>
  <si>
    <t xml:space="preserve">Zn-Niken Plating-        NaOH </t>
  </si>
  <si>
    <t>Zn-Niken Plating-          Zn</t>
  </si>
  <si>
    <t>Zn-Niken Plating-       208HT</t>
  </si>
  <si>
    <t>Cr2O3   三價鉻Ni-       PH</t>
  </si>
  <si>
    <t xml:space="preserve">                  XT-000C  </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</si>
  <si>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</si>
  <si>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</si>
  <si>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</si>
  <si>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</si>
  <si>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</si>
  <si>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</si>
  <si>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</si>
  <si>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</si>
  <si>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</si>
  <si>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</si>
  <si>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</si>
  <si>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</si>
  <si>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</si>
  <si>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</si>
  <si>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</si>
  <si>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</si>
  <si>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</si>
  <si>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</si>
  <si>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</si>
  <si>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</si>
  <si>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</si>
  <si>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</si>
  <si>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</si>
  <si>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</si>
  <si>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</si>
  <si>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6:15</t>
  </si>
  <si>
    <t>10:15</t>
  </si>
  <si>
    <t>14:15</t>
  </si>
  <si>
    <t>18:15</t>
  </si>
  <si>
    <t>22:15</t>
  </si>
  <si>
    <t>02:15</t>
  </si>
  <si>
    <t>06:15</t>
  </si>
  <si>
    <t xml:space="preserve">pha mới máy G: 200 lít dẻo +5 lít bóng </t>
  </si>
  <si>
    <t xml:space="preserve">chất bóng: </t>
  </si>
  <si>
    <t>lít</t>
  </si>
  <si>
    <t xml:space="preserve">chất dẻo: </t>
  </si>
  <si>
    <t>Haïng muïc kieåm tra bôm thuoác töï ñoäng 藥液自動添加</t>
  </si>
  <si>
    <t>130 - 150g/L
(140±5g/L)</t>
  </si>
  <si>
    <t>XT</t>
  </si>
  <si>
    <t>表面處理生產製程管控記錄表</t>
  </si>
  <si>
    <t>60~80g/L
(70±10g/L)</t>
  </si>
  <si>
    <t>30~60 %V/V
(45±5% V/V)</t>
  </si>
  <si>
    <t>15~30 %V/V
(22±5 V/V)</t>
  </si>
  <si>
    <t>7-12g/l
(9g±1g/l)</t>
  </si>
  <si>
    <t>5-10%
(7.5±1%)</t>
  </si>
  <si>
    <t>chất mềm (250 base)
開缸劑</t>
  </si>
  <si>
    <t>chaát boùng (250 brightener)
光亮劑</t>
  </si>
  <si>
    <t>40~60g/L
(50±5g/L)</t>
  </si>
  <si>
    <t>300-360</t>
  </si>
  <si>
    <t>30-50</t>
  </si>
  <si>
    <t>CT-21A</t>
  </si>
  <si>
    <t>CT-21B</t>
  </si>
  <si>
    <t>EC-508A</t>
  </si>
  <si>
    <t>EC-508B</t>
  </si>
  <si>
    <t>50~70g/L
(60±5g/L)</t>
  </si>
  <si>
    <t>Nồng độ   Cr2O3 （K)
三價鉻
FINIDIP 124</t>
  </si>
  <si>
    <t>開缸劑
250 Base</t>
  </si>
  <si>
    <t>光亮劑
250 Brightener</t>
  </si>
  <si>
    <t>ml/1000AH</t>
  </si>
  <si>
    <t>BÁO CÁO KẾT QUẢ HÓA NGHIỆM HÀNG NGÀY</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</si>
  <si>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</si>
  <si>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</si>
  <si>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</si>
  <si>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</si>
  <si>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</si>
  <si>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</si>
  <si>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</si>
  <si>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</si>
  <si>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</si>
  <si>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</si>
  <si>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</si>
  <si>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</si>
  <si>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</si>
  <si>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</si>
  <si>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</si>
  <si>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</si>
  <si>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</si>
  <si>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</si>
  <si>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</si>
  <si>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</si>
  <si>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</si>
  <si>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</si>
  <si>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</si>
  <si>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</si>
  <si>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</si>
  <si>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</si>
  <si>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</si>
  <si>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</si>
  <si>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</si>
  <si>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</si>
  <si>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</si>
  <si>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</si>
  <si>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</si>
  <si>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</si>
  <si>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</si>
  <si>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</si>
  <si>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</si>
  <si>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</si>
  <si>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</si>
  <si>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</si>
  <si>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</si>
  <si>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</si>
  <si>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</si>
  <si>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</si>
  <si>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</si>
  <si>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</si>
  <si>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</si>
  <si>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</si>
  <si>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</si>
  <si>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</si>
  <si>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</si>
  <si>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</si>
  <si>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</si>
  <si>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</si>
  <si>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</si>
  <si>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</si>
  <si>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</si>
  <si>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</si>
  <si>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</si>
  <si>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</si>
  <si>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</si>
  <si>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</si>
  <si>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</si>
  <si>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</si>
  <si>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</si>
  <si>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</si>
  <si>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</si>
  <si>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</si>
  <si>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</si>
  <si>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</si>
  <si>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</si>
  <si>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XTNI-NI</t>
  </si>
  <si>
    <t>XTNI-NAOH</t>
  </si>
  <si>
    <t>XTNI-HT</t>
  </si>
  <si>
    <t>XTNI-CR3PH</t>
  </si>
  <si>
    <t>XTNI-TEMBX</t>
  </si>
  <si>
    <t>XTNI-TEMSIEUAM</t>
  </si>
  <si>
    <t>XT-TEMCR3NI</t>
  </si>
  <si>
    <t>XT-TEMBX</t>
  </si>
  <si>
    <t>1E-TEMBX</t>
  </si>
  <si>
    <t>1F-TEMBX</t>
  </si>
  <si>
    <t>Hạng mục kiểm tra nồng độ
化驗檢查項目</t>
  </si>
  <si>
    <t>Nồng độ   Cr2O3 （K)</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</si>
  <si>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</si>
  <si>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</si>
  <si>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</si>
  <si>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</si>
  <si>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</si>
  <si>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</si>
  <si>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</si>
  <si>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</si>
  <si>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</si>
  <si>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</si>
  <si>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</si>
  <si>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</si>
  <si>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</si>
  <si>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</si>
  <si>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</si>
  <si>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</si>
  <si>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</si>
  <si>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</si>
  <si>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</si>
  <si>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</si>
  <si>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</si>
  <si>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</si>
  <si>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</si>
  <si>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</si>
  <si>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</si>
  <si>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</si>
  <si>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</si>
  <si>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</si>
  <si>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</si>
  <si>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</si>
  <si>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</si>
  <si>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</si>
  <si>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</si>
  <si>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</si>
  <si>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</si>
  <si>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</si>
  <si>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</si>
  <si>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</si>
  <si>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</si>
  <si>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</si>
  <si>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</si>
  <si>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</si>
  <si>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</si>
  <si>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</si>
  <si>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</si>
  <si>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</si>
  <si>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</si>
  <si>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</si>
  <si>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</si>
  <si>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</si>
  <si>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</si>
  <si>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</si>
  <si>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</si>
  <si>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</si>
  <si>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</si>
  <si>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</si>
  <si>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</si>
  <si>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</si>
  <si>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</si>
  <si>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</si>
  <si>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</si>
  <si>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</si>
  <si>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</si>
  <si>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</si>
  <si>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</si>
  <si>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</si>
  <si>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</si>
  <si>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</si>
  <si>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</si>
  <si>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</si>
  <si>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</si>
  <si>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</si>
  <si>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</si>
  <si>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</si>
  <si>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</si>
  <si>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</si>
  <si>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</si>
  <si>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</si>
  <si>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</si>
  <si>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</si>
  <si>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</si>
  <si>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</si>
  <si>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</si>
  <si>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</si>
  <si>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</si>
  <si>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</si>
  <si>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</si>
  <si>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13:00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</si>
  <si>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</si>
  <si>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</si>
  <si>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</si>
  <si>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</si>
  <si>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</si>
  <si>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</si>
  <si>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</si>
  <si>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</si>
  <si>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</si>
  <si>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</si>
  <si>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</si>
  <si>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</si>
  <si>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</si>
  <si>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</si>
  <si>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</si>
  <si>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</si>
  <si>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</si>
  <si>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</si>
  <si>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8:00</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</si>
  <si>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</si>
  <si>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</si>
  <si>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</si>
  <si>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</si>
  <si>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</si>
  <si>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</si>
  <si>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</si>
  <si>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</si>
  <si>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</si>
  <si>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</si>
  <si>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</si>
  <si>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</si>
  <si>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</si>
  <si>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</si>
  <si>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</si>
  <si>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</si>
  <si>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</si>
  <si>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</si>
  <si>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</si>
  <si>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</si>
  <si>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</si>
  <si>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</si>
  <si>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</si>
  <si>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</si>
  <si>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</si>
  <si>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</si>
  <si>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</si>
  <si>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</si>
  <si>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</si>
  <si>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</si>
  <si>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</si>
  <si>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</si>
  <si>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</si>
  <si>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</si>
  <si>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</si>
  <si>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</si>
  <si>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</si>
  <si>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</si>
  <si>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</si>
  <si>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</si>
  <si>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</si>
  <si>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</si>
  <si>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</si>
  <si>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</si>
  <si>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</si>
  <si>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</si>
  <si>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</si>
  <si>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</si>
  <si>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</si>
  <si>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生產線別：XI ĐEN - epoxy</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</si>
  <si>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</si>
  <si>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</si>
  <si>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</si>
  <si>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</si>
  <si>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</si>
  <si>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</si>
  <si>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</si>
  <si>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</si>
  <si>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</si>
  <si>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</si>
  <si>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</si>
  <si>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</si>
  <si>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</si>
  <si>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</si>
  <si>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</si>
  <si>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</si>
  <si>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</si>
  <si>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</si>
  <si>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</si>
  <si>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</si>
  <si>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</si>
  <si>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</si>
  <si>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</si>
  <si>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</si>
  <si>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</si>
  <si>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</si>
  <si>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</si>
  <si>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</si>
  <si>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</si>
  <si>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</si>
  <si>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</si>
  <si>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</si>
  <si>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</si>
  <si>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</si>
  <si>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</si>
  <si>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</si>
  <si>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</si>
  <si>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</si>
  <si>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</si>
  <si>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</si>
  <si>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</si>
  <si>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</si>
  <si>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</si>
  <si>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</si>
  <si>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</si>
  <si>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</si>
  <si>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</si>
  <si>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</si>
  <si>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</si>
  <si>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</si>
  <si>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</si>
  <si>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</si>
  <si>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</si>
  <si>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</si>
  <si>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</si>
  <si>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</si>
  <si>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</si>
  <si>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</si>
  <si>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</si>
  <si>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</si>
  <si>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</si>
  <si>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</si>
  <si>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</si>
  <si>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</si>
  <si>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</si>
  <si>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</si>
  <si>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</si>
  <si>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</si>
  <si>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</si>
  <si>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</si>
  <si>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</si>
  <si>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</si>
  <si>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</si>
  <si>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</si>
  <si>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</si>
  <si>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</si>
  <si>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</si>
  <si>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</si>
  <si>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</si>
  <si>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5.4~5.8
(5.6±0.1)</t>
  </si>
  <si>
    <t>DC-GAY07</t>
  </si>
  <si>
    <t xml:space="preserve"> 染色Màu- Gey-07</t>
  </si>
  <si>
    <t>5.4~5.8</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</si>
  <si>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</si>
  <si>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</si>
  <si>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</si>
  <si>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</si>
  <si>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</si>
  <si>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</si>
  <si>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</si>
  <si>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</si>
  <si>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</si>
  <si>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</si>
  <si>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</si>
  <si>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</si>
  <si>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</si>
  <si>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</si>
  <si>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</si>
  <si>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</si>
  <si>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</si>
  <si>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</si>
  <si>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</si>
  <si>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</si>
  <si>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</si>
  <si>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</si>
  <si>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</si>
  <si>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</si>
  <si>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</si>
  <si>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</si>
  <si>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</si>
  <si>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</si>
  <si>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</si>
  <si>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</si>
  <si>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</si>
  <si>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</si>
  <si>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</si>
  <si>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</si>
  <si>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</si>
  <si>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</si>
  <si>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</si>
  <si>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</si>
  <si>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7" type="noConversion"/>
  </si>
  <si>
    <t>Yen</t>
    <phoneticPr fontId="7" type="noConversion"/>
  </si>
  <si>
    <t>NO</t>
    <phoneticPr fontId="7"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</si>
  <si>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</si>
  <si>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</si>
  <si>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</si>
  <si>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</si>
  <si>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</si>
  <si>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</si>
  <si>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7" type="noConversion"/>
  </si>
  <si>
    <t>Noàng ñoä  axit HCl (1)</t>
  </si>
  <si>
    <t>%</t>
    <phoneticPr fontId="7" type="noConversion"/>
  </si>
  <si>
    <t>10~15%  
(12.5%)</t>
  </si>
  <si>
    <t>+</t>
    <phoneticPr fontId="7" type="noConversion"/>
  </si>
  <si>
    <t>IS18</t>
    <phoneticPr fontId="7" type="noConversion"/>
  </si>
  <si>
    <t>Noàng ñoä  axit HCl (2)</t>
  </si>
  <si>
    <r>
      <t xml:space="preserve">Muối axit Phosphoric 1
</t>
    </r>
    <r>
      <rPr>
        <sz val="9"/>
        <rFont val="細明體"/>
        <family val="3"/>
        <charset val="136"/>
      </rPr>
      <t>磷酸鹽 1</t>
    </r>
  </si>
  <si>
    <t>Tổng chua TA 
40~60 (50)</t>
  </si>
  <si>
    <t>+</t>
    <phoneticPr fontId="7" type="noConversion"/>
  </si>
  <si>
    <t>kg</t>
    <phoneticPr fontId="7" type="noConversion"/>
  </si>
  <si>
    <t>IS16</t>
    <phoneticPr fontId="7" type="noConversion"/>
  </si>
  <si>
    <t>tỷ lệ axit
5.2~7.8 (6.5)</t>
  </si>
  <si>
    <t>IS14</t>
    <phoneticPr fontId="7" type="noConversion"/>
  </si>
  <si>
    <t>Fe phaân ly
&lt;0.4</t>
  </si>
  <si>
    <r>
      <t xml:space="preserve">Muối axit Phosphoric 2
</t>
    </r>
    <r>
      <rPr>
        <sz val="9"/>
        <rFont val="細明體"/>
        <family val="3"/>
        <charset val="136"/>
      </rPr>
      <t>磷酸鹽 2</t>
    </r>
    <r>
      <rPr>
        <sz val="11"/>
        <color theme="1"/>
        <rFont val="新細明體"/>
        <family val="2"/>
        <scheme val="minor"/>
      </rPr>
      <t/>
    </r>
  </si>
  <si>
    <r>
      <t xml:space="preserve">xaø boâng boâi trôn
</t>
    </r>
    <r>
      <rPr>
        <sz val="9"/>
        <rFont val="細明體"/>
        <family val="3"/>
        <charset val="136"/>
      </rPr>
      <t>潤滑皂</t>
    </r>
  </si>
  <si>
    <t>+</t>
    <phoneticPr fontId="7" type="noConversion"/>
  </si>
  <si>
    <t>kg</t>
    <phoneticPr fontId="7" type="noConversion"/>
  </si>
  <si>
    <t>pH</t>
    <phoneticPr fontId="7" type="noConversion"/>
  </si>
  <si>
    <t>8.5~10</t>
  </si>
  <si>
    <r>
      <t xml:space="preserve">Haïng muïc kieåm tra nhieät ñoä </t>
    </r>
    <r>
      <rPr>
        <sz val="9"/>
        <rFont val="細明體"/>
        <family val="3"/>
        <charset val="136"/>
      </rPr>
      <t>檢查溫度</t>
    </r>
  </si>
  <si>
    <t>No</t>
    <phoneticPr fontId="7"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</si>
  <si>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</si>
  <si>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</si>
  <si>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</si>
  <si>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</si>
  <si>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</si>
  <si>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</si>
  <si>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</si>
  <si>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7" type="noConversion"/>
  </si>
  <si>
    <t>NO</t>
    <phoneticPr fontId="7" type="noConversion"/>
  </si>
  <si>
    <t>Q3-CXVN
-PC01-</t>
    <phoneticPr fontId="7" type="noConversion"/>
  </si>
  <si>
    <t>IS18</t>
    <phoneticPr fontId="7" type="noConversion"/>
  </si>
  <si>
    <t>IS19</t>
  </si>
  <si>
    <r>
      <t xml:space="preserve">Muối axit Phosphoric 
</t>
    </r>
    <r>
      <rPr>
        <sz val="9"/>
        <rFont val="細明體"/>
        <family val="3"/>
        <charset val="136"/>
      </rPr>
      <t>磷酸鹽</t>
    </r>
  </si>
  <si>
    <t>IS16</t>
    <phoneticPr fontId="7" type="noConversion"/>
  </si>
  <si>
    <t>IS14</t>
    <phoneticPr fontId="7" type="noConversion"/>
  </si>
  <si>
    <t>+</t>
    <phoneticPr fontId="7" type="noConversion"/>
  </si>
  <si>
    <t>kg</t>
    <phoneticPr fontId="7" type="noConversion"/>
  </si>
  <si>
    <t>No</t>
    <phoneticPr fontId="7" type="noConversion"/>
  </si>
  <si>
    <r>
      <t xml:space="preserve">laäp bieåu
 </t>
    </r>
    <r>
      <rPr>
        <sz val="11"/>
        <rFont val="細明體"/>
        <family val="3"/>
        <charset val="136"/>
      </rPr>
      <t>作成</t>
    </r>
  </si>
  <si>
    <t>Yen</t>
    <phoneticPr fontId="7" type="noConversion"/>
  </si>
  <si>
    <t>NO</t>
    <phoneticPr fontId="7"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</si>
  <si>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</si>
  <si>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</si>
  <si>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</si>
  <si>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</si>
  <si>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</si>
  <si>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</si>
  <si>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7" type="noConversion"/>
  </si>
  <si>
    <r>
      <t xml:space="preserve">Khử dầu
</t>
    </r>
    <r>
      <rPr>
        <sz val="10"/>
        <rFont val="細明體"/>
        <family val="3"/>
        <charset val="136"/>
      </rPr>
      <t>脫脂</t>
    </r>
  </si>
  <si>
    <t>Point</t>
    <phoneticPr fontId="7" type="noConversion"/>
  </si>
  <si>
    <t>+</t>
    <phoneticPr fontId="7" type="noConversion"/>
  </si>
  <si>
    <t>kg</t>
    <phoneticPr fontId="7" type="noConversion"/>
  </si>
  <si>
    <t>PC01-IS18</t>
    <phoneticPr fontId="7" type="noConversion"/>
  </si>
  <si>
    <t xml:space="preserve">Rua acid </t>
    <phoneticPr fontId="7" type="noConversion"/>
  </si>
  <si>
    <t>%</t>
    <phoneticPr fontId="7" type="noConversion"/>
  </si>
  <si>
    <t>+</t>
    <phoneticPr fontId="7" type="noConversion"/>
  </si>
  <si>
    <t>L</t>
    <phoneticPr fontId="7" type="noConversion"/>
  </si>
  <si>
    <t>PC01-IS15</t>
    <phoneticPr fontId="7" type="noConversion"/>
  </si>
  <si>
    <r>
      <t xml:space="preserve">Muối axit Phosphoric  </t>
    </r>
    <r>
      <rPr>
        <sz val="10"/>
        <rFont val="細明體"/>
        <family val="3"/>
        <charset val="136"/>
      </rPr>
      <t>磷酸鹽</t>
    </r>
  </si>
  <si>
    <t>PC01-IS16</t>
    <phoneticPr fontId="7" type="noConversion"/>
  </si>
  <si>
    <t>PC01-IS14</t>
    <phoneticPr fontId="7" type="noConversion"/>
  </si>
  <si>
    <r>
      <t xml:space="preserve">Xà bông
</t>
    </r>
    <r>
      <rPr>
        <sz val="10"/>
        <rFont val="細明體"/>
        <family val="3"/>
        <charset val="136"/>
      </rPr>
      <t>潤滑皂</t>
    </r>
  </si>
  <si>
    <t>PC01-IS22</t>
    <phoneticPr fontId="7" type="noConversion"/>
  </si>
  <si>
    <t>pH</t>
    <phoneticPr fontId="7" type="noConversion"/>
  </si>
  <si>
    <r>
      <t xml:space="preserve">Haïng muïc kieåm tra nhieät ñoä </t>
    </r>
    <r>
      <rPr>
        <sz val="14"/>
        <rFont val="細明體"/>
        <family val="3"/>
        <charset val="136"/>
      </rPr>
      <t>檢查溫度</t>
    </r>
  </si>
  <si>
    <t>No</t>
    <phoneticPr fontId="7"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</si>
  <si>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</si>
  <si>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</si>
  <si>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</si>
  <si>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</si>
  <si>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</si>
  <si>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</si>
  <si>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</si>
  <si>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</si>
  <si>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</si>
  <si>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</si>
  <si>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</si>
  <si>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7" type="noConversion"/>
  </si>
  <si>
    <t>kg</t>
    <phoneticPr fontId="7" type="noConversion"/>
  </si>
  <si>
    <t>%</t>
    <phoneticPr fontId="7" type="noConversion"/>
  </si>
  <si>
    <t>L</t>
    <phoneticPr fontId="7" type="noConversion"/>
  </si>
  <si>
    <r>
      <t xml:space="preserve">Muối axit Phosphoric  
</t>
    </r>
    <r>
      <rPr>
        <sz val="10"/>
        <rFont val="細明體"/>
        <family val="3"/>
        <charset val="136"/>
      </rPr>
      <t>磷酸鹽</t>
    </r>
  </si>
  <si>
    <t>Point</t>
    <phoneticPr fontId="7" type="noConversion"/>
  </si>
  <si>
    <t>pH</t>
    <phoneticPr fontId="7" type="noConversion"/>
  </si>
  <si>
    <t>No</t>
    <phoneticPr fontId="7" type="noConversion"/>
  </si>
  <si>
    <r>
      <t xml:space="preserve">Muối axit Phosphoric 
</t>
    </r>
    <r>
      <rPr>
        <sz val="10"/>
        <rFont val="細明體"/>
        <family val="3"/>
        <charset val="136"/>
      </rPr>
      <t>磷酸鹽</t>
    </r>
  </si>
  <si>
    <t>Q3-CXVN-</t>
    <phoneticPr fontId="7" type="noConversion"/>
  </si>
  <si>
    <t>PC01-IS15</t>
    <phoneticPr fontId="7" type="noConversion"/>
  </si>
  <si>
    <r>
      <t xml:space="preserve">Muối axit Phosphoric  (1)
</t>
    </r>
    <r>
      <rPr>
        <sz val="10"/>
        <rFont val="細明體"/>
        <family val="3"/>
        <charset val="136"/>
      </rPr>
      <t>磷酸鹽</t>
    </r>
  </si>
  <si>
    <t>PC01-IS16</t>
    <phoneticPr fontId="7" type="noConversion"/>
  </si>
  <si>
    <t>PC01-IS14</t>
    <phoneticPr fontId="7" type="noConversion"/>
  </si>
  <si>
    <r>
      <t>Muối axit Phosphoric  (2)
磷酸鹽</t>
    </r>
    <r>
      <rPr>
        <sz val="9"/>
        <rFont val="細明體"/>
        <family val="3"/>
        <charset val="136"/>
      </rPr>
      <t/>
    </r>
  </si>
  <si>
    <t>PC01-IS18</t>
    <phoneticPr fontId="7"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</si>
  <si>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</si>
  <si>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</si>
  <si>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</si>
  <si>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</si>
  <si>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</si>
  <si>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</si>
  <si>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</si>
  <si>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</si>
  <si>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</si>
  <si>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</si>
  <si>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</si>
  <si>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</si>
  <si>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</si>
  <si>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</si>
  <si>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</si>
  <si>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</si>
  <si>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</si>
  <si>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</si>
  <si>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</si>
  <si>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</si>
  <si>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0"/>
        <rFont val="VN-NTime"/>
        <family val="1"/>
      </rPr>
      <t>45</t>
    </r>
    <r>
      <rPr>
        <sz val="10"/>
        <rFont val="VNI-Times"/>
      </rPr>
      <t>~65</t>
    </r>
    <r>
      <rPr>
        <sz val="10"/>
        <rFont val="Times New Roman"/>
        <family val="1"/>
      </rPr>
      <t>º</t>
    </r>
    <r>
      <rPr>
        <sz val="10"/>
        <rFont val="VN-NTime"/>
        <family val="1"/>
      </rPr>
      <t>C
(55±8</t>
    </r>
    <r>
      <rPr>
        <vertAlign val="superscript"/>
        <sz val="10"/>
        <rFont val="VN-NTime"/>
        <family val="1"/>
      </rPr>
      <t>o</t>
    </r>
    <r>
      <rPr>
        <sz val="10"/>
        <rFont val="VN-NTime"/>
        <family val="1"/>
      </rPr>
      <t>C)</t>
    </r>
  </si>
  <si>
    <r>
      <rPr>
        <sz val="10"/>
        <rFont val="VN-NTime"/>
        <family val="1"/>
      </rPr>
      <t>18</t>
    </r>
    <r>
      <rPr>
        <sz val="10"/>
        <rFont val="VNI-Times"/>
      </rPr>
      <t>~25</t>
    </r>
    <r>
      <rPr>
        <sz val="10"/>
        <rFont val="Times New Roman"/>
        <family val="1"/>
      </rPr>
      <t>º</t>
    </r>
    <r>
      <rPr>
        <sz val="10"/>
        <rFont val="VN-NTime"/>
        <family val="1"/>
      </rPr>
      <t>C
(22±2</t>
    </r>
    <r>
      <rPr>
        <vertAlign val="superscript"/>
        <sz val="10"/>
        <rFont val="VN-NTime"/>
        <family val="1"/>
      </rPr>
      <t>o</t>
    </r>
    <r>
      <rPr>
        <sz val="10"/>
        <rFont val="VN-NTime"/>
        <family val="1"/>
      </rPr>
      <t>C)</t>
    </r>
  </si>
  <si>
    <r>
      <rPr>
        <sz val="11"/>
        <rFont val="細明體"/>
        <family val="3"/>
        <charset val="136"/>
      </rPr>
      <t>封孔</t>
    </r>
    <r>
      <rPr>
        <sz val="11"/>
        <rFont val="VNI-Times"/>
      </rPr>
      <t xml:space="preserve"> ñoùng loã 1 (HK-101A1)</t>
    </r>
  </si>
  <si>
    <r>
      <rPr>
        <sz val="10"/>
        <rFont val="VN-NTime"/>
        <family val="1"/>
      </rPr>
      <t>30</t>
    </r>
    <r>
      <rPr>
        <sz val="10"/>
        <rFont val="VNI-Times"/>
      </rPr>
      <t>~60</t>
    </r>
    <r>
      <rPr>
        <sz val="10"/>
        <rFont val="Times New Roman"/>
        <family val="1"/>
      </rPr>
      <t>º</t>
    </r>
    <r>
      <rPr>
        <sz val="10"/>
        <rFont val="VN-NTime"/>
        <family val="1"/>
      </rPr>
      <t>C
(45±5</t>
    </r>
    <r>
      <rPr>
        <vertAlign val="superscript"/>
        <sz val="10"/>
        <rFont val="VN-NTime"/>
        <family val="1"/>
      </rPr>
      <t>o</t>
    </r>
    <r>
      <rPr>
        <sz val="10"/>
        <rFont val="VN-NTime"/>
        <family val="1"/>
      </rPr>
      <t>C)</t>
    </r>
  </si>
  <si>
    <r>
      <rPr>
        <sz val="10"/>
        <rFont val="VN-NTime"/>
        <family val="1"/>
      </rPr>
      <t>42</t>
    </r>
    <r>
      <rPr>
        <sz val="10"/>
        <rFont val="VNI-Times"/>
      </rPr>
      <t>~47</t>
    </r>
    <r>
      <rPr>
        <sz val="10"/>
        <rFont val="Times New Roman"/>
        <family val="1"/>
      </rPr>
      <t>º</t>
    </r>
    <r>
      <rPr>
        <sz val="10"/>
        <rFont val="VN-NTime"/>
        <family val="1"/>
      </rPr>
      <t>C
(44±2</t>
    </r>
    <r>
      <rPr>
        <vertAlign val="superscript"/>
        <sz val="10"/>
        <rFont val="VN-NTime"/>
        <family val="1"/>
      </rPr>
      <t>o</t>
    </r>
    <r>
      <rPr>
        <sz val="10"/>
        <rFont val="VN-NTime"/>
        <family val="1"/>
      </rPr>
      <t>C)</t>
    </r>
  </si>
  <si>
    <r>
      <rPr>
        <sz val="10"/>
        <rFont val="VN-NTime"/>
        <family val="1"/>
      </rPr>
      <t>55</t>
    </r>
    <r>
      <rPr>
        <sz val="10"/>
        <rFont val="VNI-Times"/>
      </rPr>
      <t>~65</t>
    </r>
    <r>
      <rPr>
        <sz val="10"/>
        <rFont val="Times New Roman"/>
        <family val="1"/>
      </rPr>
      <t>º</t>
    </r>
    <r>
      <rPr>
        <sz val="10"/>
        <rFont val="VN-NTime"/>
        <family val="1"/>
      </rPr>
      <t>C
(60±3</t>
    </r>
    <r>
      <rPr>
        <vertAlign val="superscript"/>
        <sz val="10"/>
        <rFont val="VN-NTime"/>
        <family val="1"/>
      </rPr>
      <t>o</t>
    </r>
    <r>
      <rPr>
        <sz val="10"/>
        <rFont val="VN-NTime"/>
        <family val="1"/>
      </rPr>
      <t>C)</t>
    </r>
  </si>
  <si>
    <r>
      <rPr>
        <sz val="11"/>
        <rFont val="細明體"/>
        <family val="3"/>
        <charset val="136"/>
      </rPr>
      <t>烘乾</t>
    </r>
    <r>
      <rPr>
        <sz val="11"/>
        <rFont val="VNI-Times"/>
      </rPr>
      <t xml:space="preserve"> maùy saáy</t>
    </r>
  </si>
  <si>
    <r>
      <rPr>
        <sz val="10"/>
        <rFont val="VN-NTime"/>
        <family val="1"/>
      </rPr>
      <t>100</t>
    </r>
    <r>
      <rPr>
        <sz val="10"/>
        <rFont val="VNI-Times"/>
      </rPr>
      <t>~110</t>
    </r>
    <r>
      <rPr>
        <sz val="10"/>
        <rFont val="Times New Roman"/>
        <family val="1"/>
      </rPr>
      <t>º</t>
    </r>
    <r>
      <rPr>
        <sz val="10"/>
        <rFont val="VN-NTime"/>
        <family val="1"/>
      </rPr>
      <t>C
(100±5</t>
    </r>
    <r>
      <rPr>
        <vertAlign val="superscript"/>
        <sz val="10"/>
        <rFont val="VN-NTime"/>
        <family val="1"/>
      </rPr>
      <t>o</t>
    </r>
    <r>
      <rPr>
        <sz val="10"/>
        <rFont val="VN-NTime"/>
        <family val="1"/>
      </rPr>
      <t>C)</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</si>
  <si>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</si>
  <si>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</si>
  <si>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</si>
  <si>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</si>
  <si>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</si>
  <si>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</si>
  <si>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</si>
  <si>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</si>
  <si>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</si>
  <si>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</si>
  <si>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</si>
  <si>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</si>
  <si>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</si>
  <si>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</si>
  <si>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</si>
  <si>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</si>
  <si>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</si>
  <si>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</si>
  <si>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</si>
  <si>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</si>
  <si>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</si>
  <si>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</si>
  <si>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</si>
  <si>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</si>
  <si>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</si>
  <si>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</si>
  <si>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</si>
  <si>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</si>
  <si>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</si>
  <si>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</si>
  <si>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</si>
  <si>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</si>
  <si>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</si>
  <si>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</si>
  <si>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</si>
  <si>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</si>
  <si>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</si>
  <si>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</si>
  <si>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r>
      <t xml:space="preserve">Keát quaû kieåm tra </t>
    </r>
    <r>
      <rPr>
        <sz val="16"/>
        <color theme="1"/>
        <rFont val="細明體"/>
        <family val="3"/>
        <charset val="136"/>
      </rPr>
      <t>檢查結果</t>
    </r>
  </si>
  <si>
    <t>Haïng muïc
 kieåm tra noàng ñoä 
化驗檢查項目</t>
  </si>
  <si>
    <t>Noàng ñoä  axit HCl</t>
  </si>
  <si>
    <t>15~32%
(23.5%)</t>
  </si>
  <si>
    <t>Muối axit Phosphoric 1
磷酸鹽 1</t>
  </si>
  <si>
    <r>
      <t>Muối axit Phosphoric 2
磷酸鹽 2</t>
    </r>
    <r>
      <rPr>
        <sz val="11"/>
        <color theme="1"/>
        <rFont val="新細明體"/>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</si>
  <si>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</si>
  <si>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</si>
  <si>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</si>
  <si>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</si>
  <si>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</si>
  <si>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</si>
  <si>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</si>
  <si>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</si>
  <si>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</si>
  <si>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</si>
  <si>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</si>
  <si>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</si>
  <si>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</si>
  <si>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</si>
  <si>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</si>
  <si>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</si>
  <si>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</si>
  <si>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</si>
  <si>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</si>
  <si>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</si>
  <si>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</si>
  <si>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</si>
  <si>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</si>
  <si>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</si>
  <si>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</si>
  <si>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</si>
  <si>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</si>
  <si>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</si>
  <si>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</si>
  <si>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</si>
  <si>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</si>
  <si>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</si>
  <si>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</si>
  <si>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</si>
  <si>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</si>
  <si>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</si>
  <si>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</si>
  <si>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</si>
  <si>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</si>
  <si>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</si>
  <si>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</si>
  <si>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</si>
  <si>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</si>
  <si>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</si>
  <si>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</si>
  <si>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</si>
  <si>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</si>
  <si>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</si>
  <si>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</si>
  <si>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</si>
  <si>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</si>
  <si>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</si>
  <si>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</si>
  <si>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</si>
  <si>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</si>
  <si>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</si>
  <si>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</si>
  <si>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</si>
  <si>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</si>
  <si>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</si>
  <si>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 xml:space="preserve">2. XL-1F TT </t>
  </si>
  <si>
    <t>2. XL-1F kh</t>
  </si>
  <si>
    <t>3.XT-C kh</t>
  </si>
  <si>
    <t>1. XL-1E kh</t>
  </si>
  <si>
    <t>1. XL-1E TT</t>
  </si>
  <si>
    <t>XM.GUI MAIL</t>
  </si>
  <si>
    <t>ED-XI DEN</t>
  </si>
  <si>
    <t>R.FILE GOC</t>
  </si>
  <si>
    <t>1.xi den</t>
  </si>
  <si>
    <t>2.RL E</t>
  </si>
  <si>
    <t>5.ML</t>
  </si>
  <si>
    <t>XM.FILE GOC</t>
  </si>
  <si>
    <t>XM.BO SUNG kh</t>
  </si>
  <si>
    <t>XM.BO SUNG tt</t>
  </si>
  <si>
    <t>XM.chart 1</t>
  </si>
  <si>
    <t>3.XT-C TT</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</si>
  <si>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</si>
  <si>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</si>
  <si>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</si>
  <si>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</si>
  <si>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</si>
  <si>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</si>
  <si>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</si>
  <si>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</si>
  <si>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</si>
  <si>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</si>
  <si>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</si>
  <si>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</si>
  <si>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</si>
  <si>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</si>
  <si>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</si>
  <si>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</si>
  <si>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</si>
  <si>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</si>
  <si>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</si>
  <si>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</si>
  <si>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</si>
  <si>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</si>
  <si>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</si>
  <si>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</si>
  <si>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</si>
  <si>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</si>
  <si>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</si>
  <si>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</si>
  <si>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6" type="noConversion"/>
  </si>
  <si>
    <t xml:space="preserve">Rua acid </t>
    <phoneticPr fontId="6" type="noConversion"/>
  </si>
  <si>
    <r>
      <t xml:space="preserve">BẢNG KIỂM TRA DUNG DỊCH MUỐI AXIT PHOSPHORIC   _ RL-F
XỬ LÝ LỚP VỎ BÊN NGOÀI  </t>
    </r>
    <r>
      <rPr>
        <b/>
        <sz val="12"/>
        <rFont val="細明體"/>
        <family val="3"/>
        <charset val="136"/>
      </rPr>
      <t>磷酸鹽皮膜處理液管理表</t>
    </r>
    <phoneticPr fontId="6" type="noConversion"/>
  </si>
  <si>
    <r>
      <t xml:space="preserve">Keát quaû kieåm tra
</t>
    </r>
    <r>
      <rPr>
        <sz val="9"/>
        <rFont val="細明體"/>
        <family val="3"/>
        <charset val="136"/>
      </rPr>
      <t>檢查結果</t>
    </r>
    <r>
      <rPr>
        <sz val="9"/>
        <rFont val="VNI-Times"/>
      </rPr>
      <t xml:space="preserve"> (RL-F)</t>
    </r>
    <phoneticPr fontId="6" type="noConversion"/>
  </si>
  <si>
    <t>+</t>
    <phoneticPr fontId="7" type="noConversion"/>
  </si>
  <si>
    <t>kg</t>
    <phoneticPr fontId="7" type="noConversion"/>
  </si>
  <si>
    <t>L</t>
    <phoneticPr fontId="7" type="noConversion"/>
  </si>
  <si>
    <r>
      <t xml:space="preserve">Khử dầu 
</t>
    </r>
    <r>
      <rPr>
        <sz val="10"/>
        <rFont val="細明體"/>
        <family val="3"/>
        <charset val="136"/>
      </rPr>
      <t>脫脂</t>
    </r>
    <phoneticPr fontId="6" type="noConversion"/>
  </si>
  <si>
    <r>
      <t xml:space="preserve">Muối axit Phosphoric 
</t>
    </r>
    <r>
      <rPr>
        <sz val="10"/>
        <rFont val="細明體"/>
        <family val="3"/>
        <charset val="136"/>
      </rPr>
      <t>磷酸鹽</t>
    </r>
    <r>
      <rPr>
        <sz val="9"/>
        <rFont val="細明體"/>
        <family val="3"/>
        <charset val="136"/>
      </rPr>
      <t/>
    </r>
    <phoneticPr fontId="6" type="noConversion"/>
  </si>
  <si>
    <r>
      <t xml:space="preserve">Khử dầu 
</t>
    </r>
    <r>
      <rPr>
        <sz val="10"/>
        <rFont val="細明體"/>
        <family val="3"/>
        <charset val="136"/>
      </rPr>
      <t>脫脂</t>
    </r>
    <phoneticPr fontId="6" type="noConversion"/>
  </si>
  <si>
    <t>4.RL F tt</t>
    <phoneticPr fontId="6" type="noConversion"/>
  </si>
  <si>
    <t>4.RL F</t>
    <phoneticPr fontId="6" type="noConversion"/>
  </si>
  <si>
    <t>IMPORT</t>
    <phoneticPr fontId="6" type="noConversion"/>
  </si>
  <si>
    <t>RLF-HCL1</t>
  </si>
  <si>
    <t>RLF-KD</t>
  </si>
  <si>
    <t>RLF-PP1TA</t>
  </si>
  <si>
    <t>RLF-PP1AX</t>
  </si>
  <si>
    <t>RLF-PP1PL</t>
  </si>
  <si>
    <t>RLF-XB</t>
  </si>
  <si>
    <t>RLF-XBPH</t>
  </si>
  <si>
    <t>1</t>
    <phoneticPr fontId="6" type="noConversion"/>
  </si>
  <si>
    <t>2</t>
    <phoneticPr fontId="6" type="noConversion"/>
  </si>
  <si>
    <t>3</t>
    <phoneticPr fontId="6" type="noConversion"/>
  </si>
  <si>
    <t>4</t>
    <phoneticPr fontId="6" type="noConversion"/>
  </si>
  <si>
    <t>5</t>
    <phoneticPr fontId="6" type="noConversion"/>
  </si>
  <si>
    <t>6</t>
    <phoneticPr fontId="6" type="noConversion"/>
  </si>
  <si>
    <r>
      <t xml:space="preserve">đánh </t>
    </r>
    <r>
      <rPr>
        <sz val="12"/>
        <color rgb="FFC00000"/>
        <rFont val="Times New Roman"/>
        <family val="1"/>
      </rPr>
      <t>năm/tháng/ngày</t>
    </r>
    <r>
      <rPr>
        <sz val="12"/>
        <color theme="1"/>
        <rFont val="Times New Roman"/>
        <family val="1"/>
      </rPr>
      <t xml:space="preserve"> 
vào ô bên</t>
    </r>
    <phoneticPr fontId="6" type="noConversion"/>
  </si>
  <si>
    <t>7</t>
    <phoneticPr fontId="6" type="noConversion"/>
  </si>
  <si>
    <t>8</t>
    <phoneticPr fontId="6" type="noConversion"/>
  </si>
  <si>
    <t>8:15-8:45</t>
    <phoneticPr fontId="6" type="noConversion"/>
  </si>
  <si>
    <t>10:15-10:45</t>
    <phoneticPr fontId="6" type="noConversion"/>
  </si>
  <si>
    <t>16:30-17:00</t>
    <phoneticPr fontId="6" type="noConversion"/>
  </si>
  <si>
    <t>20:15-20:45</t>
    <phoneticPr fontId="6" type="noConversion"/>
  </si>
  <si>
    <t>22:15-22:45</t>
    <phoneticPr fontId="6" type="noConversion"/>
  </si>
  <si>
    <t>15:00-15:30</t>
    <phoneticPr fontId="6" type="noConversion"/>
  </si>
  <si>
    <t>4:30-5:00</t>
    <phoneticPr fontId="6" type="noConversion"/>
  </si>
  <si>
    <t>khoảng thời gian
 Import</t>
    <phoneticPr fontId="6" type="noConversion"/>
  </si>
  <si>
    <t>2:30-3:00</t>
    <phoneticPr fontId="6" type="noConversion"/>
  </si>
  <si>
    <r>
      <t>THỜI GIAN IMPORT CÁC CHUY</t>
    </r>
    <r>
      <rPr>
        <sz val="11"/>
        <color theme="1"/>
        <rFont val="細明體"/>
        <family val="3"/>
        <charset val="136"/>
      </rPr>
      <t>Ề</t>
    </r>
    <r>
      <rPr>
        <sz val="11"/>
        <color theme="1"/>
        <rFont val="Times New Roman"/>
        <family val="1"/>
      </rPr>
      <t>N</t>
    </r>
    <phoneticPr fontId="181" type="noConversion"/>
  </si>
  <si>
    <r>
      <t>chuy</t>
    </r>
    <r>
      <rPr>
        <sz val="11"/>
        <color theme="1"/>
        <rFont val="細明體"/>
        <family val="3"/>
        <charset val="136"/>
      </rPr>
      <t>ề</t>
    </r>
    <r>
      <rPr>
        <sz val="11"/>
        <color theme="1"/>
        <rFont val="Times New Roman"/>
        <family val="1"/>
      </rPr>
      <t>n</t>
    </r>
    <phoneticPr fontId="181" type="noConversion"/>
  </si>
  <si>
    <t>THỜI GIAN</t>
    <phoneticPr fontId="181" type="noConversion"/>
  </si>
  <si>
    <t>XI MẠ</t>
    <phoneticPr fontId="181" type="noConversion"/>
  </si>
  <si>
    <t>XL-001E</t>
    <phoneticPr fontId="181" type="noConversion"/>
  </si>
  <si>
    <t>8:15-8:45</t>
    <phoneticPr fontId="181" type="noConversion"/>
  </si>
  <si>
    <t>10:15-10:45</t>
    <phoneticPr fontId="181" type="noConversion"/>
  </si>
  <si>
    <t>15:00-15:30</t>
    <phoneticPr fontId="181" type="noConversion"/>
  </si>
  <si>
    <t>20:15-20:45</t>
    <phoneticPr fontId="181" type="noConversion"/>
  </si>
  <si>
    <t>22:15-22:45</t>
    <phoneticPr fontId="181" type="noConversion"/>
  </si>
  <si>
    <t>2:30-3:00</t>
    <phoneticPr fontId="181" type="noConversion"/>
  </si>
  <si>
    <t>4:30-5:00</t>
    <phoneticPr fontId="181" type="noConversion"/>
  </si>
  <si>
    <t>XL-001F</t>
    <phoneticPr fontId="181" type="noConversion"/>
  </si>
  <si>
    <t>XI TREO</t>
    <phoneticPr fontId="181" type="noConversion"/>
  </si>
  <si>
    <t>XT-001C</t>
    <phoneticPr fontId="181" type="noConversion"/>
  </si>
  <si>
    <t>RỬA LiỆU</t>
    <phoneticPr fontId="181" type="noConversion"/>
  </si>
  <si>
    <t>RL-E</t>
    <phoneticPr fontId="181" type="noConversion"/>
  </si>
  <si>
    <t>16:30-17:00</t>
    <phoneticPr fontId="181" type="noConversion"/>
  </si>
  <si>
    <t>RL-F</t>
    <phoneticPr fontId="181" type="noConversion"/>
  </si>
  <si>
    <t>RL-C</t>
    <phoneticPr fontId="181" type="noConversion"/>
  </si>
  <si>
    <t>DƯƠNG CỰC</t>
    <phoneticPr fontId="181" type="noConversion"/>
  </si>
  <si>
    <t>DC</t>
    <phoneticPr fontId="181" type="noConversion"/>
  </si>
  <si>
    <t>XI ĐEN</t>
    <phoneticPr fontId="181" type="noConversion"/>
  </si>
  <si>
    <t>XD</t>
    <phoneticPr fontId="181" type="noConversion"/>
  </si>
  <si>
    <t>tg import</t>
    <phoneticPr fontId="6"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</si>
  <si>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6" type="noConversion"/>
  </si>
  <si>
    <t>RL-G</t>
    <phoneticPr fontId="6" type="noConversion"/>
  </si>
  <si>
    <t>RL-F</t>
    <phoneticPr fontId="6" type="noConversion"/>
  </si>
  <si>
    <t>KHU DAU</t>
    <phoneticPr fontId="6" type="noConversion"/>
  </si>
  <si>
    <t>KHU DAU</t>
    <phoneticPr fontId="6" type="noConversion"/>
  </si>
  <si>
    <t>RL-G</t>
    <phoneticPr fontId="6" type="noConversion"/>
  </si>
  <si>
    <t>RL-F</t>
    <phoneticPr fontId="6" type="noConversion"/>
  </si>
  <si>
    <t>3.RL G</t>
    <phoneticPr fontId="6" type="noConversion"/>
  </si>
  <si>
    <t>3.RL G tt</t>
    <phoneticPr fontId="6"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</si>
  <si>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6" type="noConversion"/>
  </si>
  <si>
    <r>
      <t xml:space="preserve">Keát quaû kieåm tra
</t>
    </r>
    <r>
      <rPr>
        <sz val="10"/>
        <rFont val="細明體"/>
        <family val="3"/>
        <charset val="136"/>
      </rPr>
      <t>檢查結果</t>
    </r>
    <r>
      <rPr>
        <sz val="10"/>
        <rFont val="VNI-Times"/>
      </rPr>
      <t xml:space="preserve"> </t>
    </r>
    <phoneticPr fontId="6" type="noConversion"/>
  </si>
  <si>
    <r>
      <t xml:space="preserve">Keát quaû kieåm tra
</t>
    </r>
    <r>
      <rPr>
        <sz val="9"/>
        <rFont val="細明體"/>
        <family val="3"/>
        <charset val="136"/>
      </rPr>
      <t>檢查結果</t>
    </r>
    <r>
      <rPr>
        <sz val="9"/>
        <rFont val="VNI-Times"/>
      </rPr>
      <t xml:space="preserve"> </t>
    </r>
    <phoneticPr fontId="6"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</si>
  <si>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6" type="noConversion"/>
  </si>
  <si>
    <r>
      <t xml:space="preserve">Keát quaû kieåm tra
</t>
    </r>
    <r>
      <rPr>
        <sz val="9"/>
        <rFont val="細明體"/>
        <family val="3"/>
        <charset val="136"/>
      </rPr>
      <t>檢查結果</t>
    </r>
    <r>
      <rPr>
        <sz val="9"/>
        <rFont val="VNI-Times"/>
      </rPr>
      <t xml:space="preserve"> (RL-E)</t>
    </r>
    <phoneticPr fontId="6" type="noConversion"/>
  </si>
  <si>
    <r>
      <t xml:space="preserve">Keát quaû kieåm tra
</t>
    </r>
    <r>
      <rPr>
        <sz val="9"/>
        <rFont val="細明體"/>
        <family val="3"/>
        <charset val="136"/>
      </rPr>
      <t>檢查結果</t>
    </r>
    <r>
      <rPr>
        <sz val="9"/>
        <rFont val="VNI-Times"/>
      </rPr>
      <t xml:space="preserve"> </t>
    </r>
    <phoneticPr fontId="6"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</si>
  <si>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6"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</si>
  <si>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6" type="noConversion"/>
  </si>
  <si>
    <r>
      <t xml:space="preserve">Keát quaû kieåm tra
</t>
    </r>
    <r>
      <rPr>
        <sz val="9"/>
        <rFont val="細明體"/>
        <family val="3"/>
        <charset val="136"/>
      </rPr>
      <t>檢查結果</t>
    </r>
    <phoneticPr fontId="6"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</si>
  <si>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6" type="noConversion"/>
  </si>
  <si>
    <t>RLG-KD</t>
  </si>
  <si>
    <t>RLG-HCL1</t>
  </si>
  <si>
    <t>RLG-HCL1</t>
    <phoneticPr fontId="6" type="noConversion"/>
  </si>
  <si>
    <t>RLG-XB</t>
  </si>
  <si>
    <t>RLG-XBPH</t>
  </si>
  <si>
    <t>RLG-PPTA</t>
  </si>
  <si>
    <t>RLG-PPTA</t>
    <phoneticPr fontId="6" type="noConversion"/>
  </si>
  <si>
    <t>RLG-PPAX</t>
  </si>
  <si>
    <t>RLG-PPPL</t>
  </si>
  <si>
    <r>
      <t xml:space="preserve">Haïng muïc kieåm tra bôm thuoác töï ñoäng </t>
    </r>
    <r>
      <rPr>
        <sz val="12"/>
        <rFont val="標楷體"/>
        <family val="4"/>
        <charset val="136"/>
      </rPr>
      <t>藥液自動添加</t>
    </r>
  </si>
  <si>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新細明體"/>
        <family val="2"/>
        <scheme val="minor"/>
      </rPr>
      <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</si>
  <si>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新細明體"/>
        <family val="2"/>
        <scheme val="minor"/>
      </rPr>
      <t/>
    </r>
    <phoneticPr fontId="6" type="noConversion"/>
  </si>
  <si>
    <t>KQ bổ sung sau 1H</t>
    <phoneticPr fontId="6" type="noConversion"/>
  </si>
  <si>
    <t xml:space="preserve">濃度 </t>
    <phoneticPr fontId="6" type="noConversion"/>
  </si>
  <si>
    <t>KQ bổ sung sau 1H</t>
    <phoneticPr fontId="6" type="noConversion"/>
  </si>
  <si>
    <r>
      <rPr>
        <sz val="11"/>
        <color rgb="FF0000FF"/>
        <rFont val="細明體"/>
        <family val="3"/>
        <charset val="136"/>
      </rPr>
      <t>濃度</t>
    </r>
    <r>
      <rPr>
        <sz val="11"/>
        <color rgb="FF0000FF"/>
        <rFont val="Times New Roman"/>
        <family val="1"/>
      </rPr>
      <t xml:space="preserve"> </t>
    </r>
    <phoneticPr fontId="6" type="noConversion"/>
  </si>
  <si>
    <r>
      <rPr>
        <sz val="11"/>
        <color rgb="FF0000FF"/>
        <rFont val="細明體"/>
        <family val="3"/>
        <charset val="136"/>
      </rPr>
      <t>濃度</t>
    </r>
    <r>
      <rPr>
        <sz val="11"/>
        <color rgb="FF0000FF"/>
        <rFont val="Times New Roman"/>
        <family val="1"/>
      </rPr>
      <t xml:space="preserve"> </t>
    </r>
    <phoneticPr fontId="6" type="noConversion"/>
  </si>
  <si>
    <t>KQ bổ sung sau 1H</t>
    <phoneticPr fontId="6" type="noConversion"/>
  </si>
  <si>
    <r>
      <rPr>
        <sz val="11"/>
        <color rgb="FF0000FF"/>
        <rFont val="細明體"/>
        <family val="3"/>
        <charset val="136"/>
      </rPr>
      <t>濃度</t>
    </r>
    <r>
      <rPr>
        <sz val="11"/>
        <color rgb="FF0000FF"/>
        <rFont val="Times New Roman"/>
        <family val="1"/>
      </rPr>
      <t xml:space="preserve"> </t>
    </r>
    <phoneticPr fontId="6"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</si>
  <si>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</si>
  <si>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</si>
  <si>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</si>
  <si>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6"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</si>
  <si>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</si>
  <si>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</si>
  <si>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</si>
  <si>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</si>
  <si>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</si>
  <si>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</si>
  <si>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</si>
  <si>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 xml:space="preserve">Noàng ñoä  axit ñaëc 1 (13,14)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</si>
  <si>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2 (15,16,17)
</t>
    </r>
    <r>
      <rPr>
        <sz val="11"/>
        <color theme="1"/>
        <rFont val="標楷體"/>
        <family val="4"/>
        <charset val="136"/>
      </rPr>
      <t>鹽酸</t>
    </r>
    <r>
      <rPr>
        <sz val="11"/>
        <color theme="1"/>
        <rFont val="VNI-Times"/>
      </rPr>
      <t xml:space="preserve"> </t>
    </r>
    <r>
      <rPr>
        <sz val="11"/>
        <color theme="1"/>
        <rFont val="標楷體"/>
        <family val="4"/>
        <charset val="136"/>
      </rPr>
      <t>濃度</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</si>
  <si>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</si>
  <si>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</si>
  <si>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</si>
  <si>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Tieâu chuaån
</t>
    </r>
    <r>
      <rPr>
        <sz val="11"/>
        <color theme="1"/>
        <rFont val="標楷體"/>
        <family val="4"/>
        <charset val="136"/>
      </rPr>
      <t>標準範圍</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</si>
  <si>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</si>
  <si>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</si>
  <si>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</si>
  <si>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</si>
  <si>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</si>
  <si>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</si>
  <si>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</si>
  <si>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</si>
  <si>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</si>
  <si>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</si>
  <si>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</si>
  <si>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</si>
  <si>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</si>
  <si>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6" type="noConversion"/>
  </si>
  <si>
    <t>8.5~10</t>
    <phoneticPr fontId="6" type="noConversion"/>
  </si>
  <si>
    <t>QC- E</t>
    <phoneticPr fontId="6" type="noConversion"/>
  </si>
  <si>
    <t>5~15
(10)</t>
    <phoneticPr fontId="6" type="noConversion"/>
  </si>
  <si>
    <t>\</t>
    <phoneticPr fontId="6" type="noConversion"/>
  </si>
  <si>
    <t>\</t>
    <phoneticPr fontId="6" type="noConversion"/>
  </si>
  <si>
    <t>4.Zn Ni.kh</t>
    <phoneticPr fontId="6" type="noConversion"/>
  </si>
  <si>
    <t xml:space="preserve">4.Zn Ni TT </t>
    <phoneticPr fontId="6" type="noConversion"/>
  </si>
  <si>
    <t>60~80g/L
(70±5g/L)</t>
  </si>
  <si>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</si>
  <si>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t>EC-508A: 25±1kg/EC-508B:8±1Lit</t>
    <phoneticPr fontId="6" type="noConversion"/>
  </si>
  <si>
    <r>
      <t xml:space="preserve">Noàng ñoä  axit ñaëc 1 (13,14)
</t>
    </r>
    <r>
      <rPr>
        <sz val="11"/>
        <rFont val="標楷體"/>
        <family val="4"/>
        <charset val="136"/>
      </rPr>
      <t>鹽酸</t>
    </r>
    <r>
      <rPr>
        <sz val="11"/>
        <rFont val="VNI-Times"/>
      </rPr>
      <t xml:space="preserve"> </t>
    </r>
    <r>
      <rPr>
        <sz val="11"/>
        <rFont val="標楷體"/>
        <family val="4"/>
        <charset val="136"/>
      </rPr>
      <t>濃度</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</si>
  <si>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</si>
  <si>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</si>
  <si>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</si>
  <si>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</si>
  <si>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</si>
  <si>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 xml:space="preserve">BAÙO CAÙO KEÁT QUAÛ HOÙA NGHIEÄM HAÈNG NGAØY Zn-Ni
 </t>
    </r>
    <r>
      <rPr>
        <sz val="16"/>
        <rFont val="細明體"/>
        <family val="3"/>
        <charset val="136"/>
      </rPr>
      <t>吊電化驗結果報告</t>
    </r>
    <phoneticPr fontId="6" type="noConversion"/>
  </si>
  <si>
    <r>
      <t xml:space="preserve">BAÙO CAÙO KEÁT QUAÛ HOÙA NGHIEÄM HAÈNG NGAØY Zn-Ni
 </t>
    </r>
    <r>
      <rPr>
        <sz val="16"/>
        <rFont val="細明體"/>
        <family val="3"/>
        <charset val="136"/>
      </rPr>
      <t>吊電化驗結果報告</t>
    </r>
    <phoneticPr fontId="6"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</si>
  <si>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6" type="noConversion"/>
  </si>
  <si>
    <t>\</t>
    <phoneticPr fontId="6" type="noConversion"/>
  </si>
  <si>
    <t>kg</t>
    <phoneticPr fontId="6" type="noConversion"/>
  </si>
  <si>
    <t>CT-21A: 25kg/CT-21B: 5-10Lit</t>
    <phoneticPr fontId="6" type="noConversion"/>
  </si>
  <si>
    <t>EC-508A: 25kg/EC-508B:4-10Lit</t>
    <phoneticPr fontId="6"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</si>
  <si>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6" type="noConversion"/>
  </si>
  <si>
    <t>kg</t>
    <phoneticPr fontId="6" type="noConversion"/>
  </si>
  <si>
    <r>
      <t xml:space="preserve">BAÙO CAÙO KEÁT QUAÛ HOÙA NGHIEÄM HAÈNG NGAØY Zn-Ni
 </t>
    </r>
    <r>
      <rPr>
        <sz val="16"/>
        <rFont val="細明體"/>
        <family val="3"/>
        <charset val="136"/>
      </rPr>
      <t>吊電化驗結果報告</t>
    </r>
    <phoneticPr fontId="6" type="noConversion"/>
  </si>
  <si>
    <r>
      <t xml:space="preserve">BAÙO CAÙO KEÁT QUAÛ HOÙA NGHIEÄM HAÈNG NGAØY Zn-Ni
 </t>
    </r>
    <r>
      <rPr>
        <sz val="16"/>
        <rFont val="細明體"/>
        <family val="3"/>
        <charset val="136"/>
      </rPr>
      <t>吊電化驗結果報告</t>
    </r>
    <phoneticPr fontId="6"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</si>
  <si>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6" type="noConversion"/>
  </si>
  <si>
    <t>%</t>
    <phoneticPr fontId="6" type="noConversion"/>
  </si>
  <si>
    <t>%</t>
    <phoneticPr fontId="6" type="noConversion"/>
  </si>
  <si>
    <t>CHCl*VHCl=CNaOH*VNaOH</t>
  </si>
  <si>
    <t>CM=(10*C%*D)/M</t>
  </si>
  <si>
    <t>CNaOH=1N</t>
  </si>
  <si>
    <t>VHCl=1</t>
  </si>
  <si>
    <t>M=36.5</t>
  </si>
  <si>
    <t>=&gt;C%=(VNaOH*CNaOH*M)/(VHCl*10*D)</t>
  </si>
  <si>
    <t>CÁCH TÍNH</t>
    <phoneticPr fontId="6" type="noConversion"/>
  </si>
  <si>
    <t>D=1.16</t>
    <phoneticPr fontId="6" type="noConversion"/>
  </si>
  <si>
    <t xml:space="preserve">             =(VNaOH*1*36.5)/(1*10*1.16)</t>
    <phoneticPr fontId="6" type="noConversion"/>
  </si>
  <si>
    <t>PP HÓA NGHIỆM</t>
    <phoneticPr fontId="6"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</si>
  <si>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</si>
  <si>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6" type="noConversion"/>
  </si>
  <si>
    <t>NCC</t>
    <phoneticPr fontId="6" type="noConversion"/>
  </si>
  <si>
    <t>JASCO</t>
    <phoneticPr fontId="6" type="noConversion"/>
  </si>
  <si>
    <r>
      <t>D:\2. Data hoa nghiem\1. PP HÓA NGHIỆM CÁC BỒN-XLBM\HCL-</t>
    </r>
    <r>
      <rPr>
        <u/>
        <sz val="12"/>
        <color theme="10"/>
        <rFont val="Times New Roman"/>
        <family val="1"/>
      </rPr>
      <t>đ</t>
    </r>
    <r>
      <rPr>
        <u/>
        <sz val="12"/>
        <color theme="10"/>
        <rFont val="新細明體"/>
        <family val="1"/>
        <charset val="136"/>
      </rPr>
      <t>ặc, loãng-XM.pdf</t>
    </r>
  </si>
  <si>
    <r>
      <t>H</t>
    </r>
    <r>
      <rPr>
        <sz val="12"/>
        <rFont val="新細明體"/>
        <family val="1"/>
        <charset val="136"/>
      </rPr>
      <t>ALO</t>
    </r>
    <phoneticPr fontId="6" type="noConversion"/>
  </si>
  <si>
    <t>D:\2. Data hoa nghiem\1. PP HÓA NGHIỆM CÁC BỒN-XLBM\NaOH-XM,XT.pdf</t>
  </si>
  <si>
    <t>D:\2. Data hoa nghiem\1. PP HÓA NGHIỆM CÁC BỒN-XLBM\HCL hoạt hóa-xt,xm.pdf</t>
  </si>
  <si>
    <t>D:\2. Data hoa nghiem\1. PP HÓA NGHIỆM CÁC BỒN-XLBM\HNO3-XM.pdf</t>
  </si>
  <si>
    <t>CX</t>
    <phoneticPr fontId="6" type="noConversion"/>
  </si>
  <si>
    <r>
      <t>Z</t>
    </r>
    <r>
      <rPr>
        <sz val="12"/>
        <rFont val="新細明體"/>
        <family val="1"/>
        <charset val="136"/>
      </rPr>
      <t>N,JASCO</t>
    </r>
    <phoneticPr fontId="6" type="noConversion"/>
  </si>
  <si>
    <r>
      <rPr>
        <sz val="12"/>
        <rFont val="新細明體"/>
        <family val="1"/>
        <charset val="136"/>
      </rPr>
      <t>NAOH,</t>
    </r>
    <r>
      <rPr>
        <sz val="12"/>
        <rFont val="新細明體"/>
        <family val="1"/>
        <charset val="136"/>
      </rPr>
      <t>H</t>
    </r>
    <r>
      <rPr>
        <sz val="12"/>
        <rFont val="新細明體"/>
        <family val="1"/>
        <charset val="136"/>
      </rPr>
      <t>ALO</t>
    </r>
    <phoneticPr fontId="6" type="noConversion"/>
  </si>
  <si>
    <t>D:\2. Data hoa nghiem\1. PP HÓA NGHIỆM CÁC BỒN-XLBM\HNO3-XT.pdf</t>
  </si>
  <si>
    <t>D:\2. Data hoa nghiem\1. PP HÓA NGHIỆM CÁC BỒN-XLBM\HCL đặc, loãng-XT.pdf</t>
  </si>
  <si>
    <t>D:\2. Data hoa nghiem\1. PP HÓA NGHIỆM CÁC BỒN-XLBM\JASCO-CR3+XT,XL-1E.pdf</t>
  </si>
  <si>
    <t>D:\2. Data hoa nghiem\1. PP HÓA NGHIỆM CÁC BỒN-XLBM\HALO-PPPT_CT-21A-XB-XT,XM-1F.pdf</t>
  </si>
  <si>
    <t>D:\2. Data hoa nghiem\1. PP HÓA NGHIỆM CÁC BỒN-XLBM\HALO-PPPT_EC-508-ĐG-XT,XM-1F.pdf</t>
  </si>
  <si>
    <t>QC-1F</t>
    <phoneticPr fontId="6" type="noConversion"/>
  </si>
  <si>
    <t>D:\2. Data hoa nghiem\1. PP HÓA NGHIỆM CÁC BỒN-XLBM\JASCO-XB,ĐG-XL-1E.pdf</t>
  </si>
  <si>
    <t>D:\2. Data hoa nghiem\1. PP HÓA NGHIỆM CÁC BỒN-XLBM\HALO-PPPT_lanthane 318-CR2O3-XM1F.pdf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</si>
  <si>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</si>
  <si>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</si>
  <si>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</si>
  <si>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</si>
  <si>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</si>
  <si>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</si>
  <si>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</si>
  <si>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</si>
  <si>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</si>
  <si>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</si>
  <si>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</si>
  <si>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6" type="noConversion"/>
  </si>
  <si>
    <t>25.09.2022 XT tất cả đổi hóa chất Halo</t>
    <phoneticPr fontId="6" type="noConversion"/>
  </si>
  <si>
    <t>MÀU NIKEN-PH</t>
    <phoneticPr fontId="6" type="noConversion"/>
  </si>
  <si>
    <t>Rua acid (1)</t>
    <phoneticPr fontId="7" type="noConversion"/>
  </si>
  <si>
    <t>pH                     8~10</t>
    <phoneticPr fontId="7" type="noConversion"/>
  </si>
  <si>
    <t>RUA LIEU  G</t>
    <phoneticPr fontId="7" type="noConversion"/>
  </si>
  <si>
    <t>khu dau</t>
    <phoneticPr fontId="7" type="noConversion"/>
  </si>
  <si>
    <t>RUA LIEU  F</t>
    <phoneticPr fontId="7" type="noConversion"/>
  </si>
  <si>
    <t>MANG LOA</t>
    <phoneticPr fontId="7" type="noConversion"/>
  </si>
  <si>
    <t>xà bông 1</t>
    <phoneticPr fontId="7" type="noConversion"/>
  </si>
  <si>
    <t>HNO3</t>
    <phoneticPr fontId="7" type="noConversion"/>
  </si>
  <si>
    <t>đóng lỗ 1 (HK-101A1)</t>
    <phoneticPr fontId="7" type="noConversion"/>
  </si>
  <si>
    <t>đóng lỗ 2 (HK-101A1)</t>
    <phoneticPr fontId="7" type="noConversion"/>
  </si>
  <si>
    <t>Quy đổi nồng độ acid HCl 32% đậm đặc từ %V/V sang nồng độ %</t>
    <phoneticPr fontId="6"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</si>
  <si>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</si>
  <si>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</si>
  <si>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6" type="noConversion"/>
  </si>
  <si>
    <t>100%V/V</t>
    <phoneticPr fontId="6"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</si>
  <si>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</si>
  <si>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</si>
  <si>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6" type="noConversion"/>
  </si>
  <si>
    <t>30%V/V</t>
    <phoneticPr fontId="6" type="noConversion"/>
  </si>
  <si>
    <r>
      <t>Zn</t>
    </r>
    <r>
      <rPr>
        <sz val="11"/>
        <rFont val="細明體"/>
        <family val="3"/>
        <charset val="136"/>
      </rPr>
      <t>鋅</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</si>
  <si>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6" type="noConversion"/>
  </si>
  <si>
    <r>
      <t xml:space="preserve">HCl Đặc </t>
    </r>
    <r>
      <rPr>
        <sz val="11"/>
        <rFont val="細明體"/>
        <family val="3"/>
        <charset val="136"/>
      </rPr>
      <t>濃酸洗</t>
    </r>
    <phoneticPr fontId="6" type="noConversion"/>
  </si>
  <si>
    <t>60%V/V</t>
    <phoneticPr fontId="6" type="noConversion"/>
  </si>
  <si>
    <t>100%V/V</t>
    <phoneticPr fontId="6" type="noConversion"/>
  </si>
  <si>
    <r>
      <t>HCl Loãng</t>
    </r>
    <r>
      <rPr>
        <sz val="11"/>
        <rFont val="細明體"/>
        <family val="3"/>
        <charset val="136"/>
      </rPr>
      <t>弱酸洗</t>
    </r>
    <phoneticPr fontId="6" type="noConversion"/>
  </si>
  <si>
    <t>HCl hoat hoa</t>
    <phoneticPr fontId="6" type="noConversion"/>
  </si>
  <si>
    <r>
      <t>HNO</t>
    </r>
    <r>
      <rPr>
        <vertAlign val="subscript"/>
        <sz val="11"/>
        <rFont val="VNI-Times"/>
      </rPr>
      <t>3</t>
    </r>
    <r>
      <rPr>
        <sz val="11"/>
        <rFont val="VNI-Times"/>
      </rPr>
      <t xml:space="preserve"> </t>
    </r>
    <r>
      <rPr>
        <sz val="11"/>
        <rFont val="細明體"/>
        <family val="3"/>
        <charset val="136"/>
      </rPr>
      <t>硝酸中和</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</si>
  <si>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</si>
  <si>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6" type="noConversion"/>
  </si>
  <si>
    <r>
      <t>Xà bông (2)</t>
    </r>
    <r>
      <rPr>
        <sz val="11"/>
        <rFont val="細明體"/>
        <family val="3"/>
        <charset val="136"/>
      </rPr>
      <t>脫脂</t>
    </r>
  </si>
  <si>
    <r>
      <t>NaOH</t>
    </r>
    <r>
      <rPr>
        <sz val="11"/>
        <rFont val="細明體"/>
        <family val="3"/>
        <charset val="136"/>
      </rPr>
      <t>氫氧化鈉</t>
    </r>
    <phoneticPr fontId="6" type="noConversion"/>
  </si>
  <si>
    <r>
      <t>Zn</t>
    </r>
    <r>
      <rPr>
        <sz val="11"/>
        <rFont val="細明體"/>
        <family val="3"/>
        <charset val="136"/>
      </rPr>
      <t>鋅</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</si>
  <si>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6" type="noConversion"/>
  </si>
  <si>
    <t>Zn</t>
    <phoneticPr fontId="6" type="noConversion"/>
  </si>
  <si>
    <t>HCl Loãng (%)</t>
    <phoneticPr fontId="6" type="noConversion"/>
  </si>
  <si>
    <r>
      <t>HNO</t>
    </r>
    <r>
      <rPr>
        <vertAlign val="subscript"/>
        <sz val="11"/>
        <rFont val="VNI-Times"/>
      </rPr>
      <t>3</t>
    </r>
    <r>
      <rPr>
        <sz val="11"/>
        <rFont val="VNI-Times"/>
      </rPr>
      <t xml:space="preserve"> (%)</t>
    </r>
    <phoneticPr fontId="6" type="noConversion"/>
  </si>
  <si>
    <t>Niken (bồn Zn-Niken)</t>
    <phoneticPr fontId="6" type="noConversion"/>
  </si>
  <si>
    <t xml:space="preserve">PP HÓA NGHIỆM </t>
    <phoneticPr fontId="6"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</si>
  <si>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</si>
  <si>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</si>
  <si>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</si>
  <si>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</si>
  <si>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</si>
  <si>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6" type="noConversion"/>
  </si>
  <si>
    <t>RLG-KD</t>
    <phoneticPr fontId="6" type="noConversion"/>
  </si>
  <si>
    <t>RLG-HCL1</t>
    <phoneticPr fontId="6" type="noConversion"/>
  </si>
  <si>
    <t>RLG-PPTA</t>
    <phoneticPr fontId="6" type="noConversion"/>
  </si>
  <si>
    <t>RLG-PPAX</t>
    <phoneticPr fontId="6" type="noConversion"/>
  </si>
  <si>
    <t>RLG-PPPL</t>
    <phoneticPr fontId="6" type="noConversion"/>
  </si>
  <si>
    <t>RLG-XB</t>
    <phoneticPr fontId="6" type="noConversion"/>
  </si>
  <si>
    <t>RLG-XBPH</t>
    <phoneticPr fontId="6" type="noConversion"/>
  </si>
  <si>
    <t>RLG-TEMKD</t>
    <phoneticPr fontId="6" type="noConversion"/>
  </si>
  <si>
    <r>
      <t>55~65</t>
    </r>
    <r>
      <rPr>
        <vertAlign val="superscript"/>
        <sz val="12"/>
        <color theme="1"/>
        <rFont val="Times New Roman"/>
        <family val="1"/>
      </rPr>
      <t>O</t>
    </r>
    <r>
      <rPr>
        <sz val="12"/>
        <color theme="1"/>
        <rFont val="Times New Roman"/>
        <family val="1"/>
      </rPr>
      <t>C</t>
    </r>
  </si>
  <si>
    <t>RLG-TEMPP</t>
    <phoneticPr fontId="6" type="noConversion"/>
  </si>
  <si>
    <t>RLG-XB</t>
    <phoneticPr fontId="6"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</si>
  <si>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6" type="noConversion"/>
  </si>
  <si>
    <t xml:space="preserve">PP HÓA NGHIỆM </t>
    <phoneticPr fontId="6" type="noConversion"/>
  </si>
  <si>
    <t>RLF-KD</t>
    <phoneticPr fontId="6" type="noConversion"/>
  </si>
  <si>
    <t>RLF-HCL1</t>
    <phoneticPr fontId="6" type="noConversion"/>
  </si>
  <si>
    <t>RLF-PP1TA</t>
    <phoneticPr fontId="6" type="noConversion"/>
  </si>
  <si>
    <t>RLF-PP1AX</t>
    <phoneticPr fontId="6" type="noConversion"/>
  </si>
  <si>
    <t>RLF-PP1PL</t>
    <phoneticPr fontId="6" type="noConversion"/>
  </si>
  <si>
    <t>RLF-XB</t>
    <phoneticPr fontId="6" type="noConversion"/>
  </si>
  <si>
    <t>RLF-XBPH</t>
    <phoneticPr fontId="6" type="noConversion"/>
  </si>
  <si>
    <t>RLF-TEMKD</t>
    <phoneticPr fontId="6" type="noConversion"/>
  </si>
  <si>
    <t>RLF-TEMPP2</t>
    <phoneticPr fontId="6" type="noConversion"/>
  </si>
  <si>
    <t>RLF-TEMXB</t>
    <phoneticPr fontId="6" type="noConversion"/>
  </si>
  <si>
    <r>
      <rPr>
        <sz val="12"/>
        <color theme="1"/>
        <rFont val="細明體"/>
        <family val="3"/>
        <charset val="136"/>
      </rPr>
      <t>生產線別：</t>
    </r>
    <r>
      <rPr>
        <sz val="12"/>
        <color theme="1"/>
        <rFont val="Times New Roman"/>
        <family val="1"/>
      </rPr>
      <t>XI ĐEN - epoxy</t>
    </r>
    <phoneticPr fontId="6" type="noConversion"/>
  </si>
  <si>
    <t xml:space="preserve">PP HÓA NGHIỆM </t>
    <phoneticPr fontId="6" type="noConversion"/>
  </si>
  <si>
    <t>HALO</t>
    <phoneticPr fontId="6" type="noConversion"/>
  </si>
  <si>
    <t>5~15
(10)</t>
    <phoneticPr fontId="6" type="noConversion"/>
  </si>
  <si>
    <t>\</t>
    <phoneticPr fontId="6" type="noConversion"/>
  </si>
  <si>
    <t>\</t>
    <phoneticPr fontId="6" type="noConversion"/>
  </si>
  <si>
    <t xml:space="preserve">PP HÓA NGHIỆM </t>
    <phoneticPr fontId="6" type="noConversion"/>
  </si>
  <si>
    <t>L</t>
    <phoneticPr fontId="6" type="noConversion"/>
  </si>
  <si>
    <r>
      <rPr>
        <sz val="12"/>
        <color theme="1"/>
        <rFont val="細明體"/>
        <family val="3"/>
        <charset val="136"/>
      </rPr>
      <t>陽極處理槽</t>
    </r>
    <r>
      <rPr>
        <sz val="12"/>
        <color theme="1"/>
        <rFont val="Times New Roman"/>
        <family val="1"/>
      </rPr>
      <t xml:space="preserve">  dương cực  H2SO4 (18)</t>
    </r>
    <phoneticPr fontId="6" type="noConversion"/>
  </si>
  <si>
    <r>
      <rPr>
        <sz val="12"/>
        <color theme="1"/>
        <rFont val="細明體"/>
        <family val="3"/>
        <charset val="136"/>
      </rPr>
      <t>陽極處理槽</t>
    </r>
    <r>
      <rPr>
        <sz val="12"/>
        <color theme="1"/>
        <rFont val="Times New Roman"/>
        <family val="1"/>
      </rPr>
      <t xml:space="preserve"> dương cực Al3+ (18)</t>
    </r>
    <phoneticPr fontId="6" type="noConversion"/>
  </si>
  <si>
    <r>
      <rPr>
        <sz val="12"/>
        <color theme="1"/>
        <rFont val="細明體"/>
        <family val="3"/>
        <charset val="136"/>
      </rPr>
      <t>陽極處理槽</t>
    </r>
    <r>
      <rPr>
        <sz val="12"/>
        <color theme="1"/>
        <rFont val="Times New Roman"/>
        <family val="1"/>
      </rPr>
      <t xml:space="preserve">  dương cực  H2SO4 (19)</t>
    </r>
    <phoneticPr fontId="6" type="noConversion"/>
  </si>
  <si>
    <r>
      <rPr>
        <sz val="12"/>
        <color theme="1"/>
        <rFont val="細明體"/>
        <family val="3"/>
        <charset val="136"/>
      </rPr>
      <t>陽極處理槽</t>
    </r>
    <r>
      <rPr>
        <sz val="12"/>
        <color theme="1"/>
        <rFont val="Times New Roman"/>
        <family val="1"/>
      </rPr>
      <t xml:space="preserve"> dương cực Al3+ (19)</t>
    </r>
    <phoneticPr fontId="6" type="noConversion"/>
  </si>
  <si>
    <r>
      <rPr>
        <sz val="12"/>
        <color theme="1"/>
        <rFont val="細明體"/>
        <family val="3"/>
        <charset val="136"/>
      </rPr>
      <t>陽極處理槽</t>
    </r>
    <r>
      <rPr>
        <sz val="12"/>
        <color theme="1"/>
        <rFont val="Times New Roman"/>
        <family val="1"/>
      </rPr>
      <t xml:space="preserve">  dương cực  H2SO4 (20)</t>
    </r>
    <phoneticPr fontId="6" type="noConversion"/>
  </si>
  <si>
    <r>
      <rPr>
        <sz val="12"/>
        <color theme="1"/>
        <rFont val="細明體"/>
        <family val="3"/>
        <charset val="136"/>
      </rPr>
      <t>陽極處理槽</t>
    </r>
    <r>
      <rPr>
        <sz val="12"/>
        <color theme="1"/>
        <rFont val="Times New Roman"/>
        <family val="1"/>
      </rPr>
      <t xml:space="preserve"> dương cực Al3+ (20)</t>
    </r>
    <phoneticPr fontId="6"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</si>
  <si>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</si>
  <si>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6"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</si>
  <si>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</si>
  <si>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6"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</si>
  <si>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6" type="noConversion"/>
  </si>
  <si>
    <r>
      <t>30~60ºC
(45±5</t>
    </r>
    <r>
      <rPr>
        <vertAlign val="superscript"/>
        <sz val="12"/>
        <color theme="1"/>
        <rFont val="Times New Roman"/>
        <family val="1"/>
      </rPr>
      <t>o</t>
    </r>
    <r>
      <rPr>
        <sz val="12"/>
        <color theme="1"/>
        <rFont val="Times New Roman"/>
        <family val="1"/>
      </rPr>
      <t>C)</t>
    </r>
  </si>
  <si>
    <r>
      <t>42~47ºC
(44±2</t>
    </r>
    <r>
      <rPr>
        <vertAlign val="superscript"/>
        <sz val="12"/>
        <color theme="1"/>
        <rFont val="Times New Roman"/>
        <family val="1"/>
      </rPr>
      <t>o</t>
    </r>
    <r>
      <rPr>
        <sz val="12"/>
        <color theme="1"/>
        <rFont val="Times New Roman"/>
        <family val="1"/>
      </rPr>
      <t>C)</t>
    </r>
  </si>
  <si>
    <r>
      <t>55~65ºC
(60±3</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</si>
  <si>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</si>
  <si>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6" type="noConversion"/>
  </si>
  <si>
    <t>RL-G</t>
    <phoneticPr fontId="6" type="noConversion"/>
  </si>
  <si>
    <t>RL-F</t>
    <phoneticPr fontId="6" type="noConversion"/>
  </si>
  <si>
    <t>Kg</t>
    <phoneticPr fontId="6" type="noConversion"/>
  </si>
  <si>
    <t>8.5~10</t>
    <phoneticPr fontId="6" type="noConversion"/>
  </si>
  <si>
    <r>
      <t>55~65</t>
    </r>
    <r>
      <rPr>
        <vertAlign val="superscript"/>
        <sz val="10"/>
        <color theme="1"/>
        <rFont val="VNI-Times"/>
      </rPr>
      <t>O</t>
    </r>
    <r>
      <rPr>
        <sz val="10"/>
        <color theme="1"/>
        <rFont val="VNI-Times"/>
      </rPr>
      <t>C</t>
    </r>
  </si>
  <si>
    <t>RL-G</t>
    <phoneticPr fontId="6" type="noConversion"/>
  </si>
  <si>
    <t>RL-F</t>
    <phoneticPr fontId="6" type="noConversion"/>
  </si>
  <si>
    <t>8.5~10</t>
    <phoneticPr fontId="6" type="noConversion"/>
  </si>
  <si>
    <r>
      <t>濃度</t>
    </r>
    <r>
      <rPr>
        <sz val="11"/>
        <color theme="1"/>
        <rFont val="VNI-Times"/>
      </rPr>
      <t xml:space="preserve"> g/L</t>
    </r>
    <phoneticPr fontId="6" type="noConversion"/>
  </si>
  <si>
    <t>..\..\..\2. Data hoa nghiem\1. PP HÓA NGHIỆM CÁC BỒN-XLBM\HALO-PPPT_Kem kiềm.pdf</t>
  </si>
  <si>
    <t>..\..\..\2. Data hoa nghiem\1. PP HÓA NGHIỆM CÁC BỒN-XLBM\JASCO-Phương pháp phân tích ZN-Ni-XT.pdf</t>
  </si>
  <si>
    <t>20~40 %V/V
(30±5% V/V)</t>
  </si>
  <si>
    <t>CT-21A: 25kg/CT-21B:8±1Lit</t>
    <phoneticPr fontId="6" type="noConversion"/>
  </si>
  <si>
    <t>PP HÓA NGHIỆM
FILE WORD</t>
    <phoneticPr fontId="6" type="noConversion"/>
  </si>
  <si>
    <r>
      <t xml:space="preserve">chất bóng (250 brightener)
</t>
    </r>
    <r>
      <rPr>
        <sz val="11"/>
        <color theme="1"/>
        <rFont val="細明體"/>
        <family val="3"/>
        <charset val="136"/>
      </rPr>
      <t>光亮劑</t>
    </r>
    <phoneticPr fontId="6"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</si>
  <si>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6"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</si>
  <si>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6" type="noConversion"/>
  </si>
  <si>
    <r>
      <t xml:space="preserve">chất bóng (250 brightener)
</t>
    </r>
    <r>
      <rPr>
        <sz val="11"/>
        <color theme="1"/>
        <rFont val="細明體"/>
        <family val="3"/>
        <charset val="136"/>
      </rPr>
      <t>光亮劑</t>
    </r>
    <phoneticPr fontId="6" type="noConversion"/>
  </si>
  <si>
    <t>dm</t>
    <phoneticPr fontId="6" type="noConversion"/>
  </si>
  <si>
    <t>90% thể tích bồn</t>
    <phoneticPr fontId="6"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</si>
  <si>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</si>
  <si>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</si>
  <si>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</si>
  <si>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</si>
  <si>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</si>
  <si>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</si>
  <si>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6" type="noConversion"/>
  </si>
  <si>
    <t>1. hàng sạch đã rửa acid</t>
    <phoneticPr fontId="6" type="noConversion"/>
  </si>
  <si>
    <t>2. pha 1,7 lít nước + 300ml niken hóa+ nhúng 11 phút</t>
    <phoneticPr fontId="6" type="noConversion"/>
  </si>
  <si>
    <t>3. xịt +sấy</t>
    <phoneticPr fontId="6" type="noConversion"/>
  </si>
  <si>
    <r>
      <t>thể tích chuy</t>
    </r>
    <r>
      <rPr>
        <sz val="11"/>
        <color rgb="FF0000FF"/>
        <rFont val="新細明體"/>
        <family val="2"/>
        <charset val="134"/>
      </rPr>
      <t>ề</t>
    </r>
    <r>
      <rPr>
        <sz val="11"/>
        <color rgb="FF0000FF"/>
        <rFont val="Times New Roman"/>
        <family val="1"/>
      </rPr>
      <t>n RỬA LiỆU RL-G, RL-F</t>
    </r>
    <phoneticPr fontId="6" type="noConversion"/>
  </si>
  <si>
    <t>khử dầu</t>
    <phoneticPr fontId="6" type="noConversion"/>
  </si>
  <si>
    <t>acid</t>
    <phoneticPr fontId="6" type="noConversion"/>
  </si>
  <si>
    <t>photphas</t>
    <phoneticPr fontId="6" type="noConversion"/>
  </si>
  <si>
    <t>xà bông</t>
    <phoneticPr fontId="6" type="noConversion"/>
  </si>
  <si>
    <t xml:space="preserve">rộng </t>
    <phoneticPr fontId="6" type="noConversion"/>
  </si>
  <si>
    <t>dm</t>
    <phoneticPr fontId="6" type="noConversion"/>
  </si>
  <si>
    <t>dài</t>
    <phoneticPr fontId="6" type="noConversion"/>
  </si>
  <si>
    <t>cao</t>
    <phoneticPr fontId="6"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</si>
  <si>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6" type="noConversion"/>
  </si>
  <si>
    <r>
      <t>thêm chất bóng thì mi</t>
    </r>
    <r>
      <rPr>
        <sz val="11"/>
        <color rgb="FF0000FF"/>
        <rFont val="細明體"/>
        <family val="3"/>
        <charset val="136"/>
      </rPr>
      <t>ế</t>
    </r>
    <r>
      <rPr>
        <sz val="11"/>
        <color rgb="FF0000FF"/>
        <rFont val="Times New Roman"/>
        <family val="1"/>
      </rPr>
      <t>ng hucell độ dày tăng</t>
    </r>
    <phoneticPr fontId="6" type="noConversion"/>
  </si>
  <si>
    <t>8~16 %
(12±2%)</t>
  </si>
  <si>
    <t>kg</t>
    <phoneticPr fontId="6" type="noConversion"/>
  </si>
  <si>
    <t>L</t>
    <phoneticPr fontId="6" type="noConversion"/>
  </si>
  <si>
    <t>* pha mới màu halo xt (nồng độ 6%): 11 thung</t>
    <phoneticPr fontId="6" type="noConversion"/>
  </si>
  <si>
    <t>* pha mới màu jasco xt (nồng độ 12%): 6 thùng 173A+11 thùng 174H</t>
    <phoneticPr fontId="6"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</si>
  <si>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</si>
  <si>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</si>
  <si>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</si>
  <si>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</si>
  <si>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</si>
  <si>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6" type="noConversion"/>
  </si>
  <si>
    <t>Trang</t>
    <phoneticPr fontId="6" type="noConversion"/>
  </si>
  <si>
    <t>L.Yen</t>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</si>
  <si>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6" type="noConversion"/>
  </si>
  <si>
    <t>TIEU CHUAN</t>
    <phoneticPr fontId="6"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</si>
  <si>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6" type="noConversion"/>
  </si>
  <si>
    <t>NCC</t>
    <phoneticPr fontId="6" type="noConversion"/>
  </si>
  <si>
    <t>JASCO</t>
    <phoneticPr fontId="6" type="noConversion"/>
  </si>
  <si>
    <t>HALO</t>
    <phoneticPr fontId="6" type="noConversion"/>
  </si>
  <si>
    <t>JASCO</t>
    <phoneticPr fontId="6" type="noConversion"/>
  </si>
  <si>
    <t>TIEU CHUAN</t>
    <phoneticPr fontId="6" type="noConversion"/>
  </si>
  <si>
    <t>NCC</t>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</si>
  <si>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6"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</si>
  <si>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</si>
  <si>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6" type="noConversion"/>
  </si>
  <si>
    <t>kg</t>
    <phoneticPr fontId="6" type="noConversion"/>
  </si>
  <si>
    <t>+</t>
    <phoneticPr fontId="6" type="noConversion"/>
  </si>
  <si>
    <t>L</t>
    <phoneticPr fontId="6" type="noConversion"/>
  </si>
  <si>
    <t>L</t>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</si>
  <si>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</si>
  <si>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</si>
  <si>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新細明體"/>
        <family val="2"/>
        <scheme val="minor"/>
      </rPr>
      <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</si>
  <si>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新細明體"/>
        <family val="2"/>
        <scheme val="minor"/>
      </rPr>
      <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</si>
  <si>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新細明體"/>
        <family val="2"/>
        <scheme val="minor"/>
      </rPr>
      <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</si>
  <si>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新細明體"/>
        <family val="2"/>
        <scheme val="minor"/>
      </rPr>
      <t/>
    </r>
    <phoneticPr fontId="6"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</si>
  <si>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新細明體"/>
        <family val="2"/>
        <scheme val="minor"/>
      </rPr>
      <t/>
    </r>
    <phoneticPr fontId="6"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</si>
  <si>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6"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</si>
  <si>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新細明體"/>
        <family val="2"/>
        <scheme val="minor"/>
      </rPr>
      <t/>
    </r>
    <phoneticPr fontId="6" type="noConversion"/>
  </si>
  <si>
    <t>L</t>
    <phoneticPr fontId="6" type="noConversion"/>
  </si>
  <si>
    <t>\</t>
    <phoneticPr fontId="6" type="noConversion"/>
  </si>
  <si>
    <t>8.5~10</t>
    <phoneticPr fontId="6"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</si>
  <si>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</si>
  <si>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</si>
  <si>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6" type="noConversion"/>
  </si>
  <si>
    <t>RLG-PPAX</t>
    <phoneticPr fontId="6" type="noConversion"/>
  </si>
  <si>
    <t>RLG-PPPL</t>
    <phoneticPr fontId="6" type="noConversion"/>
  </si>
  <si>
    <t>RLG-XB</t>
    <phoneticPr fontId="6" type="noConversion"/>
  </si>
  <si>
    <t>RLG-XBPH</t>
    <phoneticPr fontId="6" type="noConversion"/>
  </si>
  <si>
    <t>8.5~10</t>
    <phoneticPr fontId="6" type="noConversion"/>
  </si>
  <si>
    <t>RLG-TEMKD</t>
    <phoneticPr fontId="6" type="noConversion"/>
  </si>
  <si>
    <r>
      <t>55~65</t>
    </r>
    <r>
      <rPr>
        <vertAlign val="superscript"/>
        <sz val="12"/>
        <rFont val="Times New Roman"/>
        <family val="1"/>
      </rPr>
      <t>O</t>
    </r>
    <r>
      <rPr>
        <sz val="12"/>
        <rFont val="Times New Roman"/>
        <family val="1"/>
      </rPr>
      <t>C</t>
    </r>
  </si>
  <si>
    <t>RLG-TEMPP</t>
    <phoneticPr fontId="6" type="noConversion"/>
  </si>
  <si>
    <t>RLG-XB</t>
    <phoneticPr fontId="6"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</si>
  <si>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6" type="noConversion"/>
  </si>
  <si>
    <t>RLF-KD</t>
    <phoneticPr fontId="6" type="noConversion"/>
  </si>
  <si>
    <t>RLF-HCL1</t>
    <phoneticPr fontId="6" type="noConversion"/>
  </si>
  <si>
    <t>RLF-PP1TA</t>
    <phoneticPr fontId="6" type="noConversion"/>
  </si>
  <si>
    <t>RLF-PP1AX</t>
    <phoneticPr fontId="6" type="noConversion"/>
  </si>
  <si>
    <t>RLF-PP1PL</t>
    <phoneticPr fontId="6" type="noConversion"/>
  </si>
  <si>
    <t>RLF-XB</t>
    <phoneticPr fontId="6" type="noConversion"/>
  </si>
  <si>
    <t>RLF-XBPH</t>
    <phoneticPr fontId="6" type="noConversion"/>
  </si>
  <si>
    <t>RLF-TEMKD</t>
    <phoneticPr fontId="6" type="noConversion"/>
  </si>
  <si>
    <t>RLF-TEMPP2</t>
    <phoneticPr fontId="6" type="noConversion"/>
  </si>
  <si>
    <t>RLF-TEMXB</t>
    <phoneticPr fontId="6" type="noConversion"/>
  </si>
  <si>
    <t>5~15
(10)</t>
    <phoneticPr fontId="6" type="noConversion"/>
  </si>
  <si>
    <t>\</t>
    <phoneticPr fontId="6" type="noConversion"/>
  </si>
  <si>
    <t>\</t>
    <phoneticPr fontId="6" type="noConversion"/>
  </si>
  <si>
    <r>
      <rPr>
        <sz val="12"/>
        <rFont val="細明體"/>
        <family val="3"/>
        <charset val="136"/>
      </rPr>
      <t>陽極處理槽</t>
    </r>
    <r>
      <rPr>
        <sz val="12"/>
        <rFont val="Times New Roman"/>
        <family val="1"/>
      </rPr>
      <t xml:space="preserve">  dương cực  H2SO4 (18)</t>
    </r>
    <phoneticPr fontId="6" type="noConversion"/>
  </si>
  <si>
    <r>
      <rPr>
        <sz val="12"/>
        <rFont val="細明體"/>
        <family val="3"/>
        <charset val="136"/>
      </rPr>
      <t>陽極處理槽</t>
    </r>
    <r>
      <rPr>
        <sz val="12"/>
        <rFont val="Times New Roman"/>
        <family val="1"/>
      </rPr>
      <t xml:space="preserve"> dương cực Al3+ (18)</t>
    </r>
    <phoneticPr fontId="6" type="noConversion"/>
  </si>
  <si>
    <r>
      <rPr>
        <sz val="12"/>
        <rFont val="細明體"/>
        <family val="3"/>
        <charset val="136"/>
      </rPr>
      <t>陽極處理槽</t>
    </r>
    <r>
      <rPr>
        <sz val="12"/>
        <rFont val="Times New Roman"/>
        <family val="1"/>
      </rPr>
      <t xml:space="preserve">  dương cực  H2SO4 (19)</t>
    </r>
    <phoneticPr fontId="6" type="noConversion"/>
  </si>
  <si>
    <r>
      <rPr>
        <sz val="12"/>
        <rFont val="細明體"/>
        <family val="3"/>
        <charset val="136"/>
      </rPr>
      <t>陽極處理槽</t>
    </r>
    <r>
      <rPr>
        <sz val="12"/>
        <rFont val="Times New Roman"/>
        <family val="1"/>
      </rPr>
      <t xml:space="preserve"> dương cực Al3+ (19)</t>
    </r>
    <phoneticPr fontId="6" type="noConversion"/>
  </si>
  <si>
    <r>
      <rPr>
        <sz val="12"/>
        <rFont val="細明體"/>
        <family val="3"/>
        <charset val="136"/>
      </rPr>
      <t>陽極處理槽</t>
    </r>
    <r>
      <rPr>
        <sz val="12"/>
        <rFont val="Times New Roman"/>
        <family val="1"/>
      </rPr>
      <t xml:space="preserve">  dương cực  H2SO4 (20)</t>
    </r>
    <phoneticPr fontId="6" type="noConversion"/>
  </si>
  <si>
    <r>
      <rPr>
        <sz val="12"/>
        <rFont val="細明體"/>
        <family val="3"/>
        <charset val="136"/>
      </rPr>
      <t>陽極處理槽</t>
    </r>
    <r>
      <rPr>
        <sz val="12"/>
        <rFont val="Times New Roman"/>
        <family val="1"/>
      </rPr>
      <t xml:space="preserve"> dương cực Al3+ (20)</t>
    </r>
    <phoneticPr fontId="6" type="noConversion"/>
  </si>
  <si>
    <r>
      <t>45~65ºC
(55±8</t>
    </r>
    <r>
      <rPr>
        <vertAlign val="superscript"/>
        <sz val="12"/>
        <rFont val="Times New Roman"/>
        <family val="1"/>
      </rPr>
      <t>o</t>
    </r>
    <r>
      <rPr>
        <sz val="12"/>
        <rFont val="Times New Roman"/>
        <family val="1"/>
      </rPr>
      <t>C)</t>
    </r>
  </si>
  <si>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6" type="noConversion"/>
  </si>
  <si>
    <r>
      <t>18~25ºC
(22±2</t>
    </r>
    <r>
      <rPr>
        <vertAlign val="superscript"/>
        <sz val="12"/>
        <rFont val="Times New Roman"/>
        <family val="1"/>
      </rPr>
      <t>o</t>
    </r>
    <r>
      <rPr>
        <sz val="12"/>
        <rFont val="Times New Roman"/>
        <family val="1"/>
      </rPr>
      <t>C)</t>
    </r>
  </si>
  <si>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6"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</si>
  <si>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6" type="noConversion"/>
  </si>
  <si>
    <r>
      <t>30~60ºC
(45±5</t>
    </r>
    <r>
      <rPr>
        <vertAlign val="superscript"/>
        <sz val="12"/>
        <rFont val="Times New Roman"/>
        <family val="1"/>
      </rPr>
      <t>o</t>
    </r>
    <r>
      <rPr>
        <sz val="12"/>
        <rFont val="Times New Roman"/>
        <family val="1"/>
      </rPr>
      <t>C)</t>
    </r>
  </si>
  <si>
    <r>
      <t>42~47ºC
(44±2</t>
    </r>
    <r>
      <rPr>
        <vertAlign val="superscript"/>
        <sz val="12"/>
        <rFont val="Times New Roman"/>
        <family val="1"/>
      </rPr>
      <t>o</t>
    </r>
    <r>
      <rPr>
        <sz val="12"/>
        <rFont val="Times New Roman"/>
        <family val="1"/>
      </rPr>
      <t>C)</t>
    </r>
  </si>
  <si>
    <r>
      <t>55~65ºC
(60±3</t>
    </r>
    <r>
      <rPr>
        <vertAlign val="superscript"/>
        <sz val="12"/>
        <rFont val="Times New Roman"/>
        <family val="1"/>
      </rPr>
      <t>o</t>
    </r>
    <r>
      <rPr>
        <sz val="12"/>
        <rFont val="Times New Roman"/>
        <family val="1"/>
      </rPr>
      <t>C)</t>
    </r>
  </si>
  <si>
    <r>
      <t>100~110ºC
(100±5</t>
    </r>
    <r>
      <rPr>
        <vertAlign val="superscript"/>
        <sz val="12"/>
        <rFont val="Times New Roman"/>
        <family val="1"/>
      </rPr>
      <t>o</t>
    </r>
    <r>
      <rPr>
        <sz val="12"/>
        <rFont val="Times New Roman"/>
        <family val="1"/>
      </rPr>
      <t>C)</t>
    </r>
  </si>
  <si>
    <t>BẢNG KIỂM TRA DẦU NHỚT TRONG BỒN NƯỚC SAU BỒN ACID</t>
    <phoneticPr fontId="181" type="noConversion"/>
  </si>
  <si>
    <t>Ngày:</t>
    <phoneticPr fontId="181" type="noConversion"/>
  </si>
  <si>
    <r>
      <t>Chuy</t>
    </r>
    <r>
      <rPr>
        <sz val="11"/>
        <color theme="1"/>
        <rFont val="細明體"/>
        <family val="3"/>
        <charset val="136"/>
      </rPr>
      <t>ề</t>
    </r>
    <r>
      <rPr>
        <sz val="11"/>
        <color theme="1"/>
        <rFont val="Times New Roman"/>
        <family val="1"/>
      </rPr>
      <t>n</t>
    </r>
    <phoneticPr fontId="181" type="noConversion"/>
  </si>
  <si>
    <t>Bồn nước</t>
    <phoneticPr fontId="181" type="noConversion"/>
  </si>
  <si>
    <t>phán định OK/NG</t>
    <phoneticPr fontId="181" type="noConversion"/>
  </si>
  <si>
    <t>XL-001E</t>
    <phoneticPr fontId="181" type="noConversion"/>
  </si>
  <si>
    <r>
      <t>aicd loãng--&gt;</t>
    </r>
    <r>
      <rPr>
        <b/>
        <sz val="11"/>
        <color theme="1"/>
        <rFont val="Times New Roman"/>
        <family val="1"/>
      </rPr>
      <t xml:space="preserve"> nước</t>
    </r>
    <phoneticPr fontId="181" type="noConversion"/>
  </si>
  <si>
    <r>
      <t xml:space="preserve">acid hoạt hóa--&gt; </t>
    </r>
    <r>
      <rPr>
        <b/>
        <sz val="11"/>
        <color theme="1"/>
        <rFont val="Times New Roman"/>
        <family val="1"/>
      </rPr>
      <t>nước</t>
    </r>
    <phoneticPr fontId="181" type="noConversion"/>
  </si>
  <si>
    <r>
      <t xml:space="preserve">HNO3--&gt; </t>
    </r>
    <r>
      <rPr>
        <b/>
        <sz val="11"/>
        <color theme="1"/>
        <rFont val="Times New Roman"/>
        <family val="1"/>
      </rPr>
      <t>nước</t>
    </r>
    <phoneticPr fontId="181" type="noConversion"/>
  </si>
  <si>
    <t>XL-001F</t>
    <phoneticPr fontId="181" type="noConversion"/>
  </si>
  <si>
    <t>XT-001C</t>
    <phoneticPr fontId="181" type="noConversion"/>
  </si>
  <si>
    <r>
      <t>aicd đặc--&gt;</t>
    </r>
    <r>
      <rPr>
        <b/>
        <sz val="11"/>
        <color theme="1"/>
        <rFont val="Times New Roman"/>
        <family val="1"/>
      </rPr>
      <t xml:space="preserve"> nước</t>
    </r>
    <phoneticPr fontId="181" type="noConversion"/>
  </si>
  <si>
    <t>KT DAU</t>
    <phoneticPr fontId="6" type="noConversion"/>
  </si>
  <si>
    <t xml:space="preserve">Type sample </t>
    <phoneticPr fontId="181" type="noConversion"/>
  </si>
  <si>
    <t xml:space="preserve">Test Item </t>
    <phoneticPr fontId="181" type="noConversion"/>
  </si>
  <si>
    <t>Unit</t>
    <phoneticPr fontId="181" type="noConversion"/>
  </si>
  <si>
    <t xml:space="preserve"> Result</t>
    <phoneticPr fontId="181" type="noConversion"/>
  </si>
  <si>
    <r>
      <t>Zn</t>
    </r>
    <r>
      <rPr>
        <vertAlign val="superscript"/>
        <sz val="11"/>
        <color theme="1"/>
        <rFont val="Times New Roman"/>
        <family val="1"/>
      </rPr>
      <t>2+</t>
    </r>
    <phoneticPr fontId="181" type="noConversion"/>
  </si>
  <si>
    <t>g/l</t>
    <phoneticPr fontId="181" type="noConversion"/>
  </si>
  <si>
    <t>NaOH</t>
    <phoneticPr fontId="181"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</si>
  <si>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81" type="noConversion"/>
  </si>
  <si>
    <t>Fe</t>
    <phoneticPr fontId="181" type="noConversion"/>
  </si>
  <si>
    <t>&lt;5</t>
  </si>
  <si>
    <t>ppm</t>
    <phoneticPr fontId="181" type="noConversion"/>
  </si>
  <si>
    <t>Cu</t>
    <phoneticPr fontId="181" type="noConversion"/>
  </si>
  <si>
    <t>Cr</t>
    <phoneticPr fontId="181" type="noConversion"/>
  </si>
  <si>
    <t>Pb</t>
    <phoneticPr fontId="181" type="noConversion"/>
  </si>
  <si>
    <t>Màu K (5U109A)</t>
    <phoneticPr fontId="181" type="noConversion"/>
  </si>
  <si>
    <t>%</t>
    <phoneticPr fontId="181" type="noConversion"/>
  </si>
  <si>
    <t>pH</t>
    <phoneticPr fontId="181" type="noConversion"/>
  </si>
  <si>
    <t>/</t>
    <phoneticPr fontId="181" type="noConversion"/>
  </si>
  <si>
    <t>(2.1±0.1 )</t>
  </si>
  <si>
    <t>＜5ppm</t>
  </si>
  <si>
    <t>Zn</t>
    <phoneticPr fontId="181" type="noConversion"/>
  </si>
  <si>
    <t>Lanthane 318</t>
    <phoneticPr fontId="181" type="noConversion"/>
  </si>
  <si>
    <t>Finidip 124</t>
    <phoneticPr fontId="181" type="noConversion"/>
  </si>
  <si>
    <r>
      <t>Ni</t>
    </r>
    <r>
      <rPr>
        <vertAlign val="superscript"/>
        <sz val="11"/>
        <color theme="1"/>
        <rFont val="Times New Roman"/>
        <family val="1"/>
      </rPr>
      <t>2+</t>
    </r>
    <phoneticPr fontId="181" type="noConversion"/>
  </si>
  <si>
    <t xml:space="preserve"> MẪU GỬI  NHÀ CUNG ỨNG</t>
    <phoneticPr fontId="181" type="noConversion"/>
  </si>
  <si>
    <t>Cr2O3 (TR173AH)</t>
    <phoneticPr fontId="181" type="noConversion"/>
  </si>
  <si>
    <t>&lt;80</t>
    <phoneticPr fontId="181" type="noConversion"/>
  </si>
  <si>
    <r>
      <rPr>
        <sz val="10"/>
        <rFont val="細明體"/>
        <family val="3"/>
        <charset val="136"/>
      </rPr>
      <t>＜</t>
    </r>
    <r>
      <rPr>
        <sz val="10"/>
        <rFont val="Times New Roman"/>
        <family val="1"/>
      </rPr>
      <t>5</t>
    </r>
    <phoneticPr fontId="181" type="noConversion"/>
  </si>
  <si>
    <t>Màu Ni (988C1)</t>
    <phoneticPr fontId="6" type="noConversion"/>
  </si>
  <si>
    <t>Màu Ni (988S1)</t>
    <phoneticPr fontId="6" type="noConversion"/>
  </si>
  <si>
    <t>ml/l</t>
    <phoneticPr fontId="6" type="noConversion"/>
  </si>
  <si>
    <t>50-100</t>
    <phoneticPr fontId="6" type="noConversion"/>
  </si>
  <si>
    <t>15-35</t>
    <phoneticPr fontId="6" type="noConversion"/>
  </si>
  <si>
    <t>Standards</t>
    <phoneticPr fontId="181" type="noConversion"/>
  </si>
  <si>
    <r>
      <rPr>
        <sz val="10"/>
        <rFont val="細明體"/>
        <family val="3"/>
        <charset val="136"/>
      </rPr>
      <t>＜</t>
    </r>
    <r>
      <rPr>
        <sz val="10"/>
        <rFont val="Times New Roman"/>
        <family val="1"/>
      </rPr>
      <t>70g/L</t>
    </r>
    <phoneticPr fontId="181" type="noConversion"/>
  </si>
  <si>
    <t>1-1.8</t>
    <phoneticPr fontId="222" type="noConversion"/>
  </si>
  <si>
    <r>
      <rPr>
        <sz val="10"/>
        <rFont val="細明體"/>
        <family val="3"/>
        <charset val="136"/>
      </rPr>
      <t>＜</t>
    </r>
    <r>
      <rPr>
        <sz val="10"/>
        <rFont val="Times New Roman"/>
        <family val="1"/>
      </rPr>
      <t>80mg/L</t>
    </r>
    <phoneticPr fontId="222" type="noConversion"/>
  </si>
  <si>
    <r>
      <rPr>
        <sz val="10"/>
        <rFont val="細明體"/>
        <family val="3"/>
        <charset val="136"/>
      </rPr>
      <t>＜</t>
    </r>
    <r>
      <rPr>
        <sz val="10"/>
        <rFont val="Times New Roman"/>
        <family val="1"/>
      </rPr>
      <t>5ppm</t>
    </r>
    <phoneticPr fontId="222" type="noConversion"/>
  </si>
  <si>
    <r>
      <rPr>
        <sz val="10"/>
        <rFont val="細明體"/>
        <family val="3"/>
        <charset val="136"/>
      </rPr>
      <t>＜</t>
    </r>
    <r>
      <rPr>
        <sz val="10"/>
        <rFont val="Times New Roman"/>
        <family val="1"/>
      </rPr>
      <t>7000ppm</t>
    </r>
    <phoneticPr fontId="181" type="noConversion"/>
  </si>
  <si>
    <t>Màu K (5U109A)
 (XL-1E)</t>
    <phoneticPr fontId="181" type="noConversion"/>
  </si>
  <si>
    <t>Akaline Zinc 
(XL-1F)</t>
    <phoneticPr fontId="181" type="noConversion"/>
  </si>
  <si>
    <t>Akaline Zinc 
(XT-0C)</t>
    <phoneticPr fontId="181" type="noConversion"/>
  </si>
  <si>
    <t>Nickel Zinc 
(XT-0C)</t>
    <phoneticPr fontId="181" type="noConversion"/>
  </si>
  <si>
    <t>Màu K (5U109A)
 (XT-0C)</t>
    <phoneticPr fontId="181" type="noConversion"/>
  </si>
  <si>
    <t>Màu Ni 
(XT-0C)</t>
    <phoneticPr fontId="6" type="noConversion"/>
  </si>
  <si>
    <t>NCC</t>
    <phoneticPr fontId="6" type="noConversion"/>
  </si>
  <si>
    <t>HALO</t>
    <phoneticPr fontId="6" type="noConversion"/>
  </si>
  <si>
    <t>JASCO</t>
    <phoneticPr fontId="6" type="noConversion"/>
  </si>
  <si>
    <t>JASCO</t>
    <phoneticPr fontId="6" type="noConversion"/>
  </si>
  <si>
    <t>PT TAP CHAT</t>
    <phoneticPr fontId="6" type="noConversion"/>
  </si>
  <si>
    <t>Màu (I) (Lanthane 318)
(XL-1F)</t>
    <phoneticPr fontId="181" type="noConversion"/>
  </si>
  <si>
    <t>Màu (K) (Finidip 124)
 (XL-1F)</t>
    <phoneticPr fontId="181" type="noConversion"/>
  </si>
  <si>
    <t>Màu (I) (TR173AH) 
 (XT-0C)</t>
    <phoneticPr fontId="181" type="noConversion"/>
  </si>
  <si>
    <t>Màu (I)  (Lanthane 318)
 (XT-0C)</t>
    <phoneticPr fontId="181" type="noConversion"/>
  </si>
  <si>
    <t>Màu (I) (TR173AH) 
(XL-1E)</t>
    <phoneticPr fontId="181" type="noConversion"/>
  </si>
  <si>
    <t>phán định OK/NG</t>
    <phoneticPr fontId="181" type="noConversion"/>
  </si>
  <si>
    <t>XL-001E</t>
    <phoneticPr fontId="181" type="noConversion"/>
  </si>
  <si>
    <t>XT-001C</t>
    <phoneticPr fontId="181" type="noConversion"/>
  </si>
  <si>
    <r>
      <t>aicd loãng--&gt;</t>
    </r>
    <r>
      <rPr>
        <b/>
        <sz val="12"/>
        <color theme="1"/>
        <rFont val="Times New Roman"/>
        <family val="1"/>
      </rPr>
      <t xml:space="preserve"> nước</t>
    </r>
    <phoneticPr fontId="181" type="noConversion"/>
  </si>
  <si>
    <r>
      <t xml:space="preserve">acid hoạt hóa--&gt; </t>
    </r>
    <r>
      <rPr>
        <b/>
        <sz val="12"/>
        <color theme="1"/>
        <rFont val="Times New Roman"/>
        <family val="1"/>
      </rPr>
      <t>nước</t>
    </r>
    <phoneticPr fontId="181" type="noConversion"/>
  </si>
  <si>
    <r>
      <t xml:space="preserve">HNO3--&gt; </t>
    </r>
    <r>
      <rPr>
        <b/>
        <sz val="12"/>
        <color theme="1"/>
        <rFont val="Times New Roman"/>
        <family val="1"/>
      </rPr>
      <t>nước</t>
    </r>
    <phoneticPr fontId="181" type="noConversion"/>
  </si>
  <si>
    <r>
      <t>aicd đặc--&gt;</t>
    </r>
    <r>
      <rPr>
        <b/>
        <sz val="12"/>
        <color theme="1"/>
        <rFont val="Times New Roman"/>
        <family val="1"/>
      </rPr>
      <t xml:space="preserve"> nước</t>
    </r>
    <phoneticPr fontId="181" type="noConversion"/>
  </si>
  <si>
    <t>Na2CO3</t>
    <phoneticPr fontId="6" type="noConversion"/>
  </si>
  <si>
    <t>1E</t>
    <phoneticPr fontId="6" type="noConversion"/>
  </si>
  <si>
    <t>1F</t>
    <phoneticPr fontId="6" type="noConversion"/>
  </si>
  <si>
    <t>XT</t>
    <phoneticPr fontId="6" type="noConversion"/>
  </si>
  <si>
    <t>JASCO</t>
    <phoneticPr fontId="6" type="noConversion"/>
  </si>
  <si>
    <t>HALO</t>
    <phoneticPr fontId="6" type="noConversion"/>
  </si>
  <si>
    <t>Akaline Zinc 
(XL-1E)</t>
    <phoneticPr fontId="181" type="noConversion"/>
  </si>
  <si>
    <t>XL-1F</t>
    <phoneticPr fontId="6" type="noConversion"/>
  </si>
  <si>
    <t>XT-0C</t>
    <phoneticPr fontId="6" type="noConversion"/>
  </si>
  <si>
    <t>XL-1E</t>
    <phoneticPr fontId="6"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</si>
  <si>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81" type="noConversion"/>
  </si>
  <si>
    <r>
      <rPr>
        <sz val="10"/>
        <rFont val="細明體"/>
        <family val="3"/>
        <charset val="136"/>
      </rPr>
      <t>＜</t>
    </r>
    <r>
      <rPr>
        <sz val="10"/>
        <rFont val="Times New Roman"/>
        <family val="1"/>
      </rPr>
      <t>70g/L</t>
    </r>
    <phoneticPr fontId="181" type="noConversion"/>
  </si>
  <si>
    <t>g/l</t>
    <phoneticPr fontId="181" type="noConversion"/>
  </si>
  <si>
    <t>..\..\..\2. Data hoa nghiem\1. PP HÓA NGHIỆM CÁC BỒN-XLBM\NA2CO3-HALO.pdf</t>
  </si>
  <si>
    <t xml:space="preserve">ghi chú: </t>
    <phoneticPr fontId="6" type="noConversion"/>
  </si>
  <si>
    <t>stop:   -</t>
    <phoneticPr fontId="6" type="noConversion"/>
  </si>
  <si>
    <t>\</t>
    <phoneticPr fontId="6" type="noConversion"/>
  </si>
  <si>
    <t>L</t>
    <phoneticPr fontId="6" type="noConversion"/>
  </si>
  <si>
    <t>12~18 %
(14±2%)</t>
    <phoneticPr fontId="6" type="noConversion"/>
  </si>
  <si>
    <r>
      <t>65~75ºC
(70±3</t>
    </r>
    <r>
      <rPr>
        <i/>
        <vertAlign val="superscript"/>
        <sz val="12"/>
        <rFont val="Times New Roman"/>
        <family val="1"/>
      </rPr>
      <t>O</t>
    </r>
    <r>
      <rPr>
        <i/>
        <sz val="12"/>
        <rFont val="Times New Roman"/>
        <family val="1"/>
      </rPr>
      <t>C)</t>
    </r>
  </si>
  <si>
    <r>
      <t>50~60ºC
(55±3</t>
    </r>
    <r>
      <rPr>
        <i/>
        <vertAlign val="superscript"/>
        <sz val="12"/>
        <rFont val="Times New Roman"/>
        <family val="1"/>
      </rPr>
      <t>O</t>
    </r>
    <r>
      <rPr>
        <i/>
        <sz val="12"/>
        <rFont val="Times New Roman"/>
        <family val="1"/>
      </rPr>
      <t>C)</t>
    </r>
  </si>
  <si>
    <r>
      <t>20~30ºC
(25±3</t>
    </r>
    <r>
      <rPr>
        <i/>
        <vertAlign val="superscript"/>
        <sz val="12"/>
        <rFont val="Times New Roman"/>
        <family val="1"/>
      </rPr>
      <t>O</t>
    </r>
    <r>
      <rPr>
        <i/>
        <sz val="12"/>
        <rFont val="Times New Roman"/>
        <family val="1"/>
      </rPr>
      <t>C)</t>
    </r>
  </si>
  <si>
    <r>
      <t>35-45ºC
(40±3</t>
    </r>
    <r>
      <rPr>
        <i/>
        <vertAlign val="superscript"/>
        <sz val="12"/>
        <rFont val="Times New Roman"/>
        <family val="1"/>
      </rPr>
      <t>O</t>
    </r>
    <r>
      <rPr>
        <i/>
        <sz val="12"/>
        <rFont val="Times New Roman"/>
        <family val="1"/>
      </rPr>
      <t>C)</t>
    </r>
  </si>
  <si>
    <r>
      <t>55~65ºC
(60±3</t>
    </r>
    <r>
      <rPr>
        <i/>
        <vertAlign val="superscript"/>
        <sz val="12"/>
        <rFont val="Times New Roman"/>
        <family val="1"/>
      </rPr>
      <t>O</t>
    </r>
    <r>
      <rPr>
        <i/>
        <sz val="12"/>
        <rFont val="Times New Roman"/>
        <family val="1"/>
      </rPr>
      <t>C)</t>
    </r>
  </si>
  <si>
    <r>
      <t>50~70ºC
(60±3</t>
    </r>
    <r>
      <rPr>
        <i/>
        <vertAlign val="superscript"/>
        <sz val="12"/>
        <rFont val="Times New Roman"/>
        <family val="1"/>
      </rPr>
      <t>O</t>
    </r>
    <r>
      <rPr>
        <i/>
        <sz val="12"/>
        <rFont val="Times New Roman"/>
        <family val="1"/>
      </rPr>
      <t>C)</t>
    </r>
  </si>
  <si>
    <r>
      <t>55~65ºC
(60±3</t>
    </r>
    <r>
      <rPr>
        <i/>
        <vertAlign val="superscript"/>
        <sz val="10"/>
        <rFont val="Times New Roman"/>
        <family val="1"/>
      </rPr>
      <t>O</t>
    </r>
    <r>
      <rPr>
        <i/>
        <sz val="10"/>
        <rFont val="Times New Roman"/>
        <family val="1"/>
      </rPr>
      <t>C)</t>
    </r>
  </si>
  <si>
    <r>
      <t>65~75ºC
(70±3</t>
    </r>
    <r>
      <rPr>
        <i/>
        <vertAlign val="superscript"/>
        <sz val="10"/>
        <rFont val="Times New Roman"/>
        <family val="1"/>
      </rPr>
      <t>O</t>
    </r>
    <r>
      <rPr>
        <i/>
        <sz val="10"/>
        <rFont val="Times New Roman"/>
        <family val="1"/>
      </rPr>
      <t>C)</t>
    </r>
  </si>
  <si>
    <r>
      <t>40~60ºC
(50±10</t>
    </r>
    <r>
      <rPr>
        <i/>
        <vertAlign val="superscript"/>
        <sz val="12"/>
        <rFont val="Times New Roman"/>
        <family val="1"/>
      </rPr>
      <t>O</t>
    </r>
    <r>
      <rPr>
        <i/>
        <sz val="12"/>
        <rFont val="Times New Roman"/>
        <family val="1"/>
      </rPr>
      <t>C)</t>
    </r>
  </si>
  <si>
    <t>5~15 %V/V
(10±3% V/V)</t>
    <phoneticPr fontId="6" type="noConversion"/>
  </si>
  <si>
    <t>130 - 150g/L
(140±10g/L)</t>
    <phoneticPr fontId="6" type="noConversion"/>
  </si>
  <si>
    <t>8-12g/l
(10±1g/l)</t>
    <phoneticPr fontId="6" type="noConversion"/>
  </si>
  <si>
    <t>6~10 %
(8±0.5%)</t>
    <phoneticPr fontId="6" type="noConversion"/>
  </si>
  <si>
    <t>0.5~1.5%
(1±0.2%)</t>
    <phoneticPr fontId="6" type="noConversion"/>
  </si>
  <si>
    <t>5~8%
(6%±0.5)</t>
    <phoneticPr fontId="6" type="noConversion"/>
  </si>
  <si>
    <t>100-200</t>
    <phoneticPr fontId="6" type="noConversion"/>
  </si>
  <si>
    <t>20-50</t>
    <phoneticPr fontId="6" type="noConversion"/>
  </si>
  <si>
    <t>135~ 145g/L
(140±5g/L)</t>
    <phoneticPr fontId="6" type="noConversion"/>
  </si>
  <si>
    <t>6~8g/L
(7±0.5g/L)</t>
    <phoneticPr fontId="6" type="noConversion"/>
  </si>
  <si>
    <t>5~8 %
(6±0.5%)</t>
    <phoneticPr fontId="6" type="noConversion"/>
  </si>
  <si>
    <t>40~50 %V/V
(45±5% V/V)</t>
    <phoneticPr fontId="6" type="noConversion"/>
  </si>
  <si>
    <t>0.5~1.5%
(1±0.4%)</t>
    <phoneticPr fontId="6" type="noConversion"/>
  </si>
  <si>
    <t>3~9%
(6±1%)</t>
    <phoneticPr fontId="6" type="noConversion"/>
  </si>
  <si>
    <t>5~6g/L
(5.5± 1g/L)</t>
    <phoneticPr fontId="6" type="noConversion"/>
  </si>
  <si>
    <t>120~130g/L
(125 ± 5g/L)</t>
    <phoneticPr fontId="6" type="noConversion"/>
  </si>
  <si>
    <t>20~30ºC</t>
    <phoneticPr fontId="6" type="noConversion"/>
  </si>
  <si>
    <t>30~50 
(40)</t>
    <phoneticPr fontId="6" type="noConversion"/>
  </si>
  <si>
    <t>160~220
(180)</t>
    <phoneticPr fontId="6" type="noConversion"/>
  </si>
  <si>
    <r>
      <t>65~75ºC
(70±3</t>
    </r>
    <r>
      <rPr>
        <i/>
        <vertAlign val="superscript"/>
        <sz val="12"/>
        <rFont val="Times New Roman"/>
        <family val="1"/>
      </rPr>
      <t>O</t>
    </r>
    <r>
      <rPr>
        <i/>
        <sz val="12"/>
        <rFont val="Times New Roman"/>
        <family val="1"/>
      </rPr>
      <t>C)</t>
    </r>
    <phoneticPr fontId="6" type="noConversion"/>
  </si>
  <si>
    <r>
      <t>50~60ºC
(55±3</t>
    </r>
    <r>
      <rPr>
        <i/>
        <vertAlign val="superscript"/>
        <sz val="12"/>
        <rFont val="Times New Roman"/>
        <family val="1"/>
      </rPr>
      <t>O</t>
    </r>
    <r>
      <rPr>
        <i/>
        <sz val="12"/>
        <rFont val="Times New Roman"/>
        <family val="1"/>
      </rPr>
      <t>C)</t>
    </r>
    <phoneticPr fontId="6" type="noConversion"/>
  </si>
  <si>
    <r>
      <t>65~75ºC
(70±3</t>
    </r>
    <r>
      <rPr>
        <i/>
        <vertAlign val="superscript"/>
        <sz val="10"/>
        <rFont val="Times New Roman"/>
        <family val="1"/>
      </rPr>
      <t>O</t>
    </r>
    <r>
      <rPr>
        <i/>
        <sz val="10"/>
        <rFont val="Times New Roman"/>
        <family val="1"/>
      </rPr>
      <t>C)</t>
    </r>
    <phoneticPr fontId="6" type="noConversion"/>
  </si>
  <si>
    <r>
      <t>22~30ºC
(24±1</t>
    </r>
    <r>
      <rPr>
        <i/>
        <vertAlign val="superscript"/>
        <sz val="10"/>
        <rFont val="Times New Roman"/>
        <family val="1"/>
      </rPr>
      <t>O</t>
    </r>
    <r>
      <rPr>
        <i/>
        <sz val="10"/>
        <rFont val="Times New Roman"/>
        <family val="1"/>
      </rPr>
      <t>C)</t>
    </r>
    <phoneticPr fontId="6" type="noConversion"/>
  </si>
  <si>
    <r>
      <t>30-38ºC
(34±2</t>
    </r>
    <r>
      <rPr>
        <i/>
        <vertAlign val="superscript"/>
        <sz val="10"/>
        <rFont val="Times New Roman"/>
        <family val="1"/>
      </rPr>
      <t>O</t>
    </r>
    <r>
      <rPr>
        <i/>
        <sz val="10"/>
        <rFont val="Times New Roman"/>
        <family val="1"/>
      </rPr>
      <t>C)</t>
    </r>
    <phoneticPr fontId="6" type="noConversion"/>
  </si>
  <si>
    <r>
      <t>60~70ºC
(65±3</t>
    </r>
    <r>
      <rPr>
        <i/>
        <vertAlign val="superscript"/>
        <sz val="10"/>
        <rFont val="Times New Roman"/>
        <family val="1"/>
      </rPr>
      <t>O</t>
    </r>
    <r>
      <rPr>
        <i/>
        <sz val="10"/>
        <rFont val="Times New Roman"/>
        <family val="1"/>
      </rPr>
      <t>C)</t>
    </r>
    <phoneticPr fontId="6" type="noConversion"/>
  </si>
  <si>
    <r>
      <t>55~65ºC
(60±3</t>
    </r>
    <r>
      <rPr>
        <i/>
        <vertAlign val="superscript"/>
        <sz val="10"/>
        <rFont val="Times New Roman"/>
        <family val="1"/>
      </rPr>
      <t>O</t>
    </r>
    <r>
      <rPr>
        <i/>
        <sz val="10"/>
        <rFont val="Times New Roman"/>
        <family val="1"/>
      </rPr>
      <t>C)</t>
    </r>
    <phoneticPr fontId="6" type="noConversion"/>
  </si>
  <si>
    <r>
      <t>24~28ºC
(26±2</t>
    </r>
    <r>
      <rPr>
        <i/>
        <vertAlign val="superscript"/>
        <sz val="12"/>
        <rFont val="Times New Roman"/>
        <family val="1"/>
      </rPr>
      <t>O</t>
    </r>
    <r>
      <rPr>
        <i/>
        <sz val="12"/>
        <rFont val="Times New Roman"/>
        <family val="1"/>
      </rPr>
      <t>C)</t>
    </r>
    <phoneticPr fontId="6" type="noConversion"/>
  </si>
  <si>
    <r>
      <t>20~30ºC
(25±5</t>
    </r>
    <r>
      <rPr>
        <i/>
        <vertAlign val="superscript"/>
        <sz val="12"/>
        <rFont val="Times New Roman"/>
        <family val="1"/>
      </rPr>
      <t>O</t>
    </r>
    <r>
      <rPr>
        <i/>
        <sz val="12"/>
        <rFont val="Times New Roman"/>
        <family val="1"/>
      </rPr>
      <t>C)</t>
    </r>
    <phoneticPr fontId="6" type="noConversion"/>
  </si>
  <si>
    <r>
      <t xml:space="preserve">Tiêu chuẩn
</t>
    </r>
    <r>
      <rPr>
        <i/>
        <sz val="12"/>
        <rFont val="細明體"/>
        <family val="3"/>
        <charset val="136"/>
      </rPr>
      <t>控制範圍</t>
    </r>
    <phoneticPr fontId="6" type="noConversion"/>
  </si>
  <si>
    <r>
      <t xml:space="preserve">Đơn vị
</t>
    </r>
    <r>
      <rPr>
        <sz val="12"/>
        <rFont val="細明體"/>
        <family val="3"/>
        <charset val="136"/>
      </rPr>
      <t>單位</t>
    </r>
    <phoneticPr fontId="6" type="noConversion"/>
  </si>
  <si>
    <t>kg</t>
    <phoneticPr fontId="6" type="noConversion"/>
  </si>
  <si>
    <t>kg</t>
    <phoneticPr fontId="6"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</si>
  <si>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6" type="noConversion"/>
  </si>
  <si>
    <t>CT-21A: 25kg/CT-21B: 7-10L</t>
    <phoneticPr fontId="6" type="noConversion"/>
  </si>
  <si>
    <t>EC-508A: 25kg/EC-508B:6-10L</t>
    <phoneticPr fontId="6" type="noConversion"/>
  </si>
  <si>
    <r>
      <t>24~26ºC
(25</t>
    </r>
    <r>
      <rPr>
        <i/>
        <vertAlign val="superscript"/>
        <sz val="10"/>
        <rFont val="Times New Roman"/>
        <family val="1"/>
      </rPr>
      <t>O</t>
    </r>
    <r>
      <rPr>
        <i/>
        <sz val="10"/>
        <rFont val="Times New Roman"/>
        <family val="1"/>
      </rPr>
      <t>C)</t>
    </r>
    <phoneticPr fontId="6" type="noConversion"/>
  </si>
  <si>
    <r>
      <t xml:space="preserve">Nhiệt độ nước nóng siêm âm
</t>
    </r>
    <r>
      <rPr>
        <sz val="12"/>
        <rFont val="細明體"/>
        <family val="3"/>
        <charset val="136"/>
      </rPr>
      <t>超音波熱水洗槽</t>
    </r>
    <phoneticPr fontId="6"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</si>
  <si>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6"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</si>
  <si>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6" type="noConversion"/>
  </si>
  <si>
    <r>
      <t>35~45ºC
(40±3</t>
    </r>
    <r>
      <rPr>
        <i/>
        <vertAlign val="superscript"/>
        <sz val="12"/>
        <color theme="1"/>
        <rFont val="Times New Roman"/>
        <family val="1"/>
      </rPr>
      <t>O</t>
    </r>
    <r>
      <rPr>
        <i/>
        <sz val="12"/>
        <color theme="1"/>
        <rFont val="Times New Roman"/>
        <family val="1"/>
      </rPr>
      <t>C)</t>
    </r>
    <phoneticPr fontId="6" type="noConversion"/>
  </si>
  <si>
    <r>
      <t>34~36ºC
(35±1</t>
    </r>
    <r>
      <rPr>
        <i/>
        <vertAlign val="superscript"/>
        <sz val="12"/>
        <rFont val="Times New Roman"/>
        <family val="1"/>
      </rPr>
      <t>O</t>
    </r>
    <r>
      <rPr>
        <i/>
        <sz val="12"/>
        <rFont val="Times New Roman"/>
        <family val="1"/>
      </rPr>
      <t>C)</t>
    </r>
    <phoneticPr fontId="6" type="noConversion"/>
  </si>
  <si>
    <t>\</t>
    <phoneticPr fontId="6"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</si>
  <si>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6"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</si>
  <si>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6"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</si>
  <si>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6"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</si>
  <si>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6"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</si>
  <si>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6" type="noConversion"/>
  </si>
  <si>
    <t>QC- XT</t>
    <phoneticPr fontId="6" type="noConversion"/>
  </si>
  <si>
    <t>1.8~2.4
(2.1±0.1 )</t>
    <phoneticPr fontId="6" type="noConversion"/>
  </si>
  <si>
    <t xml:space="preserve">KQ NCC </t>
    <phoneticPr fontId="6" type="noConversion"/>
  </si>
  <si>
    <t>2~2.5(2.3±0.1 )</t>
    <phoneticPr fontId="6" type="noConversion"/>
  </si>
  <si>
    <t>1.6~2.2(1.8±0.1 )</t>
    <phoneticPr fontId="6" type="noConversion"/>
  </si>
  <si>
    <t>1.8~2.4(2.0±0.1)</t>
    <phoneticPr fontId="6" type="noConversion"/>
  </si>
  <si>
    <t>1.8~2.4(2.0 ±0.2 )</t>
    <phoneticPr fontId="6" type="noConversion"/>
  </si>
  <si>
    <t>3.0-4.5(4.3±0.2)</t>
    <phoneticPr fontId="6" type="noConversion"/>
  </si>
  <si>
    <t>2.0~2.4(2.2±0.2 )</t>
    <phoneticPr fontId="6" type="noConversion"/>
  </si>
  <si>
    <t>1.6~2.0(1.8±0.1)</t>
    <phoneticPr fontId="6" type="noConversion"/>
  </si>
  <si>
    <r>
      <rPr>
        <sz val="11"/>
        <color rgb="FF0000FF"/>
        <rFont val="Symbol"/>
        <family val="1"/>
        <charset val="2"/>
      </rPr>
      <t>±</t>
    </r>
    <r>
      <rPr>
        <sz val="11"/>
        <color rgb="FF0000FF"/>
        <rFont val="Times New Roman"/>
        <family val="1"/>
      </rPr>
      <t>5%</t>
    </r>
    <phoneticPr fontId="6" type="noConversion"/>
  </si>
  <si>
    <r>
      <t xml:space="preserve">Tiêu chuẩn
</t>
    </r>
    <r>
      <rPr>
        <sz val="12"/>
        <color theme="1"/>
        <rFont val="細明體"/>
        <family val="3"/>
        <charset val="136"/>
      </rPr>
      <t>控制範圍</t>
    </r>
    <phoneticPr fontId="6" type="noConversion"/>
  </si>
  <si>
    <t>BẢNG KIỂM TRA DẦU NHỚT TRONG BỒN NƯỚC SAU BỒN ACID</t>
    <phoneticPr fontId="181" type="noConversion"/>
  </si>
  <si>
    <t>Ngày:</t>
    <phoneticPr fontId="181" type="noConversion"/>
  </si>
  <si>
    <r>
      <t>Chuy</t>
    </r>
    <r>
      <rPr>
        <b/>
        <sz val="12"/>
        <color theme="1"/>
        <rFont val="細明體"/>
        <family val="3"/>
        <charset val="136"/>
      </rPr>
      <t>ề</t>
    </r>
    <r>
      <rPr>
        <b/>
        <sz val="12"/>
        <color theme="1"/>
        <rFont val="Times New Roman"/>
        <family val="1"/>
      </rPr>
      <t>n</t>
    </r>
    <phoneticPr fontId="181" type="noConversion"/>
  </si>
  <si>
    <t>stop:   -</t>
    <phoneticPr fontId="6" type="noConversion"/>
  </si>
  <si>
    <t>2022/12/03</t>
    <phoneticPr fontId="6" type="noConversion"/>
  </si>
  <si>
    <t>2022/12/03  8:45:00 AM</t>
  </si>
  <si>
    <t>2022/12/03  8:45:00 AM</t>
    <phoneticPr fontId="6" type="noConversion"/>
  </si>
  <si>
    <t/>
  </si>
  <si>
    <t>2022/12/03  10:45:00 AM</t>
  </si>
  <si>
    <t>2022/12/03  10:45:00 AM</t>
    <phoneticPr fontId="6" type="noConversion"/>
  </si>
  <si>
    <t>2022/12/03  3:30:00 PM</t>
  </si>
  <si>
    <t>2022/12/03  3:30:00 PM</t>
    <phoneticPr fontId="6" type="noConversion"/>
  </si>
</sst>
</file>

<file path=xl/styles.xml><?xml version="1.0" encoding="utf-8"?>
<styleSheet xmlns="http://schemas.openxmlformats.org/spreadsheetml/2006/main">
  <numFmts count="30">
    <numFmt numFmtId="41" formatCode="_(* #,##0_);_(* \(#,##0\);_(* &quot;-&quot;_);_(@_)"/>
    <numFmt numFmtId="43" formatCode="_(* #,##0.00_);_(* \(#,##0.00\);_(* &quot;-&quot;??_);_(@_)"/>
    <numFmt numFmtId="176" formatCode="_ * #,##0.00_ ;_ * \-#,##0.00_ ;_ * &quot;-&quot;??_ ;_ @_ "/>
    <numFmt numFmtId="177" formatCode="_-* #,##0.00_-;\-* #,##0.00_-;_-* &quot;-&quot;??_-;_-@_-"/>
    <numFmt numFmtId="178" formatCode="0.00_ "/>
    <numFmt numFmtId="179" formatCode="0_);[Red]\(0\)"/>
    <numFmt numFmtId="180" formatCode="0_ "/>
    <numFmt numFmtId="181" formatCode="0.0_);[Red]\(0.0\)"/>
    <numFmt numFmtId="182" formatCode="0.00_);[Red]\(0.00\)"/>
    <numFmt numFmtId="183" formatCode="0.0_ "/>
    <numFmt numFmtId="184" formatCode="[$-F400]h:mm:ss\ AM/PM"/>
    <numFmt numFmtId="185" formatCode="0.0%"/>
    <numFmt numFmtId="186" formatCode="yyyy/m/d;@"/>
    <numFmt numFmtId="187" formatCode="h:mm;@"/>
    <numFmt numFmtId="188" formatCode="_-* #,##0.0_-;\-* #,##0.0_-;_-* &quot;-&quot;??_-;_-@_-"/>
    <numFmt numFmtId="189" formatCode="_-* #,##0_-;\-* #,##0_-;_-* &quot;-&quot;??_-;_-@_-"/>
    <numFmt numFmtId="190" formatCode="_ * #,##0_ ;_ * \-#,##0_ ;_ * &quot;-&quot;??_ ;_ @_ "/>
    <numFmt numFmtId="191" formatCode="[$-1010000]d/m/yyyy;@"/>
    <numFmt numFmtId="192" formatCode="0.0000_ "/>
    <numFmt numFmtId="193" formatCode="0.0"/>
    <numFmt numFmtId="194" formatCode="dd/mm/yy"/>
    <numFmt numFmtId="195" formatCode="_(* #,##0.0_);_(* \(#,##0.0\);_(* &quot;-&quot;_);_(@_)"/>
    <numFmt numFmtId="196" formatCode="_(* #,##0.00_);_(* \(#,##0.00\);_(* &quot;-&quot;_);_(@_)"/>
    <numFmt numFmtId="197" formatCode="0.0;[Red]0.0"/>
    <numFmt numFmtId="198" formatCode="0.00;[Red]0.00"/>
    <numFmt numFmtId="199" formatCode="0;[Red]0"/>
    <numFmt numFmtId="200" formatCode="_(* #,##0_);_(* \(#,##0\);_(* &quot;-&quot;??_);_(@_)"/>
    <numFmt numFmtId="201" formatCode="m/d/yy;@"/>
    <numFmt numFmtId="202" formatCode="m/d/yy\ h:mm;@"/>
    <numFmt numFmtId="203" formatCode="0;_퐀"/>
  </numFmts>
  <fonts count="241">
    <font>
      <sz val="12"/>
      <name val="新細明體"/>
      <family val="1"/>
      <charset val="136"/>
    </font>
    <font>
      <sz val="11"/>
      <color theme="1"/>
      <name val="新細明體"/>
      <family val="2"/>
      <scheme val="minor"/>
    </font>
    <font>
      <sz val="11"/>
      <color theme="1"/>
      <name val="新細明體"/>
      <family val="2"/>
      <scheme val="minor"/>
    </font>
    <font>
      <sz val="11"/>
      <color theme="1"/>
      <name val="新細明體"/>
      <family val="2"/>
      <scheme val="minor"/>
    </font>
    <font>
      <sz val="11"/>
      <color theme="1"/>
      <name val="新細明體"/>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新細明體"/>
      <family val="2"/>
      <charset val="134"/>
      <scheme val="minor"/>
    </font>
    <font>
      <sz val="11"/>
      <color theme="1"/>
      <name val="新細明體"/>
      <family val="2"/>
      <charset val="136"/>
      <scheme val="minor"/>
    </font>
    <font>
      <sz val="11"/>
      <color theme="1"/>
      <name val="新細明體"/>
      <family val="1"/>
      <charset val="136"/>
      <scheme val="minor"/>
    </font>
    <font>
      <sz val="12"/>
      <color theme="1"/>
      <name val="新細明體"/>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新細明體"/>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新細明體"/>
      <family val="2"/>
      <scheme val="minor"/>
    </font>
    <font>
      <b/>
      <sz val="11"/>
      <color rgb="FFFF0000"/>
      <name val="新細明體"/>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sz val="10"/>
      <name val="VN-NTime"/>
      <family val="1"/>
    </font>
    <font>
      <vertAlign val="superscript"/>
      <sz val="10"/>
      <name val="VN-NTime"/>
      <family val="1"/>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sz val="16"/>
      <color theme="1"/>
      <name val="細明體"/>
      <family val="3"/>
      <charset val="136"/>
    </font>
    <font>
      <u/>
      <sz val="11"/>
      <name val="Times New Roman"/>
      <family val="1"/>
    </font>
    <font>
      <sz val="10"/>
      <name val="Arial"/>
      <family val="2"/>
    </font>
    <font>
      <u/>
      <sz val="12"/>
      <color theme="1"/>
      <name val="Times New Roman"/>
      <family val="1"/>
    </font>
    <font>
      <b/>
      <sz val="20"/>
      <color rgb="FFFF0000"/>
      <name val="新細明體"/>
      <family val="2"/>
      <scheme val="minor"/>
    </font>
    <font>
      <sz val="20"/>
      <color theme="1"/>
      <name val="新細明體"/>
      <family val="2"/>
      <scheme val="minor"/>
    </font>
    <font>
      <b/>
      <sz val="11"/>
      <color rgb="FF00B0F0"/>
      <name val="新細明體"/>
      <family val="2"/>
      <scheme val="minor"/>
    </font>
    <font>
      <b/>
      <sz val="26"/>
      <color rgb="FFFF0000"/>
      <name val="新細明體"/>
      <family val="2"/>
      <scheme val="minor"/>
    </font>
    <font>
      <u/>
      <sz val="12"/>
      <color theme="10"/>
      <name val="Times New Roman"/>
      <family val="1"/>
    </font>
    <font>
      <sz val="11"/>
      <name val="新細明體"/>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sz val="12"/>
      <color theme="0"/>
      <name val="Times New Roman"/>
      <family val="1"/>
    </font>
    <font>
      <b/>
      <sz val="14"/>
      <color rgb="FFFF0000"/>
      <name val="新細明體"/>
      <family val="2"/>
      <scheme val="minor"/>
    </font>
    <font>
      <b/>
      <sz val="14"/>
      <color rgb="FFFF0000"/>
      <name val="新細明體"/>
      <family val="1"/>
      <charset val="136"/>
      <scheme val="minor"/>
    </font>
    <font>
      <sz val="14"/>
      <color theme="1"/>
      <name val="新細明體"/>
      <family val="1"/>
      <charset val="136"/>
      <scheme val="minor"/>
    </font>
    <font>
      <sz val="14"/>
      <name val="新細明體"/>
      <family val="1"/>
      <charset val="136"/>
    </font>
    <font>
      <sz val="14"/>
      <color theme="3" tint="0.39997558519241921"/>
      <name val="新細明體"/>
      <family val="1"/>
      <charset val="136"/>
      <scheme val="minor"/>
    </font>
    <font>
      <b/>
      <sz val="12"/>
      <name val="新細明體"/>
      <family val="1"/>
      <charset val="136"/>
    </font>
    <font>
      <sz val="11"/>
      <color theme="1"/>
      <name val="細明體"/>
      <family val="3"/>
      <charset val="136"/>
    </font>
    <font>
      <sz val="9"/>
      <name val="新細明體"/>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2"/>
      <name val="標楷體"/>
      <family val="4"/>
      <charset val="136"/>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2"/>
      <color theme="0"/>
      <name val="新細明體"/>
      <family val="1"/>
      <charset val="136"/>
    </font>
    <font>
      <sz val="13"/>
      <name val="Times New Roman"/>
      <family val="1"/>
    </font>
    <font>
      <sz val="8"/>
      <name val="Times New Roman"/>
      <family val="1"/>
    </font>
    <font>
      <sz val="12"/>
      <color theme="7" tint="0.79998168889431442"/>
      <name val="Times New Roman"/>
      <family val="1"/>
    </font>
    <font>
      <b/>
      <sz val="26"/>
      <name val="Times New Roman"/>
      <family val="1"/>
    </font>
    <font>
      <b/>
      <sz val="14"/>
      <color indexed="81"/>
      <name val="Times New Roman"/>
      <family val="1"/>
    </font>
    <font>
      <sz val="11"/>
      <color rgb="FF0000FF"/>
      <name val="新細明體"/>
      <family val="2"/>
      <charset val="134"/>
    </font>
    <font>
      <u/>
      <sz val="12"/>
      <color theme="1"/>
      <name val="新細明體"/>
      <family val="1"/>
      <charset val="136"/>
    </font>
    <font>
      <b/>
      <sz val="12"/>
      <color theme="0"/>
      <name val="VNI-Times"/>
    </font>
    <font>
      <sz val="12"/>
      <color theme="0"/>
      <name val="VNI-Times"/>
    </font>
    <font>
      <u/>
      <sz val="9"/>
      <color theme="10"/>
      <name val="Times New Roman"/>
      <family val="1"/>
    </font>
    <font>
      <b/>
      <sz val="9"/>
      <color indexed="81"/>
      <name val="Tahoma"/>
      <family val="2"/>
    </font>
    <font>
      <vertAlign val="subscript"/>
      <sz val="12"/>
      <color rgb="FF0000FF"/>
      <name val="Times New Roman"/>
      <family val="1"/>
    </font>
    <font>
      <sz val="12"/>
      <color rgb="FF0000FF"/>
      <name val="細明體"/>
      <family val="3"/>
      <charset val="136"/>
    </font>
    <font>
      <b/>
      <sz val="22"/>
      <name val="Times New Roman"/>
      <family val="1"/>
    </font>
    <font>
      <sz val="22"/>
      <name val="Times New Roman"/>
      <family val="1"/>
    </font>
    <font>
      <b/>
      <sz val="12"/>
      <color rgb="FF000000"/>
      <name val="Times New Roman"/>
      <family val="1"/>
    </font>
    <font>
      <vertAlign val="superscript"/>
      <sz val="11"/>
      <color theme="1"/>
      <name val="Times New Roman"/>
      <family val="1"/>
    </font>
    <font>
      <sz val="9"/>
      <name val="新細明體"/>
      <family val="3"/>
      <charset val="136"/>
      <scheme val="minor"/>
    </font>
    <font>
      <b/>
      <sz val="12"/>
      <color theme="1"/>
      <name val="細明體"/>
      <family val="3"/>
      <charset val="136"/>
    </font>
    <font>
      <sz val="18"/>
      <color theme="1"/>
      <name val="Times New Roman"/>
      <family val="1"/>
    </font>
    <font>
      <b/>
      <sz val="11"/>
      <color indexed="81"/>
      <name val="Tahoma"/>
      <family val="2"/>
    </font>
    <font>
      <b/>
      <sz val="11"/>
      <color indexed="81"/>
      <name val="細明體"/>
      <family val="3"/>
      <charset val="136"/>
    </font>
    <font>
      <i/>
      <sz val="12"/>
      <name val="Times New Roman"/>
      <family val="1"/>
    </font>
    <font>
      <i/>
      <vertAlign val="superscript"/>
      <sz val="12"/>
      <name val="Times New Roman"/>
      <family val="1"/>
    </font>
    <font>
      <i/>
      <vertAlign val="superscript"/>
      <sz val="10"/>
      <name val="Times New Roman"/>
      <family val="1"/>
    </font>
    <font>
      <i/>
      <sz val="10"/>
      <name val="Times New Roman"/>
      <family val="1"/>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i/>
      <sz val="24"/>
      <name val="Times New Roman"/>
      <family val="1"/>
    </font>
    <font>
      <i/>
      <sz val="12"/>
      <color theme="1"/>
      <name val="Times New Roman"/>
      <family val="1"/>
    </font>
    <font>
      <i/>
      <vertAlign val="superscript"/>
      <sz val="12"/>
      <color theme="1"/>
      <name val="Times New Roman"/>
      <family val="1"/>
    </font>
    <font>
      <sz val="11"/>
      <name val="BatangChe"/>
      <family val="3"/>
      <charset val="129"/>
    </font>
    <font>
      <sz val="11"/>
      <color rgb="FF0000FF"/>
      <name val="BatangChe"/>
      <family val="3"/>
      <charset val="129"/>
    </font>
    <font>
      <sz val="11"/>
      <color rgb="FF0000FF"/>
      <name val="Symbol"/>
      <family val="1"/>
      <charset val="2"/>
    </font>
  </fonts>
  <fills count="52">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style="thin">
        <color indexed="9"/>
      </left>
      <right/>
      <top style="thin">
        <color indexed="64"/>
      </top>
      <bottom style="thin">
        <color indexed="64"/>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dashed">
        <color rgb="FF00B050"/>
      </left>
      <right style="thin">
        <color indexed="64"/>
      </right>
      <top style="dashed">
        <color rgb="FF00B050"/>
      </top>
      <bottom style="thin">
        <color indexed="64"/>
      </bottom>
      <diagonal/>
    </border>
    <border>
      <left style="thin">
        <color theme="0"/>
      </left>
      <right style="dashed">
        <color rgb="FF00B050"/>
      </right>
      <top style="thin">
        <color theme="0"/>
      </top>
      <bottom style="dashed">
        <color rgb="FF00B050"/>
      </bottom>
      <diagonal/>
    </border>
    <border>
      <left style="dashed">
        <color rgb="FF00B050"/>
      </left>
      <right style="thin">
        <color indexed="64"/>
      </right>
      <top style="thin">
        <color theme="0"/>
      </top>
      <bottom style="dashed">
        <color rgb="FF00B050"/>
      </bottom>
      <diagonal/>
    </border>
    <border>
      <left style="thin">
        <color theme="0"/>
      </left>
      <right style="dashed">
        <color rgb="FF00B050"/>
      </right>
      <top style="dashed">
        <color rgb="FF00B050"/>
      </top>
      <bottom style="thin">
        <color indexed="64"/>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s>
  <cellStyleXfs count="105">
    <xf numFmtId="0" fontId="0" fillId="0" borderId="0">
      <alignment vertical="center"/>
    </xf>
    <xf numFmtId="177" fontId="5" fillId="0" borderId="0" applyFont="0" applyFill="0" applyBorder="0" applyAlignment="0" applyProtection="0">
      <alignment vertical="center"/>
    </xf>
    <xf numFmtId="176" fontId="45" fillId="0" borderId="0" applyFont="0" applyFill="0" applyBorder="0" applyAlignment="0" applyProtection="0"/>
    <xf numFmtId="0" fontId="5" fillId="0" borderId="0">
      <alignment vertical="center"/>
    </xf>
    <xf numFmtId="0" fontId="46" fillId="0" borderId="0">
      <alignment vertical="center"/>
    </xf>
    <xf numFmtId="0" fontId="47" fillId="0" borderId="0">
      <alignment vertical="center"/>
    </xf>
    <xf numFmtId="0" fontId="45" fillId="0" borderId="0"/>
    <xf numFmtId="9" fontId="5" fillId="0" borderId="0" applyFont="0" applyFill="0" applyBorder="0" applyAlignment="0" applyProtection="0">
      <alignment vertical="center"/>
    </xf>
    <xf numFmtId="0" fontId="48" fillId="0" borderId="0">
      <alignment vertical="center"/>
    </xf>
    <xf numFmtId="0" fontId="19" fillId="2" borderId="0" applyNumberFormat="0" applyBorder="0" applyAlignment="0" applyProtection="0">
      <alignment vertical="center"/>
    </xf>
    <xf numFmtId="0" fontId="15" fillId="2" borderId="0" applyNumberFormat="0" applyBorder="0" applyAlignment="0" applyProtection="0">
      <alignment vertical="center"/>
    </xf>
    <xf numFmtId="0" fontId="18" fillId="3" borderId="0" applyNumberFormat="0" applyBorder="0" applyAlignment="0" applyProtection="0">
      <alignment vertical="center"/>
    </xf>
    <xf numFmtId="0" fontId="14" fillId="3" borderId="0" applyNumberFormat="0" applyBorder="0" applyAlignment="0" applyProtection="0">
      <alignment vertical="center"/>
    </xf>
    <xf numFmtId="0" fontId="21" fillId="0" borderId="0">
      <alignment vertical="center"/>
    </xf>
    <xf numFmtId="9" fontId="5" fillId="0" borderId="0" applyFont="0" applyFill="0" applyBorder="0" applyAlignment="0" applyProtection="0">
      <alignment vertical="center"/>
    </xf>
    <xf numFmtId="0" fontId="77" fillId="0" borderId="0">
      <alignment vertical="center"/>
    </xf>
    <xf numFmtId="0" fontId="5" fillId="0" borderId="0">
      <alignment vertical="center"/>
    </xf>
    <xf numFmtId="0" fontId="78" fillId="0" borderId="0">
      <alignment vertical="center"/>
    </xf>
    <xf numFmtId="9" fontId="79" fillId="0" borderId="0" applyFont="0" applyFill="0" applyBorder="0" applyAlignment="0" applyProtection="0">
      <alignment vertical="center"/>
    </xf>
    <xf numFmtId="0" fontId="80" fillId="15" borderId="0" applyNumberFormat="0" applyBorder="0" applyAlignment="0" applyProtection="0">
      <alignment vertical="center"/>
    </xf>
    <xf numFmtId="0" fontId="5" fillId="0" borderId="0">
      <alignment vertical="center"/>
    </xf>
    <xf numFmtId="0" fontId="80" fillId="16" borderId="0" applyNumberFormat="0" applyBorder="0" applyAlignment="0" applyProtection="0">
      <alignment vertical="center"/>
    </xf>
    <xf numFmtId="0" fontId="80" fillId="17" borderId="0" applyNumberFormat="0" applyBorder="0" applyAlignment="0" applyProtection="0">
      <alignment vertical="center"/>
    </xf>
    <xf numFmtId="0" fontId="80" fillId="18"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5"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0" fillId="21" borderId="0" applyNumberFormat="0" applyBorder="0" applyAlignment="0" applyProtection="0">
      <alignment vertical="center"/>
    </xf>
    <xf numFmtId="0" fontId="80" fillId="22" borderId="0" applyNumberFormat="0" applyBorder="0" applyAlignment="0" applyProtection="0">
      <alignment vertical="center"/>
    </xf>
    <xf numFmtId="0" fontId="80" fillId="23" borderId="0" applyNumberFormat="0" applyBorder="0" applyAlignment="0" applyProtection="0">
      <alignment vertical="center"/>
    </xf>
    <xf numFmtId="0" fontId="80" fillId="18" borderId="0" applyNumberFormat="0" applyBorder="0" applyAlignment="0" applyProtection="0">
      <alignment vertical="center"/>
    </xf>
    <xf numFmtId="0" fontId="80" fillId="21" borderId="0" applyNumberFormat="0" applyBorder="0" applyAlignment="0" applyProtection="0">
      <alignment vertical="center"/>
    </xf>
    <xf numFmtId="0" fontId="80" fillId="24"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5"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26"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79" fillId="0" borderId="0">
      <alignment vertical="center"/>
    </xf>
    <xf numFmtId="0" fontId="5" fillId="0" borderId="0">
      <alignment vertical="center"/>
    </xf>
    <xf numFmtId="0" fontId="79" fillId="29" borderId="29" applyNumberFormat="0" applyFont="0" applyAlignment="0" applyProtection="0">
      <alignment vertical="center"/>
    </xf>
    <xf numFmtId="0" fontId="84" fillId="0" borderId="30" applyNumberFormat="0" applyFill="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85" fillId="15" borderId="0" applyNumberFormat="0" applyBorder="0" applyAlignment="0" applyProtection="0">
      <alignment vertical="center"/>
    </xf>
    <xf numFmtId="0" fontId="85" fillId="15" borderId="0" applyNumberFormat="0" applyBorder="0" applyAlignment="0" applyProtection="0">
      <alignment vertical="center"/>
    </xf>
    <xf numFmtId="0" fontId="85" fillId="15" borderId="0" applyNumberFormat="0" applyBorder="0" applyAlignment="0" applyProtection="0">
      <alignment vertical="center"/>
    </xf>
    <xf numFmtId="0" fontId="86" fillId="17" borderId="0" applyNumberFormat="0" applyBorder="0" applyAlignment="0" applyProtection="0">
      <alignment vertical="center"/>
    </xf>
    <xf numFmtId="0" fontId="82" fillId="30"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2" fillId="26" borderId="0" applyNumberFormat="0" applyBorder="0" applyAlignment="0" applyProtection="0">
      <alignment vertical="center"/>
    </xf>
    <xf numFmtId="0" fontId="82" fillId="27" borderId="0" applyNumberFormat="0" applyBorder="0" applyAlignment="0" applyProtection="0">
      <alignment vertical="center"/>
    </xf>
    <xf numFmtId="0" fontId="82" fillId="33" borderId="0" applyNumberFormat="0" applyBorder="0" applyAlignment="0" applyProtection="0">
      <alignment vertical="center"/>
    </xf>
    <xf numFmtId="0" fontId="87" fillId="0" borderId="30" applyNumberFormat="0" applyFill="0" applyAlignment="0" applyProtection="0">
      <alignment vertical="center"/>
    </xf>
    <xf numFmtId="0" fontId="79" fillId="29" borderId="29" applyNumberFormat="0" applyFont="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1" applyNumberFormat="0" applyFill="0" applyAlignment="0" applyProtection="0">
      <alignment vertical="center"/>
    </xf>
    <xf numFmtId="0" fontId="89" fillId="0" borderId="31" applyNumberFormat="0" applyFill="0" applyAlignment="0" applyProtection="0">
      <alignment vertical="center"/>
    </xf>
    <xf numFmtId="0" fontId="4" fillId="0" borderId="0"/>
    <xf numFmtId="43" fontId="4" fillId="0" borderId="0" applyFont="0" applyFill="0" applyBorder="0" applyAlignment="0" applyProtection="0"/>
    <xf numFmtId="0" fontId="98" fillId="0" borderId="0" applyNumberFormat="0" applyFill="0" applyBorder="0" applyAlignment="0" applyProtection="0">
      <alignment vertical="top"/>
      <protection locked="0"/>
    </xf>
    <xf numFmtId="0" fontId="10" fillId="0" borderId="0"/>
    <xf numFmtId="0" fontId="21" fillId="0" borderId="0"/>
    <xf numFmtId="0" fontId="48" fillId="0" borderId="0">
      <alignment vertical="center"/>
    </xf>
    <xf numFmtId="0" fontId="5" fillId="0" borderId="0">
      <alignment vertical="center"/>
    </xf>
    <xf numFmtId="0" fontId="161" fillId="0" borderId="0"/>
    <xf numFmtId="0" fontId="79" fillId="0" borderId="0">
      <alignment vertical="center"/>
    </xf>
    <xf numFmtId="0" fontId="5" fillId="0" borderId="0"/>
    <xf numFmtId="0" fontId="86" fillId="2" borderId="0" applyNumberFormat="0" applyBorder="0" applyAlignment="0" applyProtection="0">
      <alignment vertical="center"/>
    </xf>
    <xf numFmtId="0" fontId="182" fillId="0" borderId="0" applyNumberFormat="0" applyFill="0" applyBorder="0" applyAlignment="0" applyProtection="0">
      <alignment vertical="center"/>
    </xf>
    <xf numFmtId="0" fontId="183" fillId="0" borderId="76" applyNumberFormat="0" applyFill="0" applyAlignment="0" applyProtection="0">
      <alignment vertical="center"/>
    </xf>
    <xf numFmtId="0" fontId="184" fillId="0" borderId="77" applyNumberFormat="0" applyFill="0" applyAlignment="0" applyProtection="0">
      <alignment vertical="center"/>
    </xf>
    <xf numFmtId="0" fontId="185" fillId="0" borderId="78" applyNumberFormat="0" applyFill="0" applyAlignment="0" applyProtection="0">
      <alignment vertical="center"/>
    </xf>
    <xf numFmtId="0" fontId="185" fillId="0" borderId="0" applyNumberFormat="0" applyFill="0" applyBorder="0" applyAlignment="0" applyProtection="0">
      <alignment vertical="center"/>
    </xf>
    <xf numFmtId="0" fontId="186" fillId="46" borderId="79" applyNumberFormat="0" applyAlignment="0" applyProtection="0">
      <alignment vertical="center"/>
    </xf>
    <xf numFmtId="0" fontId="187"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47" borderId="80" applyNumberFormat="0" applyAlignment="0" applyProtection="0">
      <alignment vertical="center"/>
    </xf>
    <xf numFmtId="0" fontId="190" fillId="48" borderId="80" applyNumberFormat="0" applyAlignment="0" applyProtection="0">
      <alignment vertical="center"/>
    </xf>
    <xf numFmtId="0" fontId="191" fillId="47" borderId="81" applyNumberFormat="0" applyAlignment="0" applyProtection="0">
      <alignment vertical="center"/>
    </xf>
    <xf numFmtId="0" fontId="192" fillId="49" borderId="0" applyNumberFormat="0" applyBorder="0" applyAlignment="0" applyProtection="0">
      <alignment vertical="center"/>
    </xf>
  </cellStyleXfs>
  <cellXfs count="2502">
    <xf numFmtId="0" fontId="0" fillId="0" borderId="0" xfId="0">
      <alignment vertical="center"/>
    </xf>
    <xf numFmtId="0" fontId="23" fillId="0" borderId="0" xfId="0" applyFont="1" applyFill="1" applyAlignment="1">
      <alignment horizontal="center" vertical="center"/>
    </xf>
    <xf numFmtId="0" fontId="23" fillId="0" borderId="1" xfId="0" applyFont="1" applyFill="1" applyBorder="1" applyAlignment="1">
      <alignment horizontal="center" vertical="center"/>
    </xf>
    <xf numFmtId="0" fontId="23" fillId="0" borderId="3" xfId="0" applyFont="1" applyFill="1" applyBorder="1" applyAlignment="1" applyProtection="1">
      <alignment horizontal="center" vertical="center"/>
      <protection locked="0"/>
    </xf>
    <xf numFmtId="0" fontId="23" fillId="0" borderId="1" xfId="8" applyFont="1" applyFill="1" applyBorder="1" applyAlignment="1" applyProtection="1">
      <alignment horizontal="center" vertical="center" wrapText="1" shrinkToFit="1"/>
    </xf>
    <xf numFmtId="181" fontId="23" fillId="0" borderId="1" xfId="8" applyNumberFormat="1" applyFont="1" applyFill="1" applyBorder="1" applyAlignment="1" applyProtection="1">
      <alignment horizontal="center" vertical="center"/>
    </xf>
    <xf numFmtId="182" fontId="23" fillId="0" borderId="5" xfId="8" applyNumberFormat="1" applyFont="1" applyFill="1" applyBorder="1" applyAlignment="1" applyProtection="1">
      <alignment vertical="center"/>
    </xf>
    <xf numFmtId="182" fontId="23" fillId="0" borderId="6" xfId="8" applyNumberFormat="1" applyFont="1" applyFill="1" applyBorder="1" applyAlignment="1" applyProtection="1">
      <alignment vertical="center"/>
    </xf>
    <xf numFmtId="0" fontId="9" fillId="0" borderId="0" xfId="0" applyFont="1" applyFill="1" applyAlignment="1" applyProtection="1">
      <alignment horizontal="center" vertical="center"/>
    </xf>
    <xf numFmtId="0" fontId="9" fillId="0" borderId="0" xfId="0" applyFont="1" applyAlignment="1" applyProtection="1">
      <alignment horizontal="center" vertical="center"/>
    </xf>
    <xf numFmtId="0" fontId="9" fillId="0" borderId="7" xfId="0" applyFont="1" applyBorder="1" applyAlignment="1" applyProtection="1">
      <alignment vertical="center" wrapText="1"/>
    </xf>
    <xf numFmtId="0" fontId="23" fillId="0" borderId="1" xfId="0" applyFont="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49" fillId="0" borderId="0" xfId="0" applyFont="1" applyFill="1" applyAlignment="1">
      <alignment horizontal="center" vertical="center"/>
    </xf>
    <xf numFmtId="0" fontId="49" fillId="0" borderId="1" xfId="0" applyNumberFormat="1" applyFont="1" applyFill="1" applyBorder="1" applyAlignment="1" applyProtection="1">
      <alignment horizontal="center" vertical="center" wrapText="1"/>
    </xf>
    <xf numFmtId="0" fontId="49" fillId="0" borderId="1" xfId="0" applyNumberFormat="1" applyFont="1" applyFill="1" applyBorder="1" applyAlignment="1">
      <alignment horizontal="center" vertical="center" wrapText="1"/>
    </xf>
    <xf numFmtId="0" fontId="23" fillId="0" borderId="0" xfId="8" applyFont="1" applyFill="1" applyAlignment="1" applyProtection="1">
      <alignment horizontal="center" vertical="center"/>
    </xf>
    <xf numFmtId="0" fontId="23" fillId="0" borderId="0" xfId="8" applyFont="1" applyFill="1" applyBorder="1" applyAlignment="1" applyProtection="1">
      <alignment horizontal="center" vertical="center"/>
    </xf>
    <xf numFmtId="179" fontId="23" fillId="0" borderId="5" xfId="8" applyNumberFormat="1" applyFont="1" applyFill="1" applyBorder="1" applyAlignment="1" applyProtection="1">
      <alignment horizontal="center" vertical="center"/>
    </xf>
    <xf numFmtId="178" fontId="23" fillId="0" borderId="1" xfId="8" applyNumberFormat="1" applyFont="1" applyFill="1" applyBorder="1" applyAlignment="1" applyProtection="1">
      <alignment horizontal="center" vertical="center"/>
    </xf>
    <xf numFmtId="0" fontId="23" fillId="0" borderId="0" xfId="0" applyFont="1" applyFill="1" applyAlignment="1" applyProtection="1">
      <alignment horizontal="center" vertical="center"/>
      <protection locked="0"/>
    </xf>
    <xf numFmtId="0" fontId="37" fillId="0" borderId="1" xfId="0" applyNumberFormat="1" applyFont="1" applyFill="1" applyBorder="1" applyAlignment="1" applyProtection="1">
      <alignment horizontal="center" vertical="center"/>
    </xf>
    <xf numFmtId="0" fontId="41" fillId="0" borderId="1" xfId="0" applyFont="1" applyFill="1" applyBorder="1" applyAlignment="1" applyProtection="1">
      <alignment horizontal="center" vertical="center"/>
    </xf>
    <xf numFmtId="9" fontId="37" fillId="0" borderId="1" xfId="0" applyNumberFormat="1" applyFont="1" applyFill="1" applyBorder="1" applyAlignment="1" applyProtection="1">
      <alignment horizontal="center" vertical="center"/>
    </xf>
    <xf numFmtId="0" fontId="29" fillId="0" borderId="1" xfId="8" applyFont="1" applyFill="1" applyBorder="1" applyAlignment="1" applyProtection="1">
      <alignment horizontal="center" vertical="center"/>
    </xf>
    <xf numFmtId="0" fontId="13" fillId="0" borderId="7" xfId="8" applyFont="1" applyFill="1" applyBorder="1" applyAlignment="1" applyProtection="1">
      <alignment horizontal="center" vertical="center" wrapText="1"/>
      <protection locked="0"/>
    </xf>
    <xf numFmtId="20" fontId="13" fillId="0" borderId="7" xfId="8" applyNumberFormat="1" applyFont="1" applyFill="1" applyBorder="1" applyAlignment="1" applyProtection="1">
      <alignment horizontal="center" vertical="center" wrapText="1"/>
      <protection locked="0"/>
    </xf>
    <xf numFmtId="0" fontId="23" fillId="0" borderId="7" xfId="8" applyFont="1" applyFill="1" applyBorder="1" applyAlignment="1" applyProtection="1">
      <alignment horizontal="center" vertical="center" wrapText="1"/>
      <protection locked="0"/>
    </xf>
    <xf numFmtId="0" fontId="23" fillId="0" borderId="15" xfId="8" applyFont="1" applyFill="1" applyBorder="1" applyAlignment="1" applyProtection="1">
      <alignment horizontal="center" vertical="center"/>
      <protection locked="0"/>
    </xf>
    <xf numFmtId="189" fontId="23" fillId="0" borderId="6" xfId="8" applyNumberFormat="1" applyFont="1" applyFill="1" applyBorder="1" applyAlignment="1" applyProtection="1">
      <alignment horizontal="center" vertical="center"/>
    </xf>
    <xf numFmtId="0" fontId="9" fillId="0" borderId="7" xfId="0" applyFont="1" applyFill="1" applyBorder="1" applyAlignment="1" applyProtection="1">
      <alignment vertical="center" wrapText="1"/>
    </xf>
    <xf numFmtId="0" fontId="9" fillId="0" borderId="0" xfId="0" applyFont="1" applyFill="1" applyBorder="1" applyAlignment="1" applyProtection="1">
      <alignment horizontal="left" vertical="center" wrapText="1"/>
    </xf>
    <xf numFmtId="180" fontId="9" fillId="0" borderId="9" xfId="0" applyNumberFormat="1" applyFont="1" applyFill="1" applyBorder="1" applyAlignment="1" applyProtection="1">
      <alignment horizontal="center" vertical="center"/>
    </xf>
    <xf numFmtId="0" fontId="9" fillId="0" borderId="0" xfId="0" applyFont="1" applyFill="1" applyAlignment="1" applyProtection="1">
      <alignment horizontal="left" vertical="center"/>
    </xf>
    <xf numFmtId="0" fontId="13" fillId="0" borderId="0" xfId="0" applyFont="1" applyFill="1" applyAlignment="1" applyProtection="1">
      <alignment horizontal="center" vertical="center"/>
      <protection locked="0"/>
    </xf>
    <xf numFmtId="0" fontId="23" fillId="0" borderId="0" xfId="0" applyNumberFormat="1" applyFont="1" applyFill="1" applyAlignment="1" applyProtection="1">
      <alignment horizontal="center" vertical="center"/>
      <protection locked="0"/>
    </xf>
    <xf numFmtId="0" fontId="37" fillId="0" borderId="5" xfId="0" applyFont="1" applyFill="1" applyBorder="1" applyAlignment="1" applyProtection="1">
      <alignment vertical="center"/>
    </xf>
    <xf numFmtId="181" fontId="37" fillId="0" borderId="1" xfId="0" applyNumberFormat="1" applyFont="1" applyFill="1" applyBorder="1" applyAlignment="1">
      <alignment horizontal="center" vertical="center"/>
    </xf>
    <xf numFmtId="181" fontId="37" fillId="0" borderId="1" xfId="0" applyNumberFormat="1" applyFont="1" applyFill="1" applyBorder="1" applyAlignment="1">
      <alignment horizontal="center" vertical="center" wrapText="1"/>
    </xf>
    <xf numFmtId="179" fontId="37" fillId="0" borderId="5" xfId="0" applyNumberFormat="1" applyFont="1" applyFill="1" applyBorder="1" applyAlignment="1">
      <alignment horizontal="center" vertical="center"/>
    </xf>
    <xf numFmtId="179" fontId="37" fillId="0" borderId="14" xfId="0" applyNumberFormat="1" applyFont="1" applyFill="1" applyBorder="1" applyAlignment="1" applyProtection="1">
      <alignment horizontal="center" vertical="center"/>
    </xf>
    <xf numFmtId="178" fontId="37" fillId="0" borderId="1" xfId="0" applyNumberFormat="1" applyFont="1" applyFill="1" applyBorder="1" applyAlignment="1">
      <alignment horizontal="center" vertical="center"/>
    </xf>
    <xf numFmtId="182" fontId="37" fillId="0" borderId="5" xfId="0" applyNumberFormat="1" applyFont="1" applyFill="1" applyBorder="1" applyAlignment="1" applyProtection="1">
      <alignment vertical="center"/>
      <protection locked="0"/>
    </xf>
    <xf numFmtId="179" fontId="37" fillId="0" borderId="5" xfId="0" applyNumberFormat="1" applyFont="1" applyFill="1" applyBorder="1" applyAlignment="1" applyProtection="1">
      <alignment horizontal="center" vertical="center"/>
      <protection locked="0"/>
    </xf>
    <xf numFmtId="179" fontId="37" fillId="0" borderId="14" xfId="0" applyNumberFormat="1" applyFont="1" applyFill="1" applyBorder="1" applyAlignment="1" applyProtection="1">
      <alignment horizontal="center" vertical="center"/>
      <protection locked="0"/>
    </xf>
    <xf numFmtId="178" fontId="37" fillId="0" borderId="5" xfId="0" applyNumberFormat="1" applyFont="1" applyFill="1" applyBorder="1" applyAlignment="1">
      <alignment horizontal="center" vertical="center"/>
    </xf>
    <xf numFmtId="180" fontId="37" fillId="0" borderId="6" xfId="0" applyNumberFormat="1" applyFont="1" applyFill="1" applyBorder="1" applyAlignment="1" applyProtection="1">
      <alignment horizontal="center" vertical="center"/>
    </xf>
    <xf numFmtId="180" fontId="37" fillId="0" borderId="1" xfId="0" applyNumberFormat="1" applyFont="1" applyFill="1" applyBorder="1" applyAlignment="1">
      <alignment horizontal="center" vertical="center"/>
    </xf>
    <xf numFmtId="183" fontId="37" fillId="0" borderId="6" xfId="0" applyNumberFormat="1" applyFont="1" applyFill="1" applyBorder="1" applyAlignment="1" applyProtection="1">
      <alignment horizontal="center" vertical="center"/>
    </xf>
    <xf numFmtId="179" fontId="37" fillId="0" borderId="1" xfId="0" applyNumberFormat="1" applyFont="1" applyFill="1" applyBorder="1" applyAlignment="1">
      <alignment horizontal="center" vertical="center"/>
    </xf>
    <xf numFmtId="0" fontId="37" fillId="0" borderId="0" xfId="0" applyFont="1" applyFill="1" applyBorder="1" applyAlignment="1">
      <alignment horizontal="center" vertical="center"/>
    </xf>
    <xf numFmtId="0" fontId="37" fillId="0" borderId="1" xfId="0" applyNumberFormat="1" applyFont="1" applyFill="1" applyBorder="1" applyAlignment="1">
      <alignment horizontal="center" vertical="center" wrapText="1"/>
    </xf>
    <xf numFmtId="0" fontId="49" fillId="0" borderId="1" xfId="0" applyFont="1" applyFill="1" applyBorder="1" applyAlignment="1">
      <alignment horizontal="center" vertical="center"/>
    </xf>
    <xf numFmtId="188" fontId="23" fillId="0" borderId="6" xfId="8" applyNumberFormat="1" applyFont="1" applyFill="1" applyBorder="1" applyAlignment="1" applyProtection="1">
      <alignment horizontal="center" vertical="center"/>
    </xf>
    <xf numFmtId="0" fontId="37" fillId="0" borderId="1" xfId="0" applyFont="1" applyFill="1" applyBorder="1" applyAlignment="1">
      <alignment horizontal="center" vertical="center"/>
    </xf>
    <xf numFmtId="0" fontId="37" fillId="0" borderId="1" xfId="0" applyNumberFormat="1" applyFont="1" applyFill="1" applyBorder="1" applyAlignment="1" applyProtection="1">
      <alignment horizontal="center" vertical="center" wrapText="1"/>
    </xf>
    <xf numFmtId="0" fontId="49" fillId="0" borderId="1" xfId="0" applyFont="1" applyFill="1" applyBorder="1" applyAlignment="1" applyProtection="1">
      <alignment horizontal="center" vertical="center"/>
    </xf>
    <xf numFmtId="0" fontId="49" fillId="0" borderId="1" xfId="0" applyFont="1" applyFill="1" applyBorder="1" applyAlignment="1">
      <alignment horizontal="center" vertical="center" wrapText="1"/>
    </xf>
    <xf numFmtId="0" fontId="23" fillId="0" borderId="7" xfId="8" applyFont="1" applyFill="1" applyBorder="1" applyAlignment="1" applyProtection="1">
      <alignment horizontal="center" vertical="center"/>
      <protection locked="0"/>
    </xf>
    <xf numFmtId="0" fontId="56" fillId="0" borderId="0" xfId="0" applyFont="1" applyFill="1" applyAlignment="1" applyProtection="1">
      <alignment horizontal="center" vertical="center" wrapText="1"/>
    </xf>
    <xf numFmtId="14" fontId="23" fillId="0" borderId="7" xfId="8" applyNumberFormat="1" applyFont="1" applyFill="1" applyBorder="1" applyAlignment="1" applyProtection="1">
      <alignment horizontal="center" vertical="center" wrapText="1"/>
      <protection locked="0"/>
    </xf>
    <xf numFmtId="20" fontId="37" fillId="0" borderId="7" xfId="8" applyNumberFormat="1" applyFont="1" applyFill="1" applyBorder="1" applyAlignment="1" applyProtection="1">
      <alignment horizontal="center" vertical="center" wrapText="1"/>
      <protection locked="0"/>
    </xf>
    <xf numFmtId="0" fontId="23" fillId="0" borderId="0" xfId="0" applyFont="1" applyFill="1" applyBorder="1" applyAlignment="1" applyProtection="1">
      <alignment horizontal="center" vertical="center"/>
      <protection locked="0"/>
    </xf>
    <xf numFmtId="0" fontId="23" fillId="0" borderId="3" xfId="0" applyFont="1" applyFill="1" applyBorder="1" applyAlignment="1" applyProtection="1">
      <alignment vertical="center" wrapText="1"/>
    </xf>
    <xf numFmtId="181" fontId="37" fillId="0" borderId="1" xfId="0" applyNumberFormat="1" applyFont="1" applyFill="1" applyBorder="1" applyAlignment="1" applyProtection="1">
      <alignment horizontal="center" vertical="center"/>
    </xf>
    <xf numFmtId="179" fontId="61" fillId="0" borderId="5" xfId="0" applyNumberFormat="1" applyFont="1" applyFill="1" applyBorder="1" applyAlignment="1" applyProtection="1">
      <alignment horizontal="center" vertical="center"/>
    </xf>
    <xf numFmtId="189" fontId="37" fillId="0" borderId="14" xfId="0" applyNumberFormat="1" applyFont="1" applyFill="1" applyBorder="1" applyAlignment="1" applyProtection="1">
      <alignment horizontal="center" vertical="center"/>
    </xf>
    <xf numFmtId="178" fontId="37" fillId="0" borderId="1" xfId="0" applyNumberFormat="1" applyFont="1" applyFill="1" applyBorder="1" applyAlignment="1" applyProtection="1">
      <alignment horizontal="center" vertical="center"/>
    </xf>
    <xf numFmtId="188" fontId="37" fillId="0" borderId="14" xfId="0" applyNumberFormat="1" applyFont="1" applyFill="1" applyBorder="1" applyAlignment="1" applyProtection="1">
      <alignment horizontal="center" vertical="center"/>
    </xf>
    <xf numFmtId="179" fontId="57" fillId="0" borderId="5" xfId="0" applyNumberFormat="1" applyFont="1" applyFill="1" applyBorder="1" applyAlignment="1" applyProtection="1">
      <alignment horizontal="center" vertical="center"/>
    </xf>
    <xf numFmtId="182" fontId="37" fillId="0" borderId="1" xfId="0" applyNumberFormat="1" applyFont="1" applyFill="1" applyBorder="1" applyAlignment="1" applyProtection="1">
      <alignment horizontal="center" vertical="center"/>
    </xf>
    <xf numFmtId="185" fontId="37" fillId="0" borderId="1" xfId="7" applyNumberFormat="1" applyFont="1" applyFill="1" applyBorder="1" applyAlignment="1" applyProtection="1">
      <alignment horizontal="center" vertical="center"/>
    </xf>
    <xf numFmtId="10" fontId="37" fillId="0" borderId="1" xfId="7" applyNumberFormat="1" applyFont="1" applyFill="1" applyBorder="1" applyAlignment="1" applyProtection="1">
      <alignment horizontal="center" vertical="center"/>
    </xf>
    <xf numFmtId="0" fontId="63" fillId="0" borderId="0" xfId="0" applyFont="1" applyAlignment="1" applyProtection="1">
      <alignment vertical="center"/>
    </xf>
    <xf numFmtId="187" fontId="9" fillId="0" borderId="7" xfId="0" applyNumberFormat="1" applyFont="1" applyFill="1" applyBorder="1" applyAlignment="1" applyProtection="1">
      <alignment vertical="center" wrapText="1"/>
    </xf>
    <xf numFmtId="20" fontId="9" fillId="0" borderId="7" xfId="0" applyNumberFormat="1" applyFont="1" applyFill="1" applyBorder="1" applyAlignment="1" applyProtection="1">
      <alignment horizontal="center" vertical="center" wrapText="1"/>
    </xf>
    <xf numFmtId="0" fontId="9" fillId="0" borderId="0" xfId="0" applyFont="1" applyBorder="1" applyAlignment="1" applyProtection="1">
      <alignment horizontal="center" vertical="center"/>
    </xf>
    <xf numFmtId="178" fontId="9" fillId="0" borderId="5" xfId="0" applyNumberFormat="1" applyFont="1" applyFill="1" applyBorder="1" applyAlignment="1" applyProtection="1">
      <alignment horizontal="right" vertical="center"/>
    </xf>
    <xf numFmtId="189" fontId="9" fillId="0" borderId="14" xfId="1" applyNumberFormat="1" applyFont="1" applyFill="1" applyBorder="1" applyAlignment="1" applyProtection="1">
      <alignment horizontal="center" vertical="center"/>
    </xf>
    <xf numFmtId="188" fontId="16" fillId="0" borderId="14" xfId="1" applyNumberFormat="1" applyFont="1" applyFill="1" applyBorder="1" applyAlignment="1" applyProtection="1">
      <alignment horizontal="center" vertical="center"/>
    </xf>
    <xf numFmtId="178" fontId="16" fillId="0" borderId="1" xfId="0" applyNumberFormat="1" applyFont="1" applyFill="1" applyBorder="1" applyAlignment="1" applyProtection="1">
      <alignment horizontal="center" vertical="center"/>
    </xf>
    <xf numFmtId="188" fontId="9" fillId="0" borderId="14" xfId="1" applyNumberFormat="1" applyFont="1" applyFill="1" applyBorder="1" applyAlignment="1" applyProtection="1">
      <alignment horizontal="center" vertical="center"/>
    </xf>
    <xf numFmtId="178" fontId="9" fillId="0" borderId="1" xfId="0" applyNumberFormat="1" applyFont="1" applyFill="1" applyBorder="1" applyAlignment="1" applyProtection="1">
      <alignment horizontal="center" vertical="center"/>
    </xf>
    <xf numFmtId="185" fontId="9" fillId="0" borderId="1" xfId="7" applyNumberFormat="1" applyFont="1" applyFill="1" applyBorder="1" applyAlignment="1" applyProtection="1">
      <alignment horizontal="center" vertical="center"/>
    </xf>
    <xf numFmtId="0" fontId="5" fillId="0" borderId="1" xfId="8"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xf>
    <xf numFmtId="0" fontId="23" fillId="0" borderId="1" xfId="8"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wrapText="1"/>
    </xf>
    <xf numFmtId="0" fontId="9" fillId="0" borderId="3" xfId="0" applyFont="1" applyBorder="1" applyAlignment="1" applyProtection="1">
      <alignment horizontal="center" vertical="center"/>
    </xf>
    <xf numFmtId="0" fontId="9" fillId="0" borderId="1" xfId="0" applyFont="1" applyFill="1" applyBorder="1" applyAlignment="1" applyProtection="1">
      <alignment horizontal="center" vertical="center" wrapText="1"/>
    </xf>
    <xf numFmtId="0" fontId="9" fillId="0" borderId="1" xfId="0" applyFont="1" applyBorder="1" applyAlignment="1" applyProtection="1">
      <alignment horizontal="center" vertical="center"/>
    </xf>
    <xf numFmtId="0" fontId="9" fillId="0" borderId="1" xfId="0" applyFont="1" applyFill="1" applyBorder="1" applyAlignment="1" applyProtection="1">
      <alignment horizontal="center" vertical="center"/>
    </xf>
    <xf numFmtId="188" fontId="37" fillId="0" borderId="1" xfId="0" applyNumberFormat="1" applyFont="1" applyFill="1" applyBorder="1" applyAlignment="1" applyProtection="1">
      <alignment horizontal="center" vertical="center"/>
    </xf>
    <xf numFmtId="188" fontId="23" fillId="0" borderId="14" xfId="0" applyNumberFormat="1" applyFont="1" applyFill="1" applyBorder="1" applyAlignment="1" applyProtection="1">
      <alignment horizontal="center" vertical="center"/>
    </xf>
    <xf numFmtId="0" fontId="13" fillId="0" borderId="1" xfId="8"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xf>
    <xf numFmtId="0" fontId="23" fillId="0" borderId="3" xfId="8" applyFont="1" applyFill="1" applyBorder="1" applyAlignment="1" applyProtection="1">
      <alignment horizontal="center" vertical="center" wrapText="1"/>
    </xf>
    <xf numFmtId="0" fontId="56" fillId="0" borderId="0" xfId="0" applyFont="1" applyAlignment="1" applyProtection="1">
      <alignment vertical="center" wrapText="1"/>
    </xf>
    <xf numFmtId="20" fontId="23" fillId="0" borderId="7" xfId="0" applyNumberFormat="1" applyFont="1" applyBorder="1" applyAlignment="1" applyProtection="1">
      <alignment horizontal="center" vertical="center"/>
    </xf>
    <xf numFmtId="14" fontId="37" fillId="5" borderId="5" xfId="0" applyNumberFormat="1" applyFont="1" applyFill="1" applyBorder="1" applyAlignment="1" applyProtection="1">
      <alignment vertical="center"/>
    </xf>
    <xf numFmtId="0" fontId="37" fillId="5" borderId="9" xfId="0" applyFont="1" applyFill="1" applyBorder="1" applyAlignment="1" applyProtection="1">
      <alignment vertical="center" wrapText="1"/>
    </xf>
    <xf numFmtId="186" fontId="37" fillId="5" borderId="5" xfId="0" applyNumberFormat="1" applyFont="1" applyFill="1" applyBorder="1" applyAlignment="1" applyProtection="1">
      <alignment vertical="center" wrapText="1"/>
    </xf>
    <xf numFmtId="186" fontId="37" fillId="5" borderId="9" xfId="0" applyNumberFormat="1" applyFont="1" applyFill="1" applyBorder="1" applyAlignment="1" applyProtection="1">
      <alignment vertical="center" wrapText="1"/>
    </xf>
    <xf numFmtId="0" fontId="37" fillId="5" borderId="0" xfId="0" applyFont="1" applyFill="1" applyAlignment="1">
      <alignment horizontal="center" vertical="center"/>
    </xf>
    <xf numFmtId="0" fontId="37" fillId="0" borderId="5" xfId="0" quotePrefix="1" applyFont="1" applyFill="1" applyBorder="1" applyAlignment="1" applyProtection="1">
      <alignment vertical="center" wrapText="1"/>
    </xf>
    <xf numFmtId="0" fontId="37" fillId="0" borderId="4" xfId="0" quotePrefix="1" applyFont="1" applyFill="1" applyBorder="1" applyAlignment="1" applyProtection="1">
      <alignment vertical="center" wrapText="1"/>
    </xf>
    <xf numFmtId="0" fontId="37" fillId="0" borderId="6" xfId="0" applyFont="1" applyFill="1" applyBorder="1" applyAlignment="1" applyProtection="1">
      <alignment horizontal="center" vertical="center"/>
    </xf>
    <xf numFmtId="180" fontId="37" fillId="9" borderId="1" xfId="0" applyNumberFormat="1" applyFont="1" applyFill="1" applyBorder="1" applyAlignment="1">
      <alignment horizontal="center" vertical="center"/>
    </xf>
    <xf numFmtId="183" fontId="37" fillId="0" borderId="1" xfId="0" applyNumberFormat="1" applyFont="1" applyFill="1" applyBorder="1" applyAlignment="1">
      <alignment horizontal="center" vertical="center"/>
    </xf>
    <xf numFmtId="182" fontId="37" fillId="0" borderId="1" xfId="0" applyNumberFormat="1" applyFont="1" applyFill="1" applyBorder="1" applyAlignment="1" applyProtection="1">
      <alignment horizontal="center" vertical="center"/>
      <protection locked="0"/>
    </xf>
    <xf numFmtId="0" fontId="37" fillId="0" borderId="0" xfId="0" applyFont="1" applyFill="1" applyAlignment="1" applyProtection="1">
      <alignment horizontal="center" vertical="center"/>
    </xf>
    <xf numFmtId="0" fontId="37" fillId="0" borderId="0" xfId="0" applyFont="1" applyFill="1" applyBorder="1" applyAlignment="1" applyProtection="1">
      <alignment horizontal="center" vertical="center" wrapText="1"/>
    </xf>
    <xf numFmtId="0" fontId="37" fillId="0" borderId="5" xfId="0" applyFont="1" applyFill="1" applyBorder="1" applyAlignment="1" applyProtection="1">
      <alignment vertical="center" wrapText="1"/>
    </xf>
    <xf numFmtId="0" fontId="37" fillId="0" borderId="9" xfId="0" applyFont="1" applyFill="1" applyBorder="1" applyAlignment="1" applyProtection="1">
      <alignment vertical="center" wrapText="1"/>
    </xf>
    <xf numFmtId="0" fontId="37" fillId="0" borderId="9" xfId="0" applyNumberFormat="1" applyFont="1" applyFill="1" applyBorder="1" applyAlignment="1" applyProtection="1">
      <alignment horizontal="center" vertical="center" wrapText="1"/>
    </xf>
    <xf numFmtId="0" fontId="37" fillId="0" borderId="1" xfId="8" applyFont="1" applyFill="1" applyBorder="1" applyAlignment="1" applyProtection="1">
      <alignment horizontal="center" vertical="center"/>
    </xf>
    <xf numFmtId="0" fontId="41" fillId="0" borderId="1" xfId="0" applyFont="1" applyFill="1" applyBorder="1" applyAlignment="1">
      <alignment horizontal="center" vertical="center"/>
    </xf>
    <xf numFmtId="0" fontId="37" fillId="0" borderId="9" xfId="0" applyNumberFormat="1" applyFont="1" applyFill="1" applyBorder="1" applyAlignment="1">
      <alignment horizontal="center" vertical="center" wrapText="1"/>
    </xf>
    <xf numFmtId="0" fontId="37" fillId="9" borderId="1" xfId="0" applyFont="1" applyFill="1" applyBorder="1" applyAlignment="1">
      <alignment horizontal="center" vertical="center"/>
    </xf>
    <xf numFmtId="0" fontId="37" fillId="0" borderId="6" xfId="0" applyNumberFormat="1" applyFont="1" applyFill="1" applyBorder="1" applyAlignment="1">
      <alignment horizontal="center" vertical="center" wrapText="1"/>
    </xf>
    <xf numFmtId="0" fontId="37" fillId="8" borderId="0" xfId="0" applyFont="1" applyFill="1" applyAlignment="1">
      <alignment horizontal="center" vertical="center"/>
    </xf>
    <xf numFmtId="0" fontId="37" fillId="0" borderId="5" xfId="0" applyNumberFormat="1" applyFont="1" applyFill="1" applyBorder="1" applyAlignment="1">
      <alignment horizontal="center" vertical="center"/>
    </xf>
    <xf numFmtId="0" fontId="37" fillId="0" borderId="1" xfId="0" applyFont="1" applyFill="1" applyBorder="1" applyAlignment="1" applyProtection="1">
      <alignment vertical="center" wrapText="1"/>
    </xf>
    <xf numFmtId="183" fontId="37" fillId="0" borderId="6" xfId="0" applyNumberFormat="1" applyFont="1" applyFill="1" applyBorder="1" applyAlignment="1">
      <alignment horizontal="center" vertical="center"/>
    </xf>
    <xf numFmtId="0" fontId="37" fillId="0" borderId="0" xfId="0" applyFont="1" applyFill="1" applyBorder="1" applyAlignment="1" applyProtection="1">
      <alignment horizontal="center" vertical="center" wrapText="1"/>
      <protection locked="0"/>
    </xf>
    <xf numFmtId="182" fontId="13" fillId="0" borderId="0" xfId="0" applyNumberFormat="1" applyFont="1" applyFill="1" applyAlignment="1">
      <alignment horizontal="center" vertical="center"/>
    </xf>
    <xf numFmtId="0" fontId="37" fillId="0" borderId="1" xfId="0" applyFont="1" applyFill="1" applyBorder="1" applyAlignment="1">
      <alignment horizontal="center" vertical="center" wrapText="1"/>
    </xf>
    <xf numFmtId="177" fontId="37" fillId="0" borderId="1" xfId="0" applyNumberFormat="1" applyFont="1" applyFill="1" applyBorder="1" applyAlignment="1" applyProtection="1">
      <alignment horizontal="center" vertical="center"/>
    </xf>
    <xf numFmtId="0" fontId="23" fillId="0" borderId="1" xfId="8" applyFont="1" applyFill="1" applyBorder="1" applyAlignment="1" applyProtection="1">
      <alignment horizontal="center" vertical="center"/>
    </xf>
    <xf numFmtId="179" fontId="23" fillId="0" borderId="1" xfId="8" applyNumberFormat="1" applyFont="1" applyFill="1" applyBorder="1" applyAlignment="1" applyProtection="1">
      <alignment horizontal="center" vertical="center"/>
    </xf>
    <xf numFmtId="179" fontId="23" fillId="0" borderId="6" xfId="8" applyNumberFormat="1" applyFont="1" applyFill="1" applyBorder="1" applyAlignment="1" applyProtection="1">
      <alignment horizontal="center" vertical="center"/>
    </xf>
    <xf numFmtId="0" fontId="37" fillId="0" borderId="3" xfId="0" applyFont="1" applyFill="1" applyBorder="1" applyAlignment="1" applyProtection="1">
      <alignment horizontal="center" vertical="center"/>
    </xf>
    <xf numFmtId="0" fontId="37" fillId="0" borderId="10" xfId="0" applyFont="1" applyFill="1" applyBorder="1" applyAlignment="1" applyProtection="1">
      <alignment horizontal="center" vertical="center"/>
    </xf>
    <xf numFmtId="0" fontId="37" fillId="0" borderId="2" xfId="0" applyFont="1" applyFill="1" applyBorder="1" applyAlignment="1" applyProtection="1">
      <alignment horizontal="center" vertical="center"/>
    </xf>
    <xf numFmtId="0" fontId="37" fillId="0" borderId="1" xfId="0" applyFont="1" applyFill="1" applyBorder="1" applyAlignment="1" applyProtection="1">
      <alignment horizontal="center" vertical="center"/>
    </xf>
    <xf numFmtId="0" fontId="23" fillId="0" borderId="5" xfId="8" applyFont="1" applyFill="1" applyBorder="1" applyAlignment="1" applyProtection="1">
      <alignment horizontal="center" vertical="center" wrapText="1"/>
    </xf>
    <xf numFmtId="0" fontId="49" fillId="0" borderId="5" xfId="0" applyFont="1" applyFill="1" applyBorder="1" applyAlignment="1" applyProtection="1">
      <alignment horizontal="center" vertical="center" wrapText="1"/>
    </xf>
    <xf numFmtId="0" fontId="13" fillId="0" borderId="5" xfId="0" applyFont="1" applyFill="1" applyBorder="1" applyAlignment="1" applyProtection="1">
      <alignment horizontal="center" vertical="center" wrapText="1"/>
    </xf>
    <xf numFmtId="0" fontId="13" fillId="0" borderId="9" xfId="0" applyFont="1" applyFill="1" applyBorder="1" applyAlignment="1" applyProtection="1">
      <alignment horizontal="center" vertical="center" wrapText="1"/>
    </xf>
    <xf numFmtId="0" fontId="49" fillId="0" borderId="9" xfId="0" applyFont="1" applyFill="1" applyBorder="1" applyAlignment="1" applyProtection="1">
      <alignment horizontal="center" vertical="center" wrapText="1"/>
    </xf>
    <xf numFmtId="0" fontId="54" fillId="0" borderId="5" xfId="0" applyFont="1" applyFill="1" applyBorder="1" applyAlignment="1" applyProtection="1">
      <alignment horizontal="center" vertical="center" wrapText="1"/>
    </xf>
    <xf numFmtId="0" fontId="54" fillId="0" borderId="9" xfId="0" applyFont="1" applyFill="1" applyBorder="1" applyAlignment="1" applyProtection="1">
      <alignment horizontal="center" vertical="center" wrapText="1"/>
    </xf>
    <xf numFmtId="0" fontId="33" fillId="0" borderId="3" xfId="0" applyFont="1" applyFill="1" applyBorder="1" applyAlignment="1" applyProtection="1">
      <alignment horizontal="center" vertical="center"/>
    </xf>
    <xf numFmtId="0" fontId="33" fillId="0" borderId="2" xfId="0" applyFont="1" applyFill="1" applyBorder="1" applyAlignment="1" applyProtection="1">
      <alignment horizontal="center" vertical="center"/>
    </xf>
    <xf numFmtId="0" fontId="13" fillId="0" borderId="13" xfId="0" applyFont="1" applyFill="1" applyBorder="1" applyAlignment="1" applyProtection="1">
      <alignment horizontal="center" vertical="center" wrapText="1"/>
    </xf>
    <xf numFmtId="0" fontId="13" fillId="0" borderId="8" xfId="0" applyFont="1" applyFill="1" applyBorder="1" applyAlignment="1" applyProtection="1">
      <alignment horizontal="center" vertical="center" wrapText="1"/>
    </xf>
    <xf numFmtId="0" fontId="13" fillId="0" borderId="4" xfId="0" applyFont="1" applyFill="1" applyBorder="1" applyAlignment="1" applyProtection="1">
      <alignment horizontal="center" vertical="center" wrapText="1"/>
    </xf>
    <xf numFmtId="0" fontId="13" fillId="0" borderId="7"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xf>
    <xf numFmtId="0" fontId="13" fillId="0" borderId="5" xfId="0" applyFont="1" applyFill="1" applyBorder="1" applyAlignment="1" applyProtection="1">
      <alignment horizontal="center" vertical="center"/>
    </xf>
    <xf numFmtId="0" fontId="13" fillId="0" borderId="11" xfId="0" applyFont="1" applyFill="1" applyBorder="1" applyAlignment="1" applyProtection="1">
      <alignment horizontal="center" vertical="center"/>
    </xf>
    <xf numFmtId="0" fontId="13" fillId="0" borderId="4" xfId="0" applyFont="1" applyFill="1" applyBorder="1" applyAlignment="1" applyProtection="1">
      <alignment horizontal="center" vertical="center"/>
    </xf>
    <xf numFmtId="0" fontId="23" fillId="0" borderId="1" xfId="0" applyFont="1" applyFill="1" applyBorder="1" applyAlignment="1" applyProtection="1">
      <alignment horizontal="center" vertical="center"/>
    </xf>
    <xf numFmtId="0" fontId="16" fillId="0" borderId="5" xfId="0" applyFont="1" applyFill="1" applyBorder="1" applyAlignment="1" applyProtection="1">
      <alignment horizontal="center" vertical="center"/>
    </xf>
    <xf numFmtId="0" fontId="16" fillId="0" borderId="5" xfId="0" applyFont="1" applyFill="1" applyBorder="1" applyAlignment="1" applyProtection="1">
      <alignment horizontal="center" vertical="center" wrapText="1"/>
    </xf>
    <xf numFmtId="0" fontId="9" fillId="0" borderId="9" xfId="8" applyFont="1" applyFill="1" applyBorder="1" applyAlignment="1" applyProtection="1">
      <alignment horizontal="center" vertical="center" wrapText="1"/>
    </xf>
    <xf numFmtId="0" fontId="16" fillId="0" borderId="4" xfId="0" applyFont="1" applyFill="1" applyBorder="1" applyAlignment="1" applyProtection="1">
      <alignment horizontal="center" vertical="center"/>
    </xf>
    <xf numFmtId="0" fontId="9" fillId="0" borderId="1" xfId="0" applyFont="1" applyBorder="1" applyAlignment="1" applyProtection="1">
      <alignment horizontal="center" vertical="center"/>
    </xf>
    <xf numFmtId="0" fontId="16"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3" fillId="0" borderId="5" xfId="0" applyFont="1" applyBorder="1" applyAlignment="1">
      <alignment horizontal="center" vertical="center"/>
    </xf>
    <xf numFmtId="0" fontId="23" fillId="0" borderId="5" xfId="0" applyFont="1" applyFill="1" applyBorder="1" applyAlignment="1">
      <alignment horizontal="center" vertical="center" wrapText="1"/>
    </xf>
    <xf numFmtId="20" fontId="0" fillId="6" borderId="0" xfId="0" applyNumberFormat="1" applyFill="1" applyBorder="1">
      <alignment vertical="center"/>
    </xf>
    <xf numFmtId="0" fontId="23"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7" fillId="6" borderId="13" xfId="0" applyFont="1" applyFill="1" applyBorder="1" applyAlignment="1">
      <alignment vertical="center"/>
    </xf>
    <xf numFmtId="0" fontId="37" fillId="6" borderId="8" xfId="0" applyFont="1" applyFill="1" applyBorder="1" applyAlignment="1">
      <alignment vertical="center"/>
    </xf>
    <xf numFmtId="0" fontId="37"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7" fillId="6" borderId="1" xfId="0" applyFont="1" applyFill="1" applyBorder="1" applyAlignment="1" applyProtection="1">
      <alignment horizontal="center" vertical="center"/>
    </xf>
    <xf numFmtId="0" fontId="61" fillId="6" borderId="1" xfId="0" applyFont="1" applyFill="1" applyBorder="1" applyAlignment="1" applyProtection="1">
      <alignment horizontal="center" vertical="center" wrapText="1"/>
    </xf>
    <xf numFmtId="0" fontId="23" fillId="6" borderId="1" xfId="0" applyFont="1" applyFill="1" applyBorder="1" applyAlignment="1" applyProtection="1">
      <alignment horizontal="center" vertical="center"/>
    </xf>
    <xf numFmtId="0" fontId="13" fillId="6" borderId="5" xfId="0" applyFont="1" applyFill="1" applyBorder="1" applyAlignment="1" applyProtection="1">
      <alignment horizontal="center" vertical="center" wrapText="1"/>
    </xf>
    <xf numFmtId="0" fontId="13" fillId="6" borderId="9" xfId="0" applyFont="1" applyFill="1" applyBorder="1" applyAlignment="1" applyProtection="1">
      <alignment horizontal="center" vertical="center" wrapText="1"/>
    </xf>
    <xf numFmtId="0" fontId="13"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1"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0" fillId="5" borderId="0" xfId="8" applyNumberFormat="1" applyFont="1" applyFill="1" applyBorder="1" applyAlignment="1" applyProtection="1">
      <alignment horizontal="center" vertical="center" wrapText="1"/>
      <protection locked="0"/>
    </xf>
    <xf numFmtId="0" fontId="23" fillId="0" borderId="4" xfId="0" applyFont="1" applyBorder="1" applyAlignment="1">
      <alignment horizontal="center" vertical="center"/>
    </xf>
    <xf numFmtId="0" fontId="13" fillId="6" borderId="0" xfId="0"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xf>
    <xf numFmtId="0" fontId="16" fillId="0" borderId="0" xfId="0" applyFont="1" applyFill="1" applyBorder="1" applyAlignment="1" applyProtection="1">
      <alignment horizontal="center" vertical="center" wrapText="1"/>
    </xf>
    <xf numFmtId="0" fontId="23" fillId="6" borderId="13" xfId="0" applyFont="1" applyFill="1" applyBorder="1" applyAlignment="1" applyProtection="1">
      <alignment horizontal="center" vertical="center"/>
    </xf>
    <xf numFmtId="0" fontId="23" fillId="6" borderId="11" xfId="0" applyFont="1" applyFill="1" applyBorder="1" applyAlignment="1" applyProtection="1">
      <alignment horizontal="center" vertical="center"/>
    </xf>
    <xf numFmtId="0" fontId="9" fillId="0" borderId="0" xfId="0" applyFont="1" applyBorder="1" applyAlignment="1" applyProtection="1">
      <alignment vertical="center" wrapText="1"/>
    </xf>
    <xf numFmtId="14" fontId="71" fillId="5" borderId="0" xfId="8" applyNumberFormat="1" applyFont="1" applyFill="1" applyBorder="1" applyAlignment="1" applyProtection="1">
      <alignment horizontal="center" vertical="center" wrapText="1"/>
      <protection locked="0"/>
    </xf>
    <xf numFmtId="187" fontId="9" fillId="0" borderId="0" xfId="0" applyNumberFormat="1" applyFont="1" applyFill="1" applyBorder="1" applyAlignment="1" applyProtection="1">
      <alignment vertical="center" wrapText="1"/>
    </xf>
    <xf numFmtId="14" fontId="23" fillId="0" borderId="0" xfId="8" applyNumberFormat="1" applyFont="1" applyFill="1" applyBorder="1" applyAlignment="1" applyProtection="1">
      <alignment vertical="center" wrapText="1"/>
      <protection locked="0"/>
    </xf>
    <xf numFmtId="0" fontId="13" fillId="0" borderId="0" xfId="8" applyFont="1" applyFill="1" applyBorder="1" applyAlignment="1" applyProtection="1">
      <alignment horizontal="center" vertical="center" wrapText="1"/>
      <protection locked="0"/>
    </xf>
    <xf numFmtId="20" fontId="13" fillId="0" borderId="0" xfId="8" applyNumberFormat="1" applyFont="1" applyFill="1" applyBorder="1" applyAlignment="1" applyProtection="1">
      <alignment horizontal="center" vertical="center" wrapText="1"/>
      <protection locked="0"/>
    </xf>
    <xf numFmtId="0" fontId="13" fillId="0" borderId="0" xfId="0" applyFont="1" applyFill="1" applyBorder="1" applyAlignment="1" applyProtection="1">
      <alignment horizontal="center" vertical="center"/>
    </xf>
    <xf numFmtId="0" fontId="13" fillId="0" borderId="0" xfId="0" applyFont="1" applyFill="1" applyBorder="1" applyAlignment="1" applyProtection="1">
      <alignment horizontal="center" vertical="center" wrapText="1"/>
    </xf>
    <xf numFmtId="14" fontId="23" fillId="0" borderId="0" xfId="8" applyNumberFormat="1" applyFont="1" applyFill="1" applyBorder="1" applyAlignment="1" applyProtection="1">
      <alignment horizontal="center" vertical="center" wrapText="1"/>
      <protection locked="0"/>
    </xf>
    <xf numFmtId="0" fontId="37" fillId="0" borderId="4" xfId="0" applyFont="1" applyFill="1" applyBorder="1" applyAlignment="1" applyProtection="1">
      <alignment horizontal="center" vertical="center"/>
    </xf>
    <xf numFmtId="0" fontId="13" fillId="0" borderId="7" xfId="0" applyFont="1" applyFill="1" applyBorder="1" applyAlignment="1" applyProtection="1">
      <alignment horizontal="center" vertical="center"/>
    </xf>
    <xf numFmtId="0" fontId="23" fillId="0" borderId="0" xfId="0" applyFont="1" applyBorder="1" applyAlignment="1">
      <alignment horizontal="center" vertical="center"/>
    </xf>
    <xf numFmtId="0" fontId="23" fillId="0" borderId="13" xfId="8" applyFont="1" applyFill="1" applyBorder="1" applyAlignment="1" applyProtection="1">
      <alignment horizontal="center" vertical="center"/>
    </xf>
    <xf numFmtId="14" fontId="23" fillId="0" borderId="8" xfId="8" applyNumberFormat="1" applyFont="1" applyFill="1" applyBorder="1" applyAlignment="1" applyProtection="1">
      <alignment horizontal="center" vertical="center" wrapText="1"/>
    </xf>
    <xf numFmtId="0" fontId="23"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7" fillId="6" borderId="24" xfId="0" applyFont="1" applyFill="1" applyBorder="1" applyAlignment="1">
      <alignment vertical="center"/>
    </xf>
    <xf numFmtId="0" fontId="37"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3"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7" fillId="6" borderId="1" xfId="0" applyFont="1" applyFill="1" applyBorder="1" applyAlignment="1">
      <alignment horizontal="center" vertical="center"/>
    </xf>
    <xf numFmtId="0" fontId="17" fillId="0" borderId="0" xfId="0" applyFont="1" applyFill="1" applyAlignment="1">
      <alignment horizontal="left" vertical="center"/>
    </xf>
    <xf numFmtId="0" fontId="37" fillId="4" borderId="0" xfId="0" applyFont="1" applyFill="1" applyAlignment="1" applyProtection="1">
      <alignment horizontal="center" vertical="center"/>
    </xf>
    <xf numFmtId="0" fontId="37" fillId="0" borderId="9" xfId="8" applyFont="1" applyFill="1" applyBorder="1" applyAlignment="1" applyProtection="1">
      <alignment horizontal="center" vertical="center"/>
    </xf>
    <xf numFmtId="191" fontId="23" fillId="0" borderId="7" xfId="0" applyNumberFormat="1" applyFont="1" applyFill="1" applyBorder="1" applyAlignment="1" applyProtection="1">
      <alignment horizontal="center" vertical="center"/>
      <protection locked="0"/>
    </xf>
    <xf numFmtId="191" fontId="61" fillId="0" borderId="7" xfId="0" applyNumberFormat="1" applyFont="1" applyFill="1" applyBorder="1" applyAlignment="1" applyProtection="1">
      <alignment horizontal="center" vertical="center"/>
      <protection locked="0"/>
    </xf>
    <xf numFmtId="182" fontId="37" fillId="7" borderId="5" xfId="0" applyNumberFormat="1" applyFont="1" applyFill="1" applyBorder="1" applyAlignment="1" applyProtection="1">
      <alignment vertical="center"/>
      <protection locked="0"/>
    </xf>
    <xf numFmtId="182" fontId="37" fillId="7" borderId="1" xfId="0" applyNumberFormat="1" applyFont="1" applyFill="1" applyBorder="1" applyAlignment="1" applyProtection="1">
      <alignment horizontal="center" vertical="center"/>
      <protection locked="0"/>
    </xf>
    <xf numFmtId="181" fontId="37" fillId="0" borderId="1" xfId="8" applyNumberFormat="1" applyFont="1" applyFill="1" applyBorder="1" applyAlignment="1" applyProtection="1">
      <alignment horizontal="center" vertical="center"/>
    </xf>
    <xf numFmtId="0" fontId="37" fillId="14" borderId="1" xfId="0" applyFont="1" applyFill="1" applyBorder="1" applyAlignment="1">
      <alignment horizontal="center" vertical="center"/>
    </xf>
    <xf numFmtId="183" fontId="37" fillId="14" borderId="1" xfId="0" applyNumberFormat="1" applyFont="1" applyFill="1" applyBorder="1" applyAlignment="1">
      <alignment horizontal="center" vertical="center"/>
    </xf>
    <xf numFmtId="181" fontId="37" fillId="14" borderId="1" xfId="0" applyNumberFormat="1" applyFont="1" applyFill="1" applyBorder="1" applyAlignment="1">
      <alignment horizontal="center" vertical="center"/>
    </xf>
    <xf numFmtId="182" fontId="37" fillId="14" borderId="5" xfId="0" applyNumberFormat="1" applyFont="1" applyFill="1" applyBorder="1" applyAlignment="1" applyProtection="1">
      <alignment vertical="center"/>
      <protection locked="0"/>
    </xf>
    <xf numFmtId="178" fontId="37" fillId="14" borderId="1" xfId="0" applyNumberFormat="1" applyFont="1" applyFill="1" applyBorder="1" applyAlignment="1">
      <alignment horizontal="center" vertical="center"/>
    </xf>
    <xf numFmtId="0" fontId="37" fillId="14" borderId="1" xfId="0" applyFont="1" applyFill="1" applyBorder="1" applyAlignment="1">
      <alignment horizontal="center" vertical="center" wrapText="1"/>
    </xf>
    <xf numFmtId="0" fontId="37" fillId="14" borderId="9" xfId="0" applyNumberFormat="1" applyFont="1" applyFill="1" applyBorder="1" applyAlignment="1">
      <alignment horizontal="center" vertical="center" wrapText="1"/>
    </xf>
    <xf numFmtId="0" fontId="16" fillId="0" borderId="1" xfId="0" applyFont="1" applyFill="1" applyBorder="1" applyAlignment="1" applyProtection="1">
      <alignment horizontal="center" vertical="center"/>
    </xf>
    <xf numFmtId="0" fontId="37" fillId="14" borderId="4" xfId="0" applyFont="1" applyFill="1" applyBorder="1" applyAlignment="1">
      <alignment horizontal="left" vertical="center" wrapText="1"/>
    </xf>
    <xf numFmtId="180" fontId="37" fillId="0" borderId="5" xfId="0" applyNumberFormat="1" applyFont="1" applyFill="1" applyBorder="1" applyAlignment="1">
      <alignment horizontal="center" vertical="center"/>
    </xf>
    <xf numFmtId="0" fontId="37" fillId="0" borderId="3" xfId="0" applyFont="1" applyFill="1" applyBorder="1" applyAlignment="1" applyProtection="1">
      <alignment horizontal="center" vertical="center"/>
    </xf>
    <xf numFmtId="0" fontId="37" fillId="0" borderId="10" xfId="0" applyFont="1" applyFill="1" applyBorder="1" applyAlignment="1" applyProtection="1">
      <alignment horizontal="center" vertical="center"/>
    </xf>
    <xf numFmtId="0" fontId="37" fillId="0" borderId="2" xfId="0" applyFont="1" applyFill="1" applyBorder="1" applyAlignment="1" applyProtection="1">
      <alignment horizontal="center" vertical="center"/>
    </xf>
    <xf numFmtId="0" fontId="37" fillId="0" borderId="1" xfId="0" applyFont="1" applyFill="1" applyBorder="1" applyAlignment="1" applyProtection="1">
      <alignment horizontal="center" vertical="center"/>
    </xf>
    <xf numFmtId="0" fontId="23" fillId="0" borderId="1" xfId="0" applyFont="1" applyFill="1" applyBorder="1" applyAlignment="1" applyProtection="1">
      <alignment horizontal="center" vertical="center"/>
    </xf>
    <xf numFmtId="0" fontId="13" fillId="0" borderId="13" xfId="0" applyFont="1" applyFill="1" applyBorder="1" applyAlignment="1" applyProtection="1">
      <alignment horizontal="center" vertical="center" wrapText="1"/>
    </xf>
    <xf numFmtId="0" fontId="13" fillId="0" borderId="11" xfId="0" applyFont="1" applyFill="1" applyBorder="1" applyAlignment="1" applyProtection="1">
      <alignment horizontal="center" vertical="center"/>
    </xf>
    <xf numFmtId="0" fontId="13" fillId="0" borderId="4" xfId="0" applyFont="1" applyFill="1" applyBorder="1" applyAlignment="1" applyProtection="1">
      <alignment horizontal="center" vertical="center"/>
    </xf>
    <xf numFmtId="0" fontId="13" fillId="0" borderId="5" xfId="0" applyFont="1" applyFill="1" applyBorder="1" applyAlignment="1" applyProtection="1">
      <alignment horizontal="center" vertical="center"/>
    </xf>
    <xf numFmtId="0" fontId="13" fillId="0" borderId="5" xfId="0" applyFont="1" applyFill="1" applyBorder="1" applyAlignment="1" applyProtection="1">
      <alignment horizontal="center" vertical="center" wrapText="1"/>
    </xf>
    <xf numFmtId="0" fontId="13" fillId="0" borderId="9"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xf>
    <xf numFmtId="0" fontId="33" fillId="0" borderId="3" xfId="0" applyFont="1" applyFill="1" applyBorder="1" applyAlignment="1" applyProtection="1">
      <alignment horizontal="center" vertical="center"/>
    </xf>
    <xf numFmtId="0" fontId="33" fillId="0" borderId="2" xfId="0" applyFont="1" applyFill="1" applyBorder="1" applyAlignment="1" applyProtection="1">
      <alignment horizontal="center" vertical="center"/>
    </xf>
    <xf numFmtId="0" fontId="13" fillId="0" borderId="8" xfId="0" applyFont="1" applyFill="1" applyBorder="1" applyAlignment="1" applyProtection="1">
      <alignment horizontal="center" vertical="center" wrapText="1"/>
    </xf>
    <xf numFmtId="0" fontId="13" fillId="0" borderId="4" xfId="0" applyFont="1" applyFill="1" applyBorder="1" applyAlignment="1" applyProtection="1">
      <alignment horizontal="center" vertical="center" wrapText="1"/>
    </xf>
    <xf numFmtId="0" fontId="13" fillId="0" borderId="7" xfId="0" applyFont="1" applyFill="1" applyBorder="1" applyAlignment="1" applyProtection="1">
      <alignment horizontal="center" vertical="center" wrapText="1"/>
    </xf>
    <xf numFmtId="0" fontId="23" fillId="0" borderId="5" xfId="8" applyFont="1" applyFill="1" applyBorder="1" applyAlignment="1" applyProtection="1">
      <alignment horizontal="center" vertical="center" wrapText="1"/>
    </xf>
    <xf numFmtId="0" fontId="49" fillId="0" borderId="5" xfId="0" applyFont="1" applyFill="1" applyBorder="1" applyAlignment="1" applyProtection="1">
      <alignment horizontal="center" vertical="center" wrapText="1"/>
    </xf>
    <xf numFmtId="0" fontId="49" fillId="0" borderId="9" xfId="0" applyFont="1" applyFill="1" applyBorder="1" applyAlignment="1" applyProtection="1">
      <alignment horizontal="center" vertical="center" wrapText="1"/>
    </xf>
    <xf numFmtId="0" fontId="54" fillId="0" borderId="5" xfId="0" applyFont="1" applyFill="1" applyBorder="1" applyAlignment="1" applyProtection="1">
      <alignment horizontal="center" vertical="center" wrapText="1"/>
    </xf>
    <xf numFmtId="0" fontId="54" fillId="0" borderId="9" xfId="0" applyFont="1" applyFill="1" applyBorder="1" applyAlignment="1" applyProtection="1">
      <alignment horizontal="center" vertical="center" wrapText="1"/>
    </xf>
    <xf numFmtId="0" fontId="16" fillId="0" borderId="5" xfId="0" applyFont="1" applyFill="1" applyBorder="1" applyAlignment="1" applyProtection="1">
      <alignment horizontal="center" vertical="center"/>
    </xf>
    <xf numFmtId="0" fontId="16" fillId="0" borderId="5" xfId="0" applyFont="1" applyFill="1" applyBorder="1" applyAlignment="1" applyProtection="1">
      <alignment horizontal="center" vertical="center" wrapText="1"/>
    </xf>
    <xf numFmtId="0" fontId="9" fillId="0" borderId="9" xfId="8" applyFont="1" applyFill="1" applyBorder="1" applyAlignment="1" applyProtection="1">
      <alignment horizontal="center" vertical="center" wrapText="1"/>
    </xf>
    <xf numFmtId="0" fontId="16" fillId="0" borderId="4" xfId="0" applyFont="1" applyFill="1" applyBorder="1" applyAlignment="1" applyProtection="1">
      <alignment horizontal="center" vertical="center"/>
    </xf>
    <xf numFmtId="0" fontId="9" fillId="0" borderId="1" xfId="0" applyFont="1" applyBorder="1" applyAlignment="1" applyProtection="1">
      <alignment horizontal="center" vertical="center"/>
    </xf>
    <xf numFmtId="0" fontId="16" fillId="0" borderId="0" xfId="0"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xf>
    <xf numFmtId="0" fontId="37" fillId="0" borderId="4" xfId="0" applyFont="1" applyFill="1" applyBorder="1" applyAlignment="1" applyProtection="1">
      <alignment horizontal="center" vertical="center"/>
    </xf>
    <xf numFmtId="0" fontId="13" fillId="0" borderId="0" xfId="0" applyFont="1" applyFill="1" applyBorder="1" applyAlignment="1" applyProtection="1">
      <alignment horizontal="center" vertical="center" wrapText="1"/>
    </xf>
    <xf numFmtId="0" fontId="13" fillId="0" borderId="0" xfId="0" applyFont="1" applyFill="1" applyBorder="1" applyAlignment="1" applyProtection="1">
      <alignment horizontal="center" vertical="center"/>
    </xf>
    <xf numFmtId="0" fontId="13" fillId="0" borderId="7" xfId="0" applyFont="1" applyFill="1" applyBorder="1" applyAlignment="1" applyProtection="1">
      <alignment horizontal="center" vertical="center"/>
    </xf>
    <xf numFmtId="182" fontId="37" fillId="0" borderId="9" xfId="0" applyNumberFormat="1" applyFont="1" applyFill="1" applyBorder="1" applyAlignment="1" applyProtection="1">
      <alignment vertical="center"/>
      <protection locked="0"/>
    </xf>
    <xf numFmtId="182" fontId="37" fillId="0" borderId="6" xfId="0" applyNumberFormat="1" applyFont="1" applyFill="1" applyBorder="1" applyAlignment="1" applyProtection="1">
      <alignment horizontal="center" vertical="center"/>
      <protection locked="0"/>
    </xf>
    <xf numFmtId="192" fontId="37" fillId="14" borderId="1" xfId="0" applyNumberFormat="1" applyFont="1" applyFill="1" applyBorder="1" applyAlignment="1">
      <alignment horizontal="center" vertical="center"/>
    </xf>
    <xf numFmtId="0" fontId="51" fillId="0" borderId="0" xfId="0" applyFont="1" applyFill="1" applyAlignment="1" applyProtection="1">
      <alignment horizontal="center" vertical="center"/>
      <protection locked="0"/>
    </xf>
    <xf numFmtId="0" fontId="67" fillId="0" borderId="0" xfId="0" applyFont="1" applyFill="1" applyAlignment="1" applyProtection="1">
      <alignment horizontal="center" vertical="center"/>
      <protection locked="0"/>
    </xf>
    <xf numFmtId="0" fontId="49" fillId="0" borderId="1" xfId="0" applyFont="1" applyFill="1" applyBorder="1" applyAlignment="1" applyProtection="1">
      <alignment horizontal="center" vertical="center" wrapText="1"/>
      <protection locked="0"/>
    </xf>
    <xf numFmtId="0" fontId="69" fillId="0" borderId="1" xfId="0" applyFont="1" applyFill="1" applyBorder="1" applyAlignment="1" applyProtection="1">
      <alignment horizontal="center" vertical="center"/>
    </xf>
    <xf numFmtId="0" fontId="49" fillId="0" borderId="1" xfId="0" applyFont="1" applyFill="1" applyBorder="1" applyAlignment="1" applyProtection="1">
      <alignment horizontal="center" vertical="center" wrapText="1"/>
    </xf>
    <xf numFmtId="0" fontId="69" fillId="0" borderId="1" xfId="0" applyFont="1" applyFill="1" applyBorder="1" applyAlignment="1">
      <alignment horizontal="center" vertical="center"/>
    </xf>
    <xf numFmtId="14" fontId="76" fillId="5" borderId="8" xfId="8" applyNumberFormat="1" applyFont="1" applyFill="1" applyBorder="1" applyAlignment="1" applyProtection="1">
      <alignment horizontal="center" vertical="center" wrapText="1"/>
      <protection locked="0"/>
    </xf>
    <xf numFmtId="0" fontId="9" fillId="0" borderId="5" xfId="0" applyFont="1" applyBorder="1" applyAlignment="1" applyProtection="1">
      <alignment vertical="center" wrapText="1"/>
    </xf>
    <xf numFmtId="0" fontId="9" fillId="0" borderId="9" xfId="0" applyFont="1" applyBorder="1" applyAlignment="1" applyProtection="1">
      <alignment vertical="center" wrapText="1"/>
    </xf>
    <xf numFmtId="0" fontId="9" fillId="0" borderId="6" xfId="0" applyFont="1" applyBorder="1" applyAlignment="1" applyProtection="1">
      <alignment vertical="center" wrapText="1"/>
    </xf>
    <xf numFmtId="0" fontId="9" fillId="0" borderId="9" xfId="0" applyFont="1" applyBorder="1" applyAlignment="1" applyProtection="1">
      <alignment vertical="center"/>
    </xf>
    <xf numFmtId="0" fontId="61" fillId="0" borderId="5" xfId="0" applyFont="1" applyFill="1" applyBorder="1" applyAlignment="1" applyProtection="1">
      <alignment vertical="center" wrapText="1"/>
    </xf>
    <xf numFmtId="0" fontId="61" fillId="0" borderId="9" xfId="0" applyFont="1" applyFill="1" applyBorder="1" applyAlignment="1" applyProtection="1">
      <alignment vertical="center" wrapText="1"/>
    </xf>
    <xf numFmtId="0" fontId="61" fillId="0" borderId="6" xfId="0" applyFont="1" applyFill="1" applyBorder="1" applyAlignment="1" applyProtection="1">
      <alignment vertical="center" wrapText="1"/>
    </xf>
    <xf numFmtId="0" fontId="61" fillId="0" borderId="9" xfId="0" applyFont="1" applyFill="1" applyBorder="1" applyAlignment="1" applyProtection="1">
      <alignment vertical="center"/>
    </xf>
    <xf numFmtId="0" fontId="23" fillId="0" borderId="5" xfId="8" applyFont="1" applyFill="1" applyBorder="1" applyAlignment="1" applyProtection="1">
      <alignment vertical="center" wrapText="1"/>
    </xf>
    <xf numFmtId="0" fontId="23" fillId="0" borderId="9" xfId="8" applyFont="1" applyFill="1" applyBorder="1" applyAlignment="1" applyProtection="1">
      <alignment vertical="center" wrapText="1"/>
    </xf>
    <xf numFmtId="0" fontId="23" fillId="0" borderId="6" xfId="8" applyFont="1" applyFill="1" applyBorder="1" applyAlignment="1" applyProtection="1">
      <alignment vertical="center" wrapText="1"/>
    </xf>
    <xf numFmtId="0" fontId="13" fillId="0" borderId="1" xfId="8" applyNumberFormat="1" applyFont="1" applyFill="1" applyBorder="1" applyAlignment="1" applyProtection="1">
      <alignment horizontal="center" vertical="center"/>
      <protection locked="0"/>
    </xf>
    <xf numFmtId="0" fontId="13" fillId="0" borderId="1" xfId="8" applyNumberFormat="1" applyFont="1" applyFill="1" applyBorder="1" applyAlignment="1" applyProtection="1">
      <alignment horizontal="center" vertical="center" wrapText="1"/>
      <protection locked="0"/>
    </xf>
    <xf numFmtId="49" fontId="90" fillId="0" borderId="1" xfId="0" applyNumberFormat="1" applyFont="1" applyBorder="1" applyAlignment="1">
      <alignment horizontal="center" vertical="center"/>
    </xf>
    <xf numFmtId="0" fontId="37" fillId="0" borderId="0" xfId="0" applyFont="1" applyFill="1" applyAlignment="1">
      <alignment horizontal="center" vertical="center"/>
    </xf>
    <xf numFmtId="0" fontId="37" fillId="0" borderId="7" xfId="0" applyFont="1" applyFill="1" applyBorder="1" applyAlignment="1">
      <alignment horizontal="center" vertical="center"/>
    </xf>
    <xf numFmtId="0" fontId="37" fillId="0" borderId="10" xfId="0" applyFont="1" applyFill="1" applyBorder="1" applyAlignment="1" applyProtection="1">
      <alignment horizontal="center" vertical="center" wrapText="1"/>
      <protection locked="0"/>
    </xf>
    <xf numFmtId="0" fontId="37" fillId="0" borderId="1" xfId="8" applyNumberFormat="1" applyFont="1" applyFill="1" applyBorder="1" applyAlignment="1" applyProtection="1">
      <alignment horizontal="center" vertical="center"/>
      <protection locked="0"/>
    </xf>
    <xf numFmtId="0" fontId="37" fillId="0" borderId="7" xfId="0" applyFont="1" applyFill="1" applyBorder="1" applyAlignment="1" applyProtection="1">
      <alignment vertical="center"/>
    </xf>
    <xf numFmtId="0" fontId="37" fillId="5" borderId="6" xfId="0" applyFont="1" applyFill="1" applyBorder="1" applyAlignment="1" applyProtection="1">
      <alignment vertical="center" wrapText="1"/>
    </xf>
    <xf numFmtId="0" fontId="37" fillId="0" borderId="9" xfId="0" quotePrefix="1" applyFont="1" applyFill="1" applyBorder="1" applyAlignment="1" applyProtection="1">
      <alignment horizontal="centerContinuous" vertical="center"/>
    </xf>
    <xf numFmtId="0" fontId="37" fillId="0" borderId="6" xfId="0" quotePrefix="1" applyFont="1" applyFill="1" applyBorder="1" applyAlignment="1" applyProtection="1">
      <alignment horizontal="centerContinuous" vertical="center"/>
    </xf>
    <xf numFmtId="0" fontId="23" fillId="0" borderId="1" xfId="8" applyFont="1" applyFill="1" applyBorder="1" applyAlignment="1" applyProtection="1">
      <alignment horizontal="center" vertical="center" wrapText="1"/>
      <protection locked="0"/>
    </xf>
    <xf numFmtId="0" fontId="49" fillId="6" borderId="1" xfId="0" applyFont="1" applyFill="1" applyBorder="1" applyAlignment="1">
      <alignment horizontal="center" vertical="center"/>
    </xf>
    <xf numFmtId="195" fontId="23" fillId="0" borderId="1" xfId="8" applyNumberFormat="1" applyFont="1" applyFill="1" applyBorder="1" applyAlignment="1" applyProtection="1">
      <alignment horizontal="center" vertical="center" wrapText="1"/>
      <protection locked="0"/>
    </xf>
    <xf numFmtId="196" fontId="23" fillId="0" borderId="1" xfId="8" applyNumberFormat="1" applyFont="1" applyFill="1" applyBorder="1" applyAlignment="1" applyProtection="1">
      <alignment horizontal="center" vertical="center" wrapText="1"/>
      <protection locked="0"/>
    </xf>
    <xf numFmtId="180" fontId="49" fillId="0" borderId="1" xfId="0" applyNumberFormat="1" applyFont="1" applyFill="1" applyBorder="1" applyAlignment="1">
      <alignment horizontal="center" vertical="center"/>
    </xf>
    <xf numFmtId="0" fontId="50" fillId="0" borderId="1" xfId="0" applyFont="1" applyFill="1" applyBorder="1" applyAlignment="1">
      <alignment horizontal="center" vertical="center"/>
    </xf>
    <xf numFmtId="14" fontId="37" fillId="5" borderId="9" xfId="0" applyNumberFormat="1" applyFont="1" applyFill="1" applyBorder="1" applyAlignment="1" applyProtection="1">
      <alignment vertical="center"/>
    </xf>
    <xf numFmtId="0" fontId="37" fillId="0" borderId="9" xfId="0" applyFont="1" applyFill="1" applyBorder="1" applyAlignment="1" applyProtection="1">
      <alignment horizontal="center" vertical="center"/>
    </xf>
    <xf numFmtId="0" fontId="37" fillId="0" borderId="3" xfId="0" applyFont="1" applyFill="1" applyBorder="1" applyAlignment="1">
      <alignment horizontal="center" vertical="center"/>
    </xf>
    <xf numFmtId="0" fontId="37" fillId="0" borderId="2" xfId="0" applyFont="1" applyFill="1" applyBorder="1" applyAlignment="1">
      <alignment horizontal="center" vertical="center"/>
    </xf>
    <xf numFmtId="0" fontId="49" fillId="0" borderId="2" xfId="0" applyFont="1" applyFill="1" applyBorder="1" applyAlignment="1" applyProtection="1">
      <alignment horizontal="center" vertical="center" wrapText="1"/>
    </xf>
    <xf numFmtId="0" fontId="37" fillId="0" borderId="2" xfId="0" applyFont="1" applyFill="1" applyBorder="1" applyAlignment="1" applyProtection="1">
      <alignment horizontal="center" vertical="center" wrapText="1"/>
    </xf>
    <xf numFmtId="0" fontId="37" fillId="0" borderId="2" xfId="0" applyNumberFormat="1" applyFont="1" applyFill="1" applyBorder="1" applyAlignment="1" applyProtection="1">
      <alignment horizontal="center" vertical="center" wrapText="1"/>
    </xf>
    <xf numFmtId="0" fontId="37" fillId="0" borderId="5" xfId="0" applyFont="1" applyFill="1" applyBorder="1" applyAlignment="1" applyProtection="1">
      <alignment horizontal="centerContinuous" vertical="center" wrapText="1"/>
    </xf>
    <xf numFmtId="0" fontId="37" fillId="0" borderId="9" xfId="0" applyFont="1" applyFill="1" applyBorder="1" applyAlignment="1" applyProtection="1">
      <alignment horizontal="centerContinuous" vertical="center" wrapText="1"/>
    </xf>
    <xf numFmtId="0" fontId="37" fillId="0" borderId="5" xfId="0" quotePrefix="1" applyFont="1" applyFill="1" applyBorder="1" applyAlignment="1" applyProtection="1">
      <alignment horizontal="centerContinuous" vertical="center"/>
    </xf>
    <xf numFmtId="0" fontId="37" fillId="0" borderId="9" xfId="0" applyFont="1" applyFill="1" applyBorder="1" applyAlignment="1" applyProtection="1">
      <alignment horizontal="centerContinuous" vertical="center"/>
    </xf>
    <xf numFmtId="0" fontId="37" fillId="0" borderId="6" xfId="0" applyFont="1" applyFill="1" applyBorder="1" applyAlignment="1" applyProtection="1">
      <alignment horizontal="centerContinuous" vertical="center"/>
    </xf>
    <xf numFmtId="0" fontId="37" fillId="12" borderId="3" xfId="0" applyFont="1" applyFill="1" applyBorder="1" applyAlignment="1">
      <alignment horizontal="center" vertical="center"/>
    </xf>
    <xf numFmtId="0" fontId="72" fillId="4" borderId="9" xfId="0" applyFont="1" applyFill="1" applyBorder="1" applyAlignment="1" applyProtection="1">
      <alignment horizontal="centerContinuous" vertical="center"/>
    </xf>
    <xf numFmtId="0" fontId="37" fillId="4" borderId="9" xfId="0" applyFont="1" applyFill="1" applyBorder="1" applyAlignment="1" applyProtection="1">
      <alignment horizontal="centerContinuous" vertical="center"/>
    </xf>
    <xf numFmtId="0" fontId="37" fillId="4" borderId="0" xfId="0" applyFont="1" applyFill="1" applyAlignment="1" applyProtection="1">
      <alignment horizontal="centerContinuous" vertical="center"/>
    </xf>
    <xf numFmtId="0" fontId="93" fillId="0" borderId="0" xfId="0" applyFont="1" applyFill="1" applyAlignment="1">
      <alignment horizontal="center" vertical="center"/>
    </xf>
    <xf numFmtId="0" fontId="93" fillId="0" borderId="0" xfId="0" applyFont="1" applyFill="1" applyAlignment="1">
      <alignment horizontal="centerContinuous" vertical="center" wrapText="1"/>
    </xf>
    <xf numFmtId="0" fontId="93" fillId="0" borderId="0" xfId="0" applyFont="1" applyFill="1" applyAlignment="1">
      <alignment horizontal="centerContinuous" vertical="center"/>
    </xf>
    <xf numFmtId="0" fontId="93" fillId="0" borderId="7" xfId="0" applyFont="1" applyFill="1" applyBorder="1" applyAlignment="1" applyProtection="1">
      <alignment vertical="center" wrapText="1"/>
    </xf>
    <xf numFmtId="0" fontId="93" fillId="0" borderId="7" xfId="0" applyFont="1" applyFill="1" applyBorder="1" applyAlignment="1">
      <alignment horizontal="centerContinuous" vertical="center" wrapText="1"/>
    </xf>
    <xf numFmtId="0" fontId="93" fillId="0" borderId="7" xfId="0" applyFont="1" applyFill="1" applyBorder="1" applyAlignment="1">
      <alignment horizontal="centerContinuous" vertical="center"/>
    </xf>
    <xf numFmtId="0" fontId="37" fillId="0" borderId="3" xfId="0" applyFont="1" applyFill="1" applyBorder="1" applyAlignment="1">
      <alignment vertical="center" wrapText="1"/>
    </xf>
    <xf numFmtId="0" fontId="37"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0" fillId="0" borderId="6" xfId="0" applyFont="1" applyBorder="1" applyAlignment="1">
      <alignment vertical="center" wrapText="1"/>
    </xf>
    <xf numFmtId="0" fontId="49" fillId="0" borderId="5" xfId="0" applyFont="1" applyFill="1" applyBorder="1" applyAlignment="1" applyProtection="1">
      <alignment vertical="center"/>
    </xf>
    <xf numFmtId="0" fontId="49" fillId="0" borderId="9" xfId="0" applyFont="1" applyFill="1" applyBorder="1" applyAlignment="1" applyProtection="1">
      <alignment horizontal="centerContinuous" vertical="center"/>
    </xf>
    <xf numFmtId="181" fontId="49" fillId="0" borderId="1" xfId="0" applyNumberFormat="1" applyFont="1" applyFill="1" applyBorder="1" applyAlignment="1" applyProtection="1">
      <alignment horizontal="center" vertical="center"/>
    </xf>
    <xf numFmtId="178" fontId="49" fillId="0" borderId="1" xfId="0" applyNumberFormat="1" applyFont="1" applyFill="1" applyBorder="1" applyAlignment="1">
      <alignment horizontal="center" vertical="center"/>
    </xf>
    <xf numFmtId="181" fontId="49" fillId="0" borderId="1" xfId="8" applyNumberFormat="1" applyFont="1" applyFill="1" applyBorder="1" applyAlignment="1" applyProtection="1">
      <alignment horizontal="center" vertical="center"/>
    </xf>
    <xf numFmtId="178" fontId="49" fillId="0" borderId="5" xfId="0" applyNumberFormat="1" applyFont="1" applyFill="1" applyBorder="1" applyAlignment="1">
      <alignment horizontal="center" vertical="center"/>
    </xf>
    <xf numFmtId="182" fontId="49" fillId="0" borderId="1" xfId="0" applyNumberFormat="1" applyFont="1" applyFill="1" applyBorder="1" applyAlignment="1" applyProtection="1">
      <alignment horizontal="center" vertical="center"/>
    </xf>
    <xf numFmtId="185" fontId="49" fillId="0" borderId="1" xfId="7" applyNumberFormat="1" applyFont="1" applyFill="1" applyBorder="1" applyAlignment="1" applyProtection="1">
      <alignment horizontal="center" vertical="center"/>
    </xf>
    <xf numFmtId="181" fontId="49" fillId="0" borderId="1" xfId="0" applyNumberFormat="1" applyFont="1" applyFill="1" applyBorder="1" applyAlignment="1">
      <alignment horizontal="center" vertical="center"/>
    </xf>
    <xf numFmtId="180" fontId="49" fillId="0" borderId="6" xfId="0" applyNumberFormat="1" applyFont="1" applyFill="1" applyBorder="1" applyAlignment="1" applyProtection="1">
      <alignment horizontal="center" vertical="center"/>
    </xf>
    <xf numFmtId="10" fontId="49" fillId="0" borderId="1" xfId="7" applyNumberFormat="1" applyFont="1" applyFill="1" applyBorder="1" applyAlignment="1" applyProtection="1">
      <alignment horizontal="center" vertical="center"/>
    </xf>
    <xf numFmtId="183" fontId="49" fillId="0" borderId="6" xfId="0" applyNumberFormat="1" applyFont="1" applyFill="1" applyBorder="1" applyAlignment="1" applyProtection="1">
      <alignment horizontal="center" vertical="center"/>
    </xf>
    <xf numFmtId="0" fontId="49" fillId="4" borderId="9" xfId="0" applyFont="1" applyFill="1" applyBorder="1" applyAlignment="1" applyProtection="1">
      <alignment horizontal="centerContinuous" vertical="center"/>
    </xf>
    <xf numFmtId="0" fontId="49" fillId="0" borderId="5" xfId="0" applyFont="1" applyFill="1" applyBorder="1" applyAlignment="1" applyProtection="1">
      <alignment horizontal="centerContinuous" vertical="center" wrapText="1"/>
    </xf>
    <xf numFmtId="0" fontId="49" fillId="0" borderId="9" xfId="0" applyFont="1" applyFill="1" applyBorder="1" applyAlignment="1" applyProtection="1">
      <alignment horizontal="centerContinuous" vertical="center" wrapText="1"/>
    </xf>
    <xf numFmtId="0" fontId="92" fillId="0" borderId="6" xfId="0" applyFont="1" applyBorder="1" applyAlignment="1">
      <alignment horizontal="centerContinuous" vertical="center" wrapText="1"/>
    </xf>
    <xf numFmtId="180" fontId="49" fillId="0" borderId="5" xfId="0" applyNumberFormat="1" applyFont="1" applyFill="1" applyBorder="1" applyAlignment="1">
      <alignment horizontal="center" vertical="center"/>
    </xf>
    <xf numFmtId="0" fontId="49" fillId="0" borderId="0" xfId="0" applyFont="1" applyFill="1" applyBorder="1" applyAlignment="1">
      <alignment horizontal="center" vertical="center"/>
    </xf>
    <xf numFmtId="0" fontId="49" fillId="4" borderId="0" xfId="0" applyFont="1" applyFill="1" applyAlignment="1" applyProtection="1">
      <alignment horizontal="centerContinuous" vertical="center"/>
    </xf>
    <xf numFmtId="0" fontId="4" fillId="0" borderId="0" xfId="82"/>
    <xf numFmtId="43" fontId="96" fillId="36" borderId="1" xfId="83" applyFont="1" applyFill="1" applyBorder="1" applyAlignment="1">
      <alignment horizontal="center" vertical="center"/>
    </xf>
    <xf numFmtId="0" fontId="96" fillId="36" borderId="1" xfId="82" applyFont="1" applyFill="1" applyBorder="1" applyAlignment="1">
      <alignment horizontal="center" vertical="center"/>
    </xf>
    <xf numFmtId="0" fontId="95" fillId="0" borderId="0" xfId="82" applyFont="1"/>
    <xf numFmtId="43" fontId="0" fillId="0" borderId="0" xfId="83" applyFont="1"/>
    <xf numFmtId="0" fontId="96" fillId="0" borderId="0" xfId="82" applyFont="1"/>
    <xf numFmtId="0" fontId="4" fillId="0" borderId="1" xfId="82" applyFont="1" applyBorder="1"/>
    <xf numFmtId="0" fontId="4" fillId="0" borderId="0" xfId="82" applyFont="1"/>
    <xf numFmtId="0" fontId="37" fillId="35" borderId="0" xfId="0" applyFont="1" applyFill="1">
      <alignment vertical="center"/>
    </xf>
    <xf numFmtId="0" fontId="97" fillId="35" borderId="0" xfId="0" applyFont="1" applyFill="1">
      <alignment vertical="center"/>
    </xf>
    <xf numFmtId="0" fontId="99" fillId="0" borderId="0" xfId="0" applyFont="1" applyAlignment="1">
      <alignment horizontal="center" vertical="center"/>
    </xf>
    <xf numFmtId="0" fontId="23" fillId="0" borderId="1" xfId="0" applyFont="1" applyFill="1" applyBorder="1" applyAlignment="1" applyProtection="1">
      <alignment horizontal="center" vertical="center" wrapText="1"/>
    </xf>
    <xf numFmtId="0" fontId="23" fillId="0" borderId="1" xfId="0" applyFont="1" applyFill="1" applyBorder="1" applyAlignment="1" applyProtection="1">
      <alignment horizontal="center" vertical="center"/>
    </xf>
    <xf numFmtId="0" fontId="37" fillId="0" borderId="1" xfId="0" applyFont="1" applyFill="1" applyBorder="1" applyAlignment="1" applyProtection="1">
      <alignment horizontal="center" vertical="center" wrapText="1"/>
    </xf>
    <xf numFmtId="0" fontId="23" fillId="0" borderId="5" xfId="0" applyFont="1" applyFill="1" applyBorder="1" applyAlignment="1" applyProtection="1">
      <alignment horizontal="center" vertical="center" wrapText="1"/>
    </xf>
    <xf numFmtId="0" fontId="51" fillId="0" borderId="5" xfId="0" applyFont="1" applyFill="1" applyBorder="1" applyAlignment="1">
      <alignment horizontal="center" vertical="center" wrapText="1"/>
    </xf>
    <xf numFmtId="0" fontId="16" fillId="0" borderId="6" xfId="0" applyFont="1" applyFill="1" applyBorder="1" applyAlignment="1" applyProtection="1">
      <alignment horizontal="center" vertical="center" wrapText="1"/>
    </xf>
    <xf numFmtId="0" fontId="31" fillId="0" borderId="1" xfId="0"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xf>
    <xf numFmtId="0" fontId="51" fillId="0" borderId="13" xfId="0" applyFont="1" applyFill="1" applyBorder="1" applyAlignment="1">
      <alignment horizontal="center" vertical="center" wrapText="1"/>
    </xf>
    <xf numFmtId="0" fontId="17" fillId="0" borderId="0" xfId="0" applyFont="1">
      <alignment vertical="center"/>
    </xf>
    <xf numFmtId="0" fontId="37" fillId="0" borderId="0" xfId="0" applyFont="1">
      <alignment vertical="center"/>
    </xf>
    <xf numFmtId="0" fontId="97" fillId="0" borderId="0" xfId="0" applyFont="1">
      <alignment vertical="center"/>
    </xf>
    <xf numFmtId="0" fontId="49" fillId="0" borderId="0" xfId="0" applyFont="1">
      <alignment vertical="center"/>
    </xf>
    <xf numFmtId="0" fontId="101" fillId="0" borderId="0" xfId="0" applyFont="1">
      <alignment vertical="center"/>
    </xf>
    <xf numFmtId="20" fontId="101" fillId="0" borderId="0" xfId="0" applyNumberFormat="1" applyFont="1" applyAlignment="1">
      <alignment horizontal="left" vertical="center"/>
    </xf>
    <xf numFmtId="0" fontId="102" fillId="0" borderId="0" xfId="0" applyFont="1">
      <alignment vertical="center"/>
    </xf>
    <xf numFmtId="20" fontId="97" fillId="0" borderId="0" xfId="0" applyNumberFormat="1" applyFont="1" applyAlignment="1">
      <alignment horizontal="left" vertical="center"/>
    </xf>
    <xf numFmtId="0" fontId="102" fillId="0" borderId="1" xfId="0" applyFont="1" applyBorder="1" applyAlignment="1">
      <alignment horizontal="center" vertical="center"/>
    </xf>
    <xf numFmtId="0" fontId="102" fillId="0" borderId="1" xfId="0" applyFont="1" applyBorder="1" applyAlignment="1">
      <alignment horizontal="center" wrapText="1"/>
    </xf>
    <xf numFmtId="0" fontId="102" fillId="0" borderId="1" xfId="0" applyFont="1" applyFill="1" applyBorder="1" applyAlignment="1">
      <alignment horizontal="center" vertical="center"/>
    </xf>
    <xf numFmtId="0" fontId="37" fillId="0" borderId="0" xfId="0" applyFont="1" applyAlignment="1">
      <alignment horizontal="center" vertical="center"/>
    </xf>
    <xf numFmtId="0" fontId="49" fillId="0" borderId="1" xfId="0" applyFont="1" applyBorder="1" applyAlignment="1">
      <alignment horizontal="center" vertical="center"/>
    </xf>
    <xf numFmtId="0" fontId="49" fillId="0" borderId="1" xfId="0" applyFont="1" applyBorder="1" applyAlignment="1">
      <alignment horizontal="center" wrapText="1"/>
    </xf>
    <xf numFmtId="0" fontId="49" fillId="0" borderId="0" xfId="0" applyFont="1" applyAlignment="1">
      <alignment horizontal="center" vertical="center"/>
    </xf>
    <xf numFmtId="0" fontId="102" fillId="0" borderId="1" xfId="0" applyFont="1" applyBorder="1" applyAlignment="1"/>
    <xf numFmtId="0" fontId="102" fillId="11" borderId="1" xfId="0" applyFont="1" applyFill="1" applyBorder="1" applyAlignment="1" applyProtection="1">
      <protection locked="0"/>
    </xf>
    <xf numFmtId="10" fontId="102" fillId="0" borderId="1" xfId="7" applyNumberFormat="1" applyFont="1" applyBorder="1" applyAlignment="1"/>
    <xf numFmtId="0" fontId="49" fillId="0" borderId="1" xfId="0" applyFont="1" applyBorder="1" applyAlignment="1"/>
    <xf numFmtId="0" fontId="49" fillId="11" borderId="1" xfId="0" applyFont="1" applyFill="1" applyBorder="1" applyAlignment="1" applyProtection="1">
      <protection locked="0"/>
    </xf>
    <xf numFmtId="10" fontId="49" fillId="0" borderId="1" xfId="7" applyNumberFormat="1" applyFont="1" applyBorder="1" applyAlignment="1"/>
    <xf numFmtId="0" fontId="102" fillId="0" borderId="0" xfId="0" applyFont="1" applyAlignment="1"/>
    <xf numFmtId="10" fontId="102" fillId="5" borderId="0" xfId="0" applyNumberFormat="1" applyFont="1" applyFill="1" applyAlignment="1"/>
    <xf numFmtId="0" fontId="49" fillId="0" borderId="0" xfId="0" applyFont="1" applyAlignment="1"/>
    <xf numFmtId="10" fontId="49" fillId="5" borderId="0" xfId="0" applyNumberFormat="1" applyFont="1" applyFill="1" applyAlignment="1"/>
    <xf numFmtId="0" fontId="50" fillId="0" borderId="0" xfId="0" applyFont="1" applyFill="1" applyAlignment="1"/>
    <xf numFmtId="20" fontId="53" fillId="0" borderId="0" xfId="0" applyNumberFormat="1" applyFont="1" applyAlignment="1">
      <alignment horizontal="left" vertical="center"/>
    </xf>
    <xf numFmtId="10" fontId="50" fillId="0" borderId="0" xfId="0" applyNumberFormat="1" applyFont="1" applyFill="1" applyAlignment="1"/>
    <xf numFmtId="0" fontId="37" fillId="0" borderId="0" xfId="0" applyFont="1" applyFill="1">
      <alignment vertical="center"/>
    </xf>
    <xf numFmtId="0" fontId="49" fillId="0" borderId="0" xfId="0" applyFont="1" applyFill="1" applyAlignment="1"/>
    <xf numFmtId="10" fontId="49" fillId="0" borderId="0" xfId="0" applyNumberFormat="1" applyFont="1" applyFill="1" applyAlignment="1"/>
    <xf numFmtId="0" fontId="49" fillId="0" borderId="0" xfId="0" applyFont="1" applyFill="1">
      <alignment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50" fillId="0" borderId="0" xfId="0" applyFont="1" applyAlignment="1"/>
    <xf numFmtId="10" fontId="50" fillId="5" borderId="0" xfId="0" applyNumberFormat="1" applyFont="1" applyFill="1" applyAlignment="1"/>
    <xf numFmtId="10" fontId="49" fillId="5" borderId="6" xfId="7" applyNumberFormat="1" applyFont="1" applyFill="1" applyBorder="1" applyAlignment="1" applyProtection="1">
      <alignment horizontal="center" vertical="center"/>
    </xf>
    <xf numFmtId="191" fontId="57" fillId="38" borderId="7" xfId="0" applyNumberFormat="1" applyFont="1" applyFill="1" applyBorder="1" applyAlignment="1" applyProtection="1">
      <alignment horizontal="center" vertical="center"/>
      <protection locked="0"/>
    </xf>
    <xf numFmtId="0" fontId="37" fillId="38" borderId="0" xfId="0" applyFont="1" applyFill="1" applyAlignment="1" applyProtection="1">
      <protection locked="0"/>
    </xf>
    <xf numFmtId="10" fontId="37" fillId="38" borderId="0" xfId="0" applyNumberFormat="1" applyFont="1" applyFill="1" applyAlignment="1" applyProtection="1">
      <protection locked="0"/>
    </xf>
    <xf numFmtId="16" fontId="103" fillId="38" borderId="1" xfId="0" applyNumberFormat="1" applyFont="1" applyFill="1" applyBorder="1" applyAlignment="1" applyProtection="1">
      <alignment horizontal="center" vertical="center" wrapText="1"/>
      <protection locked="0"/>
    </xf>
    <xf numFmtId="10" fontId="103" fillId="38" borderId="6" xfId="7" applyNumberFormat="1" applyFont="1" applyFill="1" applyBorder="1" applyAlignment="1" applyProtection="1">
      <alignment horizontal="center" vertical="center" wrapText="1"/>
      <protection locked="0"/>
    </xf>
    <xf numFmtId="16" fontId="104" fillId="38" borderId="1" xfId="0" applyNumberFormat="1" applyFont="1" applyFill="1" applyBorder="1" applyAlignment="1" applyProtection="1">
      <alignment horizontal="center" vertical="center" wrapText="1"/>
      <protection locked="0"/>
    </xf>
    <xf numFmtId="10" fontId="104" fillId="38" borderId="6" xfId="7" applyNumberFormat="1" applyFont="1" applyFill="1" applyBorder="1" applyAlignment="1" applyProtection="1">
      <alignment horizontal="center" vertical="center" wrapText="1"/>
      <protection locked="0"/>
    </xf>
    <xf numFmtId="0" fontId="102" fillId="0" borderId="0" xfId="0" applyFont="1" applyBorder="1" applyAlignment="1"/>
    <xf numFmtId="10" fontId="102" fillId="0" borderId="0" xfId="7" applyNumberFormat="1" applyFont="1" applyBorder="1" applyAlignment="1"/>
    <xf numFmtId="0" fontId="102" fillId="0" borderId="0" xfId="0" applyFont="1" applyFill="1" applyAlignment="1"/>
    <xf numFmtId="0" fontId="54" fillId="38" borderId="1" xfId="0" applyFont="1" applyFill="1" applyBorder="1" applyAlignment="1" applyProtection="1">
      <alignment horizontal="center" vertical="center" wrapText="1"/>
      <protection locked="0"/>
    </xf>
    <xf numFmtId="10" fontId="54" fillId="38" borderId="6" xfId="7" applyNumberFormat="1" applyFont="1" applyFill="1" applyBorder="1" applyAlignment="1" applyProtection="1">
      <alignment horizontal="center" vertical="center" wrapText="1"/>
      <protection locked="0"/>
    </xf>
    <xf numFmtId="0" fontId="50" fillId="0" borderId="0" xfId="0" applyFont="1">
      <alignment vertical="center"/>
    </xf>
    <xf numFmtId="20" fontId="53" fillId="0" borderId="0" xfId="0" applyNumberFormat="1" applyFont="1" applyFill="1" applyAlignment="1">
      <alignment horizontal="left" vertical="center"/>
    </xf>
    <xf numFmtId="0" fontId="50" fillId="0" borderId="0" xfId="0" applyFont="1" applyFill="1">
      <alignment vertical="center"/>
    </xf>
    <xf numFmtId="0" fontId="50" fillId="0" borderId="1" xfId="0" applyFont="1" applyFill="1" applyBorder="1" applyAlignment="1">
      <alignment horizontal="center" wrapText="1"/>
    </xf>
    <xf numFmtId="0" fontId="50" fillId="0" borderId="0" xfId="0" applyFont="1" applyBorder="1" applyAlignment="1"/>
    <xf numFmtId="10" fontId="50" fillId="0" borderId="0" xfId="7" applyNumberFormat="1" applyFont="1" applyBorder="1" applyAlignment="1"/>
    <xf numFmtId="0" fontId="37" fillId="0" borderId="0" xfId="0" applyFont="1" applyAlignment="1"/>
    <xf numFmtId="0" fontId="23" fillId="0" borderId="11" xfId="0" applyFont="1" applyFill="1" applyBorder="1" applyAlignment="1" applyProtection="1">
      <alignment horizontal="center" vertical="center" wrapText="1"/>
      <protection locked="0"/>
    </xf>
    <xf numFmtId="0" fontId="23" fillId="0" borderId="1" xfId="0" applyFont="1" applyFill="1" applyBorder="1" applyAlignment="1" applyProtection="1">
      <alignment horizontal="center" vertical="center" wrapText="1"/>
      <protection locked="0"/>
    </xf>
    <xf numFmtId="0" fontId="23" fillId="0" borderId="3" xfId="0" applyFont="1" applyFill="1" applyBorder="1" applyAlignment="1">
      <alignment vertical="center" wrapText="1"/>
    </xf>
    <xf numFmtId="0" fontId="105" fillId="0" borderId="10" xfId="0" applyFont="1" applyFill="1" applyBorder="1" applyAlignment="1">
      <alignment horizontal="left" vertical="center" wrapText="1"/>
    </xf>
    <xf numFmtId="0" fontId="105" fillId="0" borderId="2" xfId="0" applyFont="1" applyFill="1" applyBorder="1" applyAlignment="1">
      <alignment horizontal="left" vertical="center" wrapText="1"/>
    </xf>
    <xf numFmtId="0" fontId="23" fillId="0" borderId="13" xfId="0" applyFont="1" applyFill="1" applyBorder="1" applyAlignment="1">
      <alignment vertical="center" wrapText="1"/>
    </xf>
    <xf numFmtId="0" fontId="105" fillId="0" borderId="0" xfId="0" applyFont="1" applyFill="1" applyBorder="1" applyAlignment="1">
      <alignment horizontal="left" vertical="center" wrapText="1"/>
    </xf>
    <xf numFmtId="0" fontId="105" fillId="0" borderId="4" xfId="0" applyFont="1" applyFill="1" applyBorder="1" applyAlignment="1">
      <alignment horizontal="left" vertical="center" wrapText="1"/>
    </xf>
    <xf numFmtId="0" fontId="23" fillId="14" borderId="4" xfId="0" applyFont="1" applyFill="1" applyBorder="1" applyAlignment="1" applyProtection="1">
      <alignment horizontal="center" vertical="center" wrapText="1"/>
      <protection locked="0"/>
    </xf>
    <xf numFmtId="0" fontId="105" fillId="14" borderId="0"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0" xfId="0" applyFont="1" applyFill="1" applyBorder="1" applyAlignment="1" applyProtection="1">
      <alignment horizontal="center" vertical="center" wrapText="1"/>
      <protection locked="0"/>
    </xf>
    <xf numFmtId="0" fontId="23" fillId="0" borderId="0" xfId="0" applyFont="1" applyBorder="1" applyAlignment="1" applyProtection="1">
      <alignment horizontal="center" vertical="center"/>
      <protection locked="0"/>
    </xf>
    <xf numFmtId="0" fontId="23" fillId="0" borderId="4" xfId="0" applyFont="1" applyFill="1" applyBorder="1" applyAlignment="1" applyProtection="1">
      <alignment horizontal="center" vertical="center" wrapText="1"/>
      <protection locked="0"/>
    </xf>
    <xf numFmtId="0" fontId="23" fillId="0" borderId="1"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23" fillId="0" borderId="1" xfId="0" applyFont="1" applyBorder="1" applyAlignment="1" applyProtection="1">
      <alignment horizontal="center" vertical="center"/>
      <protection locked="0"/>
    </xf>
    <xf numFmtId="0" fontId="106" fillId="0" borderId="0" xfId="0" applyFont="1" applyFill="1" applyBorder="1" applyAlignment="1" applyProtection="1">
      <alignment horizontal="centerContinuous" vertical="distributed" wrapText="1"/>
    </xf>
    <xf numFmtId="0" fontId="107" fillId="0" borderId="0" xfId="0" applyFont="1" applyFill="1" applyBorder="1" applyAlignment="1" applyProtection="1">
      <alignment horizontal="centerContinuous" vertical="distributed" wrapText="1"/>
    </xf>
    <xf numFmtId="0" fontId="49" fillId="0" borderId="0" xfId="0" applyFont="1" applyFill="1" applyAlignment="1">
      <alignment horizontal="left" vertical="center"/>
    </xf>
    <xf numFmtId="186" fontId="37" fillId="5" borderId="1" xfId="0" applyNumberFormat="1" applyFont="1" applyFill="1" applyBorder="1" applyAlignment="1" applyProtection="1">
      <alignment horizontal="centerContinuous" vertical="center"/>
    </xf>
    <xf numFmtId="0" fontId="49" fillId="0" borderId="13" xfId="0" applyFont="1" applyFill="1" applyBorder="1" applyAlignment="1" applyProtection="1">
      <alignment horizontal="center" vertical="center"/>
    </xf>
    <xf numFmtId="0" fontId="49" fillId="9" borderId="13" xfId="0" quotePrefix="1" applyFont="1" applyFill="1" applyBorder="1" applyAlignment="1" applyProtection="1">
      <alignment vertical="center" wrapText="1"/>
    </xf>
    <xf numFmtId="0" fontId="49" fillId="0" borderId="5" xfId="0" quotePrefix="1" applyFont="1" applyFill="1" applyBorder="1" applyAlignment="1" applyProtection="1">
      <alignment vertical="center" wrapText="1"/>
    </xf>
    <xf numFmtId="0" fontId="49" fillId="0" borderId="1" xfId="0" quotePrefix="1" applyFont="1" applyFill="1" applyBorder="1" applyAlignment="1" applyProtection="1">
      <alignment vertical="center" wrapText="1"/>
    </xf>
    <xf numFmtId="0" fontId="37" fillId="0" borderId="0" xfId="0" applyFont="1" applyFill="1" applyBorder="1" applyAlignment="1" applyProtection="1">
      <alignment horizontal="center" vertical="center"/>
    </xf>
    <xf numFmtId="0" fontId="49" fillId="9" borderId="4" xfId="0" applyFont="1" applyFill="1" applyBorder="1" applyAlignment="1" applyProtection="1">
      <alignment vertical="center" wrapText="1"/>
    </xf>
    <xf numFmtId="0" fontId="49" fillId="0" borderId="1" xfId="0" applyNumberFormat="1" applyFont="1" applyFill="1" applyBorder="1" applyAlignment="1" applyProtection="1">
      <alignment horizontal="center" vertical="center"/>
    </xf>
    <xf numFmtId="197" fontId="49" fillId="9" borderId="6" xfId="0" applyNumberFormat="1" applyFont="1" applyFill="1" applyBorder="1" applyAlignment="1" applyProtection="1">
      <alignment horizontal="center" vertical="center"/>
    </xf>
    <xf numFmtId="198" fontId="49" fillId="0" borderId="6" xfId="0" applyNumberFormat="1" applyFont="1" applyFill="1" applyBorder="1" applyAlignment="1" applyProtection="1">
      <alignment horizontal="center" vertical="center"/>
    </xf>
    <xf numFmtId="182" fontId="49" fillId="0" borderId="6" xfId="0" applyNumberFormat="1" applyFont="1" applyFill="1" applyBorder="1" applyAlignment="1" applyProtection="1">
      <alignment horizontal="center" vertical="center"/>
      <protection locked="0"/>
    </xf>
    <xf numFmtId="182" fontId="49" fillId="0" borderId="1" xfId="0" applyNumberFormat="1" applyFont="1" applyFill="1" applyBorder="1" applyAlignment="1" applyProtection="1">
      <alignment horizontal="center" vertical="center"/>
      <protection locked="0"/>
    </xf>
    <xf numFmtId="199" fontId="49" fillId="9" borderId="6" xfId="0" applyNumberFormat="1" applyFont="1" applyFill="1" applyBorder="1" applyAlignment="1" applyProtection="1">
      <alignment horizontal="center" vertical="center"/>
    </xf>
    <xf numFmtId="198" fontId="49" fillId="9" borderId="6" xfId="0" applyNumberFormat="1" applyFont="1" applyFill="1" applyBorder="1" applyAlignment="1" applyProtection="1">
      <alignment horizontal="center" vertical="center"/>
    </xf>
    <xf numFmtId="182" fontId="49" fillId="0" borderId="1" xfId="0" applyNumberFormat="1" applyFont="1" applyFill="1" applyBorder="1" applyAlignment="1">
      <alignment horizontal="center" vertical="center"/>
    </xf>
    <xf numFmtId="188" fontId="49" fillId="9" borderId="1" xfId="1" applyNumberFormat="1" applyFont="1" applyFill="1" applyBorder="1" applyAlignment="1">
      <alignment horizontal="center" vertical="center"/>
    </xf>
    <xf numFmtId="0" fontId="49" fillId="0" borderId="8" xfId="0" applyFont="1" applyFill="1" applyBorder="1" applyAlignment="1">
      <alignment horizontal="center" vertical="center" wrapText="1"/>
    </xf>
    <xf numFmtId="0" fontId="49" fillId="0" borderId="9" xfId="0" applyNumberFormat="1" applyFont="1" applyFill="1" applyBorder="1" applyAlignment="1">
      <alignment horizontal="center" vertical="center" wrapText="1"/>
    </xf>
    <xf numFmtId="0" fontId="49" fillId="0" borderId="9" xfId="0" applyFont="1" applyFill="1" applyBorder="1" applyAlignment="1">
      <alignment vertical="center"/>
    </xf>
    <xf numFmtId="0" fontId="37" fillId="0" borderId="13" xfId="0" applyFont="1" applyFill="1" applyBorder="1" applyAlignment="1" applyProtection="1">
      <alignment horizontal="center" vertical="center"/>
    </xf>
    <xf numFmtId="0" fontId="49" fillId="9" borderId="11" xfId="0" quotePrefix="1" applyFont="1" applyFill="1" applyBorder="1" applyAlignment="1" applyProtection="1">
      <alignment vertical="center" wrapText="1"/>
    </xf>
    <xf numFmtId="0" fontId="49" fillId="0" borderId="4" xfId="0" quotePrefix="1" applyFont="1" applyFill="1" applyBorder="1" applyAlignment="1" applyProtection="1">
      <alignment vertical="center" wrapText="1"/>
    </xf>
    <xf numFmtId="0" fontId="49" fillId="0" borderId="3" xfId="0" applyFont="1" applyFill="1" applyBorder="1" applyAlignment="1">
      <alignment horizontal="center" vertical="center"/>
    </xf>
    <xf numFmtId="199" fontId="49" fillId="0" borderId="6" xfId="0" applyNumberFormat="1" applyFont="1" applyFill="1" applyBorder="1" applyAlignment="1" applyProtection="1">
      <alignment horizontal="center" vertical="center"/>
    </xf>
    <xf numFmtId="180" fontId="37" fillId="0" borderId="1" xfId="0" applyNumberFormat="1" applyFont="1" applyFill="1" applyBorder="1" applyAlignment="1" applyProtection="1">
      <alignment horizontal="center" vertical="center"/>
    </xf>
    <xf numFmtId="0" fontId="37" fillId="0" borderId="16" xfId="0" applyFont="1" applyFill="1" applyBorder="1" applyAlignment="1">
      <alignment horizontal="center" vertical="center" wrapText="1"/>
    </xf>
    <xf numFmtId="197" fontId="49" fillId="0" borderId="6" xfId="0" applyNumberFormat="1" applyFont="1" applyFill="1" applyBorder="1" applyAlignment="1" applyProtection="1">
      <alignment horizontal="center" vertical="center"/>
    </xf>
    <xf numFmtId="0" fontId="49" fillId="0" borderId="0" xfId="0" applyNumberFormat="1" applyFont="1" applyFill="1" applyBorder="1" applyAlignment="1">
      <alignment horizontal="center" vertical="center" wrapText="1"/>
    </xf>
    <xf numFmtId="0" fontId="49" fillId="0" borderId="7" xfId="0" applyFont="1" applyFill="1" applyBorder="1" applyAlignment="1">
      <alignment vertical="center"/>
    </xf>
    <xf numFmtId="0" fontId="49" fillId="0" borderId="0" xfId="0" applyFont="1" applyFill="1" applyBorder="1" applyAlignment="1" applyProtection="1">
      <alignment horizontal="center" vertical="center"/>
    </xf>
    <xf numFmtId="0" fontId="49" fillId="0" borderId="0" xfId="0" applyFont="1" applyFill="1" applyBorder="1" applyAlignment="1">
      <alignment horizontal="center" vertical="center" wrapText="1"/>
    </xf>
    <xf numFmtId="14" fontId="49" fillId="5" borderId="5" xfId="0" applyNumberFormat="1" applyFont="1" applyFill="1" applyBorder="1" applyAlignment="1">
      <alignment horizontal="left" vertical="center"/>
    </xf>
    <xf numFmtId="0" fontId="49" fillId="5" borderId="9" xfId="0" applyFont="1" applyFill="1" applyBorder="1" applyAlignment="1">
      <alignment vertical="center" wrapText="1"/>
    </xf>
    <xf numFmtId="0" fontId="49" fillId="5" borderId="6" xfId="0" applyFont="1" applyFill="1" applyBorder="1" applyAlignment="1">
      <alignment vertical="center" wrapText="1"/>
    </xf>
    <xf numFmtId="186" fontId="49" fillId="5" borderId="13" xfId="0" applyNumberFormat="1" applyFont="1" applyFill="1" applyBorder="1" applyAlignment="1">
      <alignment vertical="center" wrapText="1"/>
    </xf>
    <xf numFmtId="0" fontId="10" fillId="5" borderId="9" xfId="0" applyFont="1" applyFill="1" applyBorder="1" applyAlignment="1">
      <alignment vertical="center"/>
    </xf>
    <xf numFmtId="16" fontId="37" fillId="0" borderId="1" xfId="0" applyNumberFormat="1" applyFont="1" applyFill="1" applyBorder="1" applyAlignment="1">
      <alignment horizontal="center" vertical="center" wrapText="1"/>
    </xf>
    <xf numFmtId="182" fontId="37" fillId="0" borderId="1" xfId="0" applyNumberFormat="1" applyFont="1" applyFill="1" applyBorder="1" applyAlignment="1">
      <alignment horizontal="left" vertical="center"/>
    </xf>
    <xf numFmtId="182" fontId="37" fillId="0" borderId="1" xfId="0" applyNumberFormat="1" applyFont="1" applyFill="1" applyBorder="1" applyAlignment="1">
      <alignment horizontal="right" vertical="center"/>
    </xf>
    <xf numFmtId="0" fontId="37" fillId="0" borderId="5" xfId="0" applyFont="1" applyFill="1" applyBorder="1" applyAlignment="1" applyProtection="1">
      <alignment horizontal="center" vertical="center"/>
    </xf>
    <xf numFmtId="0" fontId="49" fillId="4" borderId="5" xfId="0" applyFont="1" applyFill="1" applyBorder="1" applyAlignment="1">
      <alignment vertical="center" wrapText="1"/>
    </xf>
    <xf numFmtId="0" fontId="49" fillId="4" borderId="9" xfId="0" applyFont="1" applyFill="1" applyBorder="1" applyAlignment="1">
      <alignment vertical="center" wrapText="1"/>
    </xf>
    <xf numFmtId="0" fontId="49" fillId="4" borderId="9" xfId="0" applyFont="1" applyFill="1" applyBorder="1" applyAlignment="1">
      <alignment vertical="center"/>
    </xf>
    <xf numFmtId="0" fontId="49" fillId="4" borderId="0" xfId="0" applyFont="1" applyFill="1" applyBorder="1" applyAlignment="1">
      <alignment vertical="center" wrapText="1"/>
    </xf>
    <xf numFmtId="0" fontId="24" fillId="0" borderId="5" xfId="0" applyFont="1" applyFill="1" applyBorder="1" applyAlignment="1" applyProtection="1">
      <alignment horizontal="center" vertical="center"/>
    </xf>
    <xf numFmtId="0" fontId="49" fillId="0" borderId="11" xfId="0" applyFont="1" applyFill="1" applyBorder="1" applyAlignment="1" applyProtection="1">
      <alignment horizontal="center" vertical="center"/>
    </xf>
    <xf numFmtId="0" fontId="49" fillId="0" borderId="5" xfId="0" applyNumberFormat="1" applyFont="1" applyFill="1" applyBorder="1" applyAlignment="1" applyProtection="1">
      <alignment horizontal="center" vertical="center"/>
    </xf>
    <xf numFmtId="0" fontId="37" fillId="39" borderId="6" xfId="0" applyNumberFormat="1" applyFont="1" applyFill="1" applyBorder="1" applyAlignment="1" applyProtection="1">
      <alignment horizontal="center" vertical="center"/>
    </xf>
    <xf numFmtId="0" fontId="49" fillId="9" borderId="1" xfId="0" applyFont="1" applyFill="1" applyBorder="1" applyAlignment="1" applyProtection="1">
      <alignment horizontal="center" vertical="center"/>
      <protection locked="0"/>
    </xf>
    <xf numFmtId="182" fontId="49" fillId="0" borderId="5" xfId="0" applyNumberFormat="1" applyFont="1" applyFill="1" applyBorder="1" applyAlignment="1" applyProtection="1">
      <alignment horizontal="center" vertical="center"/>
      <protection locked="0"/>
    </xf>
    <xf numFmtId="182" fontId="37" fillId="39" borderId="6" xfId="0" applyNumberFormat="1" applyFont="1" applyFill="1" applyBorder="1" applyAlignment="1" applyProtection="1">
      <alignment horizontal="center" vertical="center"/>
      <protection locked="0"/>
    </xf>
    <xf numFmtId="180" fontId="49" fillId="9" borderId="1" xfId="0" applyNumberFormat="1" applyFont="1" applyFill="1" applyBorder="1" applyAlignment="1">
      <alignment horizontal="center" vertical="center"/>
    </xf>
    <xf numFmtId="0" fontId="49" fillId="9" borderId="1" xfId="0" applyFont="1" applyFill="1" applyBorder="1" applyAlignment="1">
      <alignment horizontal="center" vertical="center"/>
    </xf>
    <xf numFmtId="182" fontId="37" fillId="39" borderId="9" xfId="0" applyNumberFormat="1" applyFont="1" applyFill="1" applyBorder="1" applyAlignment="1" applyProtection="1">
      <alignment horizontal="center" vertical="center"/>
      <protection locked="0"/>
    </xf>
    <xf numFmtId="0" fontId="37" fillId="39" borderId="6" xfId="0" applyFont="1" applyFill="1" applyBorder="1" applyAlignment="1">
      <alignment horizontal="center" vertical="center" wrapText="1"/>
    </xf>
    <xf numFmtId="0" fontId="37" fillId="39" borderId="9" xfId="0" applyNumberFormat="1" applyFont="1" applyFill="1" applyBorder="1" applyAlignment="1" applyProtection="1">
      <alignment horizontal="center" vertical="center" wrapText="1"/>
      <protection locked="0"/>
    </xf>
    <xf numFmtId="0" fontId="49" fillId="0" borderId="1" xfId="0" applyNumberFormat="1" applyFont="1" applyFill="1" applyBorder="1" applyAlignment="1" applyProtection="1">
      <alignment horizontal="center" vertical="center" wrapText="1"/>
      <protection locked="0"/>
    </xf>
    <xf numFmtId="0" fontId="37" fillId="39" borderId="0" xfId="0" applyFont="1" applyFill="1" applyAlignment="1">
      <alignment horizontal="center" vertical="center"/>
    </xf>
    <xf numFmtId="0" fontId="111" fillId="0" borderId="0" xfId="0" applyFont="1" applyFill="1" applyAlignment="1" applyProtection="1">
      <alignment horizontal="center" vertical="center" wrapText="1"/>
    </xf>
    <xf numFmtId="0" fontId="110" fillId="0" borderId="0" xfId="0" applyFont="1" applyFill="1" applyAlignment="1" applyProtection="1">
      <alignment horizontal="center" vertical="center" wrapText="1"/>
    </xf>
    <xf numFmtId="0" fontId="112" fillId="0" borderId="0" xfId="0" applyFont="1" applyFill="1" applyAlignment="1" applyProtection="1">
      <alignment horizontal="center" vertical="center" wrapText="1"/>
    </xf>
    <xf numFmtId="14" fontId="31" fillId="0" borderId="7" xfId="8" applyNumberFormat="1" applyFont="1" applyFill="1" applyBorder="1" applyAlignment="1" applyProtection="1">
      <alignment horizontal="center" vertical="center" wrapText="1"/>
      <protection locked="0"/>
    </xf>
    <xf numFmtId="20" fontId="17" fillId="0" borderId="7" xfId="8" applyNumberFormat="1" applyFont="1" applyFill="1" applyBorder="1" applyAlignment="1" applyProtection="1">
      <alignment horizontal="center" vertical="center" wrapText="1"/>
      <protection locked="0"/>
    </xf>
    <xf numFmtId="0" fontId="23" fillId="0" borderId="0" xfId="8" applyFont="1" applyFill="1" applyBorder="1" applyAlignment="1" applyProtection="1">
      <alignment horizontal="center" vertical="center" wrapText="1"/>
      <protection locked="0"/>
    </xf>
    <xf numFmtId="0" fontId="17" fillId="0" borderId="5" xfId="0" applyFont="1" applyFill="1" applyBorder="1" applyAlignment="1" applyProtection="1">
      <alignment horizontal="center" vertical="center"/>
      <protection locked="0"/>
    </xf>
    <xf numFmtId="0" fontId="114" fillId="0" borderId="9" xfId="0" applyFont="1" applyFill="1" applyBorder="1" applyAlignment="1" applyProtection="1">
      <alignment vertical="center"/>
    </xf>
    <xf numFmtId="0" fontId="17" fillId="0" borderId="9" xfId="0" applyFont="1" applyFill="1" applyBorder="1" applyAlignment="1" applyProtection="1">
      <alignment vertical="center" wrapText="1"/>
    </xf>
    <xf numFmtId="0" fontId="24" fillId="0" borderId="9" xfId="0" applyFont="1" applyFill="1" applyBorder="1" applyAlignment="1" applyProtection="1">
      <alignment vertical="center" wrapText="1"/>
    </xf>
    <xf numFmtId="0" fontId="24" fillId="0" borderId="6" xfId="0" applyFont="1" applyFill="1" applyBorder="1" applyAlignment="1" applyProtection="1">
      <alignment vertical="center" wrapText="1"/>
    </xf>
    <xf numFmtId="0" fontId="24" fillId="0" borderId="0" xfId="0" applyFont="1" applyFill="1" applyBorder="1" applyAlignment="1" applyProtection="1">
      <alignment horizontal="center" vertical="center"/>
      <protection locked="0"/>
    </xf>
    <xf numFmtId="0" fontId="24" fillId="0" borderId="1" xfId="0" applyFont="1" applyFill="1" applyBorder="1" applyAlignment="1" applyProtection="1">
      <alignment vertical="center"/>
    </xf>
    <xf numFmtId="181" fontId="37" fillId="0" borderId="1" xfId="0" applyNumberFormat="1" applyFont="1" applyFill="1" applyBorder="1" applyAlignment="1">
      <alignment horizontal="left" vertical="center"/>
    </xf>
    <xf numFmtId="181" fontId="37" fillId="0" borderId="1" xfId="0" applyNumberFormat="1" applyFont="1" applyFill="1" applyBorder="1" applyAlignment="1">
      <alignment horizontal="right" vertical="center"/>
    </xf>
    <xf numFmtId="0" fontId="115" fillId="4" borderId="5" xfId="0" applyFont="1" applyFill="1" applyBorder="1" applyAlignment="1" applyProtection="1">
      <alignment vertical="center" wrapText="1"/>
    </xf>
    <xf numFmtId="0" fontId="115" fillId="4" borderId="9" xfId="0" applyFont="1" applyFill="1" applyBorder="1" applyAlignment="1" applyProtection="1">
      <alignment vertical="center" wrapText="1"/>
    </xf>
    <xf numFmtId="0" fontId="115" fillId="4" borderId="9" xfId="0" applyFont="1" applyFill="1" applyBorder="1" applyAlignment="1" applyProtection="1">
      <alignment vertical="center"/>
    </xf>
    <xf numFmtId="0" fontId="115" fillId="4" borderId="6" xfId="0" applyFont="1" applyFill="1" applyBorder="1" applyAlignment="1" applyProtection="1">
      <alignment vertical="center" wrapText="1"/>
    </xf>
    <xf numFmtId="0" fontId="24" fillId="0" borderId="1"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49" fillId="0" borderId="5" xfId="0" applyFont="1" applyFill="1" applyBorder="1" applyAlignment="1" applyProtection="1">
      <alignment horizontal="center" vertical="center" wrapText="1"/>
      <protection locked="0"/>
    </xf>
    <xf numFmtId="0" fontId="76" fillId="4" borderId="5" xfId="0" applyFont="1" applyFill="1" applyBorder="1" applyAlignment="1" applyProtection="1">
      <alignment vertical="center" wrapText="1"/>
    </xf>
    <xf numFmtId="0" fontId="76" fillId="4" borderId="9" xfId="0" applyFont="1" applyFill="1" applyBorder="1" applyAlignment="1" applyProtection="1">
      <alignment vertical="center" wrapText="1"/>
    </xf>
    <xf numFmtId="0" fontId="76" fillId="4" borderId="9" xfId="0" applyFont="1" applyFill="1" applyBorder="1" applyAlignment="1" applyProtection="1">
      <alignment vertical="center"/>
    </xf>
    <xf numFmtId="0" fontId="76" fillId="4" borderId="6" xfId="0" applyFont="1" applyFill="1" applyBorder="1" applyAlignment="1" applyProtection="1">
      <alignment vertical="center" wrapText="1"/>
    </xf>
    <xf numFmtId="0" fontId="116" fillId="0" borderId="0" xfId="0" applyFont="1" applyFill="1" applyAlignment="1" applyProtection="1">
      <alignment horizontal="center" vertical="center" wrapText="1"/>
    </xf>
    <xf numFmtId="0" fontId="29" fillId="0" borderId="0" xfId="0" applyFont="1" applyFill="1" applyAlignment="1" applyProtection="1">
      <alignment horizontal="center" vertical="center"/>
    </xf>
    <xf numFmtId="0" fontId="62" fillId="0" borderId="0" xfId="0" applyFont="1" applyFill="1" applyAlignment="1" applyProtection="1">
      <alignment horizontal="center" vertical="center"/>
    </xf>
    <xf numFmtId="0" fontId="17" fillId="0" borderId="0" xfId="0" applyFont="1" applyFill="1" applyBorder="1" applyAlignment="1" applyProtection="1">
      <alignment horizontal="center" vertical="center" wrapText="1"/>
    </xf>
    <xf numFmtId="0" fontId="62" fillId="0" borderId="7" xfId="0" applyFont="1" applyFill="1" applyBorder="1" applyAlignment="1" applyProtection="1">
      <alignment vertical="center"/>
    </xf>
    <xf numFmtId="186" fontId="120" fillId="0" borderId="7" xfId="0" applyNumberFormat="1" applyFont="1" applyFill="1" applyBorder="1" applyAlignment="1" applyProtection="1">
      <alignment vertical="center" wrapText="1"/>
    </xf>
    <xf numFmtId="186" fontId="120" fillId="0" borderId="7" xfId="0" quotePrefix="1" applyNumberFormat="1" applyFont="1" applyFill="1" applyBorder="1" applyAlignment="1" applyProtection="1">
      <alignment horizontal="center" vertical="center" wrapText="1"/>
    </xf>
    <xf numFmtId="191" fontId="58" fillId="0" borderId="7" xfId="0" applyNumberFormat="1" applyFont="1" applyFill="1" applyBorder="1" applyAlignment="1" applyProtection="1">
      <alignment horizontal="center" vertical="center"/>
      <protection locked="0"/>
    </xf>
    <xf numFmtId="0" fontId="62" fillId="0" borderId="0" xfId="0" applyFont="1" applyFill="1" applyBorder="1" applyAlignment="1" applyProtection="1">
      <alignment vertical="center"/>
    </xf>
    <xf numFmtId="0" fontId="62" fillId="0" borderId="1" xfId="0" applyFont="1" applyFill="1" applyBorder="1" applyAlignment="1" applyProtection="1">
      <alignment horizontal="center" vertical="center" wrapText="1"/>
    </xf>
    <xf numFmtId="0" fontId="120" fillId="0" borderId="0" xfId="0" applyFont="1" applyFill="1" applyBorder="1" applyAlignment="1" applyProtection="1">
      <alignment horizontal="center" vertical="center"/>
    </xf>
    <xf numFmtId="0" fontId="62" fillId="0" borderId="1" xfId="0" applyFont="1" applyFill="1" applyBorder="1" applyAlignment="1" applyProtection="1">
      <alignment horizontal="center" vertical="center"/>
    </xf>
    <xf numFmtId="0" fontId="62" fillId="0" borderId="10" xfId="0" applyFont="1" applyFill="1" applyBorder="1" applyAlignment="1" applyProtection="1">
      <alignment horizontal="center" vertical="center" wrapText="1"/>
    </xf>
    <xf numFmtId="0" fontId="62" fillId="0" borderId="1" xfId="0" applyFont="1" applyFill="1" applyBorder="1" applyAlignment="1">
      <alignment horizontal="center" vertical="center" wrapText="1"/>
    </xf>
    <xf numFmtId="0" fontId="29"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183" fontId="62" fillId="0" borderId="1" xfId="0" applyNumberFormat="1" applyFont="1" applyFill="1" applyBorder="1" applyAlignment="1" applyProtection="1">
      <alignment horizontal="center" vertical="center"/>
    </xf>
    <xf numFmtId="178" fontId="62" fillId="0" borderId="5" xfId="0" quotePrefix="1" applyNumberFormat="1" applyFont="1" applyFill="1" applyBorder="1" applyAlignment="1" applyProtection="1">
      <alignment horizontal="center" vertical="center"/>
    </xf>
    <xf numFmtId="180" fontId="62" fillId="0" borderId="6" xfId="0" applyNumberFormat="1" applyFont="1" applyFill="1" applyBorder="1" applyAlignment="1" applyProtection="1">
      <alignment horizontal="center" vertical="center"/>
    </xf>
    <xf numFmtId="0" fontId="62" fillId="0" borderId="3" xfId="0" applyFont="1" applyFill="1" applyBorder="1" applyAlignment="1">
      <alignment horizontal="center" vertical="center" wrapText="1"/>
    </xf>
    <xf numFmtId="195" fontId="50" fillId="0" borderId="1" xfId="0" applyNumberFormat="1" applyFont="1" applyFill="1" applyBorder="1" applyAlignment="1">
      <alignment horizontal="center" vertical="center"/>
    </xf>
    <xf numFmtId="178" fontId="16" fillId="0" borderId="5" xfId="0" quotePrefix="1" applyNumberFormat="1" applyFont="1" applyFill="1" applyBorder="1" applyAlignment="1" applyProtection="1">
      <alignment horizontal="center" vertical="center"/>
    </xf>
    <xf numFmtId="180" fontId="16" fillId="0" borderId="6" xfId="0" applyNumberFormat="1" applyFont="1" applyFill="1" applyBorder="1" applyAlignment="1" applyProtection="1">
      <alignment horizontal="center" vertical="center"/>
    </xf>
    <xf numFmtId="0" fontId="29" fillId="0" borderId="1" xfId="0" applyFont="1" applyFill="1" applyBorder="1" applyAlignment="1" applyProtection="1">
      <alignment horizontal="center" vertical="center"/>
    </xf>
    <xf numFmtId="0" fontId="29" fillId="0" borderId="3" xfId="0" applyFont="1" applyFill="1" applyBorder="1" applyAlignment="1">
      <alignment horizontal="center" vertical="center" wrapText="1"/>
    </xf>
    <xf numFmtId="0" fontId="29" fillId="0" borderId="10" xfId="0" applyFont="1" applyFill="1" applyBorder="1" applyAlignment="1">
      <alignment horizontal="center" vertical="center" wrapText="1"/>
    </xf>
    <xf numFmtId="0" fontId="29" fillId="0" borderId="2" xfId="0" applyFont="1" applyFill="1" applyBorder="1" applyAlignment="1">
      <alignment horizontal="center" vertical="center" wrapText="1"/>
    </xf>
    <xf numFmtId="178" fontId="62" fillId="0" borderId="1" xfId="0" applyNumberFormat="1" applyFont="1" applyFill="1" applyBorder="1" applyAlignment="1" applyProtection="1">
      <alignment horizontal="center" vertical="center"/>
    </xf>
    <xf numFmtId="0" fontId="62" fillId="0" borderId="1" xfId="0" applyFont="1" applyFill="1" applyBorder="1" applyAlignment="1">
      <alignment horizontal="center" vertical="center"/>
    </xf>
    <xf numFmtId="183" fontId="62" fillId="0" borderId="6" xfId="0" applyNumberFormat="1" applyFont="1" applyFill="1" applyBorder="1" applyAlignment="1" applyProtection="1">
      <alignment horizontal="center" vertical="center"/>
    </xf>
    <xf numFmtId="0" fontId="122" fillId="0" borderId="1" xfId="0" applyFont="1" applyFill="1" applyBorder="1" applyAlignment="1" applyProtection="1">
      <alignment horizontal="center" vertical="center"/>
    </xf>
    <xf numFmtId="0" fontId="122" fillId="0" borderId="0" xfId="0" applyFont="1" applyFill="1" applyAlignment="1" applyProtection="1">
      <alignment horizontal="center" vertical="center"/>
    </xf>
    <xf numFmtId="0" fontId="62" fillId="0" borderId="2" xfId="0" applyFont="1" applyFill="1" applyBorder="1" applyAlignment="1">
      <alignment horizontal="center" vertical="center" wrapText="1"/>
    </xf>
    <xf numFmtId="0" fontId="63" fillId="0" borderId="1" xfId="0" applyFont="1" applyFill="1" applyBorder="1" applyAlignment="1" applyProtection="1">
      <alignment horizontal="center" vertical="center" wrapText="1"/>
    </xf>
    <xf numFmtId="0" fontId="58" fillId="0" borderId="1" xfId="0" applyFont="1" applyFill="1" applyBorder="1" applyAlignment="1" applyProtection="1">
      <alignment horizontal="center" vertical="center" wrapText="1"/>
    </xf>
    <xf numFmtId="0" fontId="124" fillId="0" borderId="1" xfId="0" applyFont="1" applyFill="1" applyBorder="1" applyAlignment="1" applyProtection="1">
      <alignment horizontal="center" vertical="center"/>
    </xf>
    <xf numFmtId="0" fontId="58" fillId="0" borderId="1" xfId="0" applyFont="1" applyFill="1" applyBorder="1" applyAlignment="1">
      <alignment horizontal="center" vertical="center" wrapText="1"/>
    </xf>
    <xf numFmtId="0" fontId="29" fillId="0" borderId="1" xfId="8" applyFont="1" applyFill="1" applyBorder="1" applyAlignment="1" applyProtection="1">
      <alignment vertical="center" wrapText="1"/>
    </xf>
    <xf numFmtId="0" fontId="32" fillId="0" borderId="1" xfId="0" applyFont="1" applyFill="1" applyBorder="1" applyAlignment="1" applyProtection="1">
      <alignment horizontal="center" vertical="center"/>
    </xf>
    <xf numFmtId="0" fontId="62" fillId="0" borderId="0" xfId="0" applyFont="1" applyFill="1" applyBorder="1" applyAlignment="1" applyProtection="1">
      <alignment horizontal="center" vertical="center"/>
    </xf>
    <xf numFmtId="0" fontId="58" fillId="0" borderId="0" xfId="0" applyFont="1" applyFill="1" applyBorder="1" applyAlignment="1" applyProtection="1">
      <alignment horizontal="center" vertical="center" wrapText="1"/>
    </xf>
    <xf numFmtId="0" fontId="124" fillId="0" borderId="0" xfId="0" applyFont="1" applyFill="1" applyBorder="1" applyAlignment="1" applyProtection="1">
      <alignment horizontal="center" vertical="center"/>
    </xf>
    <xf numFmtId="0" fontId="58" fillId="0" borderId="0" xfId="0" applyFont="1" applyFill="1" applyBorder="1" applyAlignment="1">
      <alignment horizontal="center" vertical="center" wrapText="1"/>
    </xf>
    <xf numFmtId="0" fontId="32" fillId="0" borderId="0" xfId="0" applyFont="1" applyFill="1" applyBorder="1" applyAlignment="1" applyProtection="1">
      <alignment horizontal="center" vertical="center"/>
    </xf>
    <xf numFmtId="0" fontId="62" fillId="0" borderId="2" xfId="0" applyFont="1" applyFill="1" applyBorder="1" applyAlignment="1" applyProtection="1">
      <alignment horizontal="center" vertical="center" wrapText="1"/>
    </xf>
    <xf numFmtId="0" fontId="29" fillId="0" borderId="0" xfId="8" applyFont="1" applyFill="1" applyBorder="1" applyAlignment="1" applyProtection="1">
      <alignment vertical="center"/>
    </xf>
    <xf numFmtId="0" fontId="62" fillId="0" borderId="0" xfId="0" applyFont="1" applyFill="1" applyBorder="1" applyAlignment="1" applyProtection="1">
      <alignment horizontal="center" vertical="center" wrapText="1"/>
    </xf>
    <xf numFmtId="0" fontId="126" fillId="0" borderId="0" xfId="0" applyFont="1" applyFill="1" applyBorder="1" applyAlignment="1" applyProtection="1">
      <alignment horizontal="center" vertical="center"/>
    </xf>
    <xf numFmtId="0" fontId="62" fillId="0" borderId="0" xfId="8" applyFont="1" applyFill="1" applyAlignment="1" applyProtection="1">
      <alignment horizontal="left" vertical="center"/>
    </xf>
    <xf numFmtId="185" fontId="62" fillId="0" borderId="0" xfId="7" applyNumberFormat="1" applyFont="1" applyFill="1" applyBorder="1" applyAlignment="1" applyProtection="1">
      <alignment horizontal="center" vertical="center"/>
    </xf>
    <xf numFmtId="178" fontId="62" fillId="0" borderId="0" xfId="0" quotePrefix="1" applyNumberFormat="1" applyFont="1" applyFill="1" applyBorder="1" applyAlignment="1" applyProtection="1">
      <alignment horizontal="center" vertical="center"/>
    </xf>
    <xf numFmtId="0" fontId="122" fillId="0" borderId="0" xfId="0" applyFont="1" applyFill="1" applyBorder="1" applyAlignment="1" applyProtection="1">
      <alignment horizontal="center" vertical="center"/>
    </xf>
    <xf numFmtId="0" fontId="62" fillId="0" borderId="0" xfId="0" applyFont="1" applyFill="1" applyAlignment="1" applyProtection="1">
      <alignment horizontal="left" vertical="center"/>
    </xf>
    <xf numFmtId="0" fontId="62" fillId="0" borderId="0" xfId="0" applyNumberFormat="1" applyFont="1" applyFill="1" applyAlignment="1" applyProtection="1">
      <alignment horizontal="center" vertical="center"/>
    </xf>
    <xf numFmtId="0" fontId="62" fillId="0" borderId="0" xfId="0" applyFont="1" applyFill="1" applyBorder="1" applyAlignment="1" applyProtection="1">
      <alignment horizontal="left" vertical="center" wrapText="1"/>
    </xf>
    <xf numFmtId="0" fontId="9" fillId="0" borderId="3" xfId="0" applyFont="1" applyBorder="1" applyAlignment="1" applyProtection="1">
      <alignment horizontal="center" vertical="center"/>
      <protection locked="0"/>
    </xf>
    <xf numFmtId="0" fontId="127" fillId="0" borderId="0" xfId="0" applyFont="1" applyFill="1" applyBorder="1" applyAlignment="1" applyProtection="1">
      <alignment horizontal="center" vertical="center"/>
    </xf>
    <xf numFmtId="0" fontId="16" fillId="0" borderId="10" xfId="0" applyFont="1" applyFill="1" applyBorder="1" applyAlignment="1" applyProtection="1">
      <alignment horizontal="center" vertical="center" wrapText="1"/>
    </xf>
    <xf numFmtId="0" fontId="127" fillId="0" borderId="2" xfId="0" applyFont="1" applyFill="1" applyBorder="1" applyAlignment="1" applyProtection="1">
      <alignment horizontal="center" vertical="center"/>
    </xf>
    <xf numFmtId="0" fontId="16" fillId="0" borderId="3" xfId="0" applyFont="1" applyFill="1" applyBorder="1" applyAlignment="1">
      <alignment horizontal="center" vertical="center" wrapText="1"/>
    </xf>
    <xf numFmtId="0" fontId="16" fillId="0" borderId="1" xfId="0" applyFont="1" applyFill="1" applyBorder="1" applyAlignment="1">
      <alignment horizontal="center" vertical="center"/>
    </xf>
    <xf numFmtId="183" fontId="16" fillId="0" borderId="1" xfId="0" applyNumberFormat="1" applyFont="1" applyFill="1" applyBorder="1" applyAlignment="1" applyProtection="1">
      <alignment horizontal="center" vertical="center"/>
    </xf>
    <xf numFmtId="0" fontId="13" fillId="0" borderId="3" xfId="0" applyFont="1" applyFill="1" applyBorder="1" applyAlignment="1">
      <alignment horizontal="center" vertical="center" wrapText="1"/>
    </xf>
    <xf numFmtId="0" fontId="16" fillId="0" borderId="1" xfId="0" applyFont="1" applyBorder="1" applyAlignment="1" applyProtection="1">
      <alignment horizontal="center" vertical="center"/>
    </xf>
    <xf numFmtId="0" fontId="9" fillId="0" borderId="1" xfId="0" applyFont="1" applyFill="1" applyBorder="1" applyAlignment="1">
      <alignment horizontal="center" vertical="center" wrapText="1"/>
    </xf>
    <xf numFmtId="0" fontId="16" fillId="0" borderId="0" xfId="0" applyFont="1" applyFill="1" applyAlignment="1" applyProtection="1">
      <alignment horizontal="center" vertical="center"/>
    </xf>
    <xf numFmtId="178" fontId="16" fillId="0" borderId="6" xfId="0" applyNumberFormat="1" applyFont="1" applyFill="1" applyBorder="1" applyAlignment="1" applyProtection="1">
      <alignment horizontal="center" vertical="center"/>
    </xf>
    <xf numFmtId="0" fontId="10" fillId="0" borderId="1" xfId="0" applyNumberFormat="1" applyFont="1" applyFill="1" applyBorder="1" applyAlignment="1" applyProtection="1">
      <alignment horizontal="center" vertical="center"/>
    </xf>
    <xf numFmtId="183" fontId="16" fillId="0" borderId="6" xfId="0" applyNumberFormat="1" applyFont="1" applyFill="1" applyBorder="1" applyAlignment="1" applyProtection="1">
      <alignment horizontal="center" vertical="center"/>
    </xf>
    <xf numFmtId="0" fontId="13" fillId="0" borderId="1" xfId="8" applyFont="1" applyFill="1" applyBorder="1" applyAlignment="1" applyProtection="1">
      <alignment horizontal="center" vertical="center" wrapText="1"/>
      <protection locked="0"/>
    </xf>
    <xf numFmtId="0" fontId="128" fillId="0" borderId="0" xfId="0" applyFont="1" applyFill="1" applyAlignment="1" applyProtection="1">
      <alignment horizontal="center" vertical="center"/>
    </xf>
    <xf numFmtId="0" fontId="13" fillId="0" borderId="1" xfId="0" applyFont="1" applyFill="1" applyBorder="1" applyAlignment="1">
      <alignment horizontal="center" vertical="center"/>
    </xf>
    <xf numFmtId="0" fontId="16" fillId="0" borderId="1" xfId="0" applyFont="1" applyFill="1" applyBorder="1" applyAlignment="1" applyProtection="1">
      <alignment horizontal="center" vertical="center" wrapText="1"/>
    </xf>
    <xf numFmtId="0" fontId="131" fillId="0" borderId="1" xfId="0" applyFont="1" applyFill="1" applyBorder="1" applyAlignment="1" applyProtection="1">
      <alignment horizontal="center" vertical="center"/>
    </xf>
    <xf numFmtId="0" fontId="9" fillId="0" borderId="0" xfId="0" applyFont="1" applyFill="1" applyBorder="1" applyAlignment="1" applyProtection="1">
      <alignment horizontal="center" vertical="center" wrapText="1"/>
    </xf>
    <xf numFmtId="0" fontId="9" fillId="0" borderId="0" xfId="0" applyFont="1" applyBorder="1" applyAlignment="1" applyProtection="1">
      <alignment horizontal="center" vertical="center"/>
      <protection locked="0"/>
    </xf>
    <xf numFmtId="183" fontId="16" fillId="0" borderId="5" xfId="0" quotePrefix="1" applyNumberFormat="1" applyFont="1" applyFill="1" applyBorder="1" applyAlignment="1" applyProtection="1">
      <alignment horizontal="center" vertical="center"/>
    </xf>
    <xf numFmtId="0" fontId="13" fillId="0" borderId="10"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6" fillId="0" borderId="9" xfId="0" applyFont="1" applyFill="1" applyBorder="1" applyAlignment="1" applyProtection="1">
      <alignment horizontal="center" vertical="center" wrapText="1"/>
    </xf>
    <xf numFmtId="0" fontId="29" fillId="0" borderId="1" xfId="8" applyFont="1" applyFill="1" applyBorder="1" applyAlignment="1" applyProtection="1">
      <alignment horizontal="center" vertical="center" wrapText="1"/>
      <protection locked="0"/>
    </xf>
    <xf numFmtId="0" fontId="62" fillId="0" borderId="1" xfId="0" applyNumberFormat="1" applyFont="1" applyFill="1" applyBorder="1" applyAlignment="1" applyProtection="1">
      <alignment horizontal="center" vertical="center"/>
    </xf>
    <xf numFmtId="0" fontId="9" fillId="0" borderId="0" xfId="0" applyFont="1" applyFill="1" applyAlignment="1">
      <alignment horizontal="center" vertical="center"/>
    </xf>
    <xf numFmtId="0" fontId="9" fillId="0" borderId="7" xfId="0" applyFont="1" applyFill="1" applyBorder="1" applyAlignment="1">
      <alignment vertical="center" wrapText="1"/>
    </xf>
    <xf numFmtId="191" fontId="57" fillId="0" borderId="7" xfId="0" applyNumberFormat="1" applyFont="1" applyFill="1" applyBorder="1" applyAlignment="1" applyProtection="1">
      <alignment horizontal="center" vertical="center"/>
      <protection locked="0"/>
    </xf>
    <xf numFmtId="186" fontId="9" fillId="0" borderId="7" xfId="0" applyNumberFormat="1" applyFont="1" applyFill="1" applyBorder="1" applyAlignment="1">
      <alignment vertical="center" wrapText="1"/>
    </xf>
    <xf numFmtId="0" fontId="9" fillId="0" borderId="0" xfId="0" applyFont="1" applyFill="1" applyBorder="1" applyAlignment="1">
      <alignment horizontal="left" vertical="center" wrapText="1"/>
    </xf>
    <xf numFmtId="0" fontId="9" fillId="0" borderId="5" xfId="0" applyFont="1" applyFill="1" applyBorder="1" applyAlignment="1">
      <alignment horizontal="centerContinuous" vertical="center" wrapText="1"/>
    </xf>
    <xf numFmtId="0" fontId="9" fillId="0" borderId="9" xfId="0" applyFont="1" applyFill="1" applyBorder="1" applyAlignment="1">
      <alignment horizontal="centerContinuous" vertical="center" wrapText="1"/>
    </xf>
    <xf numFmtId="0" fontId="9" fillId="0" borderId="6" xfId="0" applyFont="1" applyFill="1" applyBorder="1" applyAlignment="1">
      <alignment horizontal="centerContinuous" vertical="center" wrapText="1"/>
    </xf>
    <xf numFmtId="0" fontId="9" fillId="0" borderId="0" xfId="0" applyFont="1" applyFill="1" applyBorder="1" applyAlignment="1">
      <alignment horizontal="center" vertical="center"/>
    </xf>
    <xf numFmtId="0" fontId="23" fillId="0" borderId="1" xfId="8" applyFont="1" applyFill="1" applyBorder="1" applyAlignment="1">
      <alignment horizontal="center" vertical="center" wrapText="1"/>
    </xf>
    <xf numFmtId="0" fontId="23" fillId="0" borderId="1" xfId="0" applyFont="1" applyFill="1" applyBorder="1" applyAlignment="1">
      <alignment horizontal="center" vertical="center" wrapText="1"/>
    </xf>
    <xf numFmtId="0" fontId="20" fillId="0" borderId="1" xfId="0" applyFont="1" applyFill="1" applyBorder="1" applyAlignment="1" applyProtection="1">
      <alignment horizontal="center" vertical="center" wrapText="1"/>
      <protection locked="0"/>
    </xf>
    <xf numFmtId="0" fontId="9" fillId="0" borderId="5" xfId="0" applyNumberFormat="1" applyFont="1" applyFill="1" applyBorder="1" applyAlignment="1" applyProtection="1">
      <alignment vertical="center"/>
      <protection locked="0"/>
    </xf>
    <xf numFmtId="0" fontId="9" fillId="0" borderId="47" xfId="8" applyFont="1" applyFill="1" applyBorder="1" applyAlignment="1">
      <alignment vertical="center"/>
    </xf>
    <xf numFmtId="0" fontId="136" fillId="0" borderId="1" xfId="0" applyFont="1" applyFill="1" applyBorder="1" applyAlignment="1" applyProtection="1">
      <alignment horizontal="center" vertical="center" wrapText="1"/>
      <protection locked="0"/>
    </xf>
    <xf numFmtId="181" fontId="49" fillId="0" borderId="9" xfId="0" applyNumberFormat="1" applyFont="1" applyFill="1" applyBorder="1" applyAlignment="1" applyProtection="1">
      <alignment vertical="center"/>
      <protection locked="0"/>
    </xf>
    <xf numFmtId="0" fontId="9" fillId="0" borderId="48" xfId="86" applyFont="1" applyFill="1" applyBorder="1" applyAlignment="1" applyProtection="1">
      <alignment horizontal="center" vertical="center" shrinkToFit="1"/>
    </xf>
    <xf numFmtId="179" fontId="9" fillId="0" borderId="5" xfId="0" applyNumberFormat="1" applyFont="1" applyFill="1" applyBorder="1" applyAlignment="1" applyProtection="1">
      <alignment horizontal="left" vertical="center"/>
      <protection locked="0"/>
    </xf>
    <xf numFmtId="0" fontId="9" fillId="0" borderId="2" xfId="0" applyFont="1" applyFill="1" applyBorder="1" applyAlignment="1" applyProtection="1">
      <alignment horizontal="center" vertical="center"/>
    </xf>
    <xf numFmtId="0" fontId="9" fillId="0" borderId="4" xfId="0" applyFont="1" applyFill="1" applyBorder="1" applyAlignment="1">
      <alignment horizontal="centerContinuous" vertical="center" wrapText="1"/>
    </xf>
    <xf numFmtId="0" fontId="9" fillId="0" borderId="7" xfId="0" applyFont="1" applyFill="1" applyBorder="1" applyAlignment="1">
      <alignment horizontal="centerContinuous" vertical="center" wrapText="1"/>
    </xf>
    <xf numFmtId="0" fontId="9" fillId="0" borderId="15" xfId="0" applyFont="1" applyFill="1" applyBorder="1" applyAlignment="1">
      <alignment horizontal="centerContinuous" vertical="center" wrapText="1"/>
    </xf>
    <xf numFmtId="0" fontId="25" fillId="0" borderId="1" xfId="0" applyFont="1" applyFill="1" applyBorder="1" applyAlignment="1">
      <alignment horizontal="center" vertical="center"/>
    </xf>
    <xf numFmtId="0" fontId="16" fillId="0" borderId="6" xfId="0" applyNumberFormat="1" applyFont="1" applyFill="1" applyBorder="1" applyAlignment="1">
      <alignment horizontal="center" vertical="center" wrapText="1"/>
    </xf>
    <xf numFmtId="0" fontId="9" fillId="0" borderId="0" xfId="0" applyFont="1" applyFill="1" applyAlignment="1">
      <alignment horizontal="left" vertical="center"/>
    </xf>
    <xf numFmtId="0" fontId="9" fillId="0" borderId="0" xfId="0" applyNumberFormat="1" applyFont="1" applyFill="1" applyAlignment="1">
      <alignment horizontal="center" vertical="center"/>
    </xf>
    <xf numFmtId="0" fontId="141" fillId="0" borderId="0" xfId="0" applyFont="1" applyFill="1" applyAlignment="1" applyProtection="1">
      <alignment horizontal="center" vertical="center" wrapText="1"/>
    </xf>
    <xf numFmtId="0" fontId="140" fillId="0" borderId="0" xfId="0" applyFont="1" applyFill="1" applyAlignment="1" applyProtection="1">
      <alignment horizontal="center" vertical="center" wrapText="1"/>
    </xf>
    <xf numFmtId="0" fontId="51" fillId="0" borderId="1" xfId="0" applyFont="1" applyFill="1" applyBorder="1" applyAlignment="1" applyProtection="1">
      <alignment horizontal="center" vertical="center" wrapText="1"/>
    </xf>
    <xf numFmtId="14" fontId="74" fillId="0" borderId="7" xfId="8" applyNumberFormat="1" applyFont="1" applyFill="1" applyBorder="1" applyAlignment="1" applyProtection="1">
      <alignment horizontal="center" vertical="center" wrapText="1"/>
      <protection locked="0"/>
    </xf>
    <xf numFmtId="14" fontId="144" fillId="0" borderId="7" xfId="8" applyNumberFormat="1" applyFont="1" applyFill="1" applyBorder="1" applyAlignment="1" applyProtection="1">
      <alignment horizontal="center" vertical="center" wrapText="1"/>
      <protection locked="0"/>
    </xf>
    <xf numFmtId="0" fontId="54" fillId="0" borderId="7" xfId="8" applyFont="1" applyFill="1" applyBorder="1" applyAlignment="1" applyProtection="1">
      <alignment horizontal="center" vertical="center" wrapText="1"/>
      <protection locked="0"/>
    </xf>
    <xf numFmtId="20" fontId="54" fillId="0" borderId="7" xfId="8" applyNumberFormat="1" applyFont="1" applyFill="1" applyBorder="1" applyAlignment="1" applyProtection="1">
      <alignment horizontal="center" vertical="center" wrapText="1"/>
      <protection locked="0"/>
    </xf>
    <xf numFmtId="20" fontId="97" fillId="0" borderId="7" xfId="8" applyNumberFormat="1" applyFont="1" applyFill="1" applyBorder="1" applyAlignment="1" applyProtection="1">
      <alignment horizontal="center" vertical="center" wrapText="1"/>
      <protection locked="0"/>
    </xf>
    <xf numFmtId="191" fontId="49" fillId="0" borderId="7" xfId="0" applyNumberFormat="1" applyFont="1" applyFill="1" applyBorder="1" applyAlignment="1" applyProtection="1">
      <alignment horizontal="center" vertical="center"/>
      <protection locked="0"/>
    </xf>
    <xf numFmtId="0" fontId="51" fillId="0" borderId="7" xfId="8" applyFont="1" applyFill="1" applyBorder="1" applyAlignment="1" applyProtection="1">
      <alignment horizontal="center" vertical="center" wrapText="1"/>
      <protection locked="0"/>
    </xf>
    <xf numFmtId="0" fontId="51" fillId="0" borderId="3" xfId="0" applyFont="1" applyFill="1" applyBorder="1" applyAlignment="1" applyProtection="1">
      <alignment horizontal="center" vertical="center"/>
      <protection locked="0"/>
    </xf>
    <xf numFmtId="0" fontId="74" fillId="0" borderId="5" xfId="0" applyFont="1" applyFill="1" applyBorder="1" applyAlignment="1" applyProtection="1">
      <alignment vertical="center"/>
    </xf>
    <xf numFmtId="0" fontId="74" fillId="0" borderId="9" xfId="0" applyFont="1" applyFill="1" applyBorder="1" applyAlignment="1" applyProtection="1">
      <alignment vertical="center" wrapText="1"/>
    </xf>
    <xf numFmtId="0" fontId="74" fillId="0" borderId="6" xfId="0" applyFont="1" applyFill="1" applyBorder="1" applyAlignment="1" applyProtection="1">
      <alignment vertical="center" wrapText="1"/>
    </xf>
    <xf numFmtId="0" fontId="74" fillId="0" borderId="0" xfId="0" applyFont="1" applyFill="1" applyBorder="1" applyAlignment="1" applyProtection="1">
      <alignment horizontal="center" vertical="center"/>
      <protection locked="0"/>
    </xf>
    <xf numFmtId="0" fontId="74" fillId="0" borderId="1" xfId="0" applyFont="1" applyFill="1" applyBorder="1" applyAlignment="1" applyProtection="1">
      <alignment vertical="center"/>
    </xf>
    <xf numFmtId="0" fontId="49" fillId="0" borderId="3" xfId="0" applyFont="1" applyFill="1" applyBorder="1" applyAlignment="1" applyProtection="1">
      <alignment vertical="center"/>
    </xf>
    <xf numFmtId="189" fontId="49" fillId="0" borderId="14" xfId="0" applyNumberFormat="1" applyFont="1" applyFill="1" applyBorder="1" applyAlignment="1" applyProtection="1">
      <alignment horizontal="center" vertical="center"/>
    </xf>
    <xf numFmtId="178" fontId="49" fillId="0" borderId="1" xfId="0" applyNumberFormat="1" applyFont="1" applyFill="1" applyBorder="1" applyAlignment="1" applyProtection="1">
      <alignment horizontal="center" vertical="center"/>
    </xf>
    <xf numFmtId="0" fontId="51" fillId="0" borderId="1" xfId="8" applyFont="1" applyFill="1" applyBorder="1" applyAlignment="1" applyProtection="1">
      <alignment horizontal="center" vertical="center" wrapText="1"/>
      <protection locked="0"/>
    </xf>
    <xf numFmtId="181" fontId="49" fillId="0" borderId="1" xfId="0" applyNumberFormat="1" applyFont="1" applyFill="1" applyBorder="1" applyAlignment="1">
      <alignment horizontal="left" vertical="center"/>
    </xf>
    <xf numFmtId="181" fontId="49" fillId="0" borderId="1" xfId="0" applyNumberFormat="1" applyFont="1" applyFill="1" applyBorder="1" applyAlignment="1">
      <alignment horizontal="right" vertical="center"/>
    </xf>
    <xf numFmtId="16" fontId="49" fillId="0" borderId="1" xfId="0" applyNumberFormat="1" applyFont="1" applyFill="1" applyBorder="1" applyAlignment="1">
      <alignment horizontal="center" vertical="center" wrapText="1"/>
    </xf>
    <xf numFmtId="182" fontId="49" fillId="0" borderId="1" xfId="0" applyNumberFormat="1" applyFont="1" applyFill="1" applyBorder="1" applyAlignment="1">
      <alignment horizontal="left" vertical="center"/>
    </xf>
    <xf numFmtId="182" fontId="49" fillId="0" borderId="1" xfId="0" applyNumberFormat="1" applyFont="1" applyFill="1" applyBorder="1" applyAlignment="1">
      <alignment horizontal="right" vertical="center"/>
    </xf>
    <xf numFmtId="177" fontId="49" fillId="0" borderId="1" xfId="1" applyNumberFormat="1" applyFont="1" applyFill="1" applyBorder="1" applyAlignment="1" applyProtection="1">
      <alignment horizontal="center" vertical="center"/>
    </xf>
    <xf numFmtId="0" fontId="74" fillId="0" borderId="1" xfId="0" applyFont="1" applyFill="1" applyBorder="1" applyAlignment="1" applyProtection="1">
      <alignment horizontal="center" vertical="center"/>
    </xf>
    <xf numFmtId="0" fontId="97" fillId="0" borderId="1" xfId="0" applyFont="1" applyFill="1" applyBorder="1" applyAlignment="1" applyProtection="1">
      <alignment horizontal="center" vertical="center" wrapText="1"/>
    </xf>
    <xf numFmtId="0" fontId="51" fillId="0" borderId="1" xfId="0" applyFont="1" applyFill="1" applyBorder="1" applyAlignment="1" applyProtection="1">
      <alignment horizontal="center" vertical="center" wrapText="1"/>
      <protection locked="0"/>
    </xf>
    <xf numFmtId="0" fontId="144" fillId="0" borderId="1" xfId="0" applyFont="1" applyFill="1" applyBorder="1" applyAlignment="1" applyProtection="1">
      <alignment horizontal="center" vertical="center" wrapText="1"/>
    </xf>
    <xf numFmtId="0" fontId="54" fillId="0" borderId="0" xfId="0" applyFont="1" applyFill="1" applyAlignment="1" applyProtection="1">
      <alignment horizontal="center" vertical="center"/>
      <protection locked="0"/>
    </xf>
    <xf numFmtId="0" fontId="51" fillId="0" borderId="0" xfId="0" applyNumberFormat="1" applyFont="1" applyFill="1" applyAlignment="1" applyProtection="1">
      <alignment horizontal="center" vertical="center"/>
      <protection locked="0"/>
    </xf>
    <xf numFmtId="0" fontId="116" fillId="0" borderId="0" xfId="0" applyFont="1" applyFill="1" applyAlignment="1" applyProtection="1">
      <alignment vertical="center" wrapText="1"/>
    </xf>
    <xf numFmtId="181" fontId="58" fillId="0" borderId="1" xfId="0" applyNumberFormat="1" applyFont="1" applyFill="1" applyBorder="1" applyAlignment="1">
      <alignment horizontal="center" vertical="center"/>
    </xf>
    <xf numFmtId="182" fontId="58" fillId="0" borderId="1" xfId="0" applyNumberFormat="1" applyFont="1" applyFill="1" applyBorder="1" applyAlignment="1">
      <alignment horizontal="center" vertical="center"/>
    </xf>
    <xf numFmtId="0" fontId="131" fillId="0" borderId="0" xfId="0" applyFont="1" applyFill="1" applyBorder="1" applyAlignment="1" applyProtection="1">
      <alignment horizontal="center" vertical="center"/>
    </xf>
    <xf numFmtId="0" fontId="16" fillId="0" borderId="0" xfId="0" applyFont="1" applyFill="1" applyBorder="1" applyAlignment="1">
      <alignment horizontal="center" vertical="center" wrapText="1"/>
    </xf>
    <xf numFmtId="180" fontId="16" fillId="0" borderId="0" xfId="0" applyNumberFormat="1" applyFont="1" applyFill="1" applyBorder="1" applyAlignment="1" applyProtection="1">
      <alignment horizontal="center" vertical="center"/>
    </xf>
    <xf numFmtId="178" fontId="16" fillId="0" borderId="0" xfId="0" applyNumberFormat="1" applyFont="1" applyFill="1" applyBorder="1" applyAlignment="1" applyProtection="1">
      <alignment horizontal="center" vertical="center"/>
    </xf>
    <xf numFmtId="0" fontId="37" fillId="0" borderId="0" xfId="0" applyFont="1" applyFill="1" applyBorder="1" applyAlignment="1">
      <alignment horizontal="center" vertical="center" wrapText="1"/>
    </xf>
    <xf numFmtId="0" fontId="37" fillId="0" borderId="5" xfId="0" applyFont="1" applyFill="1" applyBorder="1" applyAlignment="1" applyProtection="1">
      <alignment vertical="center" wrapText="1"/>
      <protection locked="0"/>
    </xf>
    <xf numFmtId="180" fontId="49" fillId="0" borderId="1" xfId="0" applyNumberFormat="1" applyFont="1" applyFill="1" applyBorder="1" applyAlignment="1" applyProtection="1">
      <alignment horizontal="center" vertical="center"/>
    </xf>
    <xf numFmtId="181" fontId="49" fillId="0" borderId="6" xfId="0" applyNumberFormat="1" applyFont="1" applyFill="1" applyBorder="1" applyAlignment="1" applyProtection="1">
      <alignment vertical="center"/>
      <protection locked="0"/>
    </xf>
    <xf numFmtId="0" fontId="75" fillId="0" borderId="0" xfId="0" applyFont="1" applyFill="1" applyAlignment="1">
      <alignment horizontal="center" vertical="center"/>
    </xf>
    <xf numFmtId="0" fontId="145" fillId="0" borderId="7" xfId="0" applyFont="1" applyFill="1" applyBorder="1" applyAlignment="1">
      <alignment horizontal="center" vertical="center" wrapText="1"/>
    </xf>
    <xf numFmtId="0" fontId="97" fillId="0" borderId="7" xfId="0" applyFont="1" applyFill="1" applyBorder="1" applyAlignment="1">
      <alignment horizontal="center" vertical="center" wrapText="1"/>
    </xf>
    <xf numFmtId="0" fontId="49" fillId="0" borderId="7" xfId="0" applyFont="1" applyFill="1" applyBorder="1" applyAlignment="1">
      <alignment horizontal="center" vertical="center" wrapText="1"/>
    </xf>
    <xf numFmtId="180" fontId="49" fillId="0" borderId="7" xfId="0" quotePrefix="1" applyNumberFormat="1" applyFont="1" applyFill="1" applyBorder="1" applyAlignment="1">
      <alignment horizontal="center" vertical="center" wrapText="1"/>
    </xf>
    <xf numFmtId="186" fontId="147" fillId="5" borderId="5" xfId="0" quotePrefix="1" applyNumberFormat="1" applyFont="1" applyFill="1" applyBorder="1" applyAlignment="1">
      <alignment horizontal="center" vertical="center"/>
    </xf>
    <xf numFmtId="186" fontId="147" fillId="5" borderId="9" xfId="0" quotePrefix="1" applyNumberFormat="1" applyFont="1" applyFill="1" applyBorder="1" applyAlignment="1">
      <alignment horizontal="center" vertical="center"/>
    </xf>
    <xf numFmtId="186" fontId="147" fillId="5" borderId="6" xfId="0" quotePrefix="1" applyNumberFormat="1" applyFont="1" applyFill="1" applyBorder="1" applyAlignment="1">
      <alignment horizontal="center" vertical="center"/>
    </xf>
    <xf numFmtId="0" fontId="147" fillId="0" borderId="0" xfId="0" applyFont="1" applyFill="1" applyAlignment="1">
      <alignment horizontal="center" vertical="center"/>
    </xf>
    <xf numFmtId="0" fontId="149" fillId="0" borderId="11" xfId="0" quotePrefix="1" applyFont="1" applyFill="1" applyBorder="1" applyAlignment="1" applyProtection="1">
      <alignment vertical="center" wrapText="1"/>
    </xf>
    <xf numFmtId="0" fontId="149" fillId="0" borderId="4" xfId="0" quotePrefix="1" applyFont="1" applyFill="1" applyBorder="1" applyAlignment="1" applyProtection="1">
      <alignment vertical="center" wrapText="1"/>
    </xf>
    <xf numFmtId="0" fontId="150" fillId="0" borderId="1" xfId="0" quotePrefix="1" applyFont="1" applyFill="1" applyBorder="1" applyAlignment="1" applyProtection="1">
      <alignment vertical="center" wrapText="1"/>
    </xf>
    <xf numFmtId="0" fontId="151" fillId="0" borderId="4" xfId="0" applyFont="1" applyFill="1" applyBorder="1" applyAlignment="1" applyProtection="1">
      <alignment vertical="center" wrapText="1"/>
    </xf>
    <xf numFmtId="0" fontId="52" fillId="0" borderId="1" xfId="0" applyNumberFormat="1" applyFont="1" applyFill="1" applyBorder="1" applyAlignment="1" applyProtection="1">
      <alignment horizontal="center" vertical="center"/>
    </xf>
    <xf numFmtId="0" fontId="148" fillId="0" borderId="6" xfId="0" applyFont="1" applyFill="1" applyBorder="1" applyAlignment="1" applyProtection="1">
      <alignment horizontal="center" vertical="center"/>
    </xf>
    <xf numFmtId="0" fontId="148" fillId="0" borderId="5" xfId="0" applyFont="1" applyFill="1" applyBorder="1" applyAlignment="1" applyProtection="1">
      <alignment vertical="center"/>
    </xf>
    <xf numFmtId="0" fontId="148" fillId="0" borderId="5" xfId="0" applyFont="1" applyFill="1" applyBorder="1" applyAlignment="1" applyProtection="1">
      <alignment horizontal="center" vertical="center"/>
    </xf>
    <xf numFmtId="0" fontId="75" fillId="0" borderId="1" xfId="0" applyFont="1" applyFill="1" applyBorder="1" applyAlignment="1">
      <alignment horizontal="center" vertical="center"/>
    </xf>
    <xf numFmtId="0" fontId="75" fillId="0" borderId="3" xfId="0" applyFont="1" applyFill="1" applyBorder="1" applyAlignment="1">
      <alignment horizontal="center" vertical="center"/>
    </xf>
    <xf numFmtId="0" fontId="52" fillId="0" borderId="1" xfId="0" applyFont="1" applyFill="1" applyBorder="1" applyAlignment="1">
      <alignment horizontal="center" vertical="center" wrapText="1"/>
    </xf>
    <xf numFmtId="199" fontId="75" fillId="0" borderId="6" xfId="0" applyNumberFormat="1" applyFont="1" applyFill="1" applyBorder="1" applyAlignment="1" applyProtection="1">
      <alignment horizontal="center" vertical="center"/>
    </xf>
    <xf numFmtId="198" fontId="75" fillId="0" borderId="6" xfId="0" applyNumberFormat="1" applyFont="1" applyFill="1" applyBorder="1" applyAlignment="1" applyProtection="1">
      <alignment horizontal="center" vertical="center"/>
    </xf>
    <xf numFmtId="198" fontId="154" fillId="0" borderId="6" xfId="0" applyNumberFormat="1" applyFont="1" applyFill="1" applyBorder="1" applyAlignment="1" applyProtection="1">
      <alignment horizontal="center" vertical="center"/>
    </xf>
    <xf numFmtId="181" fontId="97" fillId="0" borderId="1" xfId="0" applyNumberFormat="1" applyFont="1" applyFill="1" applyBorder="1" applyAlignment="1">
      <alignment horizontal="center" vertical="center"/>
    </xf>
    <xf numFmtId="178" fontId="154" fillId="0" borderId="5" xfId="0" applyNumberFormat="1" applyFont="1" applyFill="1" applyBorder="1" applyAlignment="1">
      <alignment horizontal="center" vertical="center"/>
    </xf>
    <xf numFmtId="180" fontId="154" fillId="0" borderId="1" xfId="0" applyNumberFormat="1" applyFont="1" applyFill="1" applyBorder="1" applyAlignment="1">
      <alignment horizontal="center" vertical="center"/>
    </xf>
    <xf numFmtId="0" fontId="52" fillId="0" borderId="1" xfId="0" applyFont="1" applyFill="1" applyBorder="1" applyAlignment="1" applyProtection="1">
      <alignment horizontal="center" vertical="center"/>
    </xf>
    <xf numFmtId="181" fontId="97" fillId="40" borderId="1" xfId="0" applyNumberFormat="1" applyFont="1" applyFill="1" applyBorder="1" applyAlignment="1">
      <alignment horizontal="center" vertical="center"/>
    </xf>
    <xf numFmtId="178" fontId="154" fillId="40" borderId="5" xfId="0" applyNumberFormat="1" applyFont="1" applyFill="1" applyBorder="1" applyAlignment="1">
      <alignment horizontal="center" vertical="center"/>
    </xf>
    <xf numFmtId="180" fontId="154" fillId="40" borderId="1" xfId="0" applyNumberFormat="1" applyFont="1" applyFill="1" applyBorder="1" applyAlignment="1">
      <alignment horizontal="center" vertical="center"/>
    </xf>
    <xf numFmtId="198" fontId="154" fillId="41" borderId="6" xfId="0" applyNumberFormat="1" applyFont="1" applyFill="1" applyBorder="1" applyAlignment="1" applyProtection="1">
      <alignment horizontal="center" vertical="center"/>
    </xf>
    <xf numFmtId="197" fontId="75" fillId="0" borderId="6" xfId="0" applyNumberFormat="1" applyFont="1" applyFill="1" applyBorder="1" applyAlignment="1" applyProtection="1">
      <alignment horizontal="center" vertical="center"/>
    </xf>
    <xf numFmtId="182" fontId="97" fillId="0" borderId="1" xfId="0" applyNumberFormat="1" applyFont="1" applyFill="1" applyBorder="1" applyAlignment="1">
      <alignment horizontal="center" vertical="center"/>
    </xf>
    <xf numFmtId="182" fontId="154" fillId="0" borderId="5" xfId="0" applyNumberFormat="1" applyFont="1" applyFill="1" applyBorder="1" applyAlignment="1">
      <alignment horizontal="center" vertical="center"/>
    </xf>
    <xf numFmtId="182" fontId="154" fillId="0" borderId="1" xfId="0" applyNumberFormat="1" applyFont="1" applyFill="1" applyBorder="1" applyAlignment="1">
      <alignment horizontal="center" vertical="center"/>
    </xf>
    <xf numFmtId="182" fontId="154" fillId="0" borderId="6" xfId="0" applyNumberFormat="1" applyFont="1" applyFill="1" applyBorder="1" applyAlignment="1" applyProtection="1">
      <alignment horizontal="center" vertical="center"/>
    </xf>
    <xf numFmtId="182" fontId="97" fillId="40" borderId="1" xfId="0" applyNumberFormat="1" applyFont="1" applyFill="1" applyBorder="1" applyAlignment="1">
      <alignment horizontal="center" vertical="center"/>
    </xf>
    <xf numFmtId="182" fontId="154" fillId="40" borderId="5" xfId="0" applyNumberFormat="1" applyFont="1" applyFill="1" applyBorder="1" applyAlignment="1">
      <alignment horizontal="center" vertical="center"/>
    </xf>
    <xf numFmtId="182" fontId="154" fillId="40" borderId="1" xfId="0" applyNumberFormat="1" applyFont="1" applyFill="1" applyBorder="1" applyAlignment="1">
      <alignment horizontal="center" vertical="center"/>
    </xf>
    <xf numFmtId="0" fontId="151" fillId="0" borderId="1" xfId="0" applyFont="1" applyFill="1" applyBorder="1" applyAlignment="1">
      <alignment horizontal="center" vertical="center" wrapText="1"/>
    </xf>
    <xf numFmtId="177" fontId="75" fillId="0" borderId="1" xfId="1" applyFont="1" applyFill="1" applyBorder="1" applyAlignment="1">
      <alignment horizontal="center" vertical="center"/>
    </xf>
    <xf numFmtId="0" fontId="147" fillId="0" borderId="5" xfId="0" applyFont="1" applyFill="1" applyBorder="1" applyAlignment="1" applyProtection="1">
      <alignment vertical="center"/>
    </xf>
    <xf numFmtId="0" fontId="147" fillId="0" borderId="9" xfId="0" applyFont="1" applyFill="1" applyBorder="1" applyAlignment="1" applyProtection="1">
      <alignment vertical="center"/>
    </xf>
    <xf numFmtId="0" fontId="151" fillId="0" borderId="1" xfId="0" applyFont="1" applyFill="1" applyBorder="1" applyAlignment="1" applyProtection="1">
      <alignment horizontal="center" vertical="center"/>
    </xf>
    <xf numFmtId="0" fontId="151" fillId="0" borderId="1" xfId="0" applyFont="1" applyFill="1" applyBorder="1" applyAlignment="1" applyProtection="1">
      <alignment horizontal="center" vertical="center" wrapText="1"/>
    </xf>
    <xf numFmtId="0" fontId="145" fillId="0" borderId="5" xfId="0" applyFont="1" applyFill="1" applyBorder="1" applyAlignment="1" applyProtection="1">
      <alignment vertical="center"/>
    </xf>
    <xf numFmtId="0" fontId="92" fillId="0" borderId="9" xfId="0" applyFont="1" applyBorder="1" applyAlignment="1">
      <alignment vertical="center"/>
    </xf>
    <xf numFmtId="0" fontId="158" fillId="0" borderId="1" xfId="0" applyFont="1" applyFill="1" applyBorder="1" applyAlignment="1" applyProtection="1">
      <alignment horizontal="center" vertical="center"/>
    </xf>
    <xf numFmtId="181" fontId="97" fillId="41" borderId="1" xfId="0" applyNumberFormat="1" applyFont="1" applyFill="1" applyBorder="1" applyAlignment="1">
      <alignment horizontal="center" vertical="center"/>
    </xf>
    <xf numFmtId="181" fontId="97" fillId="41" borderId="1" xfId="0" applyNumberFormat="1" applyFont="1" applyFill="1" applyBorder="1" applyAlignment="1" applyProtection="1">
      <alignment horizontal="center" vertical="center"/>
      <protection locked="0"/>
    </xf>
    <xf numFmtId="178" fontId="75" fillId="40" borderId="9" xfId="0" applyNumberFormat="1" applyFont="1" applyFill="1" applyBorder="1" applyAlignment="1">
      <alignment vertical="center"/>
    </xf>
    <xf numFmtId="178" fontId="154" fillId="40" borderId="6" xfId="0" applyNumberFormat="1" applyFont="1" applyFill="1" applyBorder="1" applyAlignment="1">
      <alignment vertical="center"/>
    </xf>
    <xf numFmtId="186" fontId="147" fillId="5" borderId="5" xfId="0" quotePrefix="1" applyNumberFormat="1" applyFont="1" applyFill="1" applyBorder="1" applyAlignment="1">
      <alignment vertical="center" wrapText="1"/>
    </xf>
    <xf numFmtId="186" fontId="147" fillId="5" borderId="9" xfId="0" quotePrefix="1" applyNumberFormat="1" applyFont="1" applyFill="1" applyBorder="1" applyAlignment="1">
      <alignment vertical="center" wrapText="1"/>
    </xf>
    <xf numFmtId="177" fontId="75" fillId="0" borderId="3" xfId="1" applyFont="1" applyFill="1" applyBorder="1" applyAlignment="1">
      <alignment horizontal="center" vertical="center"/>
    </xf>
    <xf numFmtId="198" fontId="75" fillId="0" borderId="12" xfId="0" applyNumberFormat="1" applyFont="1" applyFill="1" applyBorder="1" applyAlignment="1" applyProtection="1">
      <alignment horizontal="center" vertical="center"/>
    </xf>
    <xf numFmtId="198" fontId="154" fillId="0" borderId="12" xfId="0" applyNumberFormat="1" applyFont="1" applyFill="1" applyBorder="1" applyAlignment="1" applyProtection="1">
      <alignment horizontal="center" vertical="center"/>
    </xf>
    <xf numFmtId="181" fontId="97" fillId="0" borderId="3" xfId="0" applyNumberFormat="1" applyFont="1" applyFill="1" applyBorder="1" applyAlignment="1">
      <alignment horizontal="center" vertical="center"/>
    </xf>
    <xf numFmtId="178" fontId="154" fillId="0" borderId="13" xfId="0" applyNumberFormat="1" applyFont="1" applyFill="1" applyBorder="1" applyAlignment="1">
      <alignment horizontal="center" vertical="center"/>
    </xf>
    <xf numFmtId="180" fontId="154" fillId="0" borderId="3" xfId="0" applyNumberFormat="1" applyFont="1" applyFill="1" applyBorder="1" applyAlignment="1">
      <alignment horizontal="center" vertical="center"/>
    </xf>
    <xf numFmtId="0" fontId="52" fillId="0" borderId="0" xfId="0" applyFont="1" applyFill="1" applyAlignment="1">
      <alignment horizontal="center" vertical="center"/>
    </xf>
    <xf numFmtId="0" fontId="154" fillId="0" borderId="0" xfId="0" applyFont="1" applyFill="1" applyAlignment="1">
      <alignment horizontal="center" vertical="center"/>
    </xf>
    <xf numFmtId="180" fontId="75" fillId="0" borderId="0" xfId="0" applyNumberFormat="1" applyFont="1" applyFill="1" applyAlignment="1">
      <alignment horizontal="center" vertical="center"/>
    </xf>
    <xf numFmtId="0" fontId="23" fillId="0" borderId="0" xfId="0" applyFont="1">
      <alignment vertical="center"/>
    </xf>
    <xf numFmtId="191" fontId="57" fillId="0" borderId="0" xfId="0" applyNumberFormat="1" applyFont="1" applyFill="1" applyBorder="1" applyAlignment="1" applyProtection="1">
      <alignment vertical="center"/>
      <protection locked="0"/>
    </xf>
    <xf numFmtId="0" fontId="23" fillId="0" borderId="0" xfId="0" applyFont="1" applyBorder="1">
      <alignment vertical="center"/>
    </xf>
    <xf numFmtId="0" fontId="23" fillId="5" borderId="0" xfId="0" applyFont="1" applyFill="1">
      <alignment vertical="center"/>
    </xf>
    <xf numFmtId="191" fontId="54" fillId="43" borderId="0" xfId="0" applyNumberFormat="1" applyFont="1" applyFill="1" applyBorder="1" applyAlignment="1" applyProtection="1">
      <alignment vertical="center"/>
      <protection locked="0"/>
    </xf>
    <xf numFmtId="0" fontId="23" fillId="6" borderId="0" xfId="0" applyFont="1" applyFill="1" applyBorder="1" applyAlignment="1" applyProtection="1">
      <alignment horizontal="center" vertical="center" wrapText="1"/>
    </xf>
    <xf numFmtId="0" fontId="23" fillId="6" borderId="0" xfId="0" applyFont="1" applyFill="1" applyBorder="1" applyAlignment="1">
      <alignment vertical="center"/>
    </xf>
    <xf numFmtId="0" fontId="24" fillId="0" borderId="0" xfId="0" applyFont="1" applyFill="1" applyBorder="1" applyAlignment="1" applyProtection="1">
      <alignment horizontal="center" vertical="center"/>
    </xf>
    <xf numFmtId="0" fontId="23" fillId="6" borderId="0" xfId="0" applyFont="1" applyFill="1" applyBorder="1" applyAlignment="1" applyProtection="1">
      <alignment horizontal="center" vertical="center"/>
    </xf>
    <xf numFmtId="20" fontId="23" fillId="6" borderId="0" xfId="0" applyNumberFormat="1" applyFont="1" applyFill="1" applyBorder="1">
      <alignment vertical="center"/>
    </xf>
    <xf numFmtId="0" fontId="23" fillId="0" borderId="49" xfId="0" applyFont="1" applyFill="1" applyBorder="1" applyAlignment="1" applyProtection="1">
      <alignment horizontal="center" vertical="center"/>
    </xf>
    <xf numFmtId="0" fontId="23" fillId="0" borderId="50" xfId="0" applyFont="1" applyFill="1" applyBorder="1" applyAlignment="1" applyProtection="1">
      <alignment horizontal="center" vertical="center"/>
    </xf>
    <xf numFmtId="0" fontId="23" fillId="0" borderId="51" xfId="0" applyFont="1" applyFill="1" applyBorder="1" applyAlignment="1" applyProtection="1">
      <alignment horizontal="center" vertical="center"/>
    </xf>
    <xf numFmtId="0" fontId="23" fillId="0" borderId="0" xfId="0" applyFont="1" applyFill="1" applyAlignment="1" applyProtection="1">
      <alignment horizontal="center" vertical="center"/>
    </xf>
    <xf numFmtId="0" fontId="23" fillId="0" borderId="52" xfId="0" applyFont="1" applyFill="1" applyBorder="1" applyAlignment="1" applyProtection="1">
      <alignment horizontal="center" vertical="center"/>
    </xf>
    <xf numFmtId="0" fontId="23" fillId="0" borderId="0" xfId="0" applyFont="1" applyFill="1" applyBorder="1" applyAlignment="1" applyProtection="1">
      <alignment horizontal="center" vertical="center"/>
    </xf>
    <xf numFmtId="0" fontId="23" fillId="0" borderId="53" xfId="0" applyFont="1" applyFill="1" applyBorder="1" applyAlignment="1" applyProtection="1">
      <alignment horizontal="center" vertical="center"/>
    </xf>
    <xf numFmtId="0" fontId="160" fillId="0" borderId="0" xfId="0" applyFont="1" applyFill="1" applyBorder="1" applyAlignment="1">
      <alignment horizontal="center" vertical="center" wrapText="1"/>
    </xf>
    <xf numFmtId="0" fontId="26" fillId="0" borderId="0" xfId="0" applyFont="1" applyFill="1" applyAlignment="1" applyProtection="1">
      <alignment horizontal="center" vertical="center"/>
    </xf>
    <xf numFmtId="0" fontId="23" fillId="6" borderId="52" xfId="0" applyFont="1" applyFill="1" applyBorder="1" applyAlignment="1">
      <alignment vertical="center"/>
    </xf>
    <xf numFmtId="0" fontId="26" fillId="0" borderId="53" xfId="0" applyFont="1" applyFill="1" applyBorder="1" applyAlignment="1" applyProtection="1">
      <alignment horizontal="center" vertical="center"/>
    </xf>
    <xf numFmtId="0" fontId="23" fillId="6" borderId="5" xfId="0" applyFont="1" applyFill="1" applyBorder="1" applyAlignment="1" applyProtection="1">
      <alignment horizontal="center" vertical="center" wrapText="1"/>
    </xf>
    <xf numFmtId="20" fontId="23" fillId="6" borderId="52" xfId="0" applyNumberFormat="1" applyFont="1" applyFill="1" applyBorder="1">
      <alignment vertical="center"/>
    </xf>
    <xf numFmtId="20" fontId="23" fillId="6" borderId="53" xfId="0" applyNumberFormat="1" applyFont="1" applyFill="1" applyBorder="1">
      <alignment vertical="center"/>
    </xf>
    <xf numFmtId="0" fontId="51" fillId="0" borderId="5"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xf>
    <xf numFmtId="0" fontId="23" fillId="0" borderId="53" xfId="0" applyFont="1" applyBorder="1">
      <alignment vertical="center"/>
    </xf>
    <xf numFmtId="1" fontId="23" fillId="0" borderId="52" xfId="0" applyNumberFormat="1" applyFont="1" applyFill="1" applyBorder="1" applyAlignment="1" applyProtection="1">
      <alignment horizontal="center" vertical="center"/>
    </xf>
    <xf numFmtId="1" fontId="23" fillId="0" borderId="0" xfId="0" applyNumberFormat="1" applyFont="1" applyFill="1" applyBorder="1" applyAlignment="1" applyProtection="1">
      <alignment horizontal="center" vertical="center"/>
    </xf>
    <xf numFmtId="1" fontId="23" fillId="0" borderId="53" xfId="0" applyNumberFormat="1" applyFont="1" applyFill="1" applyBorder="1" applyAlignment="1" applyProtection="1">
      <alignment horizontal="center" vertical="center"/>
    </xf>
    <xf numFmtId="0" fontId="23" fillId="0" borderId="52" xfId="0" applyFont="1" applyBorder="1">
      <alignment vertical="center"/>
    </xf>
    <xf numFmtId="0" fontId="23" fillId="5" borderId="0" xfId="0" applyFont="1" applyFill="1" applyBorder="1">
      <alignment vertical="center"/>
    </xf>
    <xf numFmtId="0" fontId="23" fillId="0" borderId="13" xfId="0" applyFont="1" applyFill="1" applyBorder="1" applyAlignment="1">
      <alignment horizontal="center" vertical="center" wrapText="1"/>
    </xf>
    <xf numFmtId="0" fontId="23" fillId="0" borderId="0" xfId="0" applyFont="1" applyFill="1" applyBorder="1" applyAlignment="1" applyProtection="1">
      <alignment horizontal="center" vertical="center" wrapText="1"/>
    </xf>
    <xf numFmtId="1" fontId="23" fillId="0" borderId="53" xfId="0" applyNumberFormat="1" applyFont="1" applyBorder="1">
      <alignment vertical="center"/>
    </xf>
    <xf numFmtId="0" fontId="23" fillId="38" borderId="0" xfId="0" applyFont="1" applyFill="1" applyBorder="1" applyAlignment="1" applyProtection="1">
      <alignment horizontal="center" vertical="center"/>
    </xf>
    <xf numFmtId="0" fontId="23" fillId="38" borderId="0" xfId="0" applyFont="1" applyFill="1" applyBorder="1" applyAlignment="1">
      <alignment horizontal="center" vertical="center" wrapText="1"/>
    </xf>
    <xf numFmtId="1" fontId="23" fillId="38" borderId="52" xfId="0" applyNumberFormat="1" applyFont="1" applyFill="1" applyBorder="1" applyAlignment="1" applyProtection="1">
      <alignment horizontal="center" vertical="center"/>
    </xf>
    <xf numFmtId="1" fontId="23" fillId="38" borderId="0" xfId="0" applyNumberFormat="1" applyFont="1" applyFill="1" applyBorder="1" applyAlignment="1" applyProtection="1">
      <alignment horizontal="center" vertical="center"/>
    </xf>
    <xf numFmtId="0" fontId="23" fillId="38" borderId="53" xfId="0" applyFont="1" applyFill="1" applyBorder="1">
      <alignment vertical="center"/>
    </xf>
    <xf numFmtId="0" fontId="23" fillId="38" borderId="0" xfId="0" applyFont="1" applyFill="1">
      <alignment vertical="center"/>
    </xf>
    <xf numFmtId="0" fontId="37" fillId="38" borderId="5" xfId="85" applyFont="1" applyFill="1" applyBorder="1" applyAlignment="1">
      <alignment vertical="center" wrapText="1"/>
    </xf>
    <xf numFmtId="0" fontId="37" fillId="38" borderId="9" xfId="85" applyFont="1" applyFill="1" applyBorder="1" applyAlignment="1">
      <alignment vertical="center" wrapText="1"/>
    </xf>
    <xf numFmtId="0" fontId="23" fillId="38" borderId="52" xfId="0" applyFont="1" applyFill="1" applyBorder="1" applyAlignment="1" applyProtection="1">
      <alignment horizontal="center" vertical="center" wrapText="1"/>
      <protection locked="0"/>
    </xf>
    <xf numFmtId="0" fontId="23" fillId="38" borderId="0" xfId="0" applyFont="1" applyFill="1" applyBorder="1" applyAlignment="1" applyProtection="1">
      <alignment horizontal="center" vertical="center" wrapText="1"/>
      <protection locked="0"/>
    </xf>
    <xf numFmtId="0" fontId="23" fillId="38" borderId="53" xfId="0" applyFont="1" applyFill="1" applyBorder="1" applyAlignment="1" applyProtection="1">
      <alignment horizontal="center" vertical="center" wrapText="1"/>
      <protection locked="0"/>
    </xf>
    <xf numFmtId="1" fontId="23" fillId="38" borderId="53" xfId="0" applyNumberFormat="1" applyFont="1" applyFill="1" applyBorder="1" applyAlignment="1" applyProtection="1">
      <alignment horizontal="center" vertical="center"/>
    </xf>
    <xf numFmtId="1" fontId="23" fillId="0" borderId="54" xfId="0" applyNumberFormat="1" applyFont="1" applyFill="1" applyBorder="1" applyAlignment="1" applyProtection="1">
      <alignment horizontal="center" vertical="center"/>
    </xf>
    <xf numFmtId="1" fontId="23" fillId="0" borderId="55" xfId="0" applyNumberFormat="1" applyFont="1" applyFill="1" applyBorder="1" applyAlignment="1" applyProtection="1">
      <alignment horizontal="center" vertical="center"/>
    </xf>
    <xf numFmtId="0" fontId="23" fillId="0" borderId="56" xfId="0" applyFont="1" applyBorder="1">
      <alignment vertical="center"/>
    </xf>
    <xf numFmtId="0" fontId="23" fillId="0" borderId="3" xfId="0" applyFont="1" applyFill="1" applyBorder="1" applyAlignment="1" applyProtection="1">
      <alignment vertical="center"/>
    </xf>
    <xf numFmtId="0" fontId="23" fillId="0" borderId="17" xfId="0" applyFont="1" applyBorder="1">
      <alignment vertical="center"/>
    </xf>
    <xf numFmtId="0" fontId="23" fillId="0" borderId="19" xfId="0" applyFont="1" applyBorder="1">
      <alignment vertical="center"/>
    </xf>
    <xf numFmtId="0" fontId="23" fillId="0" borderId="22" xfId="0" applyFont="1" applyBorder="1">
      <alignment vertical="center"/>
    </xf>
    <xf numFmtId="0" fontId="23" fillId="0" borderId="23" xfId="0" applyFont="1" applyBorder="1">
      <alignment vertical="center"/>
    </xf>
    <xf numFmtId="0" fontId="23" fillId="0" borderId="5" xfId="0" applyFont="1" applyFill="1" applyBorder="1" applyAlignment="1" applyProtection="1">
      <alignment horizontal="left" vertical="center" wrapText="1"/>
    </xf>
    <xf numFmtId="0" fontId="67" fillId="0" borderId="3" xfId="0" applyFont="1" applyFill="1" applyBorder="1" applyAlignment="1" applyProtection="1">
      <alignment vertical="center"/>
    </xf>
    <xf numFmtId="0" fontId="67" fillId="0" borderId="5" xfId="0" applyFont="1" applyFill="1" applyBorder="1" applyAlignment="1" applyProtection="1">
      <alignment horizontal="left" vertical="center" wrapText="1"/>
    </xf>
    <xf numFmtId="0" fontId="24" fillId="0" borderId="5" xfId="0" applyFont="1" applyFill="1" applyBorder="1" applyAlignment="1" applyProtection="1">
      <alignment horizontal="center" vertical="center" wrapText="1"/>
    </xf>
    <xf numFmtId="0" fontId="23" fillId="6" borderId="22" xfId="0" applyFont="1" applyFill="1" applyBorder="1" applyAlignment="1">
      <alignment vertical="center"/>
    </xf>
    <xf numFmtId="0" fontId="23" fillId="6" borderId="23" xfId="0" applyFont="1" applyFill="1" applyBorder="1">
      <alignment vertical="center"/>
    </xf>
    <xf numFmtId="20" fontId="23" fillId="6" borderId="22" xfId="0" applyNumberFormat="1" applyFont="1" applyFill="1" applyBorder="1">
      <alignment vertical="center"/>
    </xf>
    <xf numFmtId="20" fontId="23" fillId="6" borderId="23" xfId="0" applyNumberFormat="1" applyFont="1" applyFill="1" applyBorder="1">
      <alignment vertical="center"/>
    </xf>
    <xf numFmtId="0" fontId="24" fillId="6" borderId="5" xfId="0" applyFont="1" applyFill="1" applyBorder="1" applyAlignment="1" applyProtection="1">
      <alignment horizontal="center" vertical="center" wrapText="1"/>
    </xf>
    <xf numFmtId="0" fontId="13" fillId="0" borderId="5" xfId="0" applyFont="1" applyFill="1" applyBorder="1" applyAlignment="1" applyProtection="1">
      <alignment vertical="center" wrapText="1"/>
    </xf>
    <xf numFmtId="0" fontId="24" fillId="0" borderId="3" xfId="0" applyFont="1" applyFill="1" applyBorder="1" applyAlignment="1" applyProtection="1">
      <alignment horizontal="center" vertical="center"/>
    </xf>
    <xf numFmtId="0" fontId="37" fillId="0" borderId="5" xfId="0" applyFont="1" applyFill="1" applyBorder="1" applyAlignment="1">
      <alignment vertical="center" wrapText="1"/>
    </xf>
    <xf numFmtId="0" fontId="24" fillId="6" borderId="3" xfId="0" applyFont="1" applyFill="1" applyBorder="1" applyAlignment="1" applyProtection="1">
      <alignment vertical="center"/>
    </xf>
    <xf numFmtId="0" fontId="24" fillId="6" borderId="13" xfId="0" applyFont="1" applyFill="1" applyBorder="1" applyAlignment="1" applyProtection="1">
      <alignment vertical="center" wrapText="1"/>
    </xf>
    <xf numFmtId="0" fontId="23" fillId="6" borderId="22" xfId="0" applyFont="1" applyFill="1" applyBorder="1">
      <alignment vertical="center"/>
    </xf>
    <xf numFmtId="0" fontId="24" fillId="6" borderId="2" xfId="0" applyFont="1" applyFill="1" applyBorder="1" applyAlignment="1" applyProtection="1">
      <alignment vertical="center"/>
    </xf>
    <xf numFmtId="0" fontId="24" fillId="6" borderId="4" xfId="0" applyFont="1" applyFill="1" applyBorder="1" applyAlignment="1" applyProtection="1">
      <alignment vertical="center" wrapText="1"/>
    </xf>
    <xf numFmtId="1" fontId="23" fillId="0" borderId="22" xfId="0" applyNumberFormat="1" applyFont="1" applyBorder="1">
      <alignment vertical="center"/>
    </xf>
    <xf numFmtId="1" fontId="23" fillId="0" borderId="23" xfId="0" applyNumberFormat="1" applyFont="1" applyBorder="1">
      <alignment vertical="center"/>
    </xf>
    <xf numFmtId="0" fontId="23" fillId="0" borderId="26" xfId="0" applyFont="1" applyBorder="1">
      <alignment vertical="center"/>
    </xf>
    <xf numFmtId="0" fontId="23" fillId="0" borderId="28" xfId="0" applyFont="1" applyBorder="1">
      <alignment vertical="center"/>
    </xf>
    <xf numFmtId="0" fontId="51" fillId="0" borderId="1" xfId="0" applyFont="1" applyFill="1" applyBorder="1" applyAlignment="1">
      <alignment horizontal="center" vertical="center"/>
    </xf>
    <xf numFmtId="0" fontId="51" fillId="0" borderId="5" xfId="0" applyFont="1" applyFill="1" applyBorder="1" applyAlignment="1">
      <alignment horizontal="center" vertical="center"/>
    </xf>
    <xf numFmtId="0" fontId="51" fillId="0" borderId="57" xfId="86" applyFont="1" applyFill="1" applyBorder="1" applyAlignment="1" applyProtection="1">
      <alignment horizontal="center" vertical="center" shrinkToFit="1"/>
    </xf>
    <xf numFmtId="0" fontId="51" fillId="0" borderId="4" xfId="0" applyFont="1" applyFill="1" applyBorder="1" applyAlignment="1" applyProtection="1">
      <alignment horizontal="center" vertical="center"/>
    </xf>
    <xf numFmtId="0" fontId="51" fillId="0" borderId="58" xfId="86" applyFont="1" applyFill="1" applyBorder="1" applyAlignment="1" applyProtection="1">
      <alignment horizontal="center" vertical="center" shrinkToFit="1"/>
    </xf>
    <xf numFmtId="0" fontId="51" fillId="6" borderId="5" xfId="0" applyFont="1" applyFill="1" applyBorder="1" applyAlignment="1">
      <alignment vertical="center" wrapText="1"/>
    </xf>
    <xf numFmtId="0" fontId="23" fillId="6" borderId="23" xfId="0" applyFont="1" applyFill="1" applyBorder="1" applyAlignment="1">
      <alignment vertical="center"/>
    </xf>
    <xf numFmtId="0" fontId="51" fillId="6" borderId="4" xfId="0" applyFont="1" applyFill="1" applyBorder="1" applyAlignment="1" applyProtection="1">
      <alignment horizontal="center" vertical="center" wrapText="1"/>
    </xf>
    <xf numFmtId="0" fontId="23" fillId="0" borderId="0" xfId="0" applyFont="1" applyFill="1" applyBorder="1" applyAlignment="1">
      <alignment horizontal="center" vertical="center"/>
    </xf>
    <xf numFmtId="0" fontId="37" fillId="38" borderId="0" xfId="85" applyFont="1" applyFill="1" applyBorder="1" applyAlignment="1">
      <alignment vertical="center" wrapText="1"/>
    </xf>
    <xf numFmtId="193" fontId="23" fillId="38" borderId="52" xfId="0" applyNumberFormat="1" applyFont="1" applyFill="1" applyBorder="1" applyAlignment="1" applyProtection="1">
      <alignment horizontal="center" vertical="center"/>
    </xf>
    <xf numFmtId="193" fontId="23" fillId="38" borderId="0" xfId="0" applyNumberFormat="1" applyFont="1" applyFill="1" applyBorder="1" applyAlignment="1" applyProtection="1">
      <alignment horizontal="center" vertical="center"/>
    </xf>
    <xf numFmtId="193" fontId="23" fillId="38" borderId="53" xfId="0" applyNumberFormat="1" applyFont="1" applyFill="1" applyBorder="1" applyAlignment="1" applyProtection="1">
      <alignment horizontal="center" vertical="center"/>
    </xf>
    <xf numFmtId="1" fontId="23" fillId="0" borderId="28" xfId="0" applyNumberFormat="1" applyFont="1" applyBorder="1">
      <alignment vertical="center"/>
    </xf>
    <xf numFmtId="0" fontId="4" fillId="5" borderId="1" xfId="82" applyFont="1" applyFill="1" applyBorder="1"/>
    <xf numFmtId="194" fontId="144" fillId="0" borderId="7" xfId="0" applyNumberFormat="1" applyFont="1" applyFill="1" applyBorder="1" applyAlignment="1" applyProtection="1">
      <alignment horizontal="center" vertical="center"/>
      <protection locked="0"/>
    </xf>
    <xf numFmtId="0" fontId="49" fillId="35" borderId="0" xfId="0" applyFont="1" applyFill="1">
      <alignment vertical="center"/>
    </xf>
    <xf numFmtId="0" fontId="54" fillId="35" borderId="60" xfId="0" applyFont="1" applyFill="1" applyBorder="1" applyAlignment="1">
      <alignment vertical="center"/>
    </xf>
    <xf numFmtId="0" fontId="54" fillId="35" borderId="61" xfId="0" applyFont="1" applyFill="1" applyBorder="1" applyAlignment="1">
      <alignment vertical="center"/>
    </xf>
    <xf numFmtId="0" fontId="54" fillId="35" borderId="62" xfId="0" applyFont="1" applyFill="1" applyBorder="1" applyAlignment="1">
      <alignment vertical="center"/>
    </xf>
    <xf numFmtId="0" fontId="54" fillId="35" borderId="59" xfId="0" applyFont="1" applyFill="1" applyBorder="1" applyAlignment="1">
      <alignment vertical="center"/>
    </xf>
    <xf numFmtId="186" fontId="49" fillId="5" borderId="1" xfId="0" applyNumberFormat="1" applyFont="1" applyFill="1" applyBorder="1" applyAlignment="1" applyProtection="1">
      <alignment horizontal="centerContinuous" vertical="center"/>
    </xf>
    <xf numFmtId="0" fontId="75" fillId="5" borderId="5" xfId="0" applyFont="1" applyFill="1" applyBorder="1" applyAlignment="1">
      <alignment vertical="center"/>
    </xf>
    <xf numFmtId="0" fontId="75" fillId="5" borderId="9" xfId="0" applyFont="1" applyFill="1" applyBorder="1" applyAlignment="1">
      <alignment vertical="center"/>
    </xf>
    <xf numFmtId="181" fontId="49" fillId="0" borderId="9" xfId="0" applyNumberFormat="1" applyFont="1" applyFill="1" applyBorder="1" applyAlignment="1">
      <alignment horizontal="center" vertical="center"/>
    </xf>
    <xf numFmtId="181" fontId="49" fillId="0" borderId="5" xfId="0" applyNumberFormat="1" applyFont="1" applyFill="1" applyBorder="1" applyAlignment="1" applyProtection="1">
      <alignment vertical="center"/>
      <protection locked="0"/>
    </xf>
    <xf numFmtId="0" fontId="49" fillId="0" borderId="0" xfId="0" quotePrefix="1" applyFont="1" applyFill="1" applyBorder="1" applyAlignment="1" applyProtection="1">
      <alignment vertical="center"/>
    </xf>
    <xf numFmtId="0" fontId="49" fillId="0" borderId="0" xfId="0" applyFont="1" applyFill="1" applyBorder="1" applyAlignment="1" applyProtection="1">
      <alignment vertical="center"/>
    </xf>
    <xf numFmtId="181" fontId="49" fillId="0" borderId="0" xfId="0" applyNumberFormat="1" applyFont="1" applyFill="1" applyBorder="1" applyAlignment="1">
      <alignment horizontal="center" vertical="center"/>
    </xf>
    <xf numFmtId="178" fontId="49" fillId="0" borderId="0" xfId="0" applyNumberFormat="1" applyFont="1" applyFill="1" applyBorder="1" applyAlignment="1">
      <alignment horizontal="center" vertical="center"/>
    </xf>
    <xf numFmtId="180" fontId="49" fillId="0" borderId="0" xfId="0" applyNumberFormat="1" applyFont="1" applyFill="1" applyBorder="1" applyAlignment="1" applyProtection="1">
      <alignment horizontal="center" vertical="center"/>
    </xf>
    <xf numFmtId="180" fontId="49" fillId="0" borderId="0" xfId="0" applyNumberFormat="1" applyFont="1" applyFill="1" applyBorder="1" applyAlignment="1">
      <alignment horizontal="center" vertical="center"/>
    </xf>
    <xf numFmtId="183" fontId="49" fillId="0" borderId="0" xfId="0" applyNumberFormat="1" applyFont="1" applyFill="1" applyBorder="1" applyAlignment="1" applyProtection="1">
      <alignment horizontal="center" vertical="center"/>
    </xf>
    <xf numFmtId="0" fontId="49" fillId="0" borderId="0" xfId="0" applyFont="1" applyFill="1" applyBorder="1" applyAlignment="1" applyProtection="1">
      <alignment vertical="center" wrapText="1"/>
      <protection locked="0"/>
    </xf>
    <xf numFmtId="0" fontId="49" fillId="0" borderId="0" xfId="0" applyFont="1" applyFill="1" applyBorder="1" applyAlignment="1" applyProtection="1">
      <alignment vertical="center" wrapText="1"/>
    </xf>
    <xf numFmtId="0" fontId="97" fillId="0" borderId="0" xfId="0" applyFont="1" applyFill="1" applyAlignment="1">
      <alignment horizontal="left" vertical="center"/>
    </xf>
    <xf numFmtId="0" fontId="49" fillId="12" borderId="1" xfId="0" applyFont="1" applyFill="1" applyBorder="1" applyAlignment="1">
      <alignment horizontal="center" vertical="center"/>
    </xf>
    <xf numFmtId="0" fontId="163" fillId="0" borderId="7" xfId="82" applyFont="1" applyBorder="1" applyAlignment="1">
      <alignment horizontal="centerContinuous" vertical="center"/>
    </xf>
    <xf numFmtId="0" fontId="163" fillId="0" borderId="0" xfId="82" applyFont="1" applyBorder="1" applyAlignment="1">
      <alignment horizontal="centerContinuous" vertical="center"/>
    </xf>
    <xf numFmtId="0" fontId="164" fillId="0" borderId="0" xfId="82" applyFont="1" applyAlignment="1">
      <alignment horizontal="centerContinuous"/>
    </xf>
    <xf numFmtId="0" fontId="165" fillId="0" borderId="1" xfId="0" applyFont="1" applyBorder="1" applyAlignment="1"/>
    <xf numFmtId="0" fontId="0" fillId="0" borderId="0" xfId="0" applyAlignment="1"/>
    <xf numFmtId="0" fontId="165" fillId="0" borderId="3" xfId="0" applyFont="1" applyBorder="1" applyAlignment="1"/>
    <xf numFmtId="0" fontId="165" fillId="36" borderId="3" xfId="0" applyFont="1" applyFill="1" applyBorder="1" applyAlignment="1">
      <alignment horizontal="center" vertical="center"/>
    </xf>
    <xf numFmtId="0" fontId="166" fillId="0" borderId="7" xfId="82" applyFont="1" applyBorder="1" applyAlignment="1">
      <alignment horizontal="centerContinuous" vertical="center" wrapText="1"/>
    </xf>
    <xf numFmtId="0" fontId="4"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200" fontId="96" fillId="5" borderId="1" xfId="83" applyNumberFormat="1" applyFont="1" applyFill="1" applyBorder="1" applyAlignment="1">
      <alignment horizontal="center" vertical="center"/>
    </xf>
    <xf numFmtId="0" fontId="4" fillId="6" borderId="0" xfId="82" applyFont="1" applyFill="1"/>
    <xf numFmtId="0" fontId="168" fillId="0" borderId="0" xfId="82" applyFont="1" applyFill="1"/>
    <xf numFmtId="43" fontId="0" fillId="0" borderId="1" xfId="1" applyNumberFormat="1" applyFont="1" applyFill="1" applyBorder="1" applyAlignment="1"/>
    <xf numFmtId="0" fontId="2" fillId="0" borderId="0" xfId="82" applyFont="1"/>
    <xf numFmtId="0" fontId="163" fillId="0" borderId="7" xfId="82" applyFont="1" applyFill="1" applyBorder="1" applyAlignment="1">
      <alignment horizontal="centerContinuous" vertical="center"/>
    </xf>
    <xf numFmtId="43" fontId="96" fillId="0" borderId="1" xfId="83" applyFont="1" applyFill="1" applyBorder="1" applyAlignment="1">
      <alignment horizontal="center" vertical="center"/>
    </xf>
    <xf numFmtId="0" fontId="96"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4" fillId="0" borderId="0" xfId="82" applyFill="1"/>
    <xf numFmtId="0" fontId="3" fillId="5" borderId="1" xfId="82" applyFont="1" applyFill="1" applyBorder="1"/>
    <xf numFmtId="0" fontId="3" fillId="5" borderId="0" xfId="82" applyFont="1" applyFill="1"/>
    <xf numFmtId="0" fontId="4" fillId="5" borderId="0" xfId="82" applyFont="1" applyFill="1"/>
    <xf numFmtId="191" fontId="70" fillId="0" borderId="7" xfId="0" applyNumberFormat="1" applyFont="1" applyFill="1" applyBorder="1" applyAlignment="1" applyProtection="1">
      <alignment horizontal="center" vertical="center"/>
      <protection locked="0"/>
    </xf>
    <xf numFmtId="14" fontId="4" fillId="0" borderId="1" xfId="82" quotePrefix="1" applyNumberFormat="1" applyFont="1" applyFill="1" applyBorder="1"/>
    <xf numFmtId="41" fontId="23" fillId="0" borderId="22" xfId="0" applyNumberFormat="1" applyFont="1" applyBorder="1">
      <alignment vertical="center"/>
    </xf>
    <xf numFmtId="41" fontId="23" fillId="0" borderId="23" xfId="0" applyNumberFormat="1" applyFont="1" applyBorder="1">
      <alignment vertical="center"/>
    </xf>
    <xf numFmtId="200" fontId="96" fillId="6" borderId="1" xfId="83" applyNumberFormat="1" applyFont="1" applyFill="1" applyBorder="1" applyAlignment="1">
      <alignment horizontal="center" vertical="center"/>
    </xf>
    <xf numFmtId="0" fontId="4" fillId="0" borderId="13" xfId="82" applyFont="1" applyBorder="1"/>
    <xf numFmtId="0" fontId="4" fillId="0" borderId="8" xfId="82" applyFont="1" applyBorder="1"/>
    <xf numFmtId="0" fontId="4" fillId="0" borderId="12" xfId="82" applyFont="1" applyBorder="1"/>
    <xf numFmtId="0" fontId="4" fillId="0" borderId="11" xfId="82" applyFont="1" applyBorder="1"/>
    <xf numFmtId="0" fontId="4" fillId="0" borderId="0" xfId="82" applyFont="1" applyBorder="1"/>
    <xf numFmtId="0" fontId="4" fillId="0" borderId="16" xfId="82" applyFont="1" applyBorder="1"/>
    <xf numFmtId="0" fontId="4" fillId="0" borderId="4" xfId="82" applyFont="1" applyBorder="1"/>
    <xf numFmtId="0" fontId="4" fillId="0" borderId="7" xfId="82" applyFont="1" applyBorder="1"/>
    <xf numFmtId="0" fontId="4" fillId="0" borderId="15" xfId="82" applyFont="1" applyBorder="1"/>
    <xf numFmtId="0" fontId="4" fillId="0" borderId="13" xfId="82" applyFont="1" applyFill="1" applyBorder="1"/>
    <xf numFmtId="0" fontId="4" fillId="0" borderId="8" xfId="82" applyFont="1" applyFill="1" applyBorder="1"/>
    <xf numFmtId="0" fontId="4" fillId="0" borderId="11" xfId="82" applyFont="1" applyFill="1" applyBorder="1"/>
    <xf numFmtId="0" fontId="4" fillId="0" borderId="0" xfId="82" applyFont="1" applyFill="1" applyBorder="1"/>
    <xf numFmtId="0" fontId="4" fillId="0" borderId="4" xfId="82" applyFont="1" applyFill="1" applyBorder="1"/>
    <xf numFmtId="0" fontId="4" fillId="0" borderId="7" xfId="82" applyFont="1" applyFill="1" applyBorder="1"/>
    <xf numFmtId="0" fontId="4" fillId="0" borderId="12" xfId="82" applyFont="1" applyFill="1" applyBorder="1"/>
    <xf numFmtId="0" fontId="4" fillId="0" borderId="16" xfId="82" applyFont="1" applyFill="1" applyBorder="1"/>
    <xf numFmtId="0" fontId="4" fillId="0" borderId="15" xfId="82" applyFont="1" applyFill="1" applyBorder="1"/>
    <xf numFmtId="0" fontId="9" fillId="0" borderId="0" xfId="0" applyFont="1" applyBorder="1" applyAlignment="1" applyProtection="1">
      <alignment horizontal="center" vertical="center" wrapText="1"/>
    </xf>
    <xf numFmtId="0" fontId="25" fillId="0" borderId="0" xfId="0" applyFont="1" applyFill="1" applyBorder="1" applyAlignment="1" applyProtection="1">
      <alignment horizontal="center" vertical="center"/>
    </xf>
    <xf numFmtId="178" fontId="10" fillId="0" borderId="5" xfId="0" applyNumberFormat="1" applyFont="1" applyFill="1" applyBorder="1" applyAlignment="1" applyProtection="1">
      <alignment horizontal="right" vertical="center"/>
    </xf>
    <xf numFmtId="189" fontId="10" fillId="0" borderId="14" xfId="1" applyNumberFormat="1" applyFont="1" applyFill="1" applyBorder="1" applyAlignment="1" applyProtection="1">
      <alignment horizontal="center" vertical="center"/>
    </xf>
    <xf numFmtId="0" fontId="24" fillId="0" borderId="0" xfId="0" applyFont="1" applyAlignment="1">
      <alignment horizontal="center" vertical="center"/>
    </xf>
    <xf numFmtId="0" fontId="50" fillId="0" borderId="0" xfId="0" applyFont="1" applyAlignment="1">
      <alignment horizontal="center" vertical="center"/>
    </xf>
    <xf numFmtId="14" fontId="170" fillId="4" borderId="1" xfId="0" applyNumberFormat="1" applyFont="1" applyFill="1" applyBorder="1" applyAlignment="1">
      <alignment horizontal="center" vertical="center"/>
    </xf>
    <xf numFmtId="185" fontId="171" fillId="0" borderId="1" xfId="7" applyNumberFormat="1" applyFont="1" applyFill="1" applyBorder="1" applyAlignment="1">
      <alignment horizontal="center" vertical="center"/>
    </xf>
    <xf numFmtId="20" fontId="171" fillId="0" borderId="1" xfId="0" applyNumberFormat="1" applyFont="1" applyBorder="1" applyAlignment="1">
      <alignment horizontal="center" vertical="center"/>
    </xf>
    <xf numFmtId="0" fontId="17" fillId="0" borderId="1" xfId="0" applyFont="1" applyBorder="1" applyAlignment="1">
      <alignment horizontal="center" vertical="center"/>
    </xf>
    <xf numFmtId="0" fontId="171" fillId="0" borderId="1" xfId="0" applyFont="1" applyBorder="1" applyAlignment="1">
      <alignment horizontal="center" vertical="center"/>
    </xf>
    <xf numFmtId="0" fontId="24" fillId="6" borderId="1" xfId="0" applyFont="1" applyFill="1" applyBorder="1" applyAlignment="1">
      <alignment horizontal="center" vertical="center"/>
    </xf>
    <xf numFmtId="0" fontId="24" fillId="6" borderId="1" xfId="0" applyFont="1" applyFill="1" applyBorder="1" applyAlignment="1">
      <alignment horizontal="center" vertical="center" wrapText="1"/>
    </xf>
    <xf numFmtId="0" fontId="57" fillId="5" borderId="1" xfId="0" applyFont="1" applyFill="1" applyBorder="1" applyAlignment="1">
      <alignment horizontal="center" vertical="center"/>
    </xf>
    <xf numFmtId="0" fontId="73" fillId="5" borderId="1" xfId="0" applyFont="1" applyFill="1" applyBorder="1" applyAlignment="1">
      <alignment horizontal="center" vertical="center"/>
    </xf>
    <xf numFmtId="191" fontId="17" fillId="0" borderId="7" xfId="0" applyNumberFormat="1" applyFont="1" applyFill="1" applyBorder="1" applyAlignment="1" applyProtection="1">
      <alignment horizontal="center" vertical="center"/>
      <protection locked="0"/>
    </xf>
    <xf numFmtId="0" fontId="24" fillId="0" borderId="1" xfId="0" applyFont="1" applyBorder="1" applyAlignment="1">
      <alignment horizontal="center" vertical="center"/>
    </xf>
    <xf numFmtId="0" fontId="37" fillId="0" borderId="1" xfId="0" applyFont="1" applyBorder="1" applyAlignment="1">
      <alignment horizontal="center" vertical="center"/>
    </xf>
    <xf numFmtId="0" fontId="37" fillId="0" borderId="3" xfId="0" applyFont="1" applyFill="1" applyBorder="1" applyAlignment="1" applyProtection="1"/>
    <xf numFmtId="14" fontId="24" fillId="0" borderId="7" xfId="8" applyNumberFormat="1" applyFont="1" applyFill="1" applyBorder="1" applyAlignment="1" applyProtection="1">
      <alignment wrapText="1"/>
      <protection locked="0"/>
    </xf>
    <xf numFmtId="0" fontId="37" fillId="0" borderId="1" xfId="0" applyFont="1" applyFill="1" applyBorder="1" applyAlignment="1" applyProtection="1"/>
    <xf numFmtId="0" fontId="24" fillId="0" borderId="1" xfId="0" applyFont="1" applyFill="1" applyBorder="1" applyAlignment="1" applyProtection="1"/>
    <xf numFmtId="0" fontId="23" fillId="0" borderId="0" xfId="0" applyFont="1" applyFill="1" applyAlignment="1" applyProtection="1">
      <protection locked="0"/>
    </xf>
    <xf numFmtId="201" fontId="4" fillId="5" borderId="1" xfId="82" quotePrefix="1" applyNumberFormat="1" applyFont="1" applyFill="1" applyBorder="1"/>
    <xf numFmtId="191" fontId="97" fillId="5" borderId="9" xfId="0" applyNumberFormat="1" applyFont="1" applyFill="1" applyBorder="1" applyAlignment="1">
      <alignment horizontal="right" vertical="center" wrapText="1"/>
    </xf>
    <xf numFmtId="0" fontId="62" fillId="0" borderId="1" xfId="0" applyFont="1" applyFill="1" applyBorder="1" applyAlignment="1" applyProtection="1">
      <alignment horizontal="center" vertical="center"/>
    </xf>
    <xf numFmtId="0" fontId="13" fillId="0" borderId="3" xfId="0"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1" xfId="0" applyFont="1" applyFill="1" applyBorder="1" applyAlignment="1" applyProtection="1">
      <alignment horizontal="center" vertical="center" wrapText="1"/>
    </xf>
    <xf numFmtId="0" fontId="16" fillId="0" borderId="1" xfId="0" applyFont="1" applyFill="1" applyBorder="1" applyAlignment="1" applyProtection="1">
      <alignment horizontal="center" vertical="center"/>
    </xf>
    <xf numFmtId="0" fontId="9"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195" fontId="157" fillId="0" borderId="1" xfId="0" applyNumberFormat="1" applyFont="1" applyFill="1" applyBorder="1" applyAlignment="1">
      <alignment horizontal="center" vertical="center"/>
    </xf>
    <xf numFmtId="0" fontId="75" fillId="34" borderId="0" xfId="0" applyFont="1" applyFill="1" applyAlignment="1">
      <alignment horizontal="center" vertical="center"/>
    </xf>
    <xf numFmtId="0" fontId="167" fillId="35" borderId="0" xfId="84" applyFont="1" applyFill="1" applyBorder="1" applyAlignment="1" applyProtection="1">
      <alignment horizontal="center" vertical="center"/>
    </xf>
    <xf numFmtId="0" fontId="162" fillId="35" borderId="0" xfId="84" applyFont="1" applyFill="1" applyBorder="1" applyAlignment="1" applyProtection="1">
      <alignment horizontal="center" vertical="center"/>
    </xf>
    <xf numFmtId="0" fontId="37" fillId="35" borderId="0" xfId="0" applyFont="1" applyFill="1" applyBorder="1" applyAlignment="1">
      <alignment vertical="center"/>
    </xf>
    <xf numFmtId="0" fontId="163" fillId="0" borderId="7" xfId="82" applyFont="1" applyBorder="1" applyAlignment="1">
      <alignment horizontal="left" vertical="center"/>
    </xf>
    <xf numFmtId="0" fontId="4" fillId="0" borderId="1" xfId="82" applyFont="1" applyFill="1" applyBorder="1"/>
    <xf numFmtId="0" fontId="96" fillId="0" borderId="1" xfId="82" applyFont="1" applyBorder="1"/>
    <xf numFmtId="0" fontId="175" fillId="0" borderId="7" xfId="82" applyFont="1" applyBorder="1" applyAlignment="1">
      <alignment horizontal="centerContinuous" vertical="center"/>
    </xf>
    <xf numFmtId="0" fontId="175" fillId="0" borderId="7" xfId="82" applyFont="1" applyFill="1" applyBorder="1" applyAlignment="1">
      <alignment horizontal="centerContinuous" vertical="center"/>
    </xf>
    <xf numFmtId="0" fontId="176" fillId="0" borderId="0" xfId="82" applyFont="1"/>
    <xf numFmtId="0" fontId="175" fillId="36" borderId="1" xfId="82" applyFont="1" applyFill="1" applyBorder="1" applyAlignment="1">
      <alignment horizontal="center" vertical="center"/>
    </xf>
    <xf numFmtId="43" fontId="175" fillId="0" borderId="1" xfId="83" applyFont="1" applyFill="1" applyBorder="1" applyAlignment="1">
      <alignment horizontal="center" vertical="center"/>
    </xf>
    <xf numFmtId="0" fontId="175" fillId="0" borderId="0" xfId="82" applyFont="1"/>
    <xf numFmtId="200" fontId="175" fillId="5" borderId="1" xfId="83" applyNumberFormat="1" applyFont="1" applyFill="1" applyBorder="1" applyAlignment="1">
      <alignment horizontal="center" vertical="center"/>
    </xf>
    <xf numFmtId="200" fontId="175" fillId="6" borderId="1" xfId="83" applyNumberFormat="1" applyFont="1" applyFill="1" applyBorder="1" applyAlignment="1">
      <alignment horizontal="center" vertical="center"/>
    </xf>
    <xf numFmtId="0" fontId="176" fillId="0" borderId="1" xfId="82" applyFont="1" applyBorder="1"/>
    <xf numFmtId="43" fontId="177" fillId="0" borderId="1" xfId="1" applyNumberFormat="1" applyFont="1" applyFill="1" applyBorder="1" applyAlignment="1"/>
    <xf numFmtId="0" fontId="176" fillId="0" borderId="1" xfId="82" applyFont="1" applyFill="1" applyBorder="1"/>
    <xf numFmtId="0" fontId="176" fillId="5" borderId="1" xfId="82" applyFont="1" applyFill="1" applyBorder="1"/>
    <xf numFmtId="43" fontId="177" fillId="5" borderId="1" xfId="1" applyNumberFormat="1" applyFont="1" applyFill="1" applyBorder="1" applyAlignment="1"/>
    <xf numFmtId="0" fontId="176" fillId="5" borderId="0" xfId="82" applyFont="1" applyFill="1"/>
    <xf numFmtId="0" fontId="178" fillId="0" borderId="0" xfId="82" applyFont="1"/>
    <xf numFmtId="43" fontId="177" fillId="0" borderId="0" xfId="83" applyFont="1" applyFill="1"/>
    <xf numFmtId="200" fontId="175" fillId="5" borderId="5" xfId="83" applyNumberFormat="1" applyFont="1" applyFill="1" applyBorder="1" applyAlignment="1">
      <alignment horizontal="center" vertical="center"/>
    </xf>
    <xf numFmtId="0" fontId="175" fillId="0" borderId="1" xfId="82" applyFont="1" applyBorder="1"/>
    <xf numFmtId="0" fontId="97" fillId="35" borderId="66" xfId="84" applyFont="1" applyFill="1" applyBorder="1" applyAlignment="1" applyProtection="1">
      <alignment vertical="center"/>
    </xf>
    <xf numFmtId="0" fontId="174" fillId="0" borderId="7" xfId="82" applyFont="1" applyFill="1" applyBorder="1" applyAlignment="1">
      <alignment horizontal="left" vertical="center"/>
    </xf>
    <xf numFmtId="0" fontId="174" fillId="0" borderId="7" xfId="82" applyFont="1" applyBorder="1" applyAlignment="1">
      <alignment horizontal="left" vertical="center"/>
    </xf>
    <xf numFmtId="0" fontId="17" fillId="35" borderId="0" xfId="0" applyFont="1" applyFill="1">
      <alignment vertical="center"/>
    </xf>
    <xf numFmtId="202" fontId="177" fillId="10" borderId="1" xfId="82" quotePrefix="1" applyNumberFormat="1" applyFont="1" applyFill="1" applyBorder="1" applyAlignment="1">
      <alignment horizontal="left"/>
    </xf>
    <xf numFmtId="0" fontId="175" fillId="36" borderId="1" xfId="82" applyFont="1" applyFill="1" applyBorder="1" applyAlignment="1">
      <alignment horizontal="left" vertical="center"/>
    </xf>
    <xf numFmtId="0" fontId="178" fillId="0" borderId="0" xfId="82" applyFont="1" applyAlignment="1">
      <alignment horizontal="left"/>
    </xf>
    <xf numFmtId="202" fontId="177" fillId="0" borderId="1" xfId="82" quotePrefix="1" applyNumberFormat="1" applyFont="1" applyFill="1" applyBorder="1" applyAlignment="1">
      <alignment horizontal="left"/>
    </xf>
    <xf numFmtId="0" fontId="96" fillId="36" borderId="1" xfId="82" applyFont="1" applyFill="1" applyBorder="1" applyAlignment="1">
      <alignment horizontal="left" vertical="center"/>
    </xf>
    <xf numFmtId="0" fontId="95" fillId="0" borderId="0" xfId="82" applyFont="1" applyAlignment="1">
      <alignment horizontal="left"/>
    </xf>
    <xf numFmtId="202" fontId="176" fillId="10" borderId="1" xfId="82" quotePrefix="1" applyNumberFormat="1" applyFont="1" applyFill="1" applyBorder="1" applyAlignment="1">
      <alignment horizontal="left"/>
    </xf>
    <xf numFmtId="202" fontId="176" fillId="0" borderId="1" xfId="82" quotePrefix="1" applyNumberFormat="1" applyFont="1" applyFill="1" applyBorder="1" applyAlignment="1">
      <alignment horizontal="left"/>
    </xf>
    <xf numFmtId="0" fontId="175" fillId="0" borderId="1" xfId="82" applyFont="1" applyFill="1" applyBorder="1" applyAlignment="1">
      <alignment horizontal="left" vertical="center"/>
    </xf>
    <xf numFmtId="0" fontId="178" fillId="0" borderId="0" xfId="82" applyFont="1" applyFill="1" applyAlignment="1">
      <alignment horizontal="left"/>
    </xf>
    <xf numFmtId="202" fontId="177" fillId="35" borderId="1" xfId="82" quotePrefix="1" applyNumberFormat="1" applyFont="1" applyFill="1" applyBorder="1" applyAlignment="1">
      <alignment horizontal="left"/>
    </xf>
    <xf numFmtId="0" fontId="176" fillId="35" borderId="1" xfId="82" applyFont="1" applyFill="1" applyBorder="1"/>
    <xf numFmtId="43" fontId="177" fillId="35" borderId="1" xfId="1" applyNumberFormat="1" applyFont="1" applyFill="1" applyBorder="1" applyAlignment="1"/>
    <xf numFmtId="0" fontId="176" fillId="35" borderId="0" xfId="82" applyFont="1" applyFill="1"/>
    <xf numFmtId="202" fontId="176" fillId="5" borderId="1" xfId="82" quotePrefix="1" applyNumberFormat="1" applyFont="1" applyFill="1" applyBorder="1" applyAlignment="1">
      <alignment horizontal="left"/>
    </xf>
    <xf numFmtId="202" fontId="177" fillId="5" borderId="1" xfId="82" quotePrefix="1" applyNumberFormat="1" applyFont="1" applyFill="1" applyBorder="1" applyAlignment="1">
      <alignment horizontal="left"/>
    </xf>
    <xf numFmtId="14" fontId="4" fillId="5" borderId="1" xfId="82" quotePrefix="1" applyNumberFormat="1" applyFont="1" applyFill="1" applyBorder="1"/>
    <xf numFmtId="0" fontId="4" fillId="5" borderId="11" xfId="82" applyFont="1" applyFill="1" applyBorder="1"/>
    <xf numFmtId="0" fontId="4" fillId="5" borderId="0" xfId="82" applyFont="1" applyFill="1" applyBorder="1"/>
    <xf numFmtId="0" fontId="4" fillId="5" borderId="16" xfId="82" applyFont="1" applyFill="1" applyBorder="1"/>
    <xf numFmtId="0" fontId="97" fillId="35" borderId="0" xfId="84" applyFont="1" applyFill="1" applyBorder="1" applyAlignment="1" applyProtection="1">
      <alignment horizontal="center" vertical="center"/>
    </xf>
    <xf numFmtId="202" fontId="144" fillId="35" borderId="0" xfId="0" quotePrefix="1" applyNumberFormat="1" applyFont="1" applyFill="1" applyBorder="1" applyAlignment="1" applyProtection="1">
      <alignment horizontal="center" vertical="center"/>
      <protection locked="0"/>
    </xf>
    <xf numFmtId="202" fontId="144" fillId="35" borderId="0" xfId="0" applyNumberFormat="1" applyFont="1" applyFill="1" applyBorder="1" applyAlignment="1" applyProtection="1">
      <alignment horizontal="center" vertical="center"/>
      <protection locked="0"/>
    </xf>
    <xf numFmtId="0" fontId="97" fillId="35" borderId="0" xfId="84" applyFont="1" applyFill="1" applyBorder="1" applyAlignment="1" applyProtection="1">
      <alignment vertical="center"/>
    </xf>
    <xf numFmtId="0" fontId="51" fillId="0" borderId="0" xfId="4" applyFont="1">
      <alignment vertical="center"/>
    </xf>
    <xf numFmtId="0" fontId="51" fillId="0" borderId="1" xfId="4" applyFont="1" applyBorder="1" applyAlignment="1">
      <alignment horizontal="center" vertical="center"/>
    </xf>
    <xf numFmtId="0" fontId="51" fillId="0" borderId="1" xfId="4" applyFont="1" applyBorder="1">
      <alignment vertical="center"/>
    </xf>
    <xf numFmtId="0" fontId="51" fillId="0" borderId="1" xfId="4" applyFont="1" applyFill="1" applyBorder="1">
      <alignment vertical="center"/>
    </xf>
    <xf numFmtId="0" fontId="51" fillId="0" borderId="0" xfId="4" applyFont="1" applyFill="1">
      <alignment vertical="center"/>
    </xf>
    <xf numFmtId="0" fontId="51" fillId="0" borderId="5" xfId="0" applyFont="1" applyFill="1" applyBorder="1" applyAlignment="1" applyProtection="1">
      <alignment horizontal="center" vertical="center" wrapText="1"/>
    </xf>
    <xf numFmtId="0" fontId="13" fillId="0" borderId="0" xfId="0" applyFont="1" applyFill="1" applyBorder="1" applyAlignment="1">
      <alignment horizontal="center" vertical="center" wrapText="1"/>
    </xf>
    <xf numFmtId="0" fontId="37" fillId="0" borderId="0" xfId="0" applyFont="1" applyAlignment="1">
      <alignment horizontal="left" vertical="center"/>
    </xf>
    <xf numFmtId="183" fontId="24" fillId="0" borderId="1" xfId="0" applyNumberFormat="1" applyFont="1" applyFill="1" applyBorder="1" applyAlignment="1" applyProtection="1">
      <alignment horizontal="center" vertical="center"/>
    </xf>
    <xf numFmtId="0" fontId="9" fillId="0" borderId="6" xfId="0" applyFont="1" applyBorder="1" applyAlignment="1" applyProtection="1">
      <alignment horizontal="center" vertical="center"/>
    </xf>
    <xf numFmtId="49" fontId="90" fillId="0" borderId="1" xfId="0" applyNumberFormat="1" applyFont="1" applyFill="1" applyBorder="1" applyAlignment="1">
      <alignment horizontal="center" vertical="center"/>
    </xf>
    <xf numFmtId="0" fontId="13" fillId="0" borderId="1" xfId="0" applyNumberFormat="1" applyFont="1" applyFill="1" applyBorder="1" applyAlignment="1" applyProtection="1">
      <alignment horizontal="center" vertical="center" wrapText="1"/>
    </xf>
    <xf numFmtId="0" fontId="54" fillId="0" borderId="0" xfId="0" applyFont="1" applyFill="1" applyBorder="1" applyAlignment="1">
      <alignment horizontal="center" vertical="center" wrapText="1"/>
    </xf>
    <xf numFmtId="0" fontId="29" fillId="0" borderId="0" xfId="8" applyFont="1" applyFill="1" applyBorder="1" applyAlignment="1" applyProtection="1">
      <alignment horizontal="center" vertical="center"/>
    </xf>
    <xf numFmtId="9" fontId="37" fillId="0" borderId="0" xfId="0" applyNumberFormat="1" applyFont="1" applyFill="1" applyBorder="1" applyAlignment="1" applyProtection="1">
      <alignment horizontal="center" vertical="center"/>
    </xf>
    <xf numFmtId="0" fontId="23" fillId="0" borderId="10" xfId="8" applyFont="1" applyFill="1" applyBorder="1" applyAlignment="1" applyProtection="1">
      <alignment horizontal="center" vertical="center" wrapText="1"/>
    </xf>
    <xf numFmtId="0" fontId="55" fillId="0" borderId="0" xfId="0" applyFont="1" applyBorder="1" applyAlignment="1" applyProtection="1">
      <alignment horizontal="center" vertical="center" wrapText="1"/>
      <protection locked="0"/>
    </xf>
    <xf numFmtId="0" fontId="56" fillId="0" borderId="0" xfId="0" applyFont="1" applyFill="1" applyBorder="1" applyAlignment="1" applyProtection="1">
      <alignment horizontal="center" vertical="center" wrapText="1"/>
    </xf>
    <xf numFmtId="0" fontId="50" fillId="0" borderId="0" xfId="0" applyFont="1" applyFill="1" applyBorder="1" applyAlignment="1" applyProtection="1">
      <alignment horizontal="center" vertical="center" wrapText="1"/>
      <protection locked="0"/>
    </xf>
    <xf numFmtId="0" fontId="67" fillId="0" borderId="74" xfId="8" applyFont="1" applyFill="1" applyBorder="1" applyAlignment="1" applyProtection="1">
      <alignment horizontal="center" vertical="center" wrapText="1"/>
    </xf>
    <xf numFmtId="0" fontId="67" fillId="0" borderId="85" xfId="0" applyFont="1" applyFill="1" applyBorder="1" applyAlignment="1" applyProtection="1">
      <alignment vertical="center" wrapText="1"/>
    </xf>
    <xf numFmtId="181" fontId="50" fillId="0" borderId="85" xfId="0" applyNumberFormat="1" applyFont="1" applyFill="1" applyBorder="1" applyAlignment="1" applyProtection="1">
      <alignment horizontal="center" vertical="center"/>
    </xf>
    <xf numFmtId="179" fontId="67" fillId="0" borderId="86" xfId="8" applyNumberFormat="1" applyFont="1" applyFill="1" applyBorder="1" applyAlignment="1" applyProtection="1">
      <alignment horizontal="center" vertical="center"/>
    </xf>
    <xf numFmtId="189" fontId="67" fillId="0" borderId="86" xfId="8" applyNumberFormat="1" applyFont="1" applyFill="1" applyBorder="1" applyAlignment="1" applyProtection="1">
      <alignment horizontal="center" vertical="center"/>
    </xf>
    <xf numFmtId="178" fontId="67" fillId="0" borderId="87" xfId="8" applyNumberFormat="1" applyFont="1" applyFill="1" applyBorder="1" applyAlignment="1" applyProtection="1">
      <alignment horizontal="center" vertical="center"/>
    </xf>
    <xf numFmtId="179" fontId="196" fillId="0" borderId="86" xfId="0" applyNumberFormat="1" applyFont="1" applyFill="1" applyBorder="1" applyAlignment="1" applyProtection="1">
      <alignment horizontal="center" vertical="center"/>
    </xf>
    <xf numFmtId="188" fontId="50" fillId="0" borderId="86" xfId="0" applyNumberFormat="1" applyFont="1" applyFill="1" applyBorder="1" applyAlignment="1" applyProtection="1">
      <alignment horizontal="center" vertical="center"/>
    </xf>
    <xf numFmtId="178" fontId="50" fillId="0" borderId="87" xfId="0" applyNumberFormat="1" applyFont="1" applyFill="1" applyBorder="1" applyAlignment="1" applyProtection="1">
      <alignment horizontal="center" vertical="center"/>
    </xf>
    <xf numFmtId="182" fontId="67" fillId="0" borderId="86" xfId="8" applyNumberFormat="1" applyFont="1" applyFill="1" applyBorder="1" applyAlignment="1" applyProtection="1">
      <alignment vertical="center"/>
    </xf>
    <xf numFmtId="182" fontId="67" fillId="0" borderId="87" xfId="8" applyNumberFormat="1" applyFont="1" applyFill="1" applyBorder="1" applyAlignment="1" applyProtection="1">
      <alignment vertical="center"/>
    </xf>
    <xf numFmtId="189" fontId="50" fillId="0" borderId="86" xfId="0" applyNumberFormat="1" applyFont="1" applyFill="1" applyBorder="1" applyAlignment="1" applyProtection="1">
      <alignment horizontal="center" vertical="center"/>
    </xf>
    <xf numFmtId="185" fontId="50" fillId="0" borderId="85" xfId="7" applyNumberFormat="1" applyFont="1" applyFill="1" applyBorder="1" applyAlignment="1" applyProtection="1">
      <alignment horizontal="center" vertical="center"/>
    </xf>
    <xf numFmtId="10" fontId="50" fillId="0" borderId="88" xfId="7" applyNumberFormat="1" applyFont="1" applyFill="1" applyBorder="1" applyAlignment="1" applyProtection="1">
      <alignment horizontal="center" vertical="center"/>
    </xf>
    <xf numFmtId="0" fontId="67" fillId="0" borderId="89" xfId="0" applyFont="1" applyFill="1" applyBorder="1" applyAlignment="1" applyProtection="1">
      <alignment vertical="center"/>
    </xf>
    <xf numFmtId="188" fontId="67" fillId="0" borderId="89" xfId="8" applyNumberFormat="1" applyFont="1" applyFill="1" applyBorder="1" applyAlignment="1" applyProtection="1">
      <alignment horizontal="center" vertical="center"/>
    </xf>
    <xf numFmtId="178" fontId="67" fillId="0" borderId="90" xfId="8" applyNumberFormat="1" applyFont="1" applyFill="1" applyBorder="1" applyAlignment="1" applyProtection="1">
      <alignment horizontal="center" vertical="center"/>
    </xf>
    <xf numFmtId="0" fontId="104" fillId="0" borderId="13" xfId="8" applyFont="1" applyFill="1" applyBorder="1" applyAlignment="1" applyProtection="1">
      <alignment horizontal="center" vertical="center" wrapText="1"/>
    </xf>
    <xf numFmtId="0" fontId="104" fillId="0" borderId="8" xfId="8" applyFont="1" applyFill="1" applyBorder="1" applyAlignment="1" applyProtection="1">
      <alignment horizontal="center" vertical="center" wrapText="1"/>
    </xf>
    <xf numFmtId="0" fontId="104" fillId="0" borderId="12" xfId="8" applyFont="1" applyFill="1" applyBorder="1" applyAlignment="1" applyProtection="1">
      <alignment horizontal="center" vertical="center" wrapText="1"/>
    </xf>
    <xf numFmtId="0" fontId="104" fillId="0" borderId="11" xfId="8" applyFont="1" applyFill="1" applyBorder="1" applyAlignment="1" applyProtection="1">
      <alignment horizontal="center" vertical="center" wrapText="1"/>
    </xf>
    <xf numFmtId="0" fontId="104" fillId="0" borderId="0" xfId="8" applyFont="1" applyFill="1" applyBorder="1" applyAlignment="1" applyProtection="1">
      <alignment horizontal="center" vertical="center" wrapText="1"/>
    </xf>
    <xf numFmtId="0" fontId="104" fillId="0" borderId="16" xfId="8" applyFont="1" applyFill="1" applyBorder="1" applyAlignment="1" applyProtection="1">
      <alignment horizontal="center" vertical="center" wrapText="1"/>
    </xf>
    <xf numFmtId="0" fontId="104" fillId="0" borderId="4" xfId="8" applyFont="1" applyFill="1" applyBorder="1" applyAlignment="1" applyProtection="1">
      <alignment horizontal="center" vertical="center" wrapText="1"/>
    </xf>
    <xf numFmtId="0" fontId="104" fillId="0" borderId="74" xfId="8" applyFont="1" applyFill="1" applyBorder="1" applyAlignment="1" applyProtection="1">
      <alignment horizontal="center" vertical="center" wrapText="1"/>
    </xf>
    <xf numFmtId="0" fontId="104" fillId="0" borderId="75" xfId="8" applyFont="1" applyFill="1" applyBorder="1" applyAlignment="1" applyProtection="1">
      <alignment horizontal="center" vertical="center" wrapText="1"/>
    </xf>
    <xf numFmtId="0" fontId="50" fillId="0" borderId="66" xfId="0" applyFont="1" applyFill="1" applyBorder="1" applyAlignment="1" applyProtection="1">
      <alignment horizontal="center" vertical="center" wrapText="1"/>
      <protection locked="0"/>
    </xf>
    <xf numFmtId="0" fontId="50" fillId="0" borderId="16" xfId="0" applyFont="1" applyFill="1" applyBorder="1" applyAlignment="1" applyProtection="1">
      <alignment horizontal="center" vertical="center" wrapText="1"/>
      <protection locked="0"/>
    </xf>
    <xf numFmtId="0" fontId="50" fillId="0" borderId="4" xfId="0" applyFont="1" applyFill="1" applyBorder="1" applyAlignment="1" applyProtection="1">
      <alignment horizontal="center" vertical="center" wrapText="1"/>
      <protection locked="0"/>
    </xf>
    <xf numFmtId="0" fontId="50" fillId="0" borderId="74" xfId="0" applyFont="1" applyFill="1" applyBorder="1" applyAlignment="1" applyProtection="1">
      <alignment horizontal="center" vertical="center" wrapText="1"/>
      <protection locked="0"/>
    </xf>
    <xf numFmtId="0" fontId="50" fillId="0" borderId="75" xfId="0" applyFont="1" applyFill="1" applyBorder="1" applyAlignment="1" applyProtection="1">
      <alignment horizontal="center" vertical="center" wrapText="1"/>
      <protection locked="0"/>
    </xf>
    <xf numFmtId="0" fontId="157" fillId="0" borderId="0" xfId="8" applyFont="1" applyFill="1" applyBorder="1" applyAlignment="1" applyProtection="1">
      <alignment horizontal="center" vertical="center"/>
    </xf>
    <xf numFmtId="0" fontId="67" fillId="0" borderId="0" xfId="8" applyFont="1" applyFill="1" applyAlignment="1" applyProtection="1">
      <alignment horizontal="center" vertical="center"/>
    </xf>
    <xf numFmtId="0" fontId="197" fillId="0" borderId="0" xfId="0" applyFont="1" applyAlignment="1" applyProtection="1">
      <alignment vertical="center" wrapText="1"/>
    </xf>
    <xf numFmtId="203" fontId="50" fillId="0" borderId="86" xfId="0" applyNumberFormat="1" applyFont="1" applyFill="1" applyBorder="1" applyAlignment="1" applyProtection="1">
      <alignment vertical="center"/>
    </xf>
    <xf numFmtId="203" fontId="50" fillId="0" borderId="89" xfId="0" applyNumberFormat="1" applyFont="1" applyFill="1" applyBorder="1" applyAlignment="1" applyProtection="1">
      <alignment vertical="center"/>
    </xf>
    <xf numFmtId="0" fontId="67" fillId="0" borderId="74" xfId="8" applyFont="1" applyFill="1" applyBorder="1" applyAlignment="1" applyProtection="1">
      <alignment horizontal="center" vertical="center" wrapText="1"/>
      <protection locked="0"/>
    </xf>
    <xf numFmtId="203" fontId="50" fillId="0" borderId="86" xfId="0" applyNumberFormat="1" applyFont="1" applyFill="1" applyBorder="1" applyAlignment="1" applyProtection="1">
      <alignment horizontal="center" vertical="center"/>
    </xf>
    <xf numFmtId="0" fontId="67" fillId="0" borderId="7" xfId="8" applyFont="1" applyFill="1" applyBorder="1" applyAlignment="1" applyProtection="1">
      <alignment horizontal="center" vertical="center" wrapText="1"/>
      <protection locked="0"/>
    </xf>
    <xf numFmtId="0" fontId="67" fillId="0" borderId="74" xfId="8" applyFont="1" applyFill="1" applyBorder="1" applyAlignment="1" applyProtection="1">
      <alignment horizontal="center" vertical="center"/>
      <protection locked="0"/>
    </xf>
    <xf numFmtId="0" fontId="197" fillId="0" borderId="0" xfId="0" applyFont="1" applyFill="1" applyBorder="1" applyAlignment="1" applyProtection="1">
      <alignment horizontal="center" vertical="center" wrapText="1"/>
    </xf>
    <xf numFmtId="0" fontId="67" fillId="0" borderId="0" xfId="0" applyFont="1" applyFill="1" applyBorder="1" applyAlignment="1" applyProtection="1">
      <alignment horizontal="center" vertical="center" wrapText="1"/>
    </xf>
    <xf numFmtId="0" fontId="67" fillId="0" borderId="0" xfId="0" applyFont="1" applyFill="1" applyBorder="1" applyAlignment="1" applyProtection="1">
      <alignment horizontal="center" vertical="center"/>
      <protection locked="0"/>
    </xf>
    <xf numFmtId="0" fontId="197" fillId="0" borderId="0" xfId="0" applyFont="1" applyFill="1" applyAlignment="1" applyProtection="1">
      <alignment horizontal="center" vertical="center" wrapText="1"/>
    </xf>
    <xf numFmtId="0" fontId="152" fillId="0" borderId="0" xfId="0" applyFont="1" applyFill="1" applyBorder="1" applyAlignment="1" applyProtection="1">
      <alignment horizontal="left" vertical="center" wrapText="1"/>
    </xf>
    <xf numFmtId="0" fontId="152" fillId="0" borderId="0" xfId="0" applyFont="1" applyFill="1" applyBorder="1" applyAlignment="1" applyProtection="1">
      <alignment horizontal="center" vertical="center"/>
    </xf>
    <xf numFmtId="0" fontId="152" fillId="0" borderId="0" xfId="0" applyFont="1" applyFill="1" applyAlignment="1" applyProtection="1">
      <alignment horizontal="center" vertical="center"/>
    </xf>
    <xf numFmtId="0" fontId="198" fillId="0" borderId="0" xfId="0" applyFont="1" applyAlignment="1" applyProtection="1">
      <alignment horizontal="center" vertical="center" wrapText="1"/>
    </xf>
    <xf numFmtId="179" fontId="50" fillId="0" borderId="86" xfId="0" applyNumberFormat="1" applyFont="1" applyFill="1" applyBorder="1" applyAlignment="1">
      <alignment horizontal="center" vertical="center"/>
    </xf>
    <xf numFmtId="179" fontId="50" fillId="0" borderId="86" xfId="0" applyNumberFormat="1" applyFont="1" applyFill="1" applyBorder="1" applyAlignment="1">
      <alignment horizontal="center" vertical="center" wrapText="1"/>
    </xf>
    <xf numFmtId="179" fontId="50" fillId="0" borderId="86" xfId="0" applyNumberFormat="1" applyFont="1" applyFill="1" applyBorder="1" applyAlignment="1" applyProtection="1">
      <alignment horizontal="center" vertical="center"/>
    </xf>
    <xf numFmtId="179" fontId="67" fillId="0" borderId="89" xfId="8" applyNumberFormat="1" applyFont="1" applyFill="1" applyBorder="1" applyAlignment="1" applyProtection="1">
      <alignment horizontal="center" vertical="center"/>
    </xf>
    <xf numFmtId="179" fontId="50" fillId="0" borderId="89" xfId="0" applyNumberFormat="1" applyFont="1" applyFill="1" applyBorder="1" applyAlignment="1">
      <alignment horizontal="center" vertical="center"/>
    </xf>
    <xf numFmtId="0" fontId="51" fillId="0" borderId="7" xfId="8" applyFont="1" applyFill="1" applyBorder="1" applyAlignment="1" applyProtection="1">
      <alignment horizontal="center" vertical="center" wrapText="1"/>
    </xf>
    <xf numFmtId="0" fontId="51" fillId="0" borderId="3" xfId="0" applyFont="1" applyFill="1" applyBorder="1" applyAlignment="1" applyProtection="1">
      <alignment vertical="center" wrapText="1"/>
    </xf>
    <xf numFmtId="179" fontId="51" fillId="0" borderId="5" xfId="8" applyNumberFormat="1" applyFont="1" applyFill="1" applyBorder="1" applyAlignment="1" applyProtection="1">
      <alignment horizontal="center" vertical="center"/>
    </xf>
    <xf numFmtId="189" fontId="51" fillId="0" borderId="6" xfId="8" applyNumberFormat="1" applyFont="1" applyFill="1" applyBorder="1" applyAlignment="1" applyProtection="1">
      <alignment horizontal="center" vertical="center"/>
    </xf>
    <xf numFmtId="178" fontId="51" fillId="0" borderId="1" xfId="8" applyNumberFormat="1" applyFont="1" applyFill="1" applyBorder="1" applyAlignment="1" applyProtection="1">
      <alignment horizontal="center" vertical="center"/>
    </xf>
    <xf numFmtId="188" fontId="49" fillId="0" borderId="14" xfId="0" applyNumberFormat="1" applyFont="1" applyFill="1" applyBorder="1" applyAlignment="1" applyProtection="1">
      <alignment horizontal="center" vertical="center"/>
    </xf>
    <xf numFmtId="182" fontId="51" fillId="0" borderId="5" xfId="8" applyNumberFormat="1" applyFont="1" applyFill="1" applyBorder="1" applyAlignment="1" applyProtection="1">
      <alignment vertical="center"/>
    </xf>
    <xf numFmtId="182" fontId="51" fillId="0" borderId="6" xfId="8" applyNumberFormat="1" applyFont="1" applyFill="1" applyBorder="1" applyAlignment="1" applyProtection="1">
      <alignment vertical="center"/>
    </xf>
    <xf numFmtId="188" fontId="51" fillId="0" borderId="6" xfId="8" applyNumberFormat="1" applyFont="1" applyFill="1" applyBorder="1" applyAlignment="1" applyProtection="1">
      <alignment horizontal="center" vertical="center"/>
    </xf>
    <xf numFmtId="0" fontId="58" fillId="0" borderId="0" xfId="8" applyFont="1" applyFill="1" applyBorder="1" applyAlignment="1" applyProtection="1">
      <alignment horizontal="center" vertical="center"/>
    </xf>
    <xf numFmtId="0" fontId="51" fillId="0" borderId="0" xfId="8" applyFont="1" applyFill="1" applyAlignment="1" applyProtection="1">
      <alignment horizontal="center" vertical="center"/>
    </xf>
    <xf numFmtId="20" fontId="51" fillId="0" borderId="7" xfId="0" applyNumberFormat="1" applyFont="1" applyBorder="1" applyAlignment="1" applyProtection="1">
      <alignment horizontal="center" vertical="center"/>
    </xf>
    <xf numFmtId="0" fontId="51" fillId="0" borderId="1" xfId="8" applyFont="1" applyFill="1" applyBorder="1" applyAlignment="1" applyProtection="1">
      <alignment horizontal="center" vertical="center"/>
    </xf>
    <xf numFmtId="0" fontId="51" fillId="0" borderId="1" xfId="0" applyFont="1" applyFill="1" applyBorder="1" applyAlignment="1" applyProtection="1">
      <alignment horizontal="center" vertical="center"/>
    </xf>
    <xf numFmtId="0" fontId="54" fillId="0" borderId="1" xfId="0" applyFont="1" applyFill="1" applyBorder="1" applyAlignment="1" applyProtection="1">
      <alignment horizontal="center" vertical="center" wrapText="1"/>
    </xf>
    <xf numFmtId="0" fontId="58" fillId="0" borderId="1" xfId="8" applyFont="1" applyFill="1" applyBorder="1" applyAlignment="1" applyProtection="1">
      <alignment horizontal="center" vertical="center"/>
    </xf>
    <xf numFmtId="0" fontId="51" fillId="0" borderId="0" xfId="8" applyFont="1" applyFill="1" applyBorder="1" applyAlignment="1" applyProtection="1">
      <alignment horizontal="center" vertical="center"/>
    </xf>
    <xf numFmtId="0" fontId="54" fillId="0" borderId="0" xfId="0" applyFont="1" applyFill="1" applyBorder="1" applyAlignment="1" applyProtection="1">
      <alignment horizontal="center" vertical="center" wrapText="1"/>
    </xf>
    <xf numFmtId="191" fontId="54" fillId="0" borderId="7" xfId="0" applyNumberFormat="1" applyFont="1" applyFill="1" applyBorder="1" applyAlignment="1" applyProtection="1">
      <alignment horizontal="center" vertical="center"/>
      <protection locked="0"/>
    </xf>
    <xf numFmtId="0" fontId="54" fillId="0" borderId="0" xfId="8" applyFont="1" applyFill="1" applyAlignment="1" applyProtection="1">
      <alignment horizontal="center" vertical="center"/>
    </xf>
    <xf numFmtId="14" fontId="51" fillId="0" borderId="7" xfId="8" applyNumberFormat="1" applyFont="1" applyFill="1" applyBorder="1" applyAlignment="1" applyProtection="1">
      <alignment horizontal="center" vertical="center" wrapText="1"/>
      <protection locked="0"/>
    </xf>
    <xf numFmtId="20" fontId="49" fillId="0" borderId="7" xfId="8" applyNumberFormat="1" applyFont="1" applyFill="1" applyBorder="1" applyAlignment="1" applyProtection="1">
      <alignment horizontal="center" vertical="center" wrapText="1"/>
      <protection locked="0"/>
    </xf>
    <xf numFmtId="191" fontId="51" fillId="0" borderId="7" xfId="0" applyNumberFormat="1" applyFont="1" applyFill="1" applyBorder="1" applyAlignment="1" applyProtection="1">
      <alignment horizontal="center" vertical="center"/>
      <protection locked="0"/>
    </xf>
    <xf numFmtId="0" fontId="49" fillId="0" borderId="1" xfId="8" applyNumberFormat="1" applyFont="1" applyFill="1" applyBorder="1" applyAlignment="1" applyProtection="1">
      <alignment horizontal="center" vertical="center"/>
      <protection locked="0"/>
    </xf>
    <xf numFmtId="0" fontId="51" fillId="0" borderId="7" xfId="8" applyFont="1" applyFill="1" applyBorder="1" applyAlignment="1" applyProtection="1">
      <alignment horizontal="center" vertical="center"/>
      <protection locked="0"/>
    </xf>
    <xf numFmtId="0" fontId="51" fillId="0" borderId="0" xfId="8" applyFont="1" applyFill="1" applyBorder="1" applyAlignment="1" applyProtection="1">
      <alignment horizontal="center" vertical="center"/>
      <protection locked="0"/>
    </xf>
    <xf numFmtId="0" fontId="51" fillId="0" borderId="1" xfId="0" applyFont="1" applyFill="1" applyBorder="1" applyAlignment="1" applyProtection="1">
      <alignment vertical="center" wrapText="1"/>
    </xf>
    <xf numFmtId="0" fontId="52" fillId="0" borderId="7" xfId="0" applyFont="1" applyBorder="1" applyAlignment="1" applyProtection="1">
      <alignment vertical="center" wrapText="1"/>
    </xf>
    <xf numFmtId="14" fontId="144" fillId="5" borderId="7" xfId="8" applyNumberFormat="1" applyFont="1" applyFill="1" applyBorder="1" applyAlignment="1" applyProtection="1">
      <alignment horizontal="center" vertical="center" wrapText="1"/>
      <protection locked="0"/>
    </xf>
    <xf numFmtId="187" fontId="52" fillId="0" borderId="7" xfId="0" applyNumberFormat="1" applyFont="1" applyFill="1" applyBorder="1" applyAlignment="1" applyProtection="1">
      <alignment vertical="center" wrapText="1"/>
    </xf>
    <xf numFmtId="20" fontId="52" fillId="0" borderId="7" xfId="0" applyNumberFormat="1" applyFont="1" applyFill="1" applyBorder="1" applyAlignment="1" applyProtection="1">
      <alignment horizontal="center" vertical="center" wrapText="1"/>
    </xf>
    <xf numFmtId="0" fontId="52" fillId="0" borderId="7" xfId="0" applyFont="1" applyFill="1" applyBorder="1" applyAlignment="1" applyProtection="1">
      <alignment vertical="center" wrapText="1"/>
    </xf>
    <xf numFmtId="0" fontId="52" fillId="0" borderId="0" xfId="0" applyFont="1" applyFill="1" applyBorder="1" applyAlignment="1" applyProtection="1">
      <alignment horizontal="left" vertical="center" wrapText="1"/>
    </xf>
    <xf numFmtId="178" fontId="52" fillId="0" borderId="5" xfId="0" applyNumberFormat="1" applyFont="1" applyFill="1" applyBorder="1" applyAlignment="1" applyProtection="1">
      <alignment horizontal="right" vertical="center"/>
    </xf>
    <xf numFmtId="189" fontId="52" fillId="0" borderId="14" xfId="1" applyNumberFormat="1" applyFont="1" applyFill="1" applyBorder="1" applyAlignment="1" applyProtection="1">
      <alignment horizontal="center" vertical="center"/>
    </xf>
    <xf numFmtId="180" fontId="52" fillId="0" borderId="9" xfId="0" applyNumberFormat="1" applyFont="1" applyFill="1" applyBorder="1" applyAlignment="1" applyProtection="1">
      <alignment horizontal="center" vertical="center"/>
    </xf>
    <xf numFmtId="0" fontId="52" fillId="0" borderId="1" xfId="0" applyFont="1" applyBorder="1" applyAlignment="1" applyProtection="1">
      <alignment horizontal="center" vertical="center"/>
    </xf>
    <xf numFmtId="188" fontId="52" fillId="0" borderId="14" xfId="1" applyNumberFormat="1" applyFont="1" applyFill="1" applyBorder="1" applyAlignment="1" applyProtection="1">
      <alignment horizontal="center" vertical="center"/>
    </xf>
    <xf numFmtId="185" fontId="52" fillId="0" borderId="1" xfId="7" applyNumberFormat="1" applyFont="1" applyFill="1" applyBorder="1" applyAlignment="1" applyProtection="1">
      <alignment horizontal="center" vertical="center"/>
    </xf>
    <xf numFmtId="0" fontId="52" fillId="0" borderId="1" xfId="0" applyFont="1" applyFill="1" applyBorder="1" applyAlignment="1" applyProtection="1">
      <alignment horizontal="center" vertical="center" wrapText="1"/>
    </xf>
    <xf numFmtId="0" fontId="202" fillId="0" borderId="1" xfId="0" applyFont="1" applyFill="1" applyBorder="1" applyAlignment="1" applyProtection="1">
      <alignment horizontal="center" vertical="center"/>
    </xf>
    <xf numFmtId="0" fontId="52" fillId="0" borderId="0" xfId="0" applyFont="1" applyBorder="1" applyAlignment="1" applyProtection="1">
      <alignment horizontal="center" vertical="center"/>
    </xf>
    <xf numFmtId="0" fontId="52" fillId="0" borderId="0" xfId="0" applyFont="1" applyFill="1" applyBorder="1" applyAlignment="1" applyProtection="1">
      <alignment horizontal="center" vertical="center"/>
    </xf>
    <xf numFmtId="0" fontId="52" fillId="0" borderId="0" xfId="0" applyFont="1" applyAlignment="1" applyProtection="1">
      <alignment horizontal="center" vertical="center"/>
    </xf>
    <xf numFmtId="0" fontId="52" fillId="0" borderId="0" xfId="0" applyFont="1" applyFill="1" applyAlignment="1" applyProtection="1">
      <alignment horizontal="left" vertical="center"/>
    </xf>
    <xf numFmtId="0" fontId="52" fillId="0" borderId="0" xfId="0" applyFont="1" applyFill="1" applyAlignment="1" applyProtection="1">
      <alignment horizontal="center" vertical="center"/>
    </xf>
    <xf numFmtId="0" fontId="132" fillId="0" borderId="0" xfId="0" applyFont="1" applyAlignment="1" applyProtection="1">
      <alignment horizontal="center" vertical="center" wrapText="1"/>
    </xf>
    <xf numFmtId="0" fontId="13" fillId="0" borderId="1" xfId="0" applyFont="1" applyFill="1" applyBorder="1" applyAlignment="1">
      <alignment horizontal="center" vertical="center" wrapText="1"/>
    </xf>
    <xf numFmtId="0" fontId="49" fillId="0" borderId="5" xfId="0" applyFont="1" applyFill="1" applyBorder="1" applyAlignment="1" applyProtection="1">
      <alignment vertical="center" wrapText="1"/>
      <protection locked="0"/>
    </xf>
    <xf numFmtId="0" fontId="49" fillId="0" borderId="9" xfId="0" applyFont="1" applyFill="1" applyBorder="1" applyAlignment="1" applyProtection="1">
      <alignment vertical="center" wrapText="1"/>
      <protection locked="0"/>
    </xf>
    <xf numFmtId="177" fontId="37" fillId="0" borderId="1" xfId="1" applyFont="1" applyFill="1" applyBorder="1" applyAlignment="1" applyProtection="1">
      <alignment horizontal="center" vertical="center"/>
    </xf>
    <xf numFmtId="0" fontId="9" fillId="0" borderId="9" xfId="0" applyFont="1" applyFill="1" applyBorder="1" applyAlignment="1" applyProtection="1">
      <alignment vertical="center"/>
    </xf>
    <xf numFmtId="0" fontId="37" fillId="0" borderId="1" xfId="0"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wrapText="1"/>
    </xf>
    <xf numFmtId="0" fontId="62" fillId="0" borderId="0" xfId="0" applyFont="1" applyAlignment="1" applyProtection="1">
      <alignment horizontal="center" vertical="center" wrapText="1"/>
    </xf>
    <xf numFmtId="0" fontId="9" fillId="0" borderId="1" xfId="0" applyFont="1" applyBorder="1" applyAlignment="1" applyProtection="1">
      <alignment horizontal="center" vertical="center"/>
    </xf>
    <xf numFmtId="14" fontId="31" fillId="5" borderId="7" xfId="8" applyNumberFormat="1"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wrapText="1"/>
    </xf>
    <xf numFmtId="0" fontId="37" fillId="0" borderId="3" xfId="0" applyFont="1" applyFill="1" applyBorder="1" applyAlignment="1" applyProtection="1">
      <alignment horizontal="center" vertical="center"/>
    </xf>
    <xf numFmtId="0" fontId="37" fillId="0" borderId="10" xfId="0" applyFont="1" applyFill="1" applyBorder="1" applyAlignment="1" applyProtection="1">
      <alignment horizontal="center" vertical="center"/>
    </xf>
    <xf numFmtId="0" fontId="37" fillId="0" borderId="5" xfId="0" applyFont="1" applyFill="1" applyBorder="1" applyAlignment="1">
      <alignment horizontal="center" vertical="center"/>
    </xf>
    <xf numFmtId="0" fontId="37" fillId="0" borderId="5" xfId="0" applyFont="1" applyFill="1" applyBorder="1" applyAlignment="1">
      <alignment horizontal="center" vertical="center" wrapText="1"/>
    </xf>
    <xf numFmtId="0" fontId="37" fillId="0" borderId="3" xfId="0" applyFont="1" applyFill="1" applyBorder="1" applyAlignment="1">
      <alignment horizontal="center" vertical="center" wrapText="1"/>
    </xf>
    <xf numFmtId="0" fontId="37" fillId="0" borderId="2" xfId="0" applyFont="1" applyFill="1" applyBorder="1" applyAlignment="1">
      <alignment horizontal="center" vertical="center" wrapText="1"/>
    </xf>
    <xf numFmtId="0" fontId="37" fillId="0" borderId="3" xfId="0" applyFont="1" applyFill="1" applyBorder="1" applyAlignment="1" applyProtection="1">
      <alignment horizontal="center" vertical="center" wrapText="1"/>
    </xf>
    <xf numFmtId="0" fontId="37" fillId="0" borderId="10"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xf>
    <xf numFmtId="0" fontId="37" fillId="0" borderId="1" xfId="0" quotePrefix="1" applyFont="1" applyFill="1" applyBorder="1" applyAlignment="1" applyProtection="1">
      <alignment horizontal="centerContinuous" vertical="center"/>
    </xf>
    <xf numFmtId="0" fontId="37" fillId="4" borderId="6" xfId="0" applyFont="1" applyFill="1" applyBorder="1" applyAlignment="1" applyProtection="1">
      <alignment horizontal="centerContinuous" vertical="center"/>
    </xf>
    <xf numFmtId="179" fontId="37" fillId="0" borderId="40" xfId="0" applyNumberFormat="1" applyFont="1" applyFill="1" applyBorder="1" applyAlignment="1" applyProtection="1">
      <alignment horizontal="center" vertical="center"/>
    </xf>
    <xf numFmtId="179" fontId="37" fillId="0" borderId="40" xfId="0" applyNumberFormat="1" applyFont="1" applyFill="1" applyBorder="1" applyAlignment="1" applyProtection="1">
      <alignment horizontal="center" vertical="center"/>
      <protection locked="0"/>
    </xf>
    <xf numFmtId="182" fontId="37" fillId="0" borderId="1" xfId="0" applyNumberFormat="1" applyFont="1" applyFill="1" applyBorder="1" applyAlignment="1" applyProtection="1">
      <alignment vertical="center"/>
      <protection locked="0"/>
    </xf>
    <xf numFmtId="180" fontId="37" fillId="0" borderId="9" xfId="0" applyNumberFormat="1" applyFont="1" applyFill="1" applyBorder="1" applyAlignment="1" applyProtection="1">
      <alignment horizontal="center" vertical="center"/>
    </xf>
    <xf numFmtId="183" fontId="37" fillId="0" borderId="9" xfId="0" applyNumberFormat="1" applyFont="1" applyFill="1" applyBorder="1" applyAlignment="1" applyProtection="1">
      <alignment horizontal="center" vertical="center"/>
    </xf>
    <xf numFmtId="0" fontId="37" fillId="0" borderId="1" xfId="8" applyFont="1" applyFill="1" applyBorder="1" applyAlignment="1" applyProtection="1">
      <alignment horizontal="center" vertical="center"/>
      <protection locked="0"/>
    </xf>
    <xf numFmtId="183" fontId="37" fillId="0" borderId="1" xfId="0" applyNumberFormat="1" applyFont="1" applyFill="1" applyBorder="1" applyAlignment="1" applyProtection="1">
      <alignment vertical="center"/>
      <protection locked="0"/>
    </xf>
    <xf numFmtId="182" fontId="37" fillId="7" borderId="1" xfId="0" applyNumberFormat="1" applyFont="1" applyFill="1" applyBorder="1" applyAlignment="1" applyProtection="1">
      <alignment vertical="center"/>
      <protection locked="0"/>
    </xf>
    <xf numFmtId="182" fontId="37" fillId="14" borderId="1" xfId="0" applyNumberFormat="1" applyFont="1" applyFill="1" applyBorder="1" applyAlignment="1" applyProtection="1">
      <alignment vertical="center"/>
      <protection locked="0"/>
    </xf>
    <xf numFmtId="0" fontId="37" fillId="4" borderId="15" xfId="0" applyFont="1" applyFill="1" applyBorder="1" applyAlignment="1" applyProtection="1">
      <alignment horizontal="centerContinuous" vertical="center"/>
    </xf>
    <xf numFmtId="0" fontId="23" fillId="0" borderId="0" xfId="0" applyFont="1" applyAlignment="1">
      <alignment vertical="center"/>
    </xf>
    <xf numFmtId="49" fontId="205" fillId="0" borderId="1"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wrapText="1"/>
    </xf>
    <xf numFmtId="0" fontId="13"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3" fillId="0" borderId="6" xfId="0" applyNumberFormat="1" applyFont="1" applyFill="1" applyBorder="1" applyAlignment="1">
      <alignment horizontal="center" vertical="center" wrapText="1"/>
    </xf>
    <xf numFmtId="0" fontId="206" fillId="0" borderId="0" xfId="0" applyFont="1" applyFill="1" applyAlignment="1" applyProtection="1">
      <alignment horizontal="center" vertical="center" wrapText="1"/>
    </xf>
    <xf numFmtId="49" fontId="205" fillId="0" borderId="1" xfId="0" applyNumberFormat="1" applyFont="1" applyBorder="1" applyAlignment="1">
      <alignment horizontal="center" vertical="center"/>
    </xf>
    <xf numFmtId="0" fontId="206" fillId="0" borderId="0" xfId="0" applyFont="1" applyAlignment="1" applyProtection="1">
      <alignment vertical="center" wrapText="1"/>
    </xf>
    <xf numFmtId="0" fontId="206" fillId="0" borderId="7" xfId="0" applyFont="1" applyBorder="1" applyAlignment="1" applyProtection="1">
      <alignment horizontal="center" vertical="center" wrapText="1"/>
      <protection locked="0"/>
    </xf>
    <xf numFmtId="0" fontId="206" fillId="0" borderId="7" xfId="0" applyFont="1" applyBorder="1" applyAlignment="1" applyProtection="1">
      <alignment horizontal="center" vertical="center" wrapText="1"/>
    </xf>
    <xf numFmtId="0" fontId="13" fillId="0" borderId="0" xfId="0" applyNumberFormat="1" applyFont="1" applyFill="1" applyBorder="1" applyAlignment="1">
      <alignment horizontal="center" vertical="center" wrapText="1"/>
    </xf>
    <xf numFmtId="179" fontId="37" fillId="0" borderId="1" xfId="0" applyNumberFormat="1" applyFont="1" applyFill="1" applyBorder="1" applyAlignment="1" applyProtection="1">
      <alignment horizontal="center" vertical="center"/>
    </xf>
    <xf numFmtId="0" fontId="37" fillId="14" borderId="5" xfId="0" applyFont="1" applyFill="1" applyBorder="1" applyAlignment="1" applyProtection="1">
      <alignment horizontal="center" vertical="center" wrapText="1"/>
    </xf>
    <xf numFmtId="0" fontId="41" fillId="14" borderId="1" xfId="0" applyFont="1" applyFill="1" applyBorder="1" applyAlignment="1">
      <alignment horizontal="center" vertical="center"/>
    </xf>
    <xf numFmtId="0" fontId="37" fillId="0" borderId="1" xfId="0"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xf>
    <xf numFmtId="0" fontId="37" fillId="0" borderId="9" xfId="0" applyFont="1" applyFill="1" applyBorder="1" applyAlignment="1" applyProtection="1">
      <alignment horizontal="center" vertical="center" wrapText="1"/>
    </xf>
    <xf numFmtId="0" fontId="23" fillId="0" borderId="7" xfId="8" applyFont="1" applyFill="1" applyBorder="1" applyAlignment="1" applyProtection="1">
      <alignment horizontal="center" vertical="center" wrapText="1"/>
    </xf>
    <xf numFmtId="0" fontId="13" fillId="0" borderId="1" xfId="8" applyFont="1" applyFill="1" applyBorder="1" applyAlignment="1" applyProtection="1">
      <alignment horizontal="center" vertical="center" wrapText="1"/>
    </xf>
    <xf numFmtId="0" fontId="23" fillId="0" borderId="6" xfId="8" applyFont="1" applyFill="1" applyBorder="1" applyAlignment="1" applyProtection="1">
      <alignment horizontal="center" vertical="center"/>
    </xf>
    <xf numFmtId="0" fontId="23" fillId="0" borderId="3" xfId="8"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wrapText="1"/>
    </xf>
    <xf numFmtId="0" fontId="62" fillId="0" borderId="0" xfId="0" applyFont="1" applyAlignment="1" applyProtection="1">
      <alignment horizontal="center" vertical="center" wrapText="1"/>
    </xf>
    <xf numFmtId="0" fontId="9" fillId="0" borderId="1" xfId="0" applyFont="1" applyBorder="1" applyAlignment="1" applyProtection="1">
      <alignment horizontal="center" vertical="center"/>
    </xf>
    <xf numFmtId="0" fontId="23" fillId="0" borderId="1" xfId="0" applyFont="1" applyFill="1" applyBorder="1" applyAlignment="1" applyProtection="1">
      <alignment horizontal="center" vertical="center" wrapText="1"/>
    </xf>
    <xf numFmtId="0" fontId="23" fillId="0" borderId="1" xfId="0" applyFont="1" applyFill="1" applyBorder="1" applyAlignment="1" applyProtection="1">
      <alignment horizontal="center" vertical="center"/>
    </xf>
    <xf numFmtId="0" fontId="13" fillId="0" borderId="1" xfId="0" applyFont="1" applyFill="1" applyBorder="1" applyAlignment="1" applyProtection="1">
      <alignment horizontal="center" vertical="center" wrapText="1"/>
    </xf>
    <xf numFmtId="14" fontId="31" fillId="5" borderId="7" xfId="8" applyNumberFormat="1" applyFont="1" applyFill="1" applyBorder="1" applyAlignment="1" applyProtection="1">
      <alignment horizontal="center" vertical="center" wrapText="1"/>
      <protection locked="0"/>
    </xf>
    <xf numFmtId="0" fontId="37" fillId="0" borderId="3" xfId="0" applyFont="1" applyFill="1" applyBorder="1" applyAlignment="1" applyProtection="1">
      <alignment horizontal="center" vertical="center"/>
    </xf>
    <xf numFmtId="0" fontId="37" fillId="0" borderId="1" xfId="0" applyFont="1" applyFill="1" applyBorder="1" applyAlignment="1" applyProtection="1">
      <alignment horizontal="center" vertical="center" wrapText="1"/>
    </xf>
    <xf numFmtId="0" fontId="37" fillId="0" borderId="5" xfId="0" applyFont="1" applyFill="1" applyBorder="1" applyAlignment="1">
      <alignment horizontal="center" vertical="center" wrapText="1"/>
    </xf>
    <xf numFmtId="0" fontId="37" fillId="0" borderId="10" xfId="0" applyFont="1" applyFill="1" applyBorder="1" applyAlignment="1" applyProtection="1">
      <alignment horizontal="center" vertical="center"/>
    </xf>
    <xf numFmtId="0" fontId="37" fillId="0" borderId="5" xfId="0" applyFont="1" applyFill="1" applyBorder="1" applyAlignment="1">
      <alignment horizontal="center" vertical="center"/>
    </xf>
    <xf numFmtId="0" fontId="37" fillId="0" borderId="3" xfId="0" applyFont="1" applyFill="1" applyBorder="1" applyAlignment="1">
      <alignment horizontal="center" vertical="center" wrapText="1"/>
    </xf>
    <xf numFmtId="0" fontId="37" fillId="0" borderId="3" xfId="0" applyFont="1" applyFill="1" applyBorder="1" applyAlignment="1" applyProtection="1">
      <alignment horizontal="center" vertical="center" wrapText="1"/>
    </xf>
    <xf numFmtId="0" fontId="37" fillId="0" borderId="10"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xf>
    <xf numFmtId="182" fontId="49" fillId="0" borderId="9" xfId="0" applyNumberFormat="1" applyFont="1" applyFill="1" applyBorder="1" applyAlignment="1" applyProtection="1">
      <alignment vertical="center"/>
      <protection locked="0"/>
    </xf>
    <xf numFmtId="181" fontId="49" fillId="14" borderId="1" xfId="0" applyNumberFormat="1" applyFont="1" applyFill="1" applyBorder="1" applyAlignment="1">
      <alignment horizontal="center" vertical="center"/>
    </xf>
    <xf numFmtId="182" fontId="49" fillId="7" borderId="5" xfId="0" applyNumberFormat="1" applyFont="1" applyFill="1" applyBorder="1" applyAlignment="1" applyProtection="1">
      <alignment vertical="center"/>
      <protection locked="0"/>
    </xf>
    <xf numFmtId="182" fontId="49" fillId="14" borderId="5" xfId="0" applyNumberFormat="1" applyFont="1" applyFill="1" applyBorder="1" applyAlignment="1" applyProtection="1">
      <alignment vertical="center"/>
      <protection locked="0"/>
    </xf>
    <xf numFmtId="183" fontId="49" fillId="0" borderId="1" xfId="0" applyNumberFormat="1" applyFont="1" applyFill="1" applyBorder="1" applyAlignment="1" applyProtection="1">
      <alignment vertical="center"/>
      <protection locked="0"/>
    </xf>
    <xf numFmtId="182" fontId="49" fillId="7" borderId="1" xfId="0" applyNumberFormat="1" applyFont="1" applyFill="1" applyBorder="1" applyAlignment="1" applyProtection="1">
      <alignment horizontal="center" vertical="center"/>
      <protection locked="0"/>
    </xf>
    <xf numFmtId="0" fontId="37" fillId="0" borderId="1" xfId="0" applyFont="1" applyFill="1" applyBorder="1" applyAlignment="1" applyProtection="1">
      <alignment horizontal="center" vertical="center"/>
    </xf>
    <xf numFmtId="0" fontId="9" fillId="0" borderId="0" xfId="0" applyFont="1" applyFill="1" applyBorder="1" applyAlignment="1" applyProtection="1">
      <alignment horizontal="center" vertical="center"/>
    </xf>
    <xf numFmtId="0" fontId="37" fillId="0" borderId="0" xfId="0" applyFont="1" applyAlignment="1">
      <alignment vertical="center"/>
    </xf>
    <xf numFmtId="185" fontId="208" fillId="0" borderId="0" xfId="7" applyNumberFormat="1" applyFont="1" applyFill="1" applyBorder="1" applyAlignment="1">
      <alignment horizontal="center" vertical="center"/>
    </xf>
    <xf numFmtId="185" fontId="76" fillId="0" borderId="0" xfId="7" applyNumberFormat="1" applyFont="1" applyFill="1" applyBorder="1" applyAlignment="1">
      <alignment horizontal="center" vertical="center"/>
    </xf>
    <xf numFmtId="0" fontId="98" fillId="0" borderId="0" xfId="84" applyAlignment="1" applyProtection="1">
      <alignment horizontal="center" vertical="center" wrapText="1"/>
    </xf>
    <xf numFmtId="0" fontId="98" fillId="0" borderId="1" xfId="84" applyFill="1" applyBorder="1" applyAlignment="1" applyProtection="1">
      <alignment vertical="center"/>
    </xf>
    <xf numFmtId="0" fontId="98" fillId="0" borderId="1" xfId="84" applyFill="1" applyBorder="1" applyAlignment="1" applyProtection="1">
      <alignment horizontal="left" vertical="center"/>
    </xf>
    <xf numFmtId="0" fontId="37" fillId="0" borderId="1" xfId="0" applyFont="1" applyFill="1" applyBorder="1" applyAlignment="1">
      <alignment horizontal="left" vertical="center"/>
    </xf>
    <xf numFmtId="0" fontId="37" fillId="13" borderId="1" xfId="0" applyFont="1" applyFill="1" applyBorder="1" applyAlignment="1">
      <alignment horizontal="center" vertical="center"/>
    </xf>
    <xf numFmtId="0" fontId="37" fillId="13" borderId="1" xfId="0" applyFont="1" applyFill="1" applyBorder="1" applyAlignment="1">
      <alignment vertical="center"/>
    </xf>
    <xf numFmtId="0" fontId="5" fillId="0" borderId="1" xfId="84" applyFont="1" applyFill="1" applyBorder="1" applyAlignment="1" applyProtection="1">
      <alignment vertical="center"/>
    </xf>
    <xf numFmtId="0" fontId="98" fillId="0" borderId="1" xfId="84" applyFill="1" applyBorder="1" applyAlignment="1" applyProtection="1">
      <alignment horizontal="left" vertical="center"/>
    </xf>
    <xf numFmtId="0" fontId="72" fillId="0" borderId="0" xfId="0" applyFont="1" applyFill="1" applyAlignment="1" applyProtection="1">
      <alignment vertical="center"/>
    </xf>
    <xf numFmtId="0" fontId="98" fillId="0" borderId="0" xfId="84" applyFill="1" applyAlignment="1" applyProtection="1">
      <alignment vertical="center"/>
    </xf>
    <xf numFmtId="0" fontId="98" fillId="0" borderId="1" xfId="84" applyFill="1" applyBorder="1" applyAlignment="1" applyProtection="1">
      <alignment horizontal="left" vertical="center"/>
    </xf>
    <xf numFmtId="0" fontId="37" fillId="13" borderId="0" xfId="0" applyFont="1" applyFill="1" applyAlignment="1">
      <alignment horizontal="center" vertical="center"/>
    </xf>
    <xf numFmtId="0" fontId="37" fillId="0" borderId="3" xfId="0" applyFont="1" applyFill="1" applyBorder="1" applyAlignment="1" applyProtection="1">
      <alignment horizontal="center" vertical="center" wrapText="1"/>
    </xf>
    <xf numFmtId="14" fontId="37" fillId="13" borderId="5" xfId="0" applyNumberFormat="1" applyFont="1" applyFill="1" applyBorder="1" applyAlignment="1" applyProtection="1">
      <alignment vertical="center"/>
    </xf>
    <xf numFmtId="14" fontId="37" fillId="13" borderId="9" xfId="0" applyNumberFormat="1" applyFont="1" applyFill="1" applyBorder="1" applyAlignment="1" applyProtection="1">
      <alignment vertical="center"/>
    </xf>
    <xf numFmtId="0" fontId="37" fillId="13" borderId="9" xfId="0" applyFont="1" applyFill="1" applyBorder="1" applyAlignment="1" applyProtection="1">
      <alignment vertical="center" wrapText="1"/>
    </xf>
    <xf numFmtId="186" fontId="37" fillId="13" borderId="9" xfId="0" applyNumberFormat="1" applyFont="1" applyFill="1" applyBorder="1" applyAlignment="1" applyProtection="1">
      <alignment vertical="center" wrapText="1"/>
    </xf>
    <xf numFmtId="186" fontId="37" fillId="13" borderId="9" xfId="0" applyNumberFormat="1" applyFont="1" applyFill="1" applyBorder="1" applyAlignment="1" applyProtection="1">
      <alignment vertical="center"/>
    </xf>
    <xf numFmtId="186" fontId="94" fillId="13" borderId="9" xfId="0" applyNumberFormat="1" applyFont="1" applyFill="1" applyBorder="1" applyAlignment="1" applyProtection="1">
      <alignment vertical="center" wrapText="1"/>
    </xf>
    <xf numFmtId="0" fontId="37" fillId="13" borderId="9" xfId="0" applyFont="1" applyFill="1" applyBorder="1" applyAlignment="1">
      <alignment horizontal="center" vertical="center"/>
    </xf>
    <xf numFmtId="0" fontId="37" fillId="13" borderId="6" xfId="0" applyFont="1" applyFill="1" applyBorder="1" applyAlignment="1">
      <alignment horizontal="center" vertical="center"/>
    </xf>
    <xf numFmtId="0" fontId="98" fillId="0" borderId="1" xfId="84" applyFill="1" applyBorder="1" applyAlignment="1" applyProtection="1">
      <alignment horizontal="left" vertical="center"/>
    </xf>
    <xf numFmtId="0" fontId="23" fillId="0" borderId="5" xfId="0" applyFont="1" applyFill="1" applyBorder="1" applyAlignment="1" applyProtection="1">
      <alignment horizontal="center" vertical="center" wrapText="1"/>
      <protection locked="0"/>
    </xf>
    <xf numFmtId="0" fontId="9" fillId="0" borderId="2" xfId="0" applyFont="1" applyFill="1" applyBorder="1" applyAlignment="1">
      <alignment horizontal="center" vertical="center"/>
    </xf>
    <xf numFmtId="0" fontId="9" fillId="0" borderId="1" xfId="0" applyFont="1" applyFill="1" applyBorder="1" applyAlignment="1">
      <alignment horizontal="center" vertical="center"/>
    </xf>
    <xf numFmtId="177" fontId="37" fillId="0" borderId="3" xfId="1" applyFont="1" applyFill="1" applyBorder="1" applyAlignment="1" applyProtection="1">
      <alignment horizontal="center" vertical="center"/>
    </xf>
    <xf numFmtId="177" fontId="37" fillId="0" borderId="5" xfId="1" applyFont="1" applyFill="1" applyBorder="1" applyAlignment="1" applyProtection="1">
      <alignment vertical="center"/>
    </xf>
    <xf numFmtId="177" fontId="37" fillId="0" borderId="9" xfId="1" applyFont="1" applyFill="1" applyBorder="1" applyAlignment="1" applyProtection="1">
      <alignment horizontal="centerContinuous" vertical="center"/>
    </xf>
    <xf numFmtId="177" fontId="37" fillId="0" borderId="6" xfId="1" applyFont="1" applyFill="1" applyBorder="1" applyAlignment="1" applyProtection="1">
      <alignment horizontal="centerContinuous" vertical="center"/>
    </xf>
    <xf numFmtId="177" fontId="37" fillId="0" borderId="6" xfId="1" applyFont="1" applyFill="1" applyBorder="1" applyAlignment="1" applyProtection="1">
      <alignment horizontal="center" vertical="center"/>
    </xf>
    <xf numFmtId="179" fontId="37" fillId="0" borderId="5" xfId="0" applyNumberFormat="1" applyFont="1" applyFill="1" applyBorder="1" applyAlignment="1" applyProtection="1">
      <alignment horizontal="center" vertical="center"/>
    </xf>
    <xf numFmtId="0" fontId="37" fillId="0" borderId="1" xfId="8" applyFont="1" applyFill="1" applyBorder="1" applyAlignment="1" applyProtection="1">
      <alignment horizontal="center" vertical="center" wrapText="1"/>
    </xf>
    <xf numFmtId="179" fontId="37" fillId="0" borderId="1" xfId="8" applyNumberFormat="1" applyFont="1" applyFill="1" applyBorder="1" applyAlignment="1" applyProtection="1">
      <alignment horizontal="center" vertical="center"/>
    </xf>
    <xf numFmtId="180" fontId="10" fillId="0" borderId="9" xfId="0" applyNumberFormat="1" applyFont="1" applyFill="1" applyBorder="1" applyAlignment="1" applyProtection="1">
      <alignment horizontal="center" vertical="center"/>
    </xf>
    <xf numFmtId="0" fontId="49" fillId="0" borderId="1" xfId="0" applyFont="1" applyFill="1" applyBorder="1" applyAlignment="1" applyProtection="1">
      <alignment horizontal="center" vertical="center" wrapText="1"/>
      <protection locked="0"/>
    </xf>
    <xf numFmtId="0" fontId="49" fillId="0" borderId="5" xfId="0" applyFont="1" applyFill="1" applyBorder="1" applyAlignment="1" applyProtection="1">
      <alignment horizontal="center" vertical="center" wrapText="1"/>
      <protection locked="0"/>
    </xf>
    <xf numFmtId="0" fontId="49" fillId="0" borderId="9" xfId="0" applyFont="1" applyFill="1" applyBorder="1" applyAlignment="1" applyProtection="1">
      <alignment horizontal="center" vertical="center" wrapText="1"/>
      <protection locked="0"/>
    </xf>
    <xf numFmtId="0" fontId="49" fillId="0" borderId="9" xfId="0" applyFont="1" applyFill="1" applyBorder="1" applyAlignment="1">
      <alignment horizontal="center" vertical="center" wrapText="1"/>
    </xf>
    <xf numFmtId="0" fontId="49" fillId="0" borderId="3" xfId="0" applyFont="1" applyFill="1" applyBorder="1" applyAlignment="1" applyProtection="1">
      <alignment horizontal="center" vertical="center"/>
    </xf>
    <xf numFmtId="0" fontId="49" fillId="0" borderId="0" xfId="0" applyFont="1" applyFill="1" applyBorder="1" applyAlignment="1" applyProtection="1">
      <alignment horizontal="center" vertical="center" wrapText="1"/>
      <protection locked="0"/>
    </xf>
    <xf numFmtId="0" fontId="49" fillId="0" borderId="1" xfId="0" applyFont="1" applyFill="1" applyBorder="1" applyAlignment="1">
      <alignment horizontal="center" vertical="center"/>
    </xf>
    <xf numFmtId="20" fontId="145" fillId="5" borderId="9" xfId="0" quotePrefix="1" applyNumberFormat="1" applyFont="1" applyFill="1" applyBorder="1" applyAlignment="1">
      <alignment horizontal="center" vertical="center" wrapText="1"/>
    </xf>
    <xf numFmtId="20" fontId="145" fillId="5" borderId="9" xfId="0" quotePrefix="1" applyNumberFormat="1" applyFont="1" applyFill="1" applyBorder="1" applyAlignment="1">
      <alignment horizontal="right" vertical="center" wrapText="1"/>
    </xf>
    <xf numFmtId="0" fontId="173" fillId="0" borderId="5" xfId="0" applyFont="1" applyFill="1" applyBorder="1" applyAlignment="1" applyProtection="1">
      <alignment vertical="center" wrapText="1"/>
    </xf>
    <xf numFmtId="0" fontId="173" fillId="0" borderId="9" xfId="0" applyFont="1" applyFill="1" applyBorder="1" applyAlignment="1" applyProtection="1">
      <alignment vertical="center" wrapText="1"/>
    </xf>
    <xf numFmtId="0" fontId="204" fillId="0" borderId="6" xfId="0" applyFont="1" applyBorder="1" applyAlignment="1">
      <alignment vertical="center" wrapText="1"/>
    </xf>
    <xf numFmtId="0" fontId="17" fillId="13" borderId="7" xfId="0" applyFont="1" applyFill="1" applyBorder="1" applyAlignment="1">
      <alignment vertical="center"/>
    </xf>
    <xf numFmtId="0" fontId="24" fillId="13" borderId="1" xfId="0" applyFont="1" applyFill="1" applyBorder="1" applyAlignment="1">
      <alignment vertical="center"/>
    </xf>
    <xf numFmtId="0" fontId="24" fillId="13" borderId="5" xfId="0" applyFont="1" applyFill="1" applyBorder="1" applyAlignment="1">
      <alignment vertical="center"/>
    </xf>
    <xf numFmtId="0" fontId="24" fillId="13" borderId="9" xfId="0" applyFont="1" applyFill="1" applyBorder="1" applyAlignment="1">
      <alignment vertical="center"/>
    </xf>
    <xf numFmtId="20" fontId="24" fillId="13" borderId="1" xfId="0" applyNumberFormat="1" applyFont="1" applyFill="1" applyBorder="1" applyAlignment="1">
      <alignment vertical="center"/>
    </xf>
    <xf numFmtId="182" fontId="24" fillId="13" borderId="5" xfId="0" quotePrefix="1" applyNumberFormat="1" applyFont="1" applyFill="1" applyBorder="1" applyAlignment="1" applyProtection="1">
      <alignment horizontal="center" vertical="center"/>
    </xf>
    <xf numFmtId="182" fontId="24" fillId="13" borderId="1" xfId="0" quotePrefix="1" applyNumberFormat="1" applyFont="1" applyFill="1" applyBorder="1" applyAlignment="1" applyProtection="1">
      <alignment horizontal="center" vertical="center"/>
    </xf>
    <xf numFmtId="0" fontId="23" fillId="0" borderId="0" xfId="0" applyFont="1" applyFill="1">
      <alignment vertical="center"/>
    </xf>
    <xf numFmtId="183" fontId="24" fillId="0" borderId="2" xfId="0" applyNumberFormat="1" applyFont="1" applyBorder="1" applyAlignment="1" applyProtection="1">
      <alignment horizontal="center" vertical="center"/>
      <protection locked="0"/>
    </xf>
    <xf numFmtId="183" fontId="24" fillId="0" borderId="1" xfId="0" applyNumberFormat="1" applyFont="1" applyBorder="1" applyAlignment="1" applyProtection="1">
      <alignment horizontal="center" vertical="center"/>
      <protection locked="0"/>
    </xf>
    <xf numFmtId="181" fontId="24" fillId="0" borderId="1" xfId="0" applyNumberFormat="1" applyFont="1" applyFill="1" applyBorder="1" applyAlignment="1" applyProtection="1">
      <alignment horizontal="center" vertical="center"/>
      <protection locked="0"/>
    </xf>
    <xf numFmtId="181" fontId="24" fillId="0" borderId="0" xfId="0" applyNumberFormat="1" applyFont="1" applyFill="1" applyBorder="1" applyAlignment="1" applyProtection="1">
      <alignment horizontal="center" vertical="center"/>
      <protection locked="0"/>
    </xf>
    <xf numFmtId="181" fontId="24" fillId="0" borderId="0" xfId="0" applyNumberFormat="1" applyFont="1" applyFill="1" applyAlignment="1">
      <alignment horizontal="center" vertical="center"/>
    </xf>
    <xf numFmtId="183" fontId="7" fillId="13" borderId="1" xfId="0" applyNumberFormat="1" applyFont="1" applyFill="1" applyBorder="1" applyAlignment="1">
      <alignment horizontal="center" vertical="center" wrapText="1"/>
    </xf>
    <xf numFmtId="182" fontId="31" fillId="13" borderId="5" xfId="0" quotePrefix="1" applyNumberFormat="1" applyFont="1" applyFill="1" applyBorder="1" applyAlignment="1" applyProtection="1">
      <alignment horizontal="center" vertical="center"/>
    </xf>
    <xf numFmtId="182" fontId="31" fillId="13" borderId="1" xfId="0" quotePrefix="1" applyNumberFormat="1" applyFont="1" applyFill="1" applyBorder="1" applyAlignment="1" applyProtection="1">
      <alignment horizontal="center" vertical="center"/>
    </xf>
    <xf numFmtId="182" fontId="31" fillId="0" borderId="1" xfId="0" applyNumberFormat="1" applyFont="1" applyFill="1" applyBorder="1" applyAlignment="1" applyProtection="1">
      <alignment horizontal="center" vertical="center"/>
      <protection locked="0"/>
    </xf>
    <xf numFmtId="0" fontId="23" fillId="0" borderId="0" xfId="0" applyFont="1" applyFill="1" applyAlignment="1">
      <alignment horizontal="left" vertical="center"/>
    </xf>
    <xf numFmtId="185" fontId="23" fillId="0" borderId="0" xfId="0" applyNumberFormat="1" applyFont="1" applyFill="1" applyAlignment="1">
      <alignment horizontal="left" vertical="center"/>
    </xf>
    <xf numFmtId="9" fontId="23" fillId="0" borderId="0" xfId="0" applyNumberFormat="1" applyFont="1" applyFill="1" applyAlignment="1">
      <alignment horizontal="center" vertical="center"/>
    </xf>
    <xf numFmtId="182" fontId="31" fillId="11" borderId="1" xfId="0" applyNumberFormat="1" applyFont="1" applyFill="1" applyBorder="1" applyAlignment="1" applyProtection="1">
      <alignment horizontal="center" vertical="center"/>
      <protection locked="0"/>
    </xf>
    <xf numFmtId="182" fontId="31" fillId="0" borderId="0" xfId="0" applyNumberFormat="1" applyFont="1" applyFill="1" applyAlignment="1">
      <alignment horizontal="center" vertical="center"/>
    </xf>
    <xf numFmtId="0" fontId="23" fillId="6" borderId="0" xfId="0" applyFont="1" applyFill="1">
      <alignment vertical="center"/>
    </xf>
    <xf numFmtId="0" fontId="23" fillId="0" borderId="0" xfId="0" applyFont="1" applyFill="1" applyAlignment="1">
      <alignment horizontal="right" vertical="center"/>
    </xf>
    <xf numFmtId="183" fontId="7" fillId="13" borderId="0" xfId="0" applyNumberFormat="1" applyFont="1" applyFill="1" applyAlignment="1">
      <alignment vertical="center" wrapText="1"/>
    </xf>
    <xf numFmtId="0" fontId="23" fillId="13" borderId="1" xfId="0" applyFont="1" applyFill="1" applyBorder="1" applyAlignment="1">
      <alignment horizontal="center" vertical="center"/>
    </xf>
    <xf numFmtId="182" fontId="31" fillId="14" borderId="1" xfId="0" applyNumberFormat="1" applyFont="1" applyFill="1" applyBorder="1" applyAlignment="1" applyProtection="1">
      <alignment horizontal="center" vertical="center"/>
      <protection locked="0"/>
    </xf>
    <xf numFmtId="0" fontId="23" fillId="14" borderId="1" xfId="0" applyFont="1" applyFill="1" applyBorder="1" applyAlignment="1">
      <alignment horizontal="center" vertical="center"/>
    </xf>
    <xf numFmtId="0" fontId="23" fillId="5" borderId="1" xfId="0" applyFont="1" applyFill="1" applyBorder="1" applyAlignment="1">
      <alignment horizontal="center" vertical="center"/>
    </xf>
    <xf numFmtId="0" fontId="67" fillId="5" borderId="0" xfId="6" applyFont="1" applyFill="1" applyAlignment="1">
      <alignment horizontal="left"/>
    </xf>
    <xf numFmtId="0" fontId="51" fillId="5" borderId="0" xfId="6" applyFont="1" applyFill="1" applyAlignment="1">
      <alignment horizontal="left"/>
    </xf>
    <xf numFmtId="191" fontId="145" fillId="0" borderId="7" xfId="0" applyNumberFormat="1" applyFont="1" applyFill="1" applyBorder="1" applyAlignment="1" applyProtection="1">
      <alignment horizontal="center" vertical="center"/>
      <protection locked="0"/>
    </xf>
    <xf numFmtId="14" fontId="49" fillId="5" borderId="5" xfId="0" applyNumberFormat="1" applyFont="1" applyFill="1" applyBorder="1" applyAlignment="1" applyProtection="1">
      <alignment vertical="center"/>
    </xf>
    <xf numFmtId="14" fontId="49" fillId="5" borderId="9" xfId="0" applyNumberFormat="1" applyFont="1" applyFill="1" applyBorder="1" applyAlignment="1" applyProtection="1">
      <alignment vertical="center"/>
    </xf>
    <xf numFmtId="0" fontId="49" fillId="5" borderId="9" xfId="0" applyFont="1" applyFill="1" applyBorder="1" applyAlignment="1" applyProtection="1">
      <alignment vertical="center" wrapText="1"/>
    </xf>
    <xf numFmtId="0" fontId="49" fillId="5" borderId="6" xfId="0" applyFont="1" applyFill="1" applyBorder="1" applyAlignment="1" applyProtection="1">
      <alignment vertical="center" wrapText="1"/>
    </xf>
    <xf numFmtId="186" fontId="49" fillId="5" borderId="5" xfId="0" applyNumberFormat="1" applyFont="1" applyFill="1" applyBorder="1" applyAlignment="1" applyProtection="1">
      <alignment vertical="center" wrapText="1"/>
    </xf>
    <xf numFmtId="186" fontId="49" fillId="5" borderId="9" xfId="0" applyNumberFormat="1" applyFont="1" applyFill="1" applyBorder="1" applyAlignment="1" applyProtection="1">
      <alignment vertical="center" wrapText="1"/>
    </xf>
    <xf numFmtId="0" fontId="49" fillId="0" borderId="8" xfId="0" applyFont="1" applyFill="1" applyBorder="1" applyAlignment="1" applyProtection="1">
      <alignment horizontal="center" vertical="center"/>
    </xf>
    <xf numFmtId="0" fontId="49" fillId="0" borderId="6" xfId="0" applyFont="1" applyFill="1" applyBorder="1" applyAlignment="1" applyProtection="1">
      <alignment horizontal="center" vertical="center"/>
    </xf>
    <xf numFmtId="0" fontId="49" fillId="13" borderId="1" xfId="0" applyFont="1" applyFill="1" applyBorder="1" applyAlignment="1">
      <alignment vertical="center"/>
    </xf>
    <xf numFmtId="0" fontId="49" fillId="0" borderId="5" xfId="0" applyFont="1" applyFill="1" applyBorder="1" applyAlignment="1">
      <alignment horizontal="center" vertical="center"/>
    </xf>
    <xf numFmtId="0" fontId="211" fillId="0" borderId="0" xfId="84" applyFont="1" applyFill="1" applyAlignment="1" applyProtection="1">
      <alignment horizontal="left" vertical="center"/>
    </xf>
    <xf numFmtId="195" fontId="49" fillId="0" borderId="1" xfId="0" applyNumberFormat="1" applyFont="1" applyFill="1" applyBorder="1" applyAlignment="1">
      <alignment horizontal="center" vertical="center"/>
    </xf>
    <xf numFmtId="195" fontId="49" fillId="0" borderId="5" xfId="0" applyNumberFormat="1" applyFont="1" applyFill="1" applyBorder="1" applyAlignment="1">
      <alignment horizontal="center" vertical="center"/>
    </xf>
    <xf numFmtId="41" fontId="49" fillId="0" borderId="6" xfId="0" applyNumberFormat="1" applyFont="1" applyFill="1" applyBorder="1" applyAlignment="1" applyProtection="1">
      <alignment horizontal="center" vertical="center"/>
    </xf>
    <xf numFmtId="195" fontId="49" fillId="0" borderId="6" xfId="0" applyNumberFormat="1" applyFont="1" applyFill="1" applyBorder="1" applyAlignment="1" applyProtection="1">
      <alignment horizontal="center" vertical="center"/>
      <protection locked="0"/>
    </xf>
    <xf numFmtId="195" fontId="49" fillId="0" borderId="1" xfId="0" applyNumberFormat="1" applyFont="1" applyFill="1" applyBorder="1" applyAlignment="1" applyProtection="1">
      <alignment horizontal="center" vertical="center"/>
      <protection locked="0"/>
    </xf>
    <xf numFmtId="0" fontId="49" fillId="0" borderId="13" xfId="0" applyFont="1" applyFill="1" applyBorder="1" applyAlignment="1">
      <alignment horizontal="left" vertical="center" wrapText="1"/>
    </xf>
    <xf numFmtId="0" fontId="49" fillId="0" borderId="3" xfId="0" applyFont="1" applyFill="1" applyBorder="1" applyAlignment="1">
      <alignment vertical="center"/>
    </xf>
    <xf numFmtId="0" fontId="49" fillId="0" borderId="0" xfId="0" applyFont="1" applyFill="1" applyBorder="1" applyAlignment="1">
      <alignment horizontal="left" vertical="center" wrapText="1"/>
    </xf>
    <xf numFmtId="0" fontId="49" fillId="0" borderId="11" xfId="0" applyFont="1" applyFill="1" applyBorder="1" applyAlignment="1">
      <alignment horizontal="left" vertical="center" wrapText="1"/>
    </xf>
    <xf numFmtId="0" fontId="49" fillId="0" borderId="13" xfId="0" applyFont="1" applyFill="1" applyBorder="1" applyAlignment="1">
      <alignment vertical="center" wrapText="1"/>
    </xf>
    <xf numFmtId="0" fontId="49" fillId="0" borderId="12" xfId="0" applyFont="1" applyFill="1" applyBorder="1" applyAlignment="1">
      <alignment vertical="center" wrapText="1"/>
    </xf>
    <xf numFmtId="0" fontId="49" fillId="0" borderId="4" xfId="0" applyFont="1" applyFill="1" applyBorder="1" applyAlignment="1">
      <alignment vertical="center" wrapText="1"/>
    </xf>
    <xf numFmtId="0" fontId="49" fillId="0" borderId="15" xfId="0" applyFont="1" applyFill="1" applyBorder="1" applyAlignment="1">
      <alignment vertical="center" wrapText="1"/>
    </xf>
    <xf numFmtId="0" fontId="146" fillId="4" borderId="9" xfId="0" applyFont="1" applyFill="1" applyBorder="1" applyAlignment="1" applyProtection="1">
      <alignment horizontal="centerContinuous" vertical="center"/>
    </xf>
    <xf numFmtId="0" fontId="49" fillId="4" borderId="6" xfId="0" applyFont="1" applyFill="1" applyBorder="1" applyAlignment="1" applyProtection="1">
      <alignment horizontal="centerContinuous" vertical="center"/>
    </xf>
    <xf numFmtId="0" fontId="49" fillId="0" borderId="5" xfId="0" applyFont="1" applyFill="1" applyBorder="1" applyAlignment="1" applyProtection="1">
      <alignment vertical="center" wrapText="1"/>
    </xf>
    <xf numFmtId="0" fontId="49" fillId="0" borderId="9" xfId="0" applyFont="1" applyFill="1" applyBorder="1" applyAlignment="1" applyProtection="1">
      <alignment vertical="center" wrapText="1"/>
    </xf>
    <xf numFmtId="0" fontId="49" fillId="0" borderId="12" xfId="0" applyFont="1" applyFill="1" applyBorder="1" applyAlignment="1">
      <alignment horizontal="center" vertical="center" wrapText="1"/>
    </xf>
    <xf numFmtId="0" fontId="49" fillId="0" borderId="16" xfId="0" applyFont="1" applyFill="1" applyBorder="1" applyAlignment="1">
      <alignment horizontal="center" vertical="center" wrapText="1"/>
    </xf>
    <xf numFmtId="0" fontId="49" fillId="0" borderId="15" xfId="0" applyFont="1" applyFill="1" applyBorder="1" applyAlignment="1">
      <alignment horizontal="center" vertical="center" wrapText="1"/>
    </xf>
    <xf numFmtId="0" fontId="92" fillId="0" borderId="8" xfId="0" applyFont="1" applyBorder="1" applyAlignment="1">
      <alignment vertical="center"/>
    </xf>
    <xf numFmtId="0" fontId="75" fillId="5" borderId="6" xfId="0" applyFont="1" applyFill="1" applyBorder="1" applyAlignment="1">
      <alignment vertical="center"/>
    </xf>
    <xf numFmtId="0" fontId="49" fillId="0" borderId="0" xfId="0" quotePrefix="1" applyFont="1" applyFill="1" applyBorder="1" applyAlignment="1" applyProtection="1">
      <alignment vertical="center" wrapText="1"/>
    </xf>
    <xf numFmtId="0" fontId="49" fillId="0" borderId="0" xfId="0" applyNumberFormat="1" applyFont="1" applyFill="1" applyBorder="1" applyAlignment="1" applyProtection="1">
      <alignment horizontal="center" vertical="center"/>
    </xf>
    <xf numFmtId="182" fontId="49" fillId="0" borderId="0" xfId="0" applyNumberFormat="1" applyFont="1" applyFill="1" applyBorder="1" applyAlignment="1" applyProtection="1">
      <alignment horizontal="center" vertical="center"/>
      <protection locked="0"/>
    </xf>
    <xf numFmtId="198" fontId="49" fillId="9" borderId="6" xfId="0" quotePrefix="1" applyNumberFormat="1" applyFont="1" applyFill="1" applyBorder="1" applyAlignment="1" applyProtection="1">
      <alignment horizontal="center" vertical="center"/>
    </xf>
    <xf numFmtId="177" fontId="49" fillId="9" borderId="6" xfId="1" applyFont="1" applyFill="1" applyBorder="1" applyAlignment="1" applyProtection="1">
      <alignment horizontal="center" vertical="center"/>
    </xf>
    <xf numFmtId="197" fontId="49" fillId="9" borderId="9" xfId="0" applyNumberFormat="1" applyFont="1" applyFill="1" applyBorder="1" applyAlignment="1" applyProtection="1">
      <alignment horizontal="center" vertical="center"/>
    </xf>
    <xf numFmtId="198" fontId="49" fillId="0" borderId="9" xfId="0" applyNumberFormat="1" applyFont="1" applyFill="1" applyBorder="1" applyAlignment="1" applyProtection="1">
      <alignment horizontal="center" vertical="center"/>
    </xf>
    <xf numFmtId="177" fontId="49" fillId="0" borderId="1" xfId="1" applyFont="1" applyFill="1" applyBorder="1" applyAlignment="1">
      <alignment horizontal="center" vertical="center"/>
    </xf>
    <xf numFmtId="0" fontId="49" fillId="0" borderId="0" xfId="0" applyFont="1" applyFill="1" applyBorder="1" applyAlignment="1" applyProtection="1">
      <alignment horizontal="center" vertical="center" wrapText="1"/>
    </xf>
    <xf numFmtId="41" fontId="49" fillId="0" borderId="9" xfId="0" applyNumberFormat="1" applyFont="1" applyFill="1" applyBorder="1" applyAlignment="1" applyProtection="1">
      <alignment horizontal="distributed" vertical="distributed" wrapText="1"/>
      <protection locked="0"/>
    </xf>
    <xf numFmtId="0" fontId="49" fillId="0" borderId="9" xfId="0" applyFont="1" applyFill="1" applyBorder="1" applyAlignment="1" applyProtection="1">
      <alignment horizontal="distributed" vertical="distributed" wrapText="1"/>
      <protection locked="0"/>
    </xf>
    <xf numFmtId="0" fontId="49" fillId="0" borderId="5" xfId="0" applyFont="1" applyFill="1" applyBorder="1" applyAlignment="1" applyProtection="1">
      <alignment horizontal="center" vertical="center"/>
    </xf>
    <xf numFmtId="0" fontId="74" fillId="0" borderId="5" xfId="0" applyFont="1" applyFill="1" applyBorder="1" applyAlignment="1" applyProtection="1">
      <alignment horizontal="center" vertical="center"/>
    </xf>
    <xf numFmtId="0" fontId="49" fillId="0" borderId="1" xfId="0" applyFont="1" applyFill="1" applyBorder="1" applyAlignment="1" applyProtection="1">
      <alignment vertical="center"/>
    </xf>
    <xf numFmtId="0" fontId="49" fillId="39" borderId="0" xfId="0" applyNumberFormat="1" applyFont="1" applyFill="1" applyBorder="1" applyAlignment="1" applyProtection="1">
      <alignment horizontal="center" vertical="center"/>
    </xf>
    <xf numFmtId="0" fontId="49" fillId="13" borderId="0" xfId="0" applyFont="1" applyFill="1" applyAlignment="1">
      <alignment horizontal="center" vertical="center"/>
    </xf>
    <xf numFmtId="182" fontId="49" fillId="39" borderId="0" xfId="0" applyNumberFormat="1" applyFont="1" applyFill="1" applyBorder="1" applyAlignment="1" applyProtection="1">
      <alignment horizontal="center" vertical="center"/>
      <protection locked="0"/>
    </xf>
    <xf numFmtId="0" fontId="49" fillId="0" borderId="13" xfId="0" applyFont="1" applyFill="1" applyBorder="1" applyAlignment="1">
      <alignment horizontal="center" vertical="center"/>
    </xf>
    <xf numFmtId="0" fontId="49" fillId="0" borderId="12" xfId="0" applyFont="1" applyFill="1" applyBorder="1" applyAlignment="1">
      <alignment vertical="center"/>
    </xf>
    <xf numFmtId="0" fontId="49" fillId="0" borderId="4" xfId="0" applyFont="1" applyFill="1" applyBorder="1" applyAlignment="1">
      <alignment horizontal="center" vertical="center"/>
    </xf>
    <xf numFmtId="0" fontId="49" fillId="0" borderId="15" xfId="0" applyFont="1" applyFill="1" applyBorder="1" applyAlignment="1">
      <alignment vertical="center"/>
    </xf>
    <xf numFmtId="182" fontId="49" fillId="0" borderId="12" xfId="0" applyNumberFormat="1" applyFont="1" applyFill="1" applyBorder="1" applyAlignment="1" applyProtection="1">
      <alignment horizontal="center" vertical="center"/>
      <protection locked="0"/>
    </xf>
    <xf numFmtId="182" fontId="49" fillId="39" borderId="6" xfId="0" applyNumberFormat="1" applyFont="1" applyFill="1" applyBorder="1" applyAlignment="1" applyProtection="1">
      <alignment horizontal="center" vertical="center"/>
      <protection locked="0"/>
    </xf>
    <xf numFmtId="0" fontId="49" fillId="39" borderId="6" xfId="0" applyFont="1" applyFill="1" applyBorder="1" applyAlignment="1">
      <alignment horizontal="center" vertical="center" wrapText="1"/>
    </xf>
    <xf numFmtId="0" fontId="49" fillId="0" borderId="1" xfId="0" applyFont="1" applyFill="1" applyBorder="1" applyAlignment="1" applyProtection="1">
      <alignment horizontal="distributed" vertical="distributed" wrapText="1"/>
      <protection locked="0"/>
    </xf>
    <xf numFmtId="0" fontId="49" fillId="39" borderId="9" xfId="0" applyNumberFormat="1" applyFont="1" applyFill="1" applyBorder="1" applyAlignment="1" applyProtection="1">
      <alignment horizontal="center" vertical="center" wrapText="1"/>
      <protection locked="0"/>
    </xf>
    <xf numFmtId="0" fontId="49" fillId="39" borderId="0" xfId="0" applyFont="1" applyFill="1" applyAlignment="1">
      <alignment horizontal="center" vertical="center"/>
    </xf>
    <xf numFmtId="180" fontId="49" fillId="0" borderId="7" xfId="0" applyNumberFormat="1" applyFont="1" applyFill="1" applyBorder="1" applyAlignment="1">
      <alignment horizontal="center" vertical="center" wrapText="1"/>
    </xf>
    <xf numFmtId="180" fontId="75" fillId="40" borderId="6" xfId="0" applyNumberFormat="1" applyFont="1" applyFill="1" applyBorder="1" applyAlignment="1" applyProtection="1">
      <alignment horizontal="center" vertical="center"/>
    </xf>
    <xf numFmtId="180" fontId="75" fillId="0" borderId="6" xfId="0" applyNumberFormat="1" applyFont="1" applyFill="1" applyBorder="1" applyAlignment="1" applyProtection="1">
      <alignment horizontal="center" vertical="center"/>
    </xf>
    <xf numFmtId="180" fontId="75" fillId="4" borderId="6" xfId="0" applyNumberFormat="1" applyFont="1" applyFill="1" applyBorder="1" applyAlignment="1" applyProtection="1">
      <alignment horizontal="center" vertical="center"/>
    </xf>
    <xf numFmtId="0" fontId="49" fillId="42" borderId="8" xfId="0" applyFont="1" applyFill="1" applyBorder="1" applyAlignment="1">
      <alignment horizontal="center" vertical="center" wrapText="1"/>
    </xf>
    <xf numFmtId="0" fontId="49" fillId="42" borderId="12" xfId="0" applyFont="1" applyFill="1" applyBorder="1" applyAlignment="1">
      <alignment horizontal="center" vertical="center" wrapText="1"/>
    </xf>
    <xf numFmtId="0" fontId="49" fillId="42" borderId="0" xfId="0" applyFont="1" applyFill="1" applyBorder="1" applyAlignment="1">
      <alignment horizontal="center" vertical="center" wrapText="1"/>
    </xf>
    <xf numFmtId="0" fontId="49" fillId="42" borderId="16" xfId="0" applyFont="1" applyFill="1" applyBorder="1" applyAlignment="1">
      <alignment horizontal="center" vertical="center" wrapText="1"/>
    </xf>
    <xf numFmtId="0" fontId="54" fillId="0" borderId="1" xfId="0" applyFont="1" applyFill="1" applyBorder="1" applyAlignment="1">
      <alignment horizontal="center" vertical="center" wrapText="1"/>
    </xf>
    <xf numFmtId="0" fontId="147" fillId="0" borderId="6" xfId="0" applyFont="1" applyFill="1" applyBorder="1" applyAlignment="1" applyProtection="1">
      <alignment vertical="center"/>
    </xf>
    <xf numFmtId="183" fontId="75" fillId="0" borderId="6" xfId="0" applyNumberFormat="1" applyFont="1" applyFill="1" applyBorder="1" applyAlignment="1" applyProtection="1">
      <alignment horizontal="center" vertical="center"/>
    </xf>
    <xf numFmtId="180" fontId="75" fillId="0" borderId="12" xfId="0" applyNumberFormat="1" applyFont="1" applyFill="1" applyBorder="1" applyAlignment="1" applyProtection="1">
      <alignment horizontal="center" vertical="center"/>
    </xf>
    <xf numFmtId="180" fontId="154" fillId="40" borderId="5" xfId="0" applyNumberFormat="1" applyFont="1" applyFill="1" applyBorder="1" applyAlignment="1">
      <alignment horizontal="center" vertical="center"/>
    </xf>
    <xf numFmtId="180" fontId="154" fillId="40" borderId="9" xfId="0" applyNumberFormat="1" applyFont="1" applyFill="1" applyBorder="1" applyAlignment="1">
      <alignment horizontal="center" vertical="center"/>
    </xf>
    <xf numFmtId="180" fontId="75" fillId="40" borderId="9" xfId="0" applyNumberFormat="1" applyFont="1" applyFill="1" applyBorder="1" applyAlignment="1">
      <alignment horizontal="center" vertical="center"/>
    </xf>
    <xf numFmtId="180" fontId="154" fillId="40" borderId="6" xfId="0" applyNumberFormat="1" applyFont="1" applyFill="1" applyBorder="1" applyAlignment="1">
      <alignment horizontal="center" vertical="center"/>
    </xf>
    <xf numFmtId="180" fontId="154" fillId="40" borderId="5" xfId="0" applyNumberFormat="1" applyFont="1" applyFill="1" applyBorder="1" applyAlignment="1">
      <alignment vertical="center"/>
    </xf>
    <xf numFmtId="180" fontId="154" fillId="40" borderId="9" xfId="0" applyNumberFormat="1" applyFont="1" applyFill="1" applyBorder="1" applyAlignment="1">
      <alignment vertical="center"/>
    </xf>
    <xf numFmtId="180" fontId="75" fillId="0" borderId="1" xfId="0" applyNumberFormat="1" applyFont="1" applyFill="1" applyBorder="1" applyAlignment="1">
      <alignment horizontal="center" vertical="center"/>
    </xf>
    <xf numFmtId="178" fontId="75" fillId="0" borderId="5" xfId="0" applyNumberFormat="1" applyFont="1" applyFill="1" applyBorder="1" applyAlignment="1">
      <alignment horizontal="center" vertical="center"/>
    </xf>
    <xf numFmtId="0" fontId="98" fillId="0" borderId="1" xfId="84" applyFill="1" applyBorder="1" applyAlignment="1" applyProtection="1">
      <alignment horizontal="left" vertical="center"/>
    </xf>
    <xf numFmtId="0" fontId="5" fillId="0" borderId="1" xfId="84" applyFont="1" applyFill="1" applyBorder="1" applyAlignment="1" applyProtection="1">
      <alignment horizontal="left" vertical="center"/>
    </xf>
    <xf numFmtId="178" fontId="212" fillId="40" borderId="5" xfId="0" applyNumberFormat="1" applyFont="1" applyFill="1" applyBorder="1" applyAlignment="1">
      <alignment vertical="center"/>
    </xf>
    <xf numFmtId="178" fontId="212" fillId="40" borderId="9" xfId="0" applyNumberFormat="1" applyFont="1" applyFill="1" applyBorder="1" applyAlignment="1">
      <alignment vertical="center"/>
    </xf>
    <xf numFmtId="0" fontId="213" fillId="34" borderId="0" xfId="0" applyFont="1" applyFill="1" applyAlignment="1">
      <alignment horizontal="center" vertical="center"/>
    </xf>
    <xf numFmtId="0" fontId="37" fillId="0" borderId="1" xfId="0"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wrapText="1"/>
    </xf>
    <xf numFmtId="0" fontId="92" fillId="0" borderId="0" xfId="84" applyFont="1" applyFill="1" applyBorder="1" applyAlignment="1" applyProtection="1">
      <alignment horizontal="left" vertical="center"/>
    </xf>
    <xf numFmtId="0" fontId="13" fillId="0" borderId="0" xfId="0" applyFont="1" applyFill="1" applyBorder="1" applyAlignment="1" applyProtection="1">
      <alignment horizontal="center" vertical="center" wrapText="1"/>
    </xf>
    <xf numFmtId="0" fontId="51" fillId="0" borderId="0" xfId="6" applyFont="1"/>
    <xf numFmtId="0" fontId="67" fillId="0" borderId="0" xfId="6" applyFont="1"/>
    <xf numFmtId="0" fontId="67" fillId="0" borderId="0" xfId="6" applyFont="1" applyFill="1"/>
    <xf numFmtId="0" fontId="23" fillId="0" borderId="0" xfId="6" applyFont="1"/>
    <xf numFmtId="176" fontId="67" fillId="0" borderId="0" xfId="2" applyFont="1" applyFill="1"/>
    <xf numFmtId="176" fontId="23" fillId="0" borderId="0" xfId="2" applyFont="1" applyFill="1"/>
    <xf numFmtId="176" fontId="67" fillId="10" borderId="0" xfId="2" applyFont="1" applyFill="1"/>
    <xf numFmtId="190" fontId="51" fillId="5" borderId="0" xfId="6" applyNumberFormat="1" applyFont="1" applyFill="1"/>
    <xf numFmtId="190" fontId="51" fillId="12" borderId="0" xfId="6" applyNumberFormat="1" applyFont="1" applyFill="1"/>
    <xf numFmtId="176" fontId="67" fillId="0" borderId="0" xfId="6" applyNumberFormat="1" applyFont="1"/>
    <xf numFmtId="0" fontId="67" fillId="0" borderId="0" xfId="6" applyFont="1" applyAlignment="1">
      <alignment horizontal="left"/>
    </xf>
    <xf numFmtId="9" fontId="51" fillId="0" borderId="0" xfId="6" applyNumberFormat="1" applyFont="1"/>
    <xf numFmtId="0" fontId="67" fillId="5" borderId="0" xfId="6" applyFont="1" applyFill="1"/>
    <xf numFmtId="0" fontId="51" fillId="5" borderId="0" xfId="6" applyFont="1" applyFill="1"/>
    <xf numFmtId="0" fontId="51" fillId="14" borderId="0" xfId="6" applyFont="1" applyFill="1"/>
    <xf numFmtId="0" fontId="67" fillId="14" borderId="0" xfId="6" applyFont="1" applyFill="1"/>
    <xf numFmtId="1" fontId="67" fillId="6" borderId="0" xfId="6" applyNumberFormat="1" applyFont="1" applyFill="1"/>
    <xf numFmtId="1" fontId="51" fillId="6" borderId="0" xfId="6" applyNumberFormat="1" applyFont="1" applyFill="1"/>
    <xf numFmtId="193" fontId="67" fillId="0" borderId="0" xfId="6" applyNumberFormat="1" applyFont="1"/>
    <xf numFmtId="193" fontId="67" fillId="0" borderId="0" xfId="1" applyNumberFormat="1" applyFont="1" applyAlignment="1"/>
    <xf numFmtId="193" fontId="67" fillId="14" borderId="0" xfId="6" applyNumberFormat="1" applyFont="1" applyFill="1"/>
    <xf numFmtId="193" fontId="51" fillId="14" borderId="0" xfId="6" applyNumberFormat="1" applyFont="1" applyFill="1"/>
    <xf numFmtId="0" fontId="67" fillId="0" borderId="0" xfId="6" applyFont="1" applyAlignment="1">
      <alignment wrapText="1"/>
    </xf>
    <xf numFmtId="180" fontId="67" fillId="5" borderId="0" xfId="6" applyNumberFormat="1" applyFont="1" applyFill="1"/>
    <xf numFmtId="180" fontId="67" fillId="6" borderId="0" xfId="6" applyNumberFormat="1" applyFont="1" applyFill="1"/>
    <xf numFmtId="0" fontId="67" fillId="0" borderId="0" xfId="6" applyFont="1" applyAlignment="1">
      <alignment horizontal="right"/>
    </xf>
    <xf numFmtId="0" fontId="37" fillId="0" borderId="5" xfId="0" applyFont="1" applyFill="1" applyBorder="1" applyAlignment="1">
      <alignment horizontal="center" vertical="center"/>
    </xf>
    <xf numFmtId="181" fontId="50" fillId="0" borderId="1" xfId="0" applyNumberFormat="1" applyFont="1" applyFill="1" applyBorder="1" applyAlignment="1" applyProtection="1">
      <alignment horizontal="center" vertical="center"/>
    </xf>
    <xf numFmtId="0" fontId="49" fillId="0" borderId="1" xfId="0" applyFont="1" applyFill="1" applyBorder="1" applyAlignment="1" applyProtection="1">
      <alignment horizontal="center" vertical="center" wrapText="1"/>
    </xf>
    <xf numFmtId="0" fontId="23" fillId="6" borderId="1" xfId="0" applyFont="1" applyFill="1" applyBorder="1" applyAlignment="1">
      <alignment horizontal="center" vertical="center"/>
    </xf>
    <xf numFmtId="182" fontId="31" fillId="6" borderId="1" xfId="0" applyNumberFormat="1" applyFont="1" applyFill="1" applyBorder="1" applyAlignment="1" applyProtection="1">
      <alignment horizontal="center" vertical="center"/>
      <protection locked="0"/>
    </xf>
    <xf numFmtId="182" fontId="31" fillId="5" borderId="1" xfId="0" applyNumberFormat="1" applyFont="1" applyFill="1" applyBorder="1" applyAlignment="1" applyProtection="1">
      <alignment horizontal="center" vertical="center"/>
      <protection locked="0"/>
    </xf>
    <xf numFmtId="0" fontId="23" fillId="50" borderId="1" xfId="0" applyFont="1" applyFill="1" applyBorder="1" applyAlignment="1">
      <alignment horizontal="center" vertical="center"/>
    </xf>
    <xf numFmtId="182" fontId="31" fillId="50" borderId="1" xfId="0" applyNumberFormat="1" applyFont="1" applyFill="1" applyBorder="1" applyAlignment="1" applyProtection="1">
      <alignment horizontal="center" vertical="center"/>
      <protection locked="0"/>
    </xf>
    <xf numFmtId="182" fontId="23" fillId="0" borderId="0" xfId="0" applyNumberFormat="1" applyFont="1" applyFill="1" applyBorder="1" applyAlignment="1" applyProtection="1">
      <alignment horizontal="center" vertical="center"/>
      <protection locked="0"/>
    </xf>
    <xf numFmtId="181" fontId="23" fillId="0" borderId="0" xfId="0" applyNumberFormat="1" applyFont="1" applyFill="1" applyBorder="1" applyAlignment="1" applyProtection="1">
      <alignment horizontal="center" vertical="center"/>
      <protection locked="0"/>
    </xf>
    <xf numFmtId="0" fontId="67" fillId="0" borderId="0" xfId="0" applyFont="1" applyFill="1" applyAlignment="1">
      <alignment horizontal="center" vertical="center"/>
    </xf>
    <xf numFmtId="0" fontId="23" fillId="13" borderId="0" xfId="0" applyFont="1" applyFill="1" applyAlignment="1">
      <alignment horizontal="center" vertical="center"/>
    </xf>
    <xf numFmtId="0" fontId="152" fillId="0" borderId="1" xfId="0" applyFont="1" applyFill="1" applyBorder="1" applyAlignment="1" applyProtection="1">
      <alignment horizontal="center" vertical="center"/>
    </xf>
    <xf numFmtId="0" fontId="37" fillId="0" borderId="91" xfId="0" applyFont="1" applyFill="1" applyBorder="1" applyAlignment="1" applyProtection="1">
      <alignment horizontal="center" vertical="center"/>
    </xf>
    <xf numFmtId="178" fontId="152" fillId="0" borderId="5" xfId="0" applyNumberFormat="1" applyFont="1" applyFill="1" applyBorder="1" applyAlignment="1" applyProtection="1">
      <alignment horizontal="right" vertical="center"/>
    </xf>
    <xf numFmtId="189" fontId="152" fillId="0" borderId="14" xfId="1" applyNumberFormat="1" applyFont="1" applyFill="1" applyBorder="1" applyAlignment="1" applyProtection="1">
      <alignment horizontal="center" vertical="center"/>
    </xf>
    <xf numFmtId="178" fontId="50" fillId="0" borderId="9" xfId="0" applyNumberFormat="1" applyFont="1" applyFill="1" applyBorder="1" applyAlignment="1" applyProtection="1">
      <alignment horizontal="center" vertical="center"/>
    </xf>
    <xf numFmtId="188" fontId="152" fillId="0" borderId="14" xfId="1" applyNumberFormat="1" applyFont="1" applyFill="1" applyBorder="1" applyAlignment="1" applyProtection="1">
      <alignment horizontal="center" vertical="center"/>
    </xf>
    <xf numFmtId="189" fontId="91" fillId="0" borderId="14" xfId="1" applyNumberFormat="1" applyFont="1" applyFill="1" applyBorder="1" applyAlignment="1" applyProtection="1">
      <alignment horizontal="center" vertical="center"/>
    </xf>
    <xf numFmtId="185" fontId="152" fillId="0" borderId="1" xfId="7" applyNumberFormat="1" applyFont="1" applyFill="1" applyBorder="1" applyAlignment="1" applyProtection="1">
      <alignment horizontal="center" vertical="center"/>
    </xf>
    <xf numFmtId="176" fontId="37" fillId="0" borderId="1" xfId="0" applyNumberFormat="1" applyFont="1" applyFill="1" applyBorder="1" applyAlignment="1" applyProtection="1">
      <alignment horizontal="center" vertical="center"/>
    </xf>
    <xf numFmtId="0" fontId="37" fillId="0" borderId="5" xfId="0" applyFont="1" applyFill="1" applyBorder="1" applyAlignment="1" applyProtection="1">
      <alignment horizontal="center" vertical="center" wrapText="1"/>
      <protection locked="0"/>
    </xf>
    <xf numFmtId="0" fontId="37" fillId="0" borderId="9" xfId="0"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wrapText="1"/>
      <protection locked="0"/>
    </xf>
    <xf numFmtId="0" fontId="9" fillId="0" borderId="9" xfId="0" applyFont="1" applyFill="1" applyBorder="1" applyAlignment="1">
      <alignment horizontal="center" vertical="center" wrapText="1"/>
    </xf>
    <xf numFmtId="0" fontId="37" fillId="0" borderId="3" xfId="0" applyFont="1" applyFill="1" applyBorder="1" applyAlignment="1" applyProtection="1">
      <alignment horizontal="center" vertical="center"/>
    </xf>
    <xf numFmtId="0" fontId="37" fillId="0" borderId="9" xfId="0" applyFont="1" applyFill="1" applyBorder="1" applyAlignment="1">
      <alignment horizontal="center" vertical="center" wrapText="1"/>
    </xf>
    <xf numFmtId="0" fontId="37" fillId="0" borderId="11" xfId="0" applyFont="1" applyFill="1" applyBorder="1" applyAlignment="1" applyProtection="1">
      <alignment horizontal="center" vertical="center"/>
    </xf>
    <xf numFmtId="0" fontId="37" fillId="0" borderId="3" xfId="0" applyFont="1" applyFill="1" applyBorder="1" applyAlignment="1">
      <alignment horizontal="center" vertical="center" wrapText="1"/>
    </xf>
    <xf numFmtId="0" fontId="37" fillId="0" borderId="12" xfId="0" applyFont="1" applyFill="1" applyBorder="1" applyAlignment="1">
      <alignment horizontal="center" vertical="center" wrapText="1"/>
    </xf>
    <xf numFmtId="0" fontId="37" fillId="0" borderId="15" xfId="0" applyFont="1" applyFill="1" applyBorder="1" applyAlignment="1">
      <alignment horizontal="center" vertical="center" wrapText="1"/>
    </xf>
    <xf numFmtId="0" fontId="37" fillId="0" borderId="5" xfId="0" applyFont="1" applyFill="1" applyBorder="1" applyAlignment="1">
      <alignment horizontal="center" vertical="center"/>
    </xf>
    <xf numFmtId="0" fontId="9" fillId="0" borderId="2"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9" xfId="0" applyFont="1" applyFill="1" applyBorder="1" applyAlignment="1">
      <alignment horizontal="center" vertical="center"/>
    </xf>
    <xf numFmtId="0" fontId="51" fillId="0" borderId="1" xfId="4" applyFont="1" applyBorder="1" applyAlignment="1">
      <alignment horizontal="center" vertical="center"/>
    </xf>
    <xf numFmtId="0" fontId="23" fillId="5" borderId="52" xfId="0" applyFont="1" applyFill="1" applyBorder="1" applyAlignment="1" applyProtection="1">
      <alignment horizontal="center" vertical="center"/>
    </xf>
    <xf numFmtId="0" fontId="23" fillId="5" borderId="0" xfId="0" applyFont="1" applyFill="1" applyBorder="1" applyAlignment="1" applyProtection="1">
      <alignment horizontal="center" vertical="center"/>
    </xf>
    <xf numFmtId="0" fontId="23" fillId="5" borderId="53" xfId="0" applyFont="1" applyFill="1" applyBorder="1">
      <alignment vertical="center"/>
    </xf>
    <xf numFmtId="0" fontId="62" fillId="0" borderId="0" xfId="0" applyFont="1" applyFill="1" applyAlignment="1">
      <alignment vertical="center" wrapText="1"/>
    </xf>
    <xf numFmtId="178" fontId="9" fillId="0" borderId="5" xfId="0" applyNumberFormat="1" applyFont="1" applyFill="1" applyBorder="1" applyAlignment="1">
      <alignment horizontal="right" vertical="center"/>
    </xf>
    <xf numFmtId="180" fontId="9" fillId="0" borderId="14" xfId="0" applyNumberFormat="1" applyFont="1" applyFill="1" applyBorder="1" applyAlignment="1">
      <alignment horizontal="center" vertical="center"/>
    </xf>
    <xf numFmtId="180" fontId="9" fillId="0" borderId="9" xfId="0" applyNumberFormat="1" applyFont="1" applyFill="1" applyBorder="1" applyAlignment="1">
      <alignment horizontal="center" vertical="center"/>
    </xf>
    <xf numFmtId="181" fontId="37" fillId="0" borderId="9" xfId="0" applyNumberFormat="1" applyFont="1" applyFill="1" applyBorder="1" applyAlignment="1" applyProtection="1">
      <alignment vertical="center"/>
      <protection locked="0"/>
    </xf>
    <xf numFmtId="178" fontId="9" fillId="0" borderId="9" xfId="0" applyNumberFormat="1" applyFont="1" applyFill="1" applyBorder="1" applyAlignment="1">
      <alignment vertical="center"/>
    </xf>
    <xf numFmtId="178" fontId="9" fillId="0" borderId="6" xfId="0" applyNumberFormat="1" applyFont="1" applyFill="1" applyBorder="1" applyAlignment="1">
      <alignment vertical="center"/>
    </xf>
    <xf numFmtId="195" fontId="37" fillId="0" borderId="5" xfId="0" applyNumberFormat="1" applyFont="1" applyFill="1" applyBorder="1" applyAlignment="1" applyProtection="1">
      <alignment horizontal="center" vertical="center"/>
      <protection locked="0"/>
    </xf>
    <xf numFmtId="0" fontId="0" fillId="0" borderId="9" xfId="0" applyFont="1" applyBorder="1" applyAlignment="1">
      <alignment vertical="center"/>
    </xf>
    <xf numFmtId="0" fontId="0" fillId="0" borderId="6" xfId="0" applyFont="1" applyBorder="1" applyAlignment="1">
      <alignment vertical="center"/>
    </xf>
    <xf numFmtId="0" fontId="218" fillId="0" borderId="0" xfId="0" applyFont="1" applyFill="1" applyBorder="1" applyAlignment="1" applyProtection="1">
      <alignment horizontal="centerContinuous" vertical="distributed" wrapText="1"/>
    </xf>
    <xf numFmtId="0" fontId="219" fillId="0" borderId="0" xfId="0" applyFont="1" applyFill="1" applyBorder="1" applyAlignment="1" applyProtection="1">
      <alignment horizontal="centerContinuous" vertical="distributed" wrapText="1"/>
    </xf>
    <xf numFmtId="0" fontId="37" fillId="0" borderId="0" xfId="0" applyFont="1" applyFill="1" applyAlignment="1">
      <alignment horizontal="left" vertical="center"/>
    </xf>
    <xf numFmtId="0" fontId="37" fillId="12" borderId="1" xfId="0" applyFont="1" applyFill="1" applyBorder="1" applyAlignment="1">
      <alignment horizontal="center" vertical="center"/>
    </xf>
    <xf numFmtId="0" fontId="37" fillId="9" borderId="13" xfId="0" quotePrefix="1" applyFont="1" applyFill="1" applyBorder="1" applyAlignment="1" applyProtection="1">
      <alignment vertical="center" wrapText="1"/>
    </xf>
    <xf numFmtId="0" fontId="37" fillId="0" borderId="1" xfId="0" quotePrefix="1" applyFont="1" applyFill="1" applyBorder="1" applyAlignment="1" applyProtection="1">
      <alignment vertical="center" wrapText="1"/>
    </xf>
    <xf numFmtId="0" fontId="37" fillId="9" borderId="4" xfId="0" applyFont="1" applyFill="1" applyBorder="1" applyAlignment="1" applyProtection="1">
      <alignment vertical="center" wrapText="1"/>
    </xf>
    <xf numFmtId="197" fontId="37" fillId="9" borderId="6" xfId="0" applyNumberFormat="1" applyFont="1" applyFill="1" applyBorder="1" applyAlignment="1" applyProtection="1">
      <alignment horizontal="center" vertical="center"/>
    </xf>
    <xf numFmtId="198" fontId="37" fillId="0" borderId="6" xfId="0" applyNumberFormat="1" applyFont="1" applyFill="1" applyBorder="1" applyAlignment="1" applyProtection="1">
      <alignment horizontal="center" vertical="center"/>
    </xf>
    <xf numFmtId="199" fontId="37" fillId="9" borderId="6" xfId="0" applyNumberFormat="1" applyFont="1" applyFill="1" applyBorder="1" applyAlignment="1" applyProtection="1">
      <alignment horizontal="center" vertical="center"/>
    </xf>
    <xf numFmtId="198" fontId="37" fillId="9" borderId="6" xfId="0" applyNumberFormat="1" applyFont="1" applyFill="1" applyBorder="1" applyAlignment="1" applyProtection="1">
      <alignment horizontal="center" vertical="center"/>
    </xf>
    <xf numFmtId="182" fontId="37" fillId="0" borderId="1" xfId="0" applyNumberFormat="1" applyFont="1" applyFill="1" applyBorder="1" applyAlignment="1">
      <alignment horizontal="center" vertical="center"/>
    </xf>
    <xf numFmtId="188" fontId="37" fillId="9" borderId="1" xfId="1" applyNumberFormat="1" applyFont="1" applyFill="1" applyBorder="1" applyAlignment="1">
      <alignment horizontal="center" vertical="center"/>
    </xf>
    <xf numFmtId="0" fontId="37" fillId="0" borderId="8" xfId="0" applyFont="1" applyFill="1" applyBorder="1" applyAlignment="1">
      <alignment horizontal="center" vertical="center" wrapText="1"/>
    </xf>
    <xf numFmtId="0" fontId="37" fillId="0" borderId="9" xfId="0" applyFont="1" applyFill="1" applyBorder="1" applyAlignment="1">
      <alignment vertical="center"/>
    </xf>
    <xf numFmtId="0" fontId="37" fillId="0" borderId="8" xfId="0" applyFont="1" applyFill="1" applyBorder="1" applyAlignment="1">
      <alignment vertical="center"/>
    </xf>
    <xf numFmtId="0" fontId="37" fillId="9" borderId="11" xfId="0" quotePrefix="1" applyFont="1" applyFill="1" applyBorder="1" applyAlignment="1" applyProtection="1">
      <alignment vertical="center" wrapText="1"/>
    </xf>
    <xf numFmtId="199" fontId="37" fillId="0" borderId="6" xfId="0" applyNumberFormat="1" applyFont="1" applyFill="1" applyBorder="1" applyAlignment="1" applyProtection="1">
      <alignment horizontal="center" vertical="center"/>
    </xf>
    <xf numFmtId="197" fontId="37" fillId="0" borderId="6" xfId="0" applyNumberFormat="1" applyFont="1" applyFill="1" applyBorder="1" applyAlignment="1" applyProtection="1">
      <alignment horizontal="center" vertical="center"/>
    </xf>
    <xf numFmtId="0" fontId="37" fillId="0" borderId="0" xfId="0" applyNumberFormat="1" applyFont="1" applyFill="1" applyBorder="1" applyAlignment="1">
      <alignment horizontal="center" vertical="center" wrapText="1"/>
    </xf>
    <xf numFmtId="0" fontId="37" fillId="0" borderId="7" xfId="0" applyFont="1" applyFill="1" applyBorder="1" applyAlignment="1">
      <alignment vertical="center"/>
    </xf>
    <xf numFmtId="0" fontId="41" fillId="0" borderId="0" xfId="0" applyFont="1" applyFill="1" applyBorder="1" applyAlignment="1" applyProtection="1">
      <alignment horizontal="center" vertical="center"/>
    </xf>
    <xf numFmtId="14" fontId="37" fillId="5" borderId="5" xfId="0" applyNumberFormat="1" applyFont="1" applyFill="1" applyBorder="1" applyAlignment="1">
      <alignment horizontal="left" vertical="center"/>
    </xf>
    <xf numFmtId="0" fontId="37" fillId="5" borderId="9" xfId="0" applyFont="1" applyFill="1" applyBorder="1" applyAlignment="1">
      <alignment vertical="center" wrapText="1"/>
    </xf>
    <xf numFmtId="0" fontId="37" fillId="5" borderId="6" xfId="0" applyFont="1" applyFill="1" applyBorder="1" applyAlignment="1">
      <alignment vertical="center" wrapText="1"/>
    </xf>
    <xf numFmtId="186" fontId="37" fillId="5" borderId="13" xfId="0" applyNumberFormat="1" applyFont="1" applyFill="1" applyBorder="1" applyAlignment="1">
      <alignment vertical="center" wrapText="1"/>
    </xf>
    <xf numFmtId="0" fontId="0" fillId="0" borderId="8" xfId="0" applyFont="1" applyBorder="1" applyAlignment="1">
      <alignment vertical="center"/>
    </xf>
    <xf numFmtId="0" fontId="10" fillId="5" borderId="5" xfId="0" applyFont="1" applyFill="1" applyBorder="1" applyAlignment="1">
      <alignment vertical="center"/>
    </xf>
    <xf numFmtId="0" fontId="10" fillId="5" borderId="6" xfId="0" applyFont="1" applyFill="1" applyBorder="1" applyAlignment="1">
      <alignment vertical="center"/>
    </xf>
    <xf numFmtId="0" fontId="37" fillId="0" borderId="0" xfId="0" quotePrefix="1" applyFont="1" applyFill="1" applyBorder="1" applyAlignment="1" applyProtection="1">
      <alignment vertical="center"/>
    </xf>
    <xf numFmtId="0" fontId="37" fillId="0" borderId="0" xfId="0" quotePrefix="1" applyFont="1" applyFill="1" applyBorder="1" applyAlignment="1" applyProtection="1">
      <alignment vertical="center" wrapText="1"/>
    </xf>
    <xf numFmtId="0" fontId="37" fillId="0" borderId="5" xfId="0" applyNumberFormat="1" applyFont="1" applyFill="1" applyBorder="1" applyAlignment="1" applyProtection="1">
      <alignment horizontal="center" vertical="center"/>
    </xf>
    <xf numFmtId="0" fontId="37" fillId="0" borderId="0" xfId="0" applyFont="1" applyFill="1" applyBorder="1" applyAlignment="1" applyProtection="1">
      <alignment vertical="center"/>
    </xf>
    <xf numFmtId="0" fontId="37" fillId="0" borderId="0" xfId="0" applyNumberFormat="1" applyFont="1" applyFill="1" applyBorder="1" applyAlignment="1" applyProtection="1">
      <alignment horizontal="center" vertical="center"/>
    </xf>
    <xf numFmtId="182" fontId="37" fillId="0" borderId="5" xfId="0" applyNumberFormat="1" applyFont="1" applyFill="1" applyBorder="1" applyAlignment="1" applyProtection="1">
      <alignment horizontal="center" vertical="center"/>
      <protection locked="0"/>
    </xf>
    <xf numFmtId="181" fontId="37" fillId="0" borderId="0" xfId="0" applyNumberFormat="1" applyFont="1" applyFill="1" applyBorder="1" applyAlignment="1">
      <alignment horizontal="center" vertical="center"/>
    </xf>
    <xf numFmtId="178" fontId="37" fillId="0" borderId="0" xfId="0" applyNumberFormat="1" applyFont="1" applyFill="1" applyBorder="1" applyAlignment="1">
      <alignment horizontal="center" vertical="center"/>
    </xf>
    <xf numFmtId="180" fontId="37" fillId="0" borderId="0" xfId="0" applyNumberFormat="1" applyFont="1" applyFill="1" applyBorder="1" applyAlignment="1" applyProtection="1">
      <alignment horizontal="center" vertical="center"/>
    </xf>
    <xf numFmtId="180" fontId="37" fillId="0" borderId="0" xfId="0" applyNumberFormat="1" applyFont="1" applyFill="1" applyBorder="1" applyAlignment="1">
      <alignment horizontal="center" vertical="center"/>
    </xf>
    <xf numFmtId="182" fontId="37" fillId="0" borderId="0" xfId="0" applyNumberFormat="1" applyFont="1" applyFill="1" applyBorder="1" applyAlignment="1" applyProtection="1">
      <alignment horizontal="center" vertical="center"/>
      <protection locked="0"/>
    </xf>
    <xf numFmtId="183" fontId="37" fillId="0" borderId="0" xfId="0" applyNumberFormat="1" applyFont="1" applyFill="1" applyBorder="1" applyAlignment="1" applyProtection="1">
      <alignment horizontal="center" vertical="center"/>
    </xf>
    <xf numFmtId="198" fontId="37" fillId="9" borderId="6" xfId="0" quotePrefix="1" applyNumberFormat="1" applyFont="1" applyFill="1" applyBorder="1" applyAlignment="1" applyProtection="1">
      <alignment horizontal="center" vertical="center"/>
    </xf>
    <xf numFmtId="177" fontId="37" fillId="9" borderId="6" xfId="1" applyFont="1" applyFill="1" applyBorder="1" applyAlignment="1" applyProtection="1">
      <alignment horizontal="center" vertical="center"/>
    </xf>
    <xf numFmtId="197" fontId="37" fillId="9" borderId="9" xfId="0" applyNumberFormat="1" applyFont="1" applyFill="1" applyBorder="1" applyAlignment="1" applyProtection="1">
      <alignment horizontal="center" vertical="center"/>
    </xf>
    <xf numFmtId="198" fontId="37" fillId="0" borderId="9" xfId="0" applyNumberFormat="1" applyFont="1" applyFill="1" applyBorder="1" applyAlignment="1" applyProtection="1">
      <alignment horizontal="center" vertical="center"/>
    </xf>
    <xf numFmtId="181" fontId="37" fillId="0" borderId="9" xfId="0" applyNumberFormat="1" applyFont="1" applyFill="1" applyBorder="1" applyAlignment="1">
      <alignment horizontal="center" vertical="center"/>
    </xf>
    <xf numFmtId="0" fontId="37" fillId="0" borderId="9" xfId="0" applyFont="1" applyFill="1" applyBorder="1" applyAlignment="1" applyProtection="1">
      <alignment horizontal="distributed" vertical="distributed" wrapText="1"/>
      <protection locked="0"/>
    </xf>
    <xf numFmtId="0" fontId="37" fillId="0" borderId="0" xfId="0" applyFont="1" applyFill="1" applyBorder="1" applyAlignment="1" applyProtection="1">
      <alignment vertical="center" wrapText="1"/>
      <protection locked="0"/>
    </xf>
    <xf numFmtId="0" fontId="37" fillId="0" borderId="0" xfId="0" applyFont="1" applyFill="1" applyBorder="1" applyAlignment="1" applyProtection="1">
      <alignment vertical="center" wrapText="1"/>
    </xf>
    <xf numFmtId="0" fontId="37" fillId="4" borderId="5" xfId="0" applyFont="1" applyFill="1" applyBorder="1" applyAlignment="1">
      <alignment vertical="center" wrapText="1"/>
    </xf>
    <xf numFmtId="0" fontId="37" fillId="4" borderId="9" xfId="0" applyFont="1" applyFill="1" applyBorder="1" applyAlignment="1">
      <alignment vertical="center" wrapText="1"/>
    </xf>
    <xf numFmtId="0" fontId="37" fillId="4" borderId="9" xfId="0" applyFont="1" applyFill="1" applyBorder="1" applyAlignment="1">
      <alignment vertical="center"/>
    </xf>
    <xf numFmtId="0" fontId="37" fillId="4" borderId="0" xfId="0" applyFont="1" applyFill="1" applyBorder="1" applyAlignment="1">
      <alignment vertical="center" wrapText="1"/>
    </xf>
    <xf numFmtId="0" fontId="37" fillId="0" borderId="9" xfId="0" applyFont="1" applyFill="1" applyBorder="1" applyAlignment="1">
      <alignment vertical="center" wrapText="1"/>
    </xf>
    <xf numFmtId="0" fontId="37" fillId="0" borderId="7" xfId="0" applyFont="1" applyFill="1" applyBorder="1" applyAlignment="1">
      <alignment vertical="center" wrapText="1"/>
    </xf>
    <xf numFmtId="0" fontId="37" fillId="0" borderId="0" xfId="0" applyFont="1" applyFill="1" applyBorder="1" applyAlignment="1">
      <alignment vertical="center" wrapText="1"/>
    </xf>
    <xf numFmtId="0" fontId="37" fillId="0" borderId="7" xfId="0" quotePrefix="1" applyFont="1" applyFill="1" applyBorder="1" applyAlignment="1" applyProtection="1">
      <alignment vertical="center" wrapText="1"/>
    </xf>
    <xf numFmtId="0" fontId="37" fillId="9" borderId="1" xfId="0" applyFont="1" applyFill="1" applyBorder="1" applyAlignment="1" applyProtection="1">
      <alignment horizontal="center" vertical="center"/>
      <protection locked="0"/>
    </xf>
    <xf numFmtId="0" fontId="37" fillId="0" borderId="9" xfId="0" applyFont="1" applyFill="1" applyBorder="1" applyAlignment="1" applyProtection="1">
      <alignment vertical="center" wrapText="1"/>
      <protection locked="0"/>
    </xf>
    <xf numFmtId="181" fontId="37" fillId="0" borderId="6" xfId="0" applyNumberFormat="1" applyFont="1" applyFill="1" applyBorder="1" applyAlignment="1" applyProtection="1">
      <alignment vertical="center"/>
      <protection locked="0"/>
    </xf>
    <xf numFmtId="0" fontId="37" fillId="0" borderId="9" xfId="0" applyFont="1" applyFill="1" applyBorder="1" applyAlignment="1">
      <alignment horizontal="center" vertical="center"/>
    </xf>
    <xf numFmtId="182" fontId="37" fillId="0" borderId="9" xfId="0" applyNumberFormat="1" applyFont="1" applyFill="1" applyBorder="1" applyAlignment="1" applyProtection="1">
      <alignment horizontal="center" vertical="center"/>
      <protection locked="0"/>
    </xf>
    <xf numFmtId="181" fontId="37" fillId="0" borderId="5" xfId="0" applyNumberFormat="1" applyFont="1" applyFill="1" applyBorder="1" applyAlignment="1" applyProtection="1">
      <alignment vertical="center"/>
      <protection locked="0"/>
    </xf>
    <xf numFmtId="0" fontId="37" fillId="0" borderId="8" xfId="0" applyFont="1" applyFill="1" applyBorder="1" applyAlignment="1">
      <alignment horizontal="center" vertical="center"/>
    </xf>
    <xf numFmtId="182" fontId="37" fillId="0" borderId="8" xfId="0" applyNumberFormat="1" applyFont="1" applyFill="1" applyBorder="1" applyAlignment="1" applyProtection="1">
      <alignment horizontal="center" vertical="center"/>
      <protection locked="0"/>
    </xf>
    <xf numFmtId="182" fontId="37" fillId="0" borderId="12" xfId="0" applyNumberFormat="1" applyFont="1" applyFill="1" applyBorder="1" applyAlignment="1" applyProtection="1">
      <alignment horizontal="center" vertical="center"/>
      <protection locked="0"/>
    </xf>
    <xf numFmtId="0" fontId="37" fillId="0" borderId="1" xfId="0" applyFont="1" applyFill="1" applyBorder="1" applyAlignment="1" applyProtection="1">
      <alignment horizontal="distributed" vertical="distributed" wrapText="1"/>
      <protection locked="0"/>
    </xf>
    <xf numFmtId="0" fontId="37" fillId="0" borderId="1" xfId="0" applyNumberFormat="1" applyFont="1" applyFill="1" applyBorder="1" applyAlignment="1" applyProtection="1">
      <alignment horizontal="center" vertical="center" wrapText="1"/>
      <protection locked="0"/>
    </xf>
    <xf numFmtId="0" fontId="51" fillId="0" borderId="1" xfId="4" applyFont="1" applyBorder="1" applyAlignment="1">
      <alignment horizontal="center" vertical="center"/>
    </xf>
    <xf numFmtId="20" fontId="51" fillId="5" borderId="1" xfId="4" applyNumberFormat="1" applyFont="1" applyFill="1" applyBorder="1" applyAlignment="1">
      <alignment horizontal="center" vertical="center"/>
    </xf>
    <xf numFmtId="14" fontId="51" fillId="0" borderId="0" xfId="4" applyNumberFormat="1" applyFont="1">
      <alignment vertical="center"/>
    </xf>
    <xf numFmtId="0" fontId="51" fillId="0" borderId="0" xfId="4" applyFont="1" applyAlignment="1">
      <alignment horizontal="center" vertical="center"/>
    </xf>
    <xf numFmtId="0" fontId="37" fillId="0" borderId="1" xfId="0"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wrapText="1"/>
    </xf>
    <xf numFmtId="0" fontId="51" fillId="0" borderId="1" xfId="4" quotePrefix="1" applyFont="1" applyBorder="1" applyAlignment="1">
      <alignment horizontal="center" vertical="center"/>
    </xf>
    <xf numFmtId="0" fontId="220" fillId="0" borderId="0" xfId="4" applyFont="1" applyBorder="1" applyAlignment="1">
      <alignment horizontal="center" vertical="center"/>
    </xf>
    <xf numFmtId="0" fontId="51" fillId="0" borderId="0" xfId="4" applyFont="1" applyBorder="1">
      <alignment vertical="center"/>
    </xf>
    <xf numFmtId="0" fontId="51" fillId="0" borderId="0" xfId="4" applyFont="1" applyBorder="1" applyAlignment="1">
      <alignment horizontal="center" vertical="center"/>
    </xf>
    <xf numFmtId="0" fontId="51" fillId="11" borderId="1" xfId="4" applyFont="1" applyFill="1" applyBorder="1">
      <alignment vertical="center"/>
    </xf>
    <xf numFmtId="0" fontId="51" fillId="11" borderId="1" xfId="4" applyFont="1" applyFill="1" applyBorder="1" applyAlignment="1">
      <alignment horizontal="center" vertical="center"/>
    </xf>
    <xf numFmtId="0" fontId="23" fillId="0" borderId="0" xfId="4" applyFont="1" applyAlignment="1">
      <alignment horizontal="center" vertical="center"/>
    </xf>
    <xf numFmtId="0" fontId="23" fillId="0" borderId="1" xfId="4" applyFont="1" applyBorder="1" applyAlignment="1">
      <alignment horizontal="center" vertical="center"/>
    </xf>
    <xf numFmtId="0" fontId="13" fillId="11" borderId="1" xfId="4" applyFont="1" applyFill="1" applyBorder="1" applyAlignment="1">
      <alignment horizontal="center" vertical="center"/>
    </xf>
    <xf numFmtId="180" fontId="37" fillId="11" borderId="1" xfId="4" applyNumberFormat="1" applyFont="1" applyFill="1" applyBorder="1" applyAlignment="1">
      <alignment horizontal="center" vertical="center"/>
    </xf>
    <xf numFmtId="0" fontId="23" fillId="0" borderId="1" xfId="4" applyFont="1" applyBorder="1" applyAlignment="1">
      <alignment horizontal="center" vertical="center" wrapText="1"/>
    </xf>
    <xf numFmtId="0" fontId="13" fillId="11" borderId="1" xfId="0" applyFont="1" applyFill="1" applyBorder="1" applyAlignment="1">
      <alignment horizontal="center" vertical="center" shrinkToFit="1"/>
    </xf>
    <xf numFmtId="0" fontId="13" fillId="11" borderId="1" xfId="4" applyFont="1" applyFill="1" applyBorder="1" applyAlignment="1">
      <alignment horizontal="center" vertical="center" shrinkToFit="1"/>
    </xf>
    <xf numFmtId="0" fontId="23" fillId="0" borderId="0" xfId="4" applyFont="1" applyBorder="1" applyAlignment="1">
      <alignment horizontal="center" vertical="center"/>
    </xf>
    <xf numFmtId="199" fontId="37" fillId="11" borderId="1" xfId="4" applyNumberFormat="1" applyFont="1" applyFill="1" applyBorder="1" applyAlignment="1">
      <alignment horizontal="center" vertical="center"/>
    </xf>
    <xf numFmtId="0" fontId="23" fillId="11" borderId="1" xfId="4" applyFont="1" applyFill="1" applyBorder="1" applyAlignment="1">
      <alignment horizontal="center" vertical="center"/>
    </xf>
    <xf numFmtId="0" fontId="220" fillId="13" borderId="1" xfId="4" applyFont="1" applyFill="1" applyBorder="1">
      <alignment vertical="center"/>
    </xf>
    <xf numFmtId="0" fontId="51" fillId="13" borderId="1" xfId="4" applyFont="1" applyFill="1" applyBorder="1">
      <alignment vertical="center"/>
    </xf>
    <xf numFmtId="0" fontId="23" fillId="13" borderId="1" xfId="4" applyFont="1" applyFill="1" applyBorder="1" applyAlignment="1">
      <alignment horizontal="center" vertical="center"/>
    </xf>
    <xf numFmtId="0" fontId="51" fillId="13" borderId="1" xfId="4" applyFont="1" applyFill="1" applyBorder="1" applyAlignment="1">
      <alignment horizontal="center" vertical="center"/>
    </xf>
    <xf numFmtId="0" fontId="13" fillId="0" borderId="1" xfId="4" applyFont="1" applyFill="1" applyBorder="1" applyAlignment="1">
      <alignment horizontal="center" vertical="center"/>
    </xf>
    <xf numFmtId="0" fontId="51" fillId="0" borderId="1" xfId="4" applyFont="1" applyFill="1" applyBorder="1" applyAlignment="1">
      <alignment horizontal="center" vertical="center"/>
    </xf>
    <xf numFmtId="0" fontId="67" fillId="0" borderId="0" xfId="4" applyFont="1">
      <alignment vertical="center"/>
    </xf>
    <xf numFmtId="14" fontId="74" fillId="5" borderId="0" xfId="4" applyNumberFormat="1" applyFont="1" applyFill="1">
      <alignment vertical="center"/>
    </xf>
    <xf numFmtId="0" fontId="51" fillId="0" borderId="1" xfId="4" applyFont="1" applyBorder="1" applyAlignment="1">
      <alignment horizontal="center" vertical="center"/>
    </xf>
    <xf numFmtId="0" fontId="104" fillId="0" borderId="13" xfId="8" applyFont="1" applyFill="1" applyBorder="1" applyAlignment="1" applyProtection="1">
      <alignment vertical="center" wrapText="1"/>
    </xf>
    <xf numFmtId="0" fontId="104" fillId="0" borderId="8" xfId="8" applyFont="1" applyFill="1" applyBorder="1" applyAlignment="1" applyProtection="1">
      <alignment vertical="center" wrapText="1"/>
    </xf>
    <xf numFmtId="0" fontId="104" fillId="0" borderId="12" xfId="8" applyFont="1" applyFill="1" applyBorder="1" applyAlignment="1" applyProtection="1">
      <alignment vertical="center" wrapText="1"/>
    </xf>
    <xf numFmtId="0" fontId="104" fillId="0" borderId="92" xfId="8" applyFont="1" applyFill="1" applyBorder="1" applyAlignment="1" applyProtection="1">
      <alignment vertical="center" wrapText="1"/>
    </xf>
    <xf numFmtId="0" fontId="104" fillId="0" borderId="74" xfId="8" applyFont="1" applyFill="1" applyBorder="1" applyAlignment="1" applyProtection="1">
      <alignment vertical="center" wrapText="1"/>
    </xf>
    <xf numFmtId="0" fontId="104" fillId="0" borderId="75" xfId="8" applyFont="1" applyFill="1" applyBorder="1" applyAlignment="1" applyProtection="1">
      <alignment vertical="center" wrapText="1"/>
    </xf>
    <xf numFmtId="0" fontId="104" fillId="0" borderId="66" xfId="8" applyFont="1" applyFill="1" applyBorder="1" applyAlignment="1" applyProtection="1">
      <alignment vertical="center" wrapText="1"/>
    </xf>
    <xf numFmtId="0" fontId="104" fillId="0" borderId="0" xfId="8" applyFont="1" applyFill="1" applyBorder="1" applyAlignment="1" applyProtection="1">
      <alignment vertical="center" wrapText="1"/>
    </xf>
    <xf numFmtId="0" fontId="104" fillId="0" borderId="16" xfId="8" applyFont="1" applyFill="1" applyBorder="1" applyAlignment="1" applyProtection="1">
      <alignment vertical="center" wrapText="1"/>
    </xf>
    <xf numFmtId="14" fontId="49" fillId="0" borderId="0" xfId="4" applyNumberFormat="1" applyFont="1">
      <alignment vertical="center"/>
    </xf>
    <xf numFmtId="0" fontId="49" fillId="0" borderId="0" xfId="4" applyFont="1">
      <alignment vertical="center"/>
    </xf>
    <xf numFmtId="20" fontId="97" fillId="5" borderId="1" xfId="4" applyNumberFormat="1" applyFont="1" applyFill="1" applyBorder="1" applyAlignment="1">
      <alignment horizontal="center" vertical="center"/>
    </xf>
    <xf numFmtId="0" fontId="49" fillId="0" borderId="1" xfId="4" applyFont="1" applyBorder="1">
      <alignment vertical="center"/>
    </xf>
    <xf numFmtId="0" fontId="49" fillId="0" borderId="1" xfId="4" applyFont="1" applyBorder="1" applyAlignment="1">
      <alignment horizontal="center" vertical="center"/>
    </xf>
    <xf numFmtId="182" fontId="13" fillId="0" borderId="1" xfId="0" applyNumberFormat="1" applyFont="1" applyFill="1" applyBorder="1" applyAlignment="1">
      <alignment horizontal="center" vertical="center"/>
    </xf>
    <xf numFmtId="182" fontId="31" fillId="13" borderId="1" xfId="0" applyNumberFormat="1" applyFont="1" applyFill="1" applyBorder="1" applyAlignment="1" applyProtection="1">
      <alignment horizontal="center" vertical="center"/>
      <protection locked="0"/>
    </xf>
    <xf numFmtId="182" fontId="31" fillId="0" borderId="0" xfId="0" applyNumberFormat="1" applyFont="1" applyFill="1" applyBorder="1" applyAlignment="1" applyProtection="1">
      <alignment horizontal="center" vertical="center"/>
      <protection locked="0"/>
    </xf>
    <xf numFmtId="182" fontId="13" fillId="0" borderId="1" xfId="0" applyNumberFormat="1" applyFont="1" applyFill="1" applyBorder="1" applyAlignment="1" applyProtection="1">
      <alignment horizontal="center" vertical="center"/>
      <protection locked="0"/>
    </xf>
    <xf numFmtId="0" fontId="98" fillId="0" borderId="1" xfId="84" applyFill="1" applyBorder="1" applyAlignment="1" applyProtection="1">
      <alignment horizontal="left" vertical="center"/>
    </xf>
    <xf numFmtId="0" fontId="224" fillId="0" borderId="0" xfId="4" applyFont="1">
      <alignment vertical="center"/>
    </xf>
    <xf numFmtId="0" fontId="37" fillId="0" borderId="1" xfId="0" applyFont="1" applyFill="1" applyBorder="1" applyAlignment="1" applyProtection="1">
      <alignment horizontal="center" vertical="center" wrapText="1"/>
      <protection locked="0"/>
    </xf>
    <xf numFmtId="0" fontId="37" fillId="0" borderId="1" xfId="0" applyFont="1" applyFill="1" applyBorder="1" applyAlignment="1">
      <alignment horizontal="center" vertical="center"/>
    </xf>
    <xf numFmtId="0" fontId="37" fillId="0" borderId="3" xfId="0" applyFont="1" applyFill="1" applyBorder="1" applyAlignment="1" applyProtection="1">
      <alignment horizontal="center" vertical="center" wrapText="1"/>
    </xf>
    <xf numFmtId="0" fontId="57" fillId="0" borderId="0" xfId="4" applyFont="1">
      <alignment vertical="center"/>
    </xf>
    <xf numFmtId="0" fontId="37" fillId="14" borderId="3" xfId="0" applyFont="1" applyFill="1" applyBorder="1" applyAlignment="1">
      <alignment horizontal="center" vertical="center"/>
    </xf>
    <xf numFmtId="0" fontId="37" fillId="14" borderId="5" xfId="0" applyFont="1" applyFill="1" applyBorder="1" applyAlignment="1">
      <alignment horizontal="center" vertical="center"/>
    </xf>
    <xf numFmtId="0" fontId="16" fillId="0" borderId="5" xfId="8" applyFont="1" applyFill="1" applyBorder="1" applyAlignment="1" applyProtection="1">
      <alignment horizontal="center" vertical="center" wrapText="1"/>
    </xf>
    <xf numFmtId="0" fontId="16" fillId="0" borderId="6" xfId="8" applyFont="1" applyFill="1" applyBorder="1" applyAlignment="1" applyProtection="1">
      <alignment horizontal="center" vertical="center" wrapText="1"/>
    </xf>
    <xf numFmtId="0" fontId="49" fillId="0" borderId="3" xfId="0" applyFont="1" applyFill="1" applyBorder="1" applyAlignment="1" applyProtection="1">
      <alignment horizontal="center" vertical="center"/>
    </xf>
    <xf numFmtId="0" fontId="49" fillId="0" borderId="10" xfId="0" applyFont="1" applyFill="1" applyBorder="1" applyAlignment="1" applyProtection="1">
      <alignment horizontal="center" vertical="center"/>
    </xf>
    <xf numFmtId="0" fontId="49" fillId="0" borderId="1" xfId="0" applyFont="1" applyFill="1" applyBorder="1" applyAlignment="1" applyProtection="1">
      <alignment horizontal="center" vertical="center" wrapText="1"/>
    </xf>
    <xf numFmtId="0" fontId="23" fillId="0" borderId="1" xfId="0" applyNumberFormat="1" applyFont="1" applyFill="1" applyBorder="1" applyAlignment="1" applyProtection="1">
      <alignment horizontal="center" vertical="center" wrapText="1"/>
    </xf>
    <xf numFmtId="0" fontId="37" fillId="0" borderId="10" xfId="0" applyFont="1" applyFill="1" applyBorder="1" applyAlignment="1" applyProtection="1">
      <alignment horizontal="center" vertical="center" wrapText="1"/>
    </xf>
    <xf numFmtId="0" fontId="49" fillId="0" borderId="3" xfId="0" applyFont="1" applyFill="1" applyBorder="1" applyAlignment="1">
      <alignment horizontal="center" vertical="center" wrapText="1"/>
    </xf>
    <xf numFmtId="181" fontId="49" fillId="0" borderId="3" xfId="0" applyNumberFormat="1" applyFont="1" applyFill="1" applyBorder="1" applyAlignment="1">
      <alignment horizontal="center" vertical="center"/>
    </xf>
    <xf numFmtId="179" fontId="57" fillId="0" borderId="13" xfId="0" applyNumberFormat="1" applyFont="1" applyFill="1" applyBorder="1" applyAlignment="1" applyProtection="1">
      <alignment horizontal="center" vertical="center"/>
    </xf>
    <xf numFmtId="189" fontId="49" fillId="0" borderId="94" xfId="0" applyNumberFormat="1" applyFont="1" applyFill="1" applyBorder="1" applyAlignment="1" applyProtection="1">
      <alignment horizontal="center" vertical="center"/>
    </xf>
    <xf numFmtId="178" fontId="49" fillId="0" borderId="3" xfId="0" applyNumberFormat="1" applyFont="1" applyFill="1" applyBorder="1" applyAlignment="1" applyProtection="1">
      <alignment horizontal="center" vertical="center"/>
    </xf>
    <xf numFmtId="0" fontId="51" fillId="0" borderId="3" xfId="8" applyFont="1" applyFill="1" applyBorder="1" applyAlignment="1" applyProtection="1">
      <alignment horizontal="center" vertical="center" wrapText="1"/>
      <protection locked="0"/>
    </xf>
    <xf numFmtId="0" fontId="49" fillId="0" borderId="95" xfId="0" applyFont="1" applyFill="1" applyBorder="1" applyAlignment="1" applyProtection="1">
      <alignment vertical="center"/>
    </xf>
    <xf numFmtId="0" fontId="49" fillId="0" borderId="93" xfId="0" applyFont="1" applyFill="1" applyBorder="1" applyAlignment="1">
      <alignment horizontal="center" vertical="center"/>
    </xf>
    <xf numFmtId="0" fontId="49" fillId="0" borderId="93" xfId="0" applyFont="1" applyFill="1" applyBorder="1" applyAlignment="1">
      <alignment horizontal="center" vertical="center" wrapText="1"/>
    </xf>
    <xf numFmtId="181" fontId="49" fillId="0" borderId="93" xfId="0" applyNumberFormat="1" applyFont="1" applyFill="1" applyBorder="1" applyAlignment="1">
      <alignment horizontal="center" vertical="center"/>
    </xf>
    <xf numFmtId="179" fontId="57" fillId="0" borderId="96" xfId="0" applyNumberFormat="1" applyFont="1" applyFill="1" applyBorder="1" applyAlignment="1" applyProtection="1">
      <alignment horizontal="center" vertical="center"/>
    </xf>
    <xf numFmtId="189" fontId="49" fillId="0" borderId="99" xfId="0" applyNumberFormat="1" applyFont="1" applyFill="1" applyBorder="1" applyAlignment="1" applyProtection="1">
      <alignment horizontal="center" vertical="center"/>
    </xf>
    <xf numFmtId="178" fontId="49" fillId="0" borderId="93" xfId="0" applyNumberFormat="1" applyFont="1" applyFill="1" applyBorder="1" applyAlignment="1" applyProtection="1">
      <alignment horizontal="center" vertical="center"/>
    </xf>
    <xf numFmtId="0" fontId="49" fillId="0" borderId="93" xfId="0" applyNumberFormat="1" applyFont="1" applyFill="1" applyBorder="1" applyAlignment="1" applyProtection="1">
      <alignment horizontal="center" vertical="center"/>
    </xf>
    <xf numFmtId="0" fontId="37" fillId="0" borderId="1" xfId="0" applyFont="1" applyFill="1" applyBorder="1" applyAlignment="1" applyProtection="1">
      <alignment vertical="center"/>
    </xf>
    <xf numFmtId="181" fontId="23" fillId="0" borderId="1" xfId="0" applyNumberFormat="1" applyFont="1" applyFill="1" applyBorder="1" applyAlignment="1" applyProtection="1">
      <alignment horizontal="center" vertical="center"/>
      <protection locked="0"/>
    </xf>
    <xf numFmtId="0" fontId="104" fillId="0" borderId="1" xfId="0" applyNumberFormat="1" applyFont="1" applyFill="1" applyBorder="1" applyAlignment="1" applyProtection="1">
      <alignment horizontal="center" vertical="center" wrapText="1"/>
    </xf>
    <xf numFmtId="0" fontId="227" fillId="13" borderId="6" xfId="0" applyFont="1" applyFill="1" applyBorder="1" applyAlignment="1" applyProtection="1">
      <alignment vertical="center" wrapText="1"/>
    </xf>
    <xf numFmtId="0" fontId="227" fillId="0" borderId="3" xfId="0" applyFont="1" applyFill="1" applyBorder="1" applyAlignment="1" applyProtection="1">
      <alignment horizontal="center" vertical="center"/>
    </xf>
    <xf numFmtId="0" fontId="227" fillId="0" borderId="1" xfId="0" applyNumberFormat="1" applyFont="1" applyFill="1" applyBorder="1" applyAlignment="1" applyProtection="1">
      <alignment horizontal="center" vertical="center" wrapText="1"/>
    </xf>
    <xf numFmtId="0" fontId="227" fillId="0" borderId="1" xfId="0" applyNumberFormat="1" applyFont="1" applyFill="1" applyBorder="1" applyAlignment="1">
      <alignment horizontal="center" vertical="center" wrapText="1"/>
    </xf>
    <xf numFmtId="0" fontId="227" fillId="0" borderId="1" xfId="8" applyNumberFormat="1" applyFont="1" applyFill="1" applyBorder="1" applyAlignment="1" applyProtection="1">
      <alignment horizontal="center" vertical="center" wrapText="1"/>
    </xf>
    <xf numFmtId="184" fontId="227" fillId="0" borderId="1" xfId="8" applyNumberFormat="1" applyFont="1" applyFill="1" applyBorder="1" applyAlignment="1" applyProtection="1">
      <alignment horizontal="center" vertical="center" wrapText="1"/>
    </xf>
    <xf numFmtId="0" fontId="227" fillId="0" borderId="9" xfId="0" applyFont="1" applyFill="1" applyBorder="1" applyAlignment="1" applyProtection="1">
      <alignment horizontal="centerContinuous" vertical="center"/>
    </xf>
    <xf numFmtId="0" fontId="227" fillId="0" borderId="2" xfId="0" applyFont="1" applyFill="1" applyBorder="1" applyAlignment="1" applyProtection="1">
      <alignment horizontal="center" vertical="center" wrapText="1"/>
    </xf>
    <xf numFmtId="0" fontId="227" fillId="0" borderId="6" xfId="0" applyNumberFormat="1" applyFont="1" applyFill="1" applyBorder="1" applyAlignment="1" applyProtection="1">
      <alignment horizontal="center" vertical="center" wrapText="1"/>
      <protection locked="0"/>
    </xf>
    <xf numFmtId="0" fontId="227" fillId="0" borderId="1" xfId="8" applyNumberFormat="1" applyFont="1" applyFill="1" applyBorder="1" applyAlignment="1" applyProtection="1">
      <alignment horizontal="center" vertical="center"/>
      <protection locked="0"/>
    </xf>
    <xf numFmtId="0" fontId="227" fillId="0" borderId="1" xfId="8" applyNumberFormat="1" applyFont="1" applyFill="1" applyBorder="1" applyAlignment="1" applyProtection="1">
      <alignment horizontal="center" vertical="center" wrapText="1"/>
      <protection locked="0"/>
    </xf>
    <xf numFmtId="0" fontId="227" fillId="0" borderId="15" xfId="8" applyNumberFormat="1" applyFont="1" applyFill="1" applyBorder="1" applyAlignment="1" applyProtection="1">
      <alignment horizontal="center" vertical="center"/>
    </xf>
    <xf numFmtId="0" fontId="227" fillId="0" borderId="1" xfId="0" applyFont="1" applyFill="1" applyBorder="1" applyAlignment="1" applyProtection="1">
      <alignment horizontal="center" vertical="center" wrapText="1"/>
    </xf>
    <xf numFmtId="0" fontId="227" fillId="0" borderId="6" xfId="0" applyNumberFormat="1" applyFont="1" applyFill="1" applyBorder="1" applyAlignment="1">
      <alignment horizontal="center" vertical="center" wrapText="1"/>
    </xf>
    <xf numFmtId="0" fontId="227" fillId="0" borderId="7" xfId="0" applyFont="1" applyFill="1" applyBorder="1" applyAlignment="1">
      <alignment horizontal="center" vertical="center"/>
    </xf>
    <xf numFmtId="0" fontId="227" fillId="0" borderId="0" xfId="0" applyFont="1" applyFill="1" applyAlignment="1">
      <alignment horizontal="center" vertical="center"/>
    </xf>
    <xf numFmtId="0" fontId="231" fillId="0" borderId="1" xfId="0" applyNumberFormat="1" applyFont="1" applyFill="1" applyBorder="1" applyAlignment="1" applyProtection="1">
      <alignment horizontal="center" vertical="center" wrapText="1"/>
    </xf>
    <xf numFmtId="0" fontId="231" fillId="0" borderId="1" xfId="0" applyNumberFormat="1" applyFont="1" applyFill="1" applyBorder="1" applyAlignment="1">
      <alignment horizontal="center" vertical="center" wrapText="1"/>
    </xf>
    <xf numFmtId="0" fontId="231" fillId="0" borderId="9" xfId="0" applyFont="1" applyFill="1" applyBorder="1" applyAlignment="1" applyProtection="1">
      <alignment horizontal="centerContinuous" vertical="center"/>
    </xf>
    <xf numFmtId="0" fontId="231" fillId="0" borderId="6" xfId="0" applyNumberFormat="1" applyFont="1" applyFill="1" applyBorder="1" applyAlignment="1">
      <alignment horizontal="center" vertical="center" wrapText="1"/>
    </xf>
    <xf numFmtId="0" fontId="231" fillId="0" borderId="7" xfId="0" applyFont="1" applyFill="1" applyBorder="1" applyAlignment="1">
      <alignment horizontal="center" vertical="center"/>
    </xf>
    <xf numFmtId="0" fontId="231" fillId="0" borderId="0" xfId="0" applyFont="1" applyFill="1" applyAlignment="1">
      <alignment horizontal="center" vertical="center"/>
    </xf>
    <xf numFmtId="0" fontId="232" fillId="0" borderId="0" xfId="0" applyFont="1" applyFill="1" applyAlignment="1">
      <alignment horizontal="centerContinuous" vertical="center"/>
    </xf>
    <xf numFmtId="0" fontId="232" fillId="0" borderId="7" xfId="0" applyFont="1" applyFill="1" applyBorder="1" applyAlignment="1">
      <alignment horizontal="centerContinuous" vertical="center"/>
    </xf>
    <xf numFmtId="186" fontId="231" fillId="0" borderId="5" xfId="0" applyNumberFormat="1" applyFont="1" applyFill="1" applyBorder="1" applyAlignment="1" applyProtection="1">
      <alignment vertical="center" wrapText="1"/>
    </xf>
    <xf numFmtId="0" fontId="231" fillId="0" borderId="1" xfId="0" applyFont="1" applyFill="1" applyBorder="1" applyAlignment="1">
      <alignment horizontal="center" vertical="center"/>
    </xf>
    <xf numFmtId="180" fontId="231" fillId="0" borderId="1" xfId="0" applyNumberFormat="1" applyFont="1" applyFill="1" applyBorder="1" applyAlignment="1">
      <alignment horizontal="center" vertical="center"/>
    </xf>
    <xf numFmtId="183" fontId="231" fillId="0" borderId="1" xfId="0" quotePrefix="1" applyNumberFormat="1" applyFont="1" applyFill="1" applyBorder="1" applyAlignment="1">
      <alignment horizontal="center" vertical="center"/>
    </xf>
    <xf numFmtId="180" fontId="231" fillId="0" borderId="1" xfId="0" quotePrefix="1" applyNumberFormat="1" applyFont="1" applyFill="1" applyBorder="1" applyAlignment="1">
      <alignment horizontal="center" vertical="center"/>
    </xf>
    <xf numFmtId="185" fontId="231" fillId="0" borderId="1" xfId="0" applyNumberFormat="1" applyFont="1" applyFill="1" applyBorder="1" applyAlignment="1">
      <alignment horizontal="center" vertical="center"/>
    </xf>
    <xf numFmtId="10" fontId="231" fillId="0" borderId="2" xfId="0" applyNumberFormat="1" applyFont="1" applyFill="1" applyBorder="1" applyAlignment="1">
      <alignment horizontal="center" vertical="center"/>
    </xf>
    <xf numFmtId="178" fontId="231" fillId="0" borderId="1" xfId="0" quotePrefix="1" applyNumberFormat="1" applyFont="1" applyFill="1" applyBorder="1" applyAlignment="1">
      <alignment horizontal="center" vertical="center"/>
    </xf>
    <xf numFmtId="0" fontId="231" fillId="0" borderId="0" xfId="0" applyFont="1" applyFill="1" applyBorder="1" applyAlignment="1" applyProtection="1">
      <alignment horizontal="center" vertical="center" wrapText="1"/>
    </xf>
    <xf numFmtId="0" fontId="231" fillId="0" borderId="6" xfId="0" applyNumberFormat="1" applyFont="1" applyFill="1" applyBorder="1" applyAlignment="1" applyProtection="1">
      <alignment horizontal="center" vertical="center" wrapText="1"/>
    </xf>
    <xf numFmtId="0" fontId="231" fillId="0" borderId="2" xfId="0" applyNumberFormat="1" applyFont="1" applyFill="1" applyBorder="1" applyAlignment="1" applyProtection="1">
      <alignment horizontal="center" vertical="center" wrapText="1"/>
    </xf>
    <xf numFmtId="0" fontId="231" fillId="0" borderId="5" xfId="0" applyNumberFormat="1" applyFont="1" applyFill="1" applyBorder="1" applyAlignment="1" applyProtection="1">
      <alignment horizontal="center" vertical="center" wrapText="1"/>
    </xf>
    <xf numFmtId="185" fontId="231" fillId="0" borderId="1" xfId="7" applyNumberFormat="1" applyFont="1" applyFill="1" applyBorder="1" applyAlignment="1">
      <alignment horizontal="center" vertical="center"/>
    </xf>
    <xf numFmtId="0" fontId="231" fillId="0" borderId="9" xfId="0" applyNumberFormat="1" applyFont="1" applyFill="1" applyBorder="1" applyAlignment="1">
      <alignment horizontal="center" vertical="center" wrapText="1"/>
    </xf>
    <xf numFmtId="0" fontId="231" fillId="0" borderId="5" xfId="0" applyNumberFormat="1" applyFont="1" applyFill="1" applyBorder="1" applyAlignment="1">
      <alignment horizontal="center" vertical="center"/>
    </xf>
    <xf numFmtId="0" fontId="234" fillId="0" borderId="0" xfId="0" applyFont="1" applyFill="1" applyAlignment="1">
      <alignment horizontal="centerContinuous" vertical="center"/>
    </xf>
    <xf numFmtId="0" fontId="234" fillId="0" borderId="7" xfId="0" applyFont="1" applyFill="1" applyBorder="1" applyAlignment="1">
      <alignment horizontal="centerContinuous" vertical="center"/>
    </xf>
    <xf numFmtId="0" fontId="49" fillId="13" borderId="6" xfId="0" applyFont="1" applyFill="1" applyBorder="1" applyAlignment="1" applyProtection="1">
      <alignment vertical="center" wrapText="1"/>
    </xf>
    <xf numFmtId="0" fontId="49" fillId="0" borderId="1" xfId="8" applyNumberFormat="1" applyFont="1" applyFill="1" applyBorder="1" applyAlignment="1" applyProtection="1">
      <alignment horizontal="center" vertical="center" wrapText="1"/>
    </xf>
    <xf numFmtId="0" fontId="49" fillId="0" borderId="7" xfId="0" applyFont="1" applyFill="1" applyBorder="1" applyAlignment="1" applyProtection="1">
      <alignment vertical="center"/>
    </xf>
    <xf numFmtId="0" fontId="49" fillId="0" borderId="7" xfId="0" applyFont="1" applyFill="1" applyBorder="1" applyAlignment="1">
      <alignment horizontal="center" vertical="center"/>
    </xf>
    <xf numFmtId="0" fontId="49" fillId="0" borderId="6" xfId="0" applyNumberFormat="1" applyFont="1" applyFill="1" applyBorder="1" applyAlignment="1">
      <alignment horizontal="center" vertical="center" wrapText="1"/>
    </xf>
    <xf numFmtId="186" fontId="49" fillId="0" borderId="5" xfId="0" applyNumberFormat="1" applyFont="1" applyFill="1" applyBorder="1" applyAlignment="1" applyProtection="1">
      <alignment vertical="center" wrapText="1"/>
    </xf>
    <xf numFmtId="10" fontId="49" fillId="0" borderId="1" xfId="7" applyNumberFormat="1" applyFont="1" applyFill="1" applyBorder="1" applyAlignment="1">
      <alignment horizontal="center" vertical="center"/>
    </xf>
    <xf numFmtId="180" fontId="49" fillId="0" borderId="1" xfId="0" quotePrefix="1" applyNumberFormat="1" applyFont="1" applyFill="1" applyBorder="1" applyAlignment="1">
      <alignment horizontal="center" vertical="center"/>
    </xf>
    <xf numFmtId="0" fontId="49" fillId="0" borderId="6" xfId="0" applyNumberFormat="1" applyFont="1" applyFill="1" applyBorder="1" applyAlignment="1" applyProtection="1">
      <alignment horizontal="center" vertical="center" wrapText="1"/>
    </xf>
    <xf numFmtId="0" fontId="49" fillId="0" borderId="2" xfId="0" applyNumberFormat="1" applyFont="1" applyFill="1" applyBorder="1" applyAlignment="1" applyProtection="1">
      <alignment horizontal="center" vertical="center" wrapText="1"/>
    </xf>
    <xf numFmtId="183" fontId="49" fillId="0" borderId="1" xfId="0" applyNumberFormat="1" applyFont="1" applyFill="1" applyBorder="1" applyAlignment="1">
      <alignment horizontal="center" vertical="center"/>
    </xf>
    <xf numFmtId="185" fontId="49" fillId="0" borderId="1" xfId="7" applyNumberFormat="1" applyFont="1" applyFill="1" applyBorder="1" applyAlignment="1">
      <alignment horizontal="center" vertical="center"/>
    </xf>
    <xf numFmtId="0" fontId="49" fillId="0" borderId="5" xfId="0" applyNumberFormat="1" applyFont="1" applyFill="1" applyBorder="1" applyAlignment="1">
      <alignment horizontal="center" vertical="center"/>
    </xf>
    <xf numFmtId="0" fontId="235" fillId="0" borderId="0" xfId="0" applyFont="1" applyFill="1" applyAlignment="1">
      <alignment horizontal="centerContinuous" vertical="center"/>
    </xf>
    <xf numFmtId="0" fontId="235" fillId="0" borderId="7" xfId="0" applyFont="1" applyFill="1" applyBorder="1" applyAlignment="1">
      <alignment horizontal="centerContinuous" vertical="center"/>
    </xf>
    <xf numFmtId="0" fontId="227" fillId="0" borderId="10" xfId="0" applyFont="1" applyFill="1" applyBorder="1" applyAlignment="1" applyProtection="1">
      <alignment horizontal="center" vertical="center" wrapText="1"/>
    </xf>
    <xf numFmtId="189" fontId="23" fillId="0" borderId="14" xfId="0" applyNumberFormat="1"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2" xfId="0" applyFont="1" applyFill="1" applyBorder="1" applyAlignment="1" applyProtection="1">
      <alignment horizontal="center" vertical="center" wrapText="1"/>
    </xf>
    <xf numFmtId="0" fontId="50" fillId="0" borderId="3" xfId="0" applyFont="1" applyFill="1" applyBorder="1" applyAlignment="1">
      <alignment horizontal="center" vertical="center"/>
    </xf>
    <xf numFmtId="0" fontId="50" fillId="0" borderId="5" xfId="0" applyFont="1" applyFill="1" applyBorder="1" applyAlignment="1">
      <alignment horizontal="center" vertical="center"/>
    </xf>
    <xf numFmtId="0" fontId="37" fillId="0" borderId="5" xfId="0" applyFont="1" applyFill="1" applyBorder="1" applyAlignment="1" applyProtection="1">
      <alignment horizontal="center" vertical="center" wrapText="1"/>
    </xf>
    <xf numFmtId="0" fontId="37" fillId="0" borderId="5" xfId="0" applyFont="1" applyFill="1" applyBorder="1" applyAlignment="1">
      <alignment horizontal="center" vertical="center"/>
    </xf>
    <xf numFmtId="0" fontId="37" fillId="0" borderId="5" xfId="0" applyFont="1" applyFill="1" applyBorder="1" applyAlignment="1" applyProtection="1">
      <alignment horizontal="center" vertical="center" wrapText="1"/>
    </xf>
    <xf numFmtId="0" fontId="9" fillId="0" borderId="1" xfId="0" applyFont="1" applyBorder="1" applyAlignment="1" applyProtection="1">
      <alignment horizontal="center" vertical="center"/>
    </xf>
    <xf numFmtId="0" fontId="23" fillId="0" borderId="1" xfId="0" applyNumberFormat="1"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14" fontId="31" fillId="5" borderId="7" xfId="8" applyNumberFormat="1" applyFont="1" applyFill="1" applyBorder="1" applyAlignment="1" applyProtection="1">
      <alignment horizontal="center" vertical="center" wrapText="1"/>
      <protection locked="0"/>
    </xf>
    <xf numFmtId="14" fontId="23" fillId="0" borderId="0" xfId="0" applyNumberFormat="1" applyFont="1" applyFill="1" applyAlignment="1">
      <alignment horizontal="center" vertical="center"/>
    </xf>
    <xf numFmtId="0" fontId="51" fillId="0" borderId="1" xfId="4" applyFont="1" applyBorder="1" applyAlignment="1">
      <alignment horizontal="center" vertical="center"/>
    </xf>
    <xf numFmtId="178" fontId="51" fillId="0" borderId="1" xfId="4" applyNumberFormat="1" applyFont="1" applyBorder="1">
      <alignment vertical="center"/>
    </xf>
    <xf numFmtId="178" fontId="51" fillId="0" borderId="1" xfId="4" applyNumberFormat="1" applyFont="1" applyFill="1" applyBorder="1">
      <alignment vertical="center"/>
    </xf>
    <xf numFmtId="178" fontId="51" fillId="11" borderId="1" xfId="4" applyNumberFormat="1" applyFont="1" applyFill="1" applyBorder="1">
      <alignment vertical="center"/>
    </xf>
    <xf numFmtId="0" fontId="49" fillId="0" borderId="1"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wrapText="1"/>
    </xf>
    <xf numFmtId="185" fontId="67" fillId="0" borderId="0" xfId="7" applyNumberFormat="1" applyFont="1">
      <alignment vertical="center"/>
    </xf>
    <xf numFmtId="183" fontId="67" fillId="0" borderId="1" xfId="4" applyNumberFormat="1" applyFont="1" applyBorder="1" applyAlignment="1">
      <alignment horizontal="center" vertical="center"/>
    </xf>
    <xf numFmtId="185" fontId="67" fillId="0" borderId="1" xfId="7" applyNumberFormat="1" applyFont="1" applyBorder="1">
      <alignment vertical="center"/>
    </xf>
    <xf numFmtId="0" fontId="67" fillId="0" borderId="1" xfId="4" applyFont="1" applyBorder="1" applyAlignment="1">
      <alignment horizontal="center" vertical="center"/>
    </xf>
    <xf numFmtId="0" fontId="54" fillId="0" borderId="1" xfId="0" applyNumberFormat="1" applyFont="1" applyFill="1" applyBorder="1" applyAlignment="1" applyProtection="1">
      <alignment horizontal="center" vertical="center" wrapText="1"/>
    </xf>
    <xf numFmtId="0" fontId="23" fillId="0" borderId="1" xfId="0" applyNumberFormat="1" applyFont="1" applyFill="1" applyBorder="1" applyAlignment="1" applyProtection="1">
      <alignment horizontal="center" vertical="center" wrapText="1"/>
    </xf>
    <xf numFmtId="0" fontId="37" fillId="14" borderId="1" xfId="0" applyFont="1" applyFill="1" applyBorder="1" applyAlignment="1">
      <alignment horizontal="left" vertical="center" wrapText="1"/>
    </xf>
    <xf numFmtId="181" fontId="37" fillId="14" borderId="5" xfId="0" applyNumberFormat="1" applyFont="1" applyFill="1" applyBorder="1" applyAlignment="1">
      <alignment horizontal="center" vertical="center"/>
    </xf>
    <xf numFmtId="178" fontId="207" fillId="0" borderId="5" xfId="0" applyNumberFormat="1" applyFont="1" applyFill="1" applyBorder="1" applyAlignment="1">
      <alignment horizontal="center" vertical="center"/>
    </xf>
    <xf numFmtId="191" fontId="17" fillId="5" borderId="0" xfId="0" applyNumberFormat="1" applyFont="1" applyFill="1" applyAlignment="1">
      <alignment horizontal="center" vertical="center"/>
    </xf>
    <xf numFmtId="181" fontId="17" fillId="0" borderId="5" xfId="0" applyNumberFormat="1" applyFont="1" applyFill="1" applyBorder="1" applyAlignment="1">
      <alignment horizontal="center" vertical="center"/>
    </xf>
    <xf numFmtId="181" fontId="17" fillId="0" borderId="1" xfId="0" applyNumberFormat="1" applyFont="1" applyFill="1" applyBorder="1" applyAlignment="1">
      <alignment horizontal="center" vertical="center"/>
    </xf>
    <xf numFmtId="178" fontId="17" fillId="0" borderId="5" xfId="0" applyNumberFormat="1" applyFont="1" applyFill="1" applyBorder="1" applyAlignment="1">
      <alignment horizontal="center" vertical="center"/>
    </xf>
    <xf numFmtId="180" fontId="17" fillId="0" borderId="6" xfId="0" applyNumberFormat="1" applyFont="1" applyFill="1" applyBorder="1" applyAlignment="1" applyProtection="1">
      <alignment horizontal="center" vertical="center"/>
    </xf>
    <xf numFmtId="0" fontId="236" fillId="0" borderId="6" xfId="0" applyNumberFormat="1" applyFont="1" applyFill="1" applyBorder="1" applyAlignment="1">
      <alignment horizontal="center" vertical="center" wrapText="1"/>
    </xf>
    <xf numFmtId="191" fontId="49" fillId="5" borderId="9" xfId="0" applyNumberFormat="1" applyFont="1" applyFill="1" applyBorder="1" applyAlignment="1">
      <alignment vertical="center" wrapText="1"/>
    </xf>
    <xf numFmtId="191" fontId="74" fillId="0" borderId="9" xfId="0" applyNumberFormat="1" applyFont="1" applyFill="1" applyBorder="1" applyAlignment="1" applyProtection="1">
      <alignment horizontal="center" vertical="center"/>
    </xf>
    <xf numFmtId="0" fontId="13" fillId="0" borderId="0" xfId="0" applyFont="1" applyFill="1" applyBorder="1" applyAlignment="1" applyProtection="1">
      <alignment horizontal="center" vertical="center" wrapText="1"/>
    </xf>
    <xf numFmtId="0" fontId="37" fillId="0" borderId="0" xfId="0" applyFont="1" applyFill="1" applyBorder="1" applyAlignment="1" applyProtection="1">
      <alignment horizontal="center" vertical="center" wrapText="1"/>
      <protection locked="0"/>
    </xf>
    <xf numFmtId="0" fontId="49" fillId="0" borderId="0" xfId="4" applyFont="1" applyAlignment="1">
      <alignment horizontal="center" vertical="center"/>
    </xf>
    <xf numFmtId="0" fontId="23" fillId="0" borderId="74" xfId="8" applyFont="1" applyFill="1" applyBorder="1" applyAlignment="1" applyProtection="1">
      <alignment horizontal="center" vertical="center"/>
    </xf>
    <xf numFmtId="0" fontId="236" fillId="0" borderId="0" xfId="0" applyFont="1" applyFill="1" applyAlignment="1">
      <alignment horizontal="center" vertical="center"/>
    </xf>
    <xf numFmtId="20" fontId="49" fillId="5" borderId="1" xfId="4" applyNumberFormat="1" applyFont="1" applyFill="1" applyBorder="1" applyAlignment="1">
      <alignment horizontal="center" vertical="center"/>
    </xf>
    <xf numFmtId="0" fontId="57" fillId="0" borderId="0" xfId="0" applyFont="1" applyFill="1" applyAlignment="1">
      <alignment horizontal="center" vertical="center"/>
    </xf>
    <xf numFmtId="178" fontId="37" fillId="0" borderId="0" xfId="0" applyNumberFormat="1" applyFont="1" applyFill="1" applyBorder="1" applyAlignment="1" applyProtection="1">
      <alignment horizontal="center" vertical="center"/>
    </xf>
    <xf numFmtId="0" fontId="220" fillId="0" borderId="1" xfId="4" applyFont="1" applyBorder="1" applyAlignment="1">
      <alignment horizontal="center" vertical="center" wrapText="1"/>
    </xf>
    <xf numFmtId="0" fontId="220" fillId="0" borderId="1" xfId="4" applyFont="1" applyBorder="1" applyAlignment="1">
      <alignment horizontal="center" vertical="center"/>
    </xf>
    <xf numFmtId="0" fontId="74" fillId="0" borderId="3" xfId="4" applyFont="1" applyBorder="1" applyAlignment="1">
      <alignment horizontal="center" vertical="center" wrapText="1"/>
    </xf>
    <xf numFmtId="0" fontId="74" fillId="0" borderId="91" xfId="4" applyFont="1" applyBorder="1" applyAlignment="1">
      <alignment horizontal="center" vertical="center"/>
    </xf>
    <xf numFmtId="0" fontId="146" fillId="0" borderId="0" xfId="4" applyFont="1" applyAlignment="1">
      <alignment horizontal="center" vertical="center"/>
    </xf>
    <xf numFmtId="0" fontId="51" fillId="0" borderId="3" xfId="4" applyFont="1" applyBorder="1" applyAlignment="1">
      <alignment horizontal="center" vertical="center"/>
    </xf>
    <xf numFmtId="0" fontId="51" fillId="0" borderId="91" xfId="4" applyFont="1" applyBorder="1" applyAlignment="1">
      <alignment horizontal="center" vertical="center"/>
    </xf>
    <xf numFmtId="0" fontId="49" fillId="0" borderId="0" xfId="4" applyFont="1" applyAlignment="1">
      <alignment horizontal="center" vertical="center"/>
    </xf>
    <xf numFmtId="0" fontId="51" fillId="5" borderId="3" xfId="4" applyFont="1" applyFill="1" applyBorder="1" applyAlignment="1">
      <alignment horizontal="center" vertical="center" wrapText="1"/>
    </xf>
    <xf numFmtId="0" fontId="51" fillId="5" borderId="91" xfId="4" applyFont="1" applyFill="1" applyBorder="1" applyAlignment="1">
      <alignment horizontal="center" vertical="center" wrapText="1"/>
    </xf>
    <xf numFmtId="0" fontId="51" fillId="5" borderId="3" xfId="4" applyFont="1" applyFill="1" applyBorder="1" applyAlignment="1">
      <alignment horizontal="center" vertical="center"/>
    </xf>
    <xf numFmtId="0" fontId="51" fillId="5" borderId="91" xfId="4" applyFont="1" applyFill="1" applyBorder="1" applyAlignment="1">
      <alignment horizontal="center" vertical="center"/>
    </xf>
    <xf numFmtId="0" fontId="51" fillId="5" borderId="1" xfId="4" applyFont="1" applyFill="1" applyBorder="1" applyAlignment="1">
      <alignment horizontal="center" vertical="center"/>
    </xf>
    <xf numFmtId="0" fontId="51" fillId="0" borderId="10" xfId="4" applyFont="1" applyBorder="1" applyAlignment="1">
      <alignment horizontal="center" vertical="center"/>
    </xf>
    <xf numFmtId="0" fontId="98" fillId="35" borderId="32" xfId="84" quotePrefix="1" applyFill="1" applyBorder="1" applyAlignment="1" applyProtection="1">
      <alignment horizontal="center" vertical="center"/>
    </xf>
    <xf numFmtId="0" fontId="98" fillId="35" borderId="33" xfId="84" applyFill="1" applyBorder="1" applyAlignment="1" applyProtection="1">
      <alignment horizontal="center" vertical="center"/>
    </xf>
    <xf numFmtId="0" fontId="98" fillId="35" borderId="38" xfId="84" applyFill="1" applyBorder="1" applyAlignment="1" applyProtection="1">
      <alignment horizontal="center" vertical="center"/>
    </xf>
    <xf numFmtId="0" fontId="98" fillId="35" borderId="35" xfId="84" applyFill="1" applyBorder="1" applyAlignment="1" applyProtection="1">
      <alignment horizontal="center" vertical="center"/>
    </xf>
    <xf numFmtId="0" fontId="98" fillId="35" borderId="36" xfId="84" applyFill="1" applyBorder="1" applyAlignment="1" applyProtection="1">
      <alignment horizontal="center" vertical="center"/>
    </xf>
    <xf numFmtId="0" fontId="98" fillId="35" borderId="39" xfId="84" applyFill="1" applyBorder="1" applyAlignment="1" applyProtection="1">
      <alignment horizontal="center" vertical="center"/>
    </xf>
    <xf numFmtId="14" fontId="57" fillId="35" borderId="43" xfId="0" quotePrefix="1" applyNumberFormat="1" applyFont="1" applyFill="1" applyBorder="1" applyAlignment="1" applyProtection="1">
      <alignment horizontal="center" vertical="center"/>
      <protection locked="0"/>
    </xf>
    <xf numFmtId="14" fontId="57" fillId="35" borderId="65" xfId="0" applyNumberFormat="1" applyFont="1" applyFill="1" applyBorder="1" applyAlignment="1" applyProtection="1">
      <alignment horizontal="center" vertical="center"/>
      <protection locked="0"/>
    </xf>
    <xf numFmtId="14" fontId="57" fillId="35" borderId="63" xfId="0" applyNumberFormat="1" applyFont="1" applyFill="1" applyBorder="1" applyAlignment="1" applyProtection="1">
      <alignment horizontal="center" vertical="center"/>
      <protection locked="0"/>
    </xf>
    <xf numFmtId="14" fontId="57" fillId="35" borderId="15" xfId="0" applyNumberFormat="1" applyFont="1" applyFill="1" applyBorder="1" applyAlignment="1" applyProtection="1">
      <alignment horizontal="center" vertical="center"/>
      <protection locked="0"/>
    </xf>
    <xf numFmtId="202" fontId="144" fillId="35" borderId="67" xfId="0" quotePrefix="1" applyNumberFormat="1" applyFont="1" applyFill="1" applyBorder="1" applyAlignment="1" applyProtection="1">
      <alignment horizontal="center" vertical="center"/>
      <protection locked="0"/>
    </xf>
    <xf numFmtId="202" fontId="144" fillId="35" borderId="68" xfId="0" applyNumberFormat="1" applyFont="1" applyFill="1" applyBorder="1" applyAlignment="1" applyProtection="1">
      <alignment horizontal="center" vertical="center"/>
      <protection locked="0"/>
    </xf>
    <xf numFmtId="14" fontId="179" fillId="45" borderId="43" xfId="84" quotePrefix="1" applyNumberFormat="1" applyFont="1" applyFill="1" applyBorder="1" applyAlignment="1" applyProtection="1">
      <alignment horizontal="center" vertical="center"/>
      <protection locked="0"/>
    </xf>
    <xf numFmtId="14" fontId="179" fillId="45" borderId="65" xfId="84" applyNumberFormat="1" applyFont="1" applyFill="1" applyBorder="1" applyAlignment="1" applyProtection="1">
      <alignment horizontal="center" vertical="center"/>
      <protection locked="0"/>
    </xf>
    <xf numFmtId="14" fontId="179" fillId="45" borderId="63" xfId="84" applyNumberFormat="1" applyFont="1" applyFill="1" applyBorder="1" applyAlignment="1" applyProtection="1">
      <alignment horizontal="center" vertical="center"/>
      <protection locked="0"/>
    </xf>
    <xf numFmtId="14" fontId="179" fillId="45" borderId="15" xfId="84" applyNumberFormat="1" applyFont="1" applyFill="1" applyBorder="1" applyAlignment="1" applyProtection="1">
      <alignment horizontal="center" vertical="center"/>
      <protection locked="0"/>
    </xf>
    <xf numFmtId="202" fontId="144" fillId="45" borderId="67" xfId="0" quotePrefix="1" applyNumberFormat="1" applyFont="1" applyFill="1" applyBorder="1" applyAlignment="1" applyProtection="1">
      <alignment horizontal="center" vertical="center"/>
      <protection locked="0"/>
    </xf>
    <xf numFmtId="202" fontId="144" fillId="45" borderId="68" xfId="0" applyNumberFormat="1" applyFont="1" applyFill="1" applyBorder="1" applyAlignment="1" applyProtection="1">
      <alignment horizontal="center" vertical="center"/>
      <protection locked="0"/>
    </xf>
    <xf numFmtId="0" fontId="162" fillId="35" borderId="32" xfId="84" applyFont="1" applyFill="1" applyBorder="1" applyAlignment="1" applyProtection="1">
      <alignment horizontal="center" vertical="center"/>
    </xf>
    <xf numFmtId="0" fontId="162" fillId="35" borderId="33" xfId="84" applyFont="1" applyFill="1" applyBorder="1" applyAlignment="1" applyProtection="1">
      <alignment horizontal="center" vertical="center"/>
    </xf>
    <xf numFmtId="0" fontId="162" fillId="35" borderId="38" xfId="84" applyFont="1" applyFill="1" applyBorder="1" applyAlignment="1" applyProtection="1">
      <alignment horizontal="center" vertical="center"/>
    </xf>
    <xf numFmtId="0" fontId="162" fillId="35" borderId="35" xfId="84" applyFont="1" applyFill="1" applyBorder="1" applyAlignment="1" applyProtection="1">
      <alignment horizontal="center" vertical="center"/>
    </xf>
    <xf numFmtId="0" fontId="162" fillId="35" borderId="36" xfId="84" applyFont="1" applyFill="1" applyBorder="1" applyAlignment="1" applyProtection="1">
      <alignment horizontal="center" vertical="center"/>
    </xf>
    <xf numFmtId="0" fontId="162" fillId="35" borderId="39" xfId="84" applyFont="1" applyFill="1" applyBorder="1" applyAlignment="1" applyProtection="1">
      <alignment horizontal="center" vertical="center"/>
    </xf>
    <xf numFmtId="0" fontId="98" fillId="35" borderId="32" xfId="84" applyFill="1" applyBorder="1" applyAlignment="1" applyProtection="1">
      <alignment horizontal="center" vertical="center"/>
    </xf>
    <xf numFmtId="0" fontId="49" fillId="35" borderId="69" xfId="0" applyFont="1" applyFill="1" applyBorder="1" applyAlignment="1">
      <alignment horizontal="left" vertical="center" wrapText="1"/>
    </xf>
    <xf numFmtId="0" fontId="49" fillId="35" borderId="0" xfId="0" applyFont="1" applyFill="1" applyBorder="1" applyAlignment="1">
      <alignment horizontal="left" vertical="center" wrapText="1"/>
    </xf>
    <xf numFmtId="14" fontId="179" fillId="35" borderId="43" xfId="84" quotePrefix="1" applyNumberFormat="1" applyFont="1" applyFill="1" applyBorder="1" applyAlignment="1" applyProtection="1">
      <alignment horizontal="center" vertical="center"/>
      <protection locked="0"/>
    </xf>
    <xf numFmtId="14" fontId="179" fillId="35" borderId="65" xfId="84" applyNumberFormat="1" applyFont="1" applyFill="1" applyBorder="1" applyAlignment="1" applyProtection="1">
      <alignment horizontal="center" vertical="center"/>
      <protection locked="0"/>
    </xf>
    <xf numFmtId="14" fontId="179" fillId="35" borderId="63" xfId="84" applyNumberFormat="1" applyFont="1" applyFill="1" applyBorder="1" applyAlignment="1" applyProtection="1">
      <alignment horizontal="center" vertical="center"/>
      <protection locked="0"/>
    </xf>
    <xf numFmtId="14" fontId="179" fillId="35" borderId="15" xfId="84" applyNumberFormat="1" applyFont="1" applyFill="1" applyBorder="1" applyAlignment="1" applyProtection="1">
      <alignment horizontal="center" vertical="center"/>
      <protection locked="0"/>
    </xf>
    <xf numFmtId="202" fontId="144" fillId="45" borderId="67" xfId="0" applyNumberFormat="1" applyFont="1" applyFill="1" applyBorder="1" applyAlignment="1" applyProtection="1">
      <alignment horizontal="center" vertical="center"/>
      <protection locked="0"/>
    </xf>
    <xf numFmtId="14" fontId="167" fillId="35" borderId="43" xfId="84" quotePrefix="1" applyNumberFormat="1" applyFont="1" applyFill="1" applyBorder="1" applyAlignment="1" applyProtection="1">
      <alignment horizontal="center" vertical="center"/>
      <protection locked="0"/>
    </xf>
    <xf numFmtId="14" fontId="167" fillId="35" borderId="45" xfId="84" applyNumberFormat="1" applyFont="1" applyFill="1" applyBorder="1" applyAlignment="1" applyProtection="1">
      <alignment horizontal="center" vertical="center"/>
      <protection locked="0"/>
    </xf>
    <xf numFmtId="14" fontId="167" fillId="35" borderId="63" xfId="84" applyNumberFormat="1" applyFont="1" applyFill="1" applyBorder="1" applyAlignment="1" applyProtection="1">
      <alignment horizontal="center" vertical="center"/>
      <protection locked="0"/>
    </xf>
    <xf numFmtId="14" fontId="167" fillId="35" borderId="64" xfId="84" applyNumberFormat="1" applyFont="1" applyFill="1" applyBorder="1" applyAlignment="1" applyProtection="1">
      <alignment horizontal="center" vertical="center"/>
      <protection locked="0"/>
    </xf>
    <xf numFmtId="14" fontId="115" fillId="35" borderId="43" xfId="0" quotePrefix="1" applyNumberFormat="1" applyFont="1" applyFill="1" applyBorder="1" applyAlignment="1" applyProtection="1">
      <alignment horizontal="center" vertical="center"/>
      <protection locked="0"/>
    </xf>
    <xf numFmtId="14" fontId="115" fillId="35" borderId="45" xfId="0" applyNumberFormat="1" applyFont="1" applyFill="1" applyBorder="1" applyAlignment="1" applyProtection="1">
      <alignment horizontal="center" vertical="center"/>
      <protection locked="0"/>
    </xf>
    <xf numFmtId="14" fontId="115" fillId="35" borderId="63" xfId="0" applyNumberFormat="1" applyFont="1" applyFill="1" applyBorder="1" applyAlignment="1" applyProtection="1">
      <alignment horizontal="center" vertical="center"/>
      <protection locked="0"/>
    </xf>
    <xf numFmtId="14" fontId="115" fillId="35" borderId="64" xfId="0" applyNumberFormat="1" applyFont="1" applyFill="1" applyBorder="1" applyAlignment="1" applyProtection="1">
      <alignment horizontal="center" vertical="center"/>
      <protection locked="0"/>
    </xf>
    <xf numFmtId="0" fontId="162" fillId="44" borderId="32" xfId="84" quotePrefix="1" applyFont="1" applyFill="1" applyBorder="1" applyAlignment="1" applyProtection="1">
      <alignment horizontal="center" vertical="center"/>
    </xf>
    <xf numFmtId="0" fontId="162" fillId="44" borderId="33" xfId="84" quotePrefix="1" applyFont="1" applyFill="1" applyBorder="1" applyAlignment="1" applyProtection="1">
      <alignment horizontal="center" vertical="center"/>
    </xf>
    <xf numFmtId="0" fontId="162" fillId="44" borderId="38" xfId="84" quotePrefix="1" applyFont="1" applyFill="1" applyBorder="1" applyAlignment="1" applyProtection="1">
      <alignment horizontal="center" vertical="center"/>
    </xf>
    <xf numFmtId="0" fontId="162" fillId="44" borderId="35" xfId="84" quotePrefix="1" applyFont="1" applyFill="1" applyBorder="1" applyAlignment="1" applyProtection="1">
      <alignment horizontal="center" vertical="center"/>
    </xf>
    <xf numFmtId="0" fontId="162" fillId="44" borderId="36" xfId="84" quotePrefix="1" applyFont="1" applyFill="1" applyBorder="1" applyAlignment="1" applyProtection="1">
      <alignment horizontal="center" vertical="center"/>
    </xf>
    <xf numFmtId="0" fontId="162" fillId="44" borderId="39" xfId="84" quotePrefix="1" applyFont="1" applyFill="1" applyBorder="1" applyAlignment="1" applyProtection="1">
      <alignment horizontal="center" vertical="center"/>
    </xf>
    <xf numFmtId="0" fontId="162" fillId="8" borderId="32" xfId="84" quotePrefix="1" applyFont="1" applyFill="1" applyBorder="1" applyAlignment="1" applyProtection="1">
      <alignment horizontal="center" vertical="center"/>
    </xf>
    <xf numFmtId="0" fontId="162" fillId="8" borderId="33" xfId="84" applyFont="1" applyFill="1" applyBorder="1" applyAlignment="1" applyProtection="1">
      <alignment horizontal="center" vertical="center"/>
    </xf>
    <xf numFmtId="0" fontId="162" fillId="8" borderId="38" xfId="84" applyFont="1" applyFill="1" applyBorder="1" applyAlignment="1" applyProtection="1">
      <alignment horizontal="center" vertical="center"/>
    </xf>
    <xf numFmtId="0" fontId="162" fillId="8" borderId="35" xfId="84" applyFont="1" applyFill="1" applyBorder="1" applyAlignment="1" applyProtection="1">
      <alignment horizontal="center" vertical="center"/>
    </xf>
    <xf numFmtId="0" fontId="162" fillId="8" borderId="36" xfId="84" applyFont="1" applyFill="1" applyBorder="1" applyAlignment="1" applyProtection="1">
      <alignment horizontal="center" vertical="center"/>
    </xf>
    <xf numFmtId="0" fontId="162" fillId="8" borderId="39" xfId="84" applyFont="1" applyFill="1" applyBorder="1" applyAlignment="1" applyProtection="1">
      <alignment horizontal="center" vertical="center"/>
    </xf>
    <xf numFmtId="0" fontId="162" fillId="44" borderId="32" xfId="84" applyFont="1" applyFill="1" applyBorder="1" applyAlignment="1" applyProtection="1">
      <alignment horizontal="center" vertical="center"/>
    </xf>
    <xf numFmtId="0" fontId="162" fillId="44" borderId="33" xfId="84" applyFont="1" applyFill="1" applyBorder="1" applyAlignment="1" applyProtection="1">
      <alignment horizontal="center" vertical="center"/>
    </xf>
    <xf numFmtId="0" fontId="162" fillId="44" borderId="38" xfId="84" applyFont="1" applyFill="1" applyBorder="1" applyAlignment="1" applyProtection="1">
      <alignment horizontal="center" vertical="center"/>
    </xf>
    <xf numFmtId="0" fontId="162" fillId="44" borderId="35" xfId="84" applyFont="1" applyFill="1" applyBorder="1" applyAlignment="1" applyProtection="1">
      <alignment horizontal="center" vertical="center"/>
    </xf>
    <xf numFmtId="0" fontId="162" fillId="44" borderId="36" xfId="84" applyFont="1" applyFill="1" applyBorder="1" applyAlignment="1" applyProtection="1">
      <alignment horizontal="center" vertical="center"/>
    </xf>
    <xf numFmtId="0" fontId="162" fillId="44" borderId="39" xfId="84" applyFont="1" applyFill="1" applyBorder="1" applyAlignment="1" applyProtection="1">
      <alignment horizontal="center" vertical="center"/>
    </xf>
    <xf numFmtId="0" fontId="97" fillId="35" borderId="32" xfId="0" applyFont="1" applyFill="1" applyBorder="1" applyAlignment="1">
      <alignment horizontal="center" vertical="center"/>
    </xf>
    <xf numFmtId="0" fontId="97" fillId="35" borderId="33" xfId="0" applyFont="1" applyFill="1" applyBorder="1" applyAlignment="1">
      <alignment horizontal="center" vertical="center"/>
    </xf>
    <xf numFmtId="0" fontId="97" fillId="35" borderId="38" xfId="0" applyFont="1" applyFill="1" applyBorder="1" applyAlignment="1">
      <alignment horizontal="center" vertical="center"/>
    </xf>
    <xf numFmtId="0" fontId="97" fillId="35" borderId="35" xfId="0" applyFont="1" applyFill="1" applyBorder="1" applyAlignment="1">
      <alignment horizontal="center" vertical="center"/>
    </xf>
    <xf numFmtId="0" fontId="97" fillId="35" borderId="36" xfId="0" applyFont="1" applyFill="1" applyBorder="1" applyAlignment="1">
      <alignment horizontal="center" vertical="center"/>
    </xf>
    <xf numFmtId="0" fontId="97" fillId="35" borderId="39" xfId="0" applyFont="1" applyFill="1" applyBorder="1" applyAlignment="1">
      <alignment horizontal="center" vertical="center"/>
    </xf>
    <xf numFmtId="0" fontId="97" fillId="35" borderId="34" xfId="0" applyFont="1" applyFill="1" applyBorder="1" applyAlignment="1">
      <alignment horizontal="center" vertical="center"/>
    </xf>
    <xf numFmtId="0" fontId="97" fillId="35" borderId="37" xfId="0" applyFont="1" applyFill="1" applyBorder="1" applyAlignment="1">
      <alignment horizontal="center" vertical="center"/>
    </xf>
    <xf numFmtId="0" fontId="162" fillId="37" borderId="32" xfId="84" quotePrefix="1" applyFont="1" applyFill="1" applyBorder="1" applyAlignment="1" applyProtection="1">
      <alignment horizontal="center" vertical="center"/>
    </xf>
    <xf numFmtId="0" fontId="162" fillId="37" borderId="33" xfId="84" quotePrefix="1" applyFont="1" applyFill="1" applyBorder="1" applyAlignment="1" applyProtection="1">
      <alignment horizontal="center" vertical="center"/>
    </xf>
    <xf numFmtId="0" fontId="162" fillId="37" borderId="38" xfId="84" quotePrefix="1" applyFont="1" applyFill="1" applyBorder="1" applyAlignment="1" applyProtection="1">
      <alignment horizontal="center" vertical="center"/>
    </xf>
    <xf numFmtId="0" fontId="162" fillId="37" borderId="35" xfId="84" quotePrefix="1" applyFont="1" applyFill="1" applyBorder="1" applyAlignment="1" applyProtection="1">
      <alignment horizontal="center" vertical="center"/>
    </xf>
    <xf numFmtId="0" fontId="162" fillId="37" borderId="36" xfId="84" quotePrefix="1" applyFont="1" applyFill="1" applyBorder="1" applyAlignment="1" applyProtection="1">
      <alignment horizontal="center" vertical="center"/>
    </xf>
    <xf numFmtId="0" fontId="162" fillId="37" borderId="39" xfId="84" quotePrefix="1" applyFont="1" applyFill="1" applyBorder="1" applyAlignment="1" applyProtection="1">
      <alignment horizontal="center" vertical="center"/>
    </xf>
    <xf numFmtId="0" fontId="162" fillId="5" borderId="32" xfId="84" quotePrefix="1" applyFont="1" applyFill="1" applyBorder="1" applyAlignment="1" applyProtection="1">
      <alignment horizontal="center" vertical="center"/>
    </xf>
    <xf numFmtId="0" fontId="162" fillId="5" borderId="33" xfId="84" applyFont="1" applyFill="1" applyBorder="1" applyAlignment="1" applyProtection="1">
      <alignment horizontal="center" vertical="center"/>
    </xf>
    <xf numFmtId="0" fontId="162" fillId="5" borderId="38" xfId="84" applyFont="1" applyFill="1" applyBorder="1" applyAlignment="1" applyProtection="1">
      <alignment horizontal="center" vertical="center"/>
    </xf>
    <xf numFmtId="0" fontId="162" fillId="5" borderId="35" xfId="84" applyFont="1" applyFill="1" applyBorder="1" applyAlignment="1" applyProtection="1">
      <alignment horizontal="center" vertical="center"/>
    </xf>
    <xf numFmtId="0" fontId="162" fillId="5" borderId="36" xfId="84" applyFont="1" applyFill="1" applyBorder="1" applyAlignment="1" applyProtection="1">
      <alignment horizontal="center" vertical="center"/>
    </xf>
    <xf numFmtId="0" fontId="162" fillId="5" borderId="39" xfId="84" applyFont="1" applyFill="1" applyBorder="1" applyAlignment="1" applyProtection="1">
      <alignment horizontal="center" vertical="center"/>
    </xf>
    <xf numFmtId="0" fontId="162" fillId="37" borderId="32" xfId="84" applyFont="1" applyFill="1" applyBorder="1" applyAlignment="1" applyProtection="1">
      <alignment horizontal="center" vertical="center"/>
    </xf>
    <xf numFmtId="0" fontId="162" fillId="37" borderId="33" xfId="84" applyFont="1" applyFill="1" applyBorder="1" applyAlignment="1" applyProtection="1">
      <alignment horizontal="center" vertical="center"/>
    </xf>
    <xf numFmtId="0" fontId="162" fillId="37" borderId="38" xfId="84" applyFont="1" applyFill="1" applyBorder="1" applyAlignment="1" applyProtection="1">
      <alignment horizontal="center" vertical="center"/>
    </xf>
    <xf numFmtId="0" fontId="162" fillId="37" borderId="35" xfId="84" applyFont="1" applyFill="1" applyBorder="1" applyAlignment="1" applyProtection="1">
      <alignment horizontal="center" vertical="center"/>
    </xf>
    <xf numFmtId="0" fontId="162" fillId="37" borderId="36" xfId="84" applyFont="1" applyFill="1" applyBorder="1" applyAlignment="1" applyProtection="1">
      <alignment horizontal="center" vertical="center"/>
    </xf>
    <xf numFmtId="0" fontId="162" fillId="37" borderId="39" xfId="84" applyFont="1" applyFill="1" applyBorder="1" applyAlignment="1" applyProtection="1">
      <alignment horizontal="center" vertical="center"/>
    </xf>
    <xf numFmtId="14" fontId="97" fillId="35" borderId="43" xfId="0" quotePrefix="1" applyNumberFormat="1" applyFont="1" applyFill="1" applyBorder="1" applyAlignment="1" applyProtection="1">
      <alignment horizontal="center" vertical="center"/>
      <protection locked="0"/>
    </xf>
    <xf numFmtId="14" fontId="97" fillId="35" borderId="45" xfId="0" applyNumberFormat="1" applyFont="1" applyFill="1" applyBorder="1" applyAlignment="1" applyProtection="1">
      <alignment horizontal="center" vertical="center"/>
      <protection locked="0"/>
    </xf>
    <xf numFmtId="14" fontId="97" fillId="35" borderId="63" xfId="0" applyNumberFormat="1" applyFont="1" applyFill="1" applyBorder="1" applyAlignment="1" applyProtection="1">
      <alignment horizontal="center" vertical="center"/>
      <protection locked="0"/>
    </xf>
    <xf numFmtId="14" fontId="97" fillId="35" borderId="64" xfId="0" applyNumberFormat="1" applyFont="1" applyFill="1" applyBorder="1" applyAlignment="1" applyProtection="1">
      <alignment horizontal="center" vertical="center"/>
      <protection locked="0"/>
    </xf>
    <xf numFmtId="0" fontId="162" fillId="12" borderId="32" xfId="84" quotePrefix="1" applyFont="1" applyFill="1" applyBorder="1" applyAlignment="1" applyProtection="1">
      <alignment horizontal="center" vertical="center"/>
    </xf>
    <xf numFmtId="0" fontId="162" fillId="12" borderId="33" xfId="84" applyFont="1" applyFill="1" applyBorder="1" applyAlignment="1" applyProtection="1">
      <alignment horizontal="center" vertical="center"/>
    </xf>
    <xf numFmtId="0" fontId="162" fillId="12" borderId="38" xfId="84" applyFont="1" applyFill="1" applyBorder="1" applyAlignment="1" applyProtection="1">
      <alignment horizontal="center" vertical="center"/>
    </xf>
    <xf numFmtId="0" fontId="162" fillId="12" borderId="35" xfId="84" applyFont="1" applyFill="1" applyBorder="1" applyAlignment="1" applyProtection="1">
      <alignment horizontal="center" vertical="center"/>
    </xf>
    <xf numFmtId="0" fontId="162" fillId="12" borderId="36" xfId="84" applyFont="1" applyFill="1" applyBorder="1" applyAlignment="1" applyProtection="1">
      <alignment horizontal="center" vertical="center"/>
    </xf>
    <xf numFmtId="0" fontId="162" fillId="12" borderId="39" xfId="84" applyFont="1" applyFill="1" applyBorder="1" applyAlignment="1" applyProtection="1">
      <alignment horizontal="center" vertical="center"/>
    </xf>
    <xf numFmtId="0" fontId="162" fillId="12" borderId="43" xfId="84" quotePrefix="1" applyFont="1" applyFill="1" applyBorder="1" applyAlignment="1" applyProtection="1">
      <alignment horizontal="center" vertical="center"/>
    </xf>
    <xf numFmtId="0" fontId="162" fillId="12" borderId="44" xfId="84" quotePrefix="1" applyFont="1" applyFill="1" applyBorder="1" applyAlignment="1" applyProtection="1">
      <alignment horizontal="center" vertical="center"/>
    </xf>
    <xf numFmtId="0" fontId="162" fillId="12" borderId="45" xfId="84" quotePrefix="1" applyFont="1" applyFill="1" applyBorder="1" applyAlignment="1" applyProtection="1">
      <alignment horizontal="center" vertical="center"/>
    </xf>
    <xf numFmtId="0" fontId="162" fillId="12" borderId="46" xfId="84" quotePrefix="1" applyFont="1" applyFill="1" applyBorder="1" applyAlignment="1" applyProtection="1">
      <alignment horizontal="center" vertical="center"/>
    </xf>
    <xf numFmtId="0" fontId="162" fillId="12" borderId="41" xfId="84" quotePrefix="1" applyFont="1" applyFill="1" applyBorder="1" applyAlignment="1" applyProtection="1">
      <alignment horizontal="center" vertical="center"/>
    </xf>
    <xf numFmtId="0" fontId="162" fillId="12" borderId="42" xfId="84" quotePrefix="1" applyFont="1" applyFill="1" applyBorder="1" applyAlignment="1" applyProtection="1">
      <alignment horizontal="center" vertical="center"/>
    </xf>
    <xf numFmtId="0" fontId="214" fillId="35" borderId="32" xfId="84" applyFont="1" applyFill="1" applyBorder="1" applyAlignment="1" applyProtection="1">
      <alignment horizontal="center" vertical="center" wrapText="1"/>
    </xf>
    <xf numFmtId="0" fontId="214" fillId="35" borderId="33" xfId="84" applyFont="1" applyFill="1" applyBorder="1" applyAlignment="1" applyProtection="1">
      <alignment horizontal="center" vertical="center"/>
    </xf>
    <xf numFmtId="0" fontId="214" fillId="35" borderId="38" xfId="84" applyFont="1" applyFill="1" applyBorder="1" applyAlignment="1" applyProtection="1">
      <alignment horizontal="center" vertical="center"/>
    </xf>
    <xf numFmtId="0" fontId="214" fillId="35" borderId="35" xfId="84" applyFont="1" applyFill="1" applyBorder="1" applyAlignment="1" applyProtection="1">
      <alignment horizontal="center" vertical="center"/>
    </xf>
    <xf numFmtId="0" fontId="214" fillId="35" borderId="36" xfId="84" applyFont="1" applyFill="1" applyBorder="1" applyAlignment="1" applyProtection="1">
      <alignment horizontal="center" vertical="center"/>
    </xf>
    <xf numFmtId="0" fontId="214" fillId="35" borderId="39" xfId="84" applyFont="1" applyFill="1" applyBorder="1" applyAlignment="1" applyProtection="1">
      <alignment horizontal="center" vertical="center"/>
    </xf>
    <xf numFmtId="0" fontId="162" fillId="5" borderId="43" xfId="84" quotePrefix="1" applyFont="1" applyFill="1" applyBorder="1" applyAlignment="1" applyProtection="1">
      <alignment horizontal="center" vertical="center"/>
    </xf>
    <xf numFmtId="0" fontId="162" fillId="5" borderId="44" xfId="84" quotePrefix="1" applyFont="1" applyFill="1" applyBorder="1" applyAlignment="1" applyProtection="1">
      <alignment horizontal="center" vertical="center"/>
    </xf>
    <xf numFmtId="0" fontId="162" fillId="5" borderId="45" xfId="84" quotePrefix="1" applyFont="1" applyFill="1" applyBorder="1" applyAlignment="1" applyProtection="1">
      <alignment horizontal="center" vertical="center"/>
    </xf>
    <xf numFmtId="0" fontId="162" fillId="5" borderId="46" xfId="84" quotePrefix="1" applyFont="1" applyFill="1" applyBorder="1" applyAlignment="1" applyProtection="1">
      <alignment horizontal="center" vertical="center"/>
    </xf>
    <xf numFmtId="0" fontId="162" fillId="5" borderId="41" xfId="84" quotePrefix="1" applyFont="1" applyFill="1" applyBorder="1" applyAlignment="1" applyProtection="1">
      <alignment horizontal="center" vertical="center"/>
    </xf>
    <xf numFmtId="0" fontId="162" fillId="5" borderId="42" xfId="84" quotePrefix="1" applyFont="1" applyFill="1" applyBorder="1" applyAlignment="1" applyProtection="1">
      <alignment horizontal="center" vertical="center"/>
    </xf>
    <xf numFmtId="0" fontId="49" fillId="8" borderId="32" xfId="0" applyFont="1" applyFill="1" applyBorder="1" applyAlignment="1">
      <alignment horizontal="center" vertical="center"/>
    </xf>
    <xf numFmtId="0" fontId="49" fillId="8" borderId="33" xfId="0" applyFont="1" applyFill="1" applyBorder="1" applyAlignment="1">
      <alignment horizontal="center" vertical="center"/>
    </xf>
    <xf numFmtId="0" fontId="49" fillId="8" borderId="38" xfId="0" applyFont="1" applyFill="1" applyBorder="1" applyAlignment="1">
      <alignment horizontal="center" vertical="center"/>
    </xf>
    <xf numFmtId="0" fontId="49" fillId="8" borderId="35" xfId="0" applyFont="1" applyFill="1" applyBorder="1" applyAlignment="1">
      <alignment horizontal="center" vertical="center"/>
    </xf>
    <xf numFmtId="0" fontId="49" fillId="8" borderId="36" xfId="0" applyFont="1" applyFill="1" applyBorder="1" applyAlignment="1">
      <alignment horizontal="center" vertical="center"/>
    </xf>
    <xf numFmtId="0" fontId="49" fillId="8" borderId="39" xfId="0" applyFont="1" applyFill="1" applyBorder="1" applyAlignment="1">
      <alignment horizontal="center" vertical="center"/>
    </xf>
    <xf numFmtId="0" fontId="167" fillId="35" borderId="32" xfId="84" applyFont="1" applyFill="1" applyBorder="1" applyAlignment="1" applyProtection="1">
      <alignment horizontal="center" vertical="center"/>
    </xf>
    <xf numFmtId="0" fontId="167" fillId="35" borderId="33" xfId="84" applyFont="1" applyFill="1" applyBorder="1" applyAlignment="1" applyProtection="1">
      <alignment horizontal="center" vertical="center"/>
    </xf>
    <xf numFmtId="0" fontId="167" fillId="35" borderId="38" xfId="84" applyFont="1" applyFill="1" applyBorder="1" applyAlignment="1" applyProtection="1">
      <alignment horizontal="center" vertical="center"/>
    </xf>
    <xf numFmtId="0" fontId="167" fillId="35" borderId="35" xfId="84" applyFont="1" applyFill="1" applyBorder="1" applyAlignment="1" applyProtection="1">
      <alignment horizontal="center" vertical="center"/>
    </xf>
    <xf numFmtId="0" fontId="167" fillId="35" borderId="36" xfId="84" applyFont="1" applyFill="1" applyBorder="1" applyAlignment="1" applyProtection="1">
      <alignment horizontal="center" vertical="center"/>
    </xf>
    <xf numFmtId="0" fontId="167" fillId="35" borderId="39" xfId="84" applyFont="1" applyFill="1" applyBorder="1" applyAlignment="1" applyProtection="1">
      <alignment horizontal="center" vertical="center"/>
    </xf>
    <xf numFmtId="202" fontId="97" fillId="35" borderId="67" xfId="84" quotePrefix="1" applyNumberFormat="1" applyFont="1" applyFill="1" applyBorder="1" applyAlignment="1" applyProtection="1">
      <alignment horizontal="center" vertical="center"/>
      <protection locked="0"/>
    </xf>
    <xf numFmtId="202" fontId="97" fillId="35" borderId="68" xfId="84" applyNumberFormat="1" applyFont="1" applyFill="1" applyBorder="1" applyAlignment="1" applyProtection="1">
      <alignment horizontal="center" vertical="center"/>
      <protection locked="0"/>
    </xf>
    <xf numFmtId="0" fontId="162" fillId="8" borderId="32" xfId="84" applyFont="1" applyFill="1" applyBorder="1" applyAlignment="1" applyProtection="1">
      <alignment horizontal="center" vertical="center"/>
    </xf>
    <xf numFmtId="0" fontId="162" fillId="10" borderId="32" xfId="84" applyFont="1" applyFill="1" applyBorder="1" applyAlignment="1" applyProtection="1">
      <alignment horizontal="center" vertical="center"/>
    </xf>
    <xf numFmtId="0" fontId="162" fillId="10" borderId="33" xfId="84" applyFont="1" applyFill="1" applyBorder="1" applyAlignment="1" applyProtection="1">
      <alignment horizontal="center" vertical="center"/>
    </xf>
    <xf numFmtId="0" fontId="162" fillId="10" borderId="38" xfId="84" applyFont="1" applyFill="1" applyBorder="1" applyAlignment="1" applyProtection="1">
      <alignment horizontal="center" vertical="center"/>
    </xf>
    <xf numFmtId="0" fontId="162" fillId="10" borderId="35" xfId="84" applyFont="1" applyFill="1" applyBorder="1" applyAlignment="1" applyProtection="1">
      <alignment horizontal="center" vertical="center"/>
    </xf>
    <xf numFmtId="0" fontId="162" fillId="10" borderId="36" xfId="84" applyFont="1" applyFill="1" applyBorder="1" applyAlignment="1" applyProtection="1">
      <alignment horizontal="center" vertical="center"/>
    </xf>
    <xf numFmtId="0" fontId="162" fillId="10" borderId="39" xfId="84" applyFont="1" applyFill="1" applyBorder="1" applyAlignment="1" applyProtection="1">
      <alignment horizontal="center" vertical="center"/>
    </xf>
    <xf numFmtId="202" fontId="144" fillId="35" borderId="67" xfId="0" applyNumberFormat="1" applyFont="1" applyFill="1" applyBorder="1" applyAlignment="1" applyProtection="1">
      <alignment horizontal="center" vertical="center" wrapText="1"/>
      <protection locked="0"/>
    </xf>
    <xf numFmtId="202" fontId="144" fillId="35" borderId="67" xfId="0" applyNumberFormat="1" applyFont="1" applyFill="1" applyBorder="1" applyAlignment="1" applyProtection="1">
      <alignment horizontal="center" vertical="center"/>
      <protection locked="0"/>
    </xf>
    <xf numFmtId="0" fontId="97" fillId="35" borderId="70" xfId="84" applyFont="1" applyFill="1" applyBorder="1" applyAlignment="1" applyProtection="1">
      <alignment horizontal="center" vertical="center"/>
    </xf>
    <xf numFmtId="0" fontId="97" fillId="35" borderId="71" xfId="84" applyFont="1" applyFill="1" applyBorder="1" applyAlignment="1" applyProtection="1">
      <alignment horizontal="center" vertical="center"/>
    </xf>
    <xf numFmtId="0" fontId="97" fillId="35" borderId="72" xfId="84" applyFont="1" applyFill="1" applyBorder="1" applyAlignment="1" applyProtection="1">
      <alignment horizontal="center" vertical="center"/>
    </xf>
    <xf numFmtId="0" fontId="97" fillId="35" borderId="73" xfId="84" applyFont="1" applyFill="1" applyBorder="1" applyAlignment="1" applyProtection="1">
      <alignment horizontal="center" vertical="center"/>
    </xf>
    <xf numFmtId="0" fontId="97" fillId="35" borderId="74" xfId="84" applyFont="1" applyFill="1" applyBorder="1" applyAlignment="1" applyProtection="1">
      <alignment horizontal="center" vertical="center"/>
    </xf>
    <xf numFmtId="0" fontId="97" fillId="35" borderId="75" xfId="84" applyFont="1" applyFill="1" applyBorder="1" applyAlignment="1" applyProtection="1">
      <alignment horizontal="center" vertical="center"/>
    </xf>
    <xf numFmtId="0" fontId="13" fillId="5" borderId="0" xfId="0" applyFont="1" applyFill="1" applyAlignment="1">
      <alignment horizontal="center" vertical="center" wrapText="1"/>
    </xf>
    <xf numFmtId="0" fontId="23" fillId="6" borderId="0" xfId="0" applyFont="1" applyFill="1" applyAlignment="1">
      <alignment horizontal="center" vertical="center" wrapText="1"/>
    </xf>
    <xf numFmtId="0" fontId="37" fillId="9" borderId="1" xfId="0" applyFont="1" applyFill="1" applyBorder="1" applyAlignment="1">
      <alignment horizontal="center" vertical="center"/>
    </xf>
    <xf numFmtId="0" fontId="37" fillId="0" borderId="5" xfId="0" applyFont="1" applyFill="1" applyBorder="1" applyAlignment="1" applyProtection="1">
      <alignment horizontal="center" vertical="center" wrapText="1"/>
      <protection locked="0"/>
    </xf>
    <xf numFmtId="0" fontId="37" fillId="0" borderId="9" xfId="0" applyFont="1" applyFill="1" applyBorder="1" applyAlignment="1" applyProtection="1">
      <alignment horizontal="center" vertical="center" wrapText="1"/>
      <protection locked="0"/>
    </xf>
    <xf numFmtId="0" fontId="37" fillId="0" borderId="6" xfId="0"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xf>
    <xf numFmtId="0" fontId="37" fillId="0" borderId="9" xfId="0" applyFont="1" applyFill="1" applyBorder="1" applyAlignment="1" applyProtection="1">
      <alignment horizontal="center" vertical="center" wrapText="1"/>
    </xf>
    <xf numFmtId="0" fontId="37" fillId="0" borderId="6" xfId="0" applyFont="1" applyFill="1" applyBorder="1" applyAlignment="1" applyProtection="1">
      <alignment horizontal="center" vertical="center" wrapText="1"/>
    </xf>
    <xf numFmtId="0" fontId="97" fillId="0" borderId="3" xfId="0" applyFont="1" applyFill="1" applyBorder="1" applyAlignment="1" applyProtection="1">
      <alignment horizontal="center" vertical="center" wrapText="1"/>
    </xf>
    <xf numFmtId="0" fontId="97" fillId="0" borderId="10"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xf>
    <xf numFmtId="0" fontId="49" fillId="0" borderId="1" xfId="0" applyFont="1" applyFill="1" applyBorder="1" applyAlignment="1" applyProtection="1">
      <alignment horizontal="center" vertical="center" wrapText="1"/>
    </xf>
    <xf numFmtId="0" fontId="67" fillId="0" borderId="1" xfId="8" applyFont="1" applyFill="1" applyBorder="1" applyAlignment="1" applyProtection="1">
      <alignment horizontal="center" vertical="center"/>
      <protection locked="0"/>
    </xf>
    <xf numFmtId="0" fontId="23" fillId="0" borderId="5" xfId="8" applyFont="1" applyFill="1" applyBorder="1" applyAlignment="1" applyProtection="1">
      <alignment horizontal="center" vertical="center"/>
    </xf>
    <xf numFmtId="0" fontId="23" fillId="0" borderId="6" xfId="8" applyFont="1" applyFill="1" applyBorder="1" applyAlignment="1" applyProtection="1">
      <alignment horizontal="center" vertical="center"/>
    </xf>
    <xf numFmtId="20" fontId="67" fillId="0" borderId="82" xfId="0" applyNumberFormat="1" applyFont="1" applyFill="1" applyBorder="1" applyAlignment="1" applyProtection="1">
      <alignment horizontal="center" vertical="center" wrapText="1"/>
    </xf>
    <xf numFmtId="0" fontId="67" fillId="0" borderId="83" xfId="0" applyFont="1" applyFill="1" applyBorder="1" applyAlignment="1" applyProtection="1">
      <alignment horizontal="center" vertical="center" wrapText="1"/>
    </xf>
    <xf numFmtId="0" fontId="67" fillId="0" borderId="84" xfId="0" applyFont="1" applyFill="1" applyBorder="1" applyAlignment="1" applyProtection="1">
      <alignment horizontal="center" vertical="center" wrapText="1"/>
    </xf>
    <xf numFmtId="0" fontId="67" fillId="0" borderId="86" xfId="0" applyFont="1" applyFill="1" applyBorder="1" applyAlignment="1" applyProtection="1">
      <alignment horizontal="center" vertical="center"/>
    </xf>
    <xf numFmtId="0" fontId="67" fillId="0" borderId="87" xfId="0" applyFont="1" applyFill="1" applyBorder="1" applyAlignment="1" applyProtection="1">
      <alignment horizontal="center" vertical="center"/>
    </xf>
    <xf numFmtId="0" fontId="67" fillId="0" borderId="1" xfId="8" applyFont="1" applyFill="1" applyBorder="1" applyAlignment="1" applyProtection="1">
      <alignment horizontal="center" vertical="center" wrapText="1"/>
    </xf>
    <xf numFmtId="0" fontId="23" fillId="0" borderId="5" xfId="8" applyFont="1" applyFill="1" applyBorder="1" applyAlignment="1" applyProtection="1">
      <alignment horizontal="center" vertical="center" wrapText="1"/>
    </xf>
    <xf numFmtId="0" fontId="23" fillId="0" borderId="6" xfId="8" applyFont="1" applyFill="1" applyBorder="1" applyAlignment="1" applyProtection="1">
      <alignment horizontal="center" vertical="center" wrapText="1"/>
    </xf>
    <xf numFmtId="0" fontId="59" fillId="0" borderId="0" xfId="8" applyFont="1" applyFill="1" applyBorder="1" applyAlignment="1" applyProtection="1">
      <alignment horizontal="center" vertical="center" wrapText="1"/>
    </xf>
    <xf numFmtId="0" fontId="59" fillId="0" borderId="16" xfId="8" applyFont="1" applyFill="1" applyBorder="1" applyAlignment="1" applyProtection="1">
      <alignment horizontal="center" vertical="center" wrapText="1"/>
    </xf>
    <xf numFmtId="0" fontId="49" fillId="0" borderId="5" xfId="0" applyFont="1" applyFill="1" applyBorder="1" applyAlignment="1" applyProtection="1">
      <alignment horizontal="center" vertical="center" wrapText="1"/>
      <protection locked="0"/>
    </xf>
    <xf numFmtId="0" fontId="49" fillId="0" borderId="9" xfId="0" applyFont="1" applyFill="1" applyBorder="1" applyAlignment="1" applyProtection="1">
      <alignment horizontal="center" vertical="center" wrapText="1"/>
      <protection locked="0"/>
    </xf>
    <xf numFmtId="0" fontId="49" fillId="0" borderId="1" xfId="0" applyFont="1" applyFill="1" applyBorder="1" applyAlignment="1" applyProtection="1">
      <alignment horizontal="center" vertical="center" wrapText="1"/>
      <protection locked="0"/>
    </xf>
    <xf numFmtId="0" fontId="54" fillId="0" borderId="6" xfId="8" applyFont="1" applyFill="1" applyBorder="1" applyAlignment="1" applyProtection="1">
      <alignment horizontal="center" vertical="center" wrapText="1"/>
    </xf>
    <xf numFmtId="0" fontId="54" fillId="0" borderId="1" xfId="8" applyFont="1" applyFill="1" applyBorder="1" applyAlignment="1" applyProtection="1">
      <alignment horizontal="center" vertical="center" wrapText="1"/>
    </xf>
    <xf numFmtId="0" fontId="54" fillId="0" borderId="5" xfId="0" applyFont="1" applyFill="1" applyBorder="1" applyAlignment="1" applyProtection="1">
      <alignment horizontal="center" vertical="center" wrapText="1"/>
    </xf>
    <xf numFmtId="0" fontId="54" fillId="0" borderId="9" xfId="0" applyFont="1" applyFill="1" applyBorder="1" applyAlignment="1" applyProtection="1">
      <alignment horizontal="center" vertical="center" wrapText="1"/>
    </xf>
    <xf numFmtId="0" fontId="54" fillId="0" borderId="6" xfId="0" applyFont="1" applyFill="1" applyBorder="1" applyAlignment="1" applyProtection="1">
      <alignment horizontal="center" vertical="center" wrapText="1"/>
    </xf>
    <xf numFmtId="0" fontId="49" fillId="0" borderId="5" xfId="0" applyFont="1" applyFill="1" applyBorder="1" applyAlignment="1" applyProtection="1">
      <alignment horizontal="center" vertical="center" wrapText="1"/>
    </xf>
    <xf numFmtId="0" fontId="49" fillId="0" borderId="9" xfId="0" applyFont="1" applyFill="1" applyBorder="1" applyAlignment="1" applyProtection="1">
      <alignment horizontal="center" vertical="center" wrapText="1"/>
    </xf>
    <xf numFmtId="0" fontId="49" fillId="0" borderId="6" xfId="0" applyFont="1" applyFill="1" applyBorder="1" applyAlignment="1" applyProtection="1">
      <alignment horizontal="center" vertical="center" wrapText="1"/>
    </xf>
    <xf numFmtId="0" fontId="51" fillId="0" borderId="1" xfId="0" applyFont="1" applyFill="1" applyBorder="1" applyAlignment="1" applyProtection="1">
      <alignment horizontal="center" vertical="center" wrapText="1"/>
    </xf>
    <xf numFmtId="0" fontId="51" fillId="0" borderId="1" xfId="0" applyFont="1" applyFill="1" applyBorder="1" applyAlignment="1" applyProtection="1">
      <alignment horizontal="center" vertical="center"/>
    </xf>
    <xf numFmtId="0" fontId="54" fillId="0" borderId="13" xfId="0" applyFont="1" applyFill="1" applyBorder="1" applyAlignment="1" applyProtection="1">
      <alignment horizontal="center" vertical="center" wrapText="1"/>
    </xf>
    <xf numFmtId="0" fontId="54" fillId="0" borderId="8" xfId="0" applyFont="1" applyFill="1" applyBorder="1" applyAlignment="1" applyProtection="1">
      <alignment horizontal="center" vertical="center" wrapText="1"/>
    </xf>
    <xf numFmtId="0" fontId="54" fillId="0" borderId="12" xfId="0" applyFont="1" applyFill="1" applyBorder="1" applyAlignment="1" applyProtection="1">
      <alignment horizontal="center" vertical="center" wrapText="1"/>
    </xf>
    <xf numFmtId="0" fontId="54" fillId="0" borderId="4" xfId="0" applyFont="1" applyFill="1" applyBorder="1" applyAlignment="1" applyProtection="1">
      <alignment horizontal="center" vertical="center" wrapText="1"/>
    </xf>
    <xf numFmtId="0" fontId="54" fillId="0" borderId="7" xfId="0" applyFont="1" applyFill="1" applyBorder="1" applyAlignment="1" applyProtection="1">
      <alignment horizontal="center" vertical="center" wrapText="1"/>
    </xf>
    <xf numFmtId="0" fontId="54" fillId="0" borderId="15" xfId="0" applyFont="1" applyFill="1" applyBorder="1" applyAlignment="1" applyProtection="1">
      <alignment horizontal="center" vertical="center" wrapText="1"/>
    </xf>
    <xf numFmtId="0" fontId="54" fillId="0" borderId="12" xfId="0" applyFont="1" applyFill="1" applyBorder="1" applyAlignment="1" applyProtection="1">
      <alignment horizontal="center" vertical="center"/>
    </xf>
    <xf numFmtId="0" fontId="54" fillId="0" borderId="11" xfId="0" applyFont="1" applyFill="1" applyBorder="1" applyAlignment="1" applyProtection="1">
      <alignment horizontal="center" vertical="center"/>
    </xf>
    <xf numFmtId="0" fontId="54" fillId="0" borderId="16" xfId="0" applyFont="1" applyFill="1" applyBorder="1" applyAlignment="1" applyProtection="1">
      <alignment horizontal="center" vertical="center"/>
    </xf>
    <xf numFmtId="0" fontId="54" fillId="0" borderId="4" xfId="0" applyFont="1" applyFill="1" applyBorder="1" applyAlignment="1" applyProtection="1">
      <alignment horizontal="center" vertical="center"/>
    </xf>
    <xf numFmtId="0" fontId="54" fillId="0" borderId="15" xfId="0" applyFont="1" applyFill="1" applyBorder="1" applyAlignment="1" applyProtection="1">
      <alignment horizontal="center" vertical="center"/>
    </xf>
    <xf numFmtId="0" fontId="54" fillId="0" borderId="1" xfId="0" applyFont="1" applyFill="1" applyBorder="1" applyAlignment="1" applyProtection="1">
      <alignment horizontal="center" vertical="center" wrapText="1"/>
    </xf>
    <xf numFmtId="0" fontId="54" fillId="0" borderId="1" xfId="0" applyFont="1" applyFill="1" applyBorder="1" applyAlignment="1" applyProtection="1">
      <alignment horizontal="center" vertical="center"/>
    </xf>
    <xf numFmtId="0" fontId="54" fillId="0" borderId="5" xfId="0" applyFont="1" applyFill="1" applyBorder="1" applyAlignment="1" applyProtection="1">
      <alignment horizontal="center" vertical="center"/>
    </xf>
    <xf numFmtId="0" fontId="54" fillId="0" borderId="6" xfId="0" applyFont="1" applyFill="1" applyBorder="1" applyAlignment="1" applyProtection="1">
      <alignment horizontal="center" vertical="center"/>
    </xf>
    <xf numFmtId="14" fontId="144" fillId="5" borderId="7" xfId="8" applyNumberFormat="1" applyFont="1" applyFill="1" applyBorder="1" applyAlignment="1" applyProtection="1">
      <alignment horizontal="center" vertical="center" wrapText="1"/>
      <protection locked="0"/>
    </xf>
    <xf numFmtId="0" fontId="23" fillId="0" borderId="7" xfId="8" applyFont="1" applyFill="1" applyBorder="1" applyAlignment="1" applyProtection="1">
      <alignment horizontal="center" vertical="center" wrapText="1"/>
    </xf>
    <xf numFmtId="20" fontId="23" fillId="0" borderId="5" xfId="0" quotePrefix="1" applyNumberFormat="1" applyFont="1" applyFill="1" applyBorder="1" applyAlignment="1" applyProtection="1">
      <alignment horizontal="center" vertical="center" wrapText="1"/>
    </xf>
    <xf numFmtId="0" fontId="23" fillId="0" borderId="9" xfId="0" applyFont="1" applyFill="1" applyBorder="1" applyAlignment="1" applyProtection="1">
      <alignment horizontal="center" vertical="center" wrapText="1"/>
    </xf>
    <xf numFmtId="0" fontId="23" fillId="0" borderId="6" xfId="0" applyFont="1" applyFill="1" applyBorder="1" applyAlignment="1" applyProtection="1">
      <alignment horizontal="center" vertical="center" wrapText="1"/>
    </xf>
    <xf numFmtId="20" fontId="51" fillId="0" borderId="5" xfId="0" quotePrefix="1" applyNumberFormat="1" applyFont="1" applyFill="1" applyBorder="1" applyAlignment="1" applyProtection="1">
      <alignment horizontal="center" vertical="center" wrapText="1"/>
    </xf>
    <xf numFmtId="0" fontId="51" fillId="0" borderId="9" xfId="0" applyFont="1" applyFill="1" applyBorder="1" applyAlignment="1" applyProtection="1">
      <alignment horizontal="center" vertical="center" wrapText="1"/>
    </xf>
    <xf numFmtId="0" fontId="51" fillId="0" borderId="6" xfId="0" applyFont="1" applyFill="1" applyBorder="1" applyAlignment="1" applyProtection="1">
      <alignment horizontal="center" vertical="center" wrapText="1"/>
    </xf>
    <xf numFmtId="0" fontId="23" fillId="0" borderId="13" xfId="0" applyFont="1" applyFill="1" applyBorder="1" applyAlignment="1" applyProtection="1">
      <alignment horizontal="center" vertical="center"/>
    </xf>
    <xf numFmtId="0" fontId="23" fillId="0" borderId="8" xfId="0" applyFont="1" applyFill="1" applyBorder="1" applyAlignment="1" applyProtection="1">
      <alignment horizontal="center" vertical="center"/>
    </xf>
    <xf numFmtId="0" fontId="23" fillId="0" borderId="12" xfId="0" applyFont="1" applyFill="1" applyBorder="1" applyAlignment="1" applyProtection="1">
      <alignment horizontal="center" vertical="center"/>
    </xf>
    <xf numFmtId="0" fontId="51" fillId="0" borderId="13" xfId="0" applyFont="1" applyFill="1" applyBorder="1" applyAlignment="1" applyProtection="1">
      <alignment horizontal="center" vertical="center"/>
    </xf>
    <xf numFmtId="0" fontId="51" fillId="0" borderId="8" xfId="0" applyFont="1" applyFill="1" applyBorder="1" applyAlignment="1" applyProtection="1">
      <alignment horizontal="center" vertical="center"/>
    </xf>
    <xf numFmtId="0" fontId="51" fillId="0" borderId="12" xfId="0" applyFont="1" applyFill="1" applyBorder="1" applyAlignment="1" applyProtection="1">
      <alignment horizontal="center" vertical="center"/>
    </xf>
    <xf numFmtId="0" fontId="23" fillId="0" borderId="9" xfId="8" applyFont="1" applyFill="1" applyBorder="1" applyAlignment="1" applyProtection="1">
      <alignment horizontal="center" vertical="center" wrapText="1"/>
    </xf>
    <xf numFmtId="0" fontId="13" fillId="0" borderId="1" xfId="8" applyFont="1" applyFill="1" applyBorder="1" applyAlignment="1" applyProtection="1">
      <alignment horizontal="center" vertical="center" wrapText="1"/>
    </xf>
    <xf numFmtId="0" fontId="51" fillId="0" borderId="3" xfId="8" applyFont="1" applyFill="1" applyBorder="1" applyAlignment="1" applyProtection="1">
      <alignment horizontal="center" vertical="center"/>
    </xf>
    <xf numFmtId="0" fontId="51" fillId="0" borderId="10" xfId="8" applyFont="1" applyFill="1" applyBorder="1" applyAlignment="1" applyProtection="1">
      <alignment horizontal="center" vertical="center"/>
    </xf>
    <xf numFmtId="0" fontId="51" fillId="0" borderId="2" xfId="8" applyFont="1" applyFill="1" applyBorder="1" applyAlignment="1" applyProtection="1">
      <alignment horizontal="center" vertical="center"/>
    </xf>
    <xf numFmtId="0" fontId="54" fillId="0" borderId="1" xfId="0" applyNumberFormat="1" applyFont="1" applyFill="1" applyBorder="1" applyAlignment="1" applyProtection="1">
      <alignment horizontal="center" vertical="center" wrapText="1"/>
    </xf>
    <xf numFmtId="0" fontId="54" fillId="0" borderId="1" xfId="0" applyNumberFormat="1" applyFont="1" applyFill="1" applyBorder="1" applyAlignment="1" applyProtection="1">
      <alignment horizontal="center" vertical="center"/>
    </xf>
    <xf numFmtId="0" fontId="49" fillId="0" borderId="6" xfId="0" applyFont="1" applyFill="1" applyBorder="1" applyAlignment="1" applyProtection="1">
      <alignment horizontal="center" vertical="center" wrapText="1"/>
      <protection locked="0"/>
    </xf>
    <xf numFmtId="0" fontId="58" fillId="0" borderId="0" xfId="0" applyFont="1" applyAlignment="1" applyProtection="1">
      <alignment horizontal="center" vertical="center" wrapText="1"/>
    </xf>
    <xf numFmtId="0" fontId="54" fillId="0" borderId="5" xfId="8" applyFont="1" applyFill="1" applyBorder="1" applyAlignment="1" applyProtection="1">
      <alignment horizontal="center" vertical="center" wrapText="1"/>
    </xf>
    <xf numFmtId="0" fontId="54" fillId="0" borderId="9" xfId="8" applyFont="1" applyFill="1" applyBorder="1" applyAlignment="1" applyProtection="1">
      <alignment horizontal="center" vertical="center" wrapText="1"/>
    </xf>
    <xf numFmtId="0" fontId="13" fillId="0" borderId="5" xfId="8" applyFont="1" applyFill="1" applyBorder="1" applyAlignment="1" applyProtection="1">
      <alignment horizontal="center" vertical="center" wrapText="1"/>
    </xf>
    <xf numFmtId="0" fontId="13" fillId="0" borderId="9" xfId="8" applyFont="1" applyFill="1" applyBorder="1" applyAlignment="1" applyProtection="1">
      <alignment horizontal="center" vertical="center" wrapText="1"/>
    </xf>
    <xf numFmtId="0" fontId="13" fillId="0" borderId="6" xfId="8" applyFont="1" applyFill="1" applyBorder="1" applyAlignment="1" applyProtection="1">
      <alignment horizontal="center" vertical="center" wrapText="1"/>
    </xf>
    <xf numFmtId="0" fontId="23" fillId="0" borderId="0" xfId="8" applyFont="1" applyFill="1" applyBorder="1" applyAlignment="1" applyProtection="1">
      <alignment horizontal="center" vertical="center" wrapText="1"/>
    </xf>
    <xf numFmtId="0" fontId="23" fillId="0" borderId="8" xfId="8" applyFont="1" applyFill="1" applyBorder="1" applyAlignment="1" applyProtection="1">
      <alignment horizontal="center" vertical="center" wrapText="1"/>
    </xf>
    <xf numFmtId="0" fontId="23" fillId="0" borderId="13" xfId="8" applyFont="1" applyFill="1" applyBorder="1" applyAlignment="1" applyProtection="1">
      <alignment horizontal="center" vertical="center"/>
    </xf>
    <xf numFmtId="0" fontId="23" fillId="0" borderId="1" xfId="8" applyFont="1" applyFill="1" applyBorder="1" applyAlignment="1" applyProtection="1">
      <alignment horizontal="center" vertical="center" wrapText="1"/>
    </xf>
    <xf numFmtId="0" fontId="61" fillId="0" borderId="1" xfId="0" applyFont="1" applyFill="1" applyBorder="1" applyAlignment="1" applyProtection="1">
      <alignment horizontal="center" vertical="center" wrapText="1"/>
    </xf>
    <xf numFmtId="0" fontId="51" fillId="0" borderId="5" xfId="0" applyFont="1" applyFill="1" applyBorder="1" applyAlignment="1" applyProtection="1">
      <alignment horizontal="center" vertical="center" wrapText="1"/>
      <protection locked="0"/>
    </xf>
    <xf numFmtId="0" fontId="51" fillId="0" borderId="6" xfId="0" applyFont="1" applyFill="1" applyBorder="1" applyAlignment="1" applyProtection="1">
      <alignment horizontal="center" vertical="center" wrapText="1"/>
      <protection locked="0"/>
    </xf>
    <xf numFmtId="0" fontId="49" fillId="0" borderId="3" xfId="0" applyFont="1" applyFill="1" applyBorder="1" applyAlignment="1" applyProtection="1">
      <alignment horizontal="center" vertical="center"/>
    </xf>
    <xf numFmtId="0" fontId="49" fillId="0" borderId="10" xfId="0" applyFont="1" applyFill="1" applyBorder="1" applyAlignment="1" applyProtection="1">
      <alignment horizontal="center" vertical="center"/>
    </xf>
    <xf numFmtId="0" fontId="58" fillId="0" borderId="0" xfId="0" applyFont="1" applyFill="1" applyAlignment="1" applyProtection="1">
      <alignment horizontal="center" vertical="center" wrapText="1"/>
    </xf>
    <xf numFmtId="0" fontId="51" fillId="0" borderId="0"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protection locked="0"/>
    </xf>
    <xf numFmtId="0" fontId="51" fillId="0" borderId="1" xfId="0" applyNumberFormat="1" applyFont="1" applyFill="1" applyBorder="1" applyAlignment="1" applyProtection="1">
      <alignment horizontal="center" vertical="center" wrapText="1"/>
    </xf>
    <xf numFmtId="0" fontId="51" fillId="0" borderId="1" xfId="0" applyNumberFormat="1" applyFont="1" applyFill="1" applyBorder="1" applyAlignment="1" applyProtection="1">
      <alignment horizontal="center" vertical="center"/>
    </xf>
    <xf numFmtId="20" fontId="51" fillId="0" borderId="1" xfId="0" quotePrefix="1" applyNumberFormat="1" applyFont="1" applyFill="1" applyBorder="1" applyAlignment="1" applyProtection="1">
      <alignment horizontal="center" vertical="center" wrapText="1"/>
    </xf>
    <xf numFmtId="0" fontId="54" fillId="0" borderId="66" xfId="0" applyFont="1" applyFill="1" applyBorder="1" applyAlignment="1" applyProtection="1">
      <alignment horizontal="center" vertical="center"/>
    </xf>
    <xf numFmtId="0" fontId="49" fillId="0" borderId="2" xfId="0" applyFont="1" applyFill="1" applyBorder="1" applyAlignment="1" applyProtection="1">
      <alignment horizontal="center" vertical="center"/>
    </xf>
    <xf numFmtId="0" fontId="49" fillId="0" borderId="5" xfId="0" applyFont="1" applyFill="1" applyBorder="1" applyAlignment="1">
      <alignment horizontal="center" vertical="center" wrapText="1"/>
    </xf>
    <xf numFmtId="0" fontId="49" fillId="0" borderId="9" xfId="0" applyFont="1" applyFill="1" applyBorder="1" applyAlignment="1">
      <alignment horizontal="center" vertical="center" wrapText="1"/>
    </xf>
    <xf numFmtId="0" fontId="49" fillId="0" borderId="6" xfId="0" applyFont="1" applyFill="1" applyBorder="1" applyAlignment="1">
      <alignment horizontal="center" vertical="center" wrapText="1"/>
    </xf>
    <xf numFmtId="0" fontId="61" fillId="0" borderId="5" xfId="0" applyFont="1" applyFill="1" applyBorder="1" applyAlignment="1" applyProtection="1">
      <alignment horizontal="center" vertical="center" wrapText="1"/>
    </xf>
    <xf numFmtId="0" fontId="61" fillId="0" borderId="9" xfId="0" applyFont="1" applyFill="1" applyBorder="1" applyAlignment="1" applyProtection="1">
      <alignment horizontal="center" vertical="center" wrapText="1"/>
    </xf>
    <xf numFmtId="0" fontId="61" fillId="0" borderId="6" xfId="0" applyFont="1" applyFill="1" applyBorder="1" applyAlignment="1" applyProtection="1">
      <alignment horizontal="center" vertical="center" wrapText="1"/>
    </xf>
    <xf numFmtId="0" fontId="23" fillId="0" borderId="3" xfId="8" applyFont="1" applyFill="1" applyBorder="1" applyAlignment="1" applyProtection="1">
      <alignment horizontal="center" vertical="center" wrapText="1"/>
    </xf>
    <xf numFmtId="0" fontId="23" fillId="0" borderId="2" xfId="8" applyFont="1" applyFill="1" applyBorder="1" applyAlignment="1" applyProtection="1">
      <alignment horizontal="center" vertical="center" wrapText="1"/>
    </xf>
    <xf numFmtId="0" fontId="62" fillId="0" borderId="0" xfId="0" applyFont="1" applyAlignment="1" applyProtection="1">
      <alignment horizontal="center" vertical="center" wrapText="1"/>
    </xf>
    <xf numFmtId="0" fontId="64" fillId="0" borderId="0" xfId="0" applyFont="1" applyBorder="1" applyAlignment="1" applyProtection="1">
      <alignment horizontal="center" vertical="center" wrapText="1"/>
    </xf>
    <xf numFmtId="0" fontId="52" fillId="0" borderId="1" xfId="0" applyFont="1" applyBorder="1" applyAlignment="1" applyProtection="1">
      <alignment horizontal="center" vertical="center"/>
    </xf>
    <xf numFmtId="0" fontId="75" fillId="0" borderId="3" xfId="0" applyFont="1" applyFill="1" applyBorder="1" applyAlignment="1" applyProtection="1">
      <alignment horizontal="center" vertical="center"/>
    </xf>
    <xf numFmtId="0" fontId="75" fillId="0" borderId="10" xfId="0" applyFont="1" applyFill="1" applyBorder="1" applyAlignment="1" applyProtection="1">
      <alignment horizontal="center" vertical="center"/>
    </xf>
    <xf numFmtId="0" fontId="151" fillId="0" borderId="13" xfId="0" applyFont="1" applyFill="1" applyBorder="1" applyAlignment="1" applyProtection="1">
      <alignment horizontal="center" vertical="center" wrapText="1"/>
    </xf>
    <xf numFmtId="0" fontId="151" fillId="0" borderId="12" xfId="0" applyFont="1" applyFill="1" applyBorder="1" applyAlignment="1" applyProtection="1">
      <alignment horizontal="center" vertical="center"/>
    </xf>
    <xf numFmtId="0" fontId="151" fillId="0" borderId="11" xfId="0" applyFont="1" applyFill="1" applyBorder="1" applyAlignment="1" applyProtection="1">
      <alignment horizontal="center" vertical="center"/>
    </xf>
    <xf numFmtId="0" fontId="151" fillId="0" borderId="16" xfId="0" applyFont="1" applyFill="1" applyBorder="1" applyAlignment="1" applyProtection="1">
      <alignment horizontal="center" vertical="center"/>
    </xf>
    <xf numFmtId="0" fontId="75" fillId="0" borderId="2" xfId="0" applyFont="1" applyFill="1" applyBorder="1" applyAlignment="1" applyProtection="1">
      <alignment horizontal="center" vertical="center"/>
    </xf>
    <xf numFmtId="20" fontId="67" fillId="0" borderId="83" xfId="0" applyNumberFormat="1" applyFont="1" applyFill="1" applyBorder="1" applyAlignment="1" applyProtection="1">
      <alignment horizontal="center" vertical="center" wrapText="1"/>
    </xf>
    <xf numFmtId="20" fontId="67" fillId="0" borderId="84" xfId="0" applyNumberFormat="1" applyFont="1" applyFill="1" applyBorder="1" applyAlignment="1" applyProtection="1">
      <alignment horizontal="center" vertical="center" wrapText="1"/>
    </xf>
    <xf numFmtId="0" fontId="52" fillId="0" borderId="13" xfId="0" applyFont="1" applyFill="1" applyBorder="1" applyAlignment="1" applyProtection="1">
      <alignment horizontal="center" vertical="center" wrapText="1"/>
    </xf>
    <xf numFmtId="0" fontId="52" fillId="0" borderId="8" xfId="0" applyFont="1" applyFill="1" applyBorder="1" applyAlignment="1" applyProtection="1">
      <alignment horizontal="center" vertical="center" wrapText="1"/>
    </xf>
    <xf numFmtId="0" fontId="52" fillId="0" borderId="4" xfId="0" applyFont="1" applyFill="1" applyBorder="1" applyAlignment="1" applyProtection="1">
      <alignment horizontal="center" vertical="center" wrapText="1"/>
    </xf>
    <xf numFmtId="0" fontId="52" fillId="0" borderId="7" xfId="0" applyFont="1" applyFill="1" applyBorder="1" applyAlignment="1" applyProtection="1">
      <alignment horizontal="center" vertical="center" wrapText="1"/>
    </xf>
    <xf numFmtId="0" fontId="52" fillId="0" borderId="12" xfId="0" applyFont="1" applyFill="1" applyBorder="1" applyAlignment="1" applyProtection="1">
      <alignment horizontal="center" vertical="center" wrapText="1"/>
      <protection locked="0"/>
    </xf>
    <xf numFmtId="0" fontId="52" fillId="0" borderId="15" xfId="0" applyFont="1" applyFill="1" applyBorder="1" applyAlignment="1" applyProtection="1">
      <alignment horizontal="center" vertical="center" wrapText="1"/>
      <protection locked="0"/>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1" fillId="0" borderId="5" xfId="0" applyFont="1" applyFill="1" applyBorder="1" applyAlignment="1">
      <alignment horizontal="center" vertical="center" wrapText="1"/>
    </xf>
    <xf numFmtId="0" fontId="51" fillId="0" borderId="9" xfId="0" applyFont="1" applyFill="1" applyBorder="1" applyAlignment="1">
      <alignment horizontal="center" vertical="center" wrapText="1"/>
    </xf>
    <xf numFmtId="0" fontId="51" fillId="0" borderId="6" xfId="0" applyFont="1" applyFill="1" applyBorder="1" applyAlignment="1">
      <alignment horizontal="center" vertical="center" wrapText="1"/>
    </xf>
    <xf numFmtId="0" fontId="52" fillId="0" borderId="5" xfId="8" applyFont="1" applyFill="1" applyBorder="1" applyAlignment="1" applyProtection="1">
      <alignment horizontal="center" vertical="center" wrapText="1"/>
    </xf>
    <xf numFmtId="0" fontId="52" fillId="0" borderId="9" xfId="8" applyFont="1" applyFill="1" applyBorder="1" applyAlignment="1" applyProtection="1">
      <alignment horizontal="center" vertical="center" wrapText="1"/>
    </xf>
    <xf numFmtId="0" fontId="52" fillId="0" borderId="6" xfId="8" applyFont="1" applyFill="1" applyBorder="1" applyAlignment="1" applyProtection="1">
      <alignment horizontal="center" vertical="center" wrapText="1"/>
    </xf>
    <xf numFmtId="0" fontId="52" fillId="0" borderId="3"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0" fontId="9" fillId="0" borderId="1" xfId="0" applyFont="1" applyBorder="1" applyAlignment="1" applyProtection="1">
      <alignment horizontal="center" vertical="center" wrapText="1"/>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52" fillId="0" borderId="5"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9" fillId="0" borderId="5" xfId="0" applyFont="1" applyBorder="1" applyAlignment="1" applyProtection="1">
      <alignment horizontal="center" vertical="center" wrapText="1"/>
    </xf>
    <xf numFmtId="0" fontId="9" fillId="0" borderId="9" xfId="0" applyFont="1" applyBorder="1" applyAlignment="1" applyProtection="1">
      <alignment horizontal="center" vertical="center" wrapText="1"/>
    </xf>
    <xf numFmtId="0" fontId="9" fillId="0" borderId="6" xfId="0" applyFont="1" applyBorder="1" applyAlignment="1" applyProtection="1">
      <alignment horizontal="center" vertical="center" wrapText="1"/>
    </xf>
    <xf numFmtId="0" fontId="16" fillId="0" borderId="13" xfId="8" applyFont="1" applyFill="1" applyBorder="1" applyAlignment="1" applyProtection="1">
      <alignment horizontal="center" vertical="center" wrapText="1"/>
    </xf>
    <xf numFmtId="0" fontId="16" fillId="0" borderId="12" xfId="8" applyFont="1" applyFill="1" applyBorder="1" applyAlignment="1" applyProtection="1">
      <alignment horizontal="center" vertical="center" wrapText="1"/>
    </xf>
    <xf numFmtId="0" fontId="16" fillId="0" borderId="11" xfId="8" applyFont="1" applyFill="1" applyBorder="1" applyAlignment="1" applyProtection="1">
      <alignment horizontal="center" vertical="center" wrapText="1"/>
    </xf>
    <xf numFmtId="0" fontId="16" fillId="0" borderId="16" xfId="8" applyFont="1" applyFill="1" applyBorder="1" applyAlignment="1" applyProtection="1">
      <alignment horizontal="center" vertical="center" wrapText="1"/>
    </xf>
    <xf numFmtId="0" fontId="16" fillId="0" borderId="4" xfId="8" applyFont="1" applyFill="1" applyBorder="1" applyAlignment="1" applyProtection="1">
      <alignment horizontal="center" vertical="center" wrapText="1"/>
    </xf>
    <xf numFmtId="0" fontId="16" fillId="0" borderId="15" xfId="8" applyFont="1" applyFill="1" applyBorder="1" applyAlignment="1" applyProtection="1">
      <alignment horizontal="center" vertical="center" wrapText="1"/>
    </xf>
    <xf numFmtId="0" fontId="16" fillId="0" borderId="5" xfId="8" applyFont="1" applyFill="1" applyBorder="1" applyAlignment="1" applyProtection="1">
      <alignment horizontal="center" vertical="center" wrapText="1"/>
    </xf>
    <xf numFmtId="0" fontId="16" fillId="0" borderId="6" xfId="8" applyFont="1" applyFill="1" applyBorder="1" applyAlignment="1" applyProtection="1">
      <alignment horizontal="center" vertical="center" wrapText="1"/>
    </xf>
    <xf numFmtId="0" fontId="9" fillId="0" borderId="5" xfId="0" applyFont="1" applyFill="1" applyBorder="1" applyAlignment="1" applyProtection="1">
      <alignment horizontal="center" vertical="center" wrapText="1"/>
    </xf>
    <xf numFmtId="0" fontId="9" fillId="0" borderId="6" xfId="0" applyFont="1" applyFill="1" applyBorder="1" applyAlignment="1" applyProtection="1">
      <alignment horizontal="center" vertical="center" wrapText="1"/>
    </xf>
    <xf numFmtId="0" fontId="9" fillId="0" borderId="9" xfId="0" applyFont="1" applyFill="1" applyBorder="1" applyAlignment="1" applyProtection="1">
      <alignment horizontal="center" vertical="center" wrapText="1"/>
    </xf>
    <xf numFmtId="0" fontId="64" fillId="0" borderId="16" xfId="0" applyFont="1" applyBorder="1" applyAlignment="1" applyProtection="1">
      <alignment horizontal="center" vertical="center" wrapText="1"/>
    </xf>
    <xf numFmtId="0" fontId="23" fillId="0" borderId="5" xfId="0" applyFont="1" applyFill="1" applyBorder="1" applyAlignment="1" applyProtection="1">
      <alignment horizontal="center" vertical="center" wrapText="1"/>
    </xf>
    <xf numFmtId="0" fontId="9" fillId="0" borderId="1" xfId="0" applyFont="1" applyFill="1" applyBorder="1" applyAlignment="1" applyProtection="1">
      <alignment horizontal="center" vertical="center" wrapText="1"/>
      <protection locked="0"/>
    </xf>
    <xf numFmtId="0" fontId="10" fillId="0" borderId="3" xfId="0" applyFont="1" applyFill="1" applyBorder="1" applyAlignment="1" applyProtection="1">
      <alignment horizontal="center" vertical="center"/>
    </xf>
    <xf numFmtId="0" fontId="10" fillId="0" borderId="2" xfId="0" applyFont="1" applyFill="1" applyBorder="1" applyAlignment="1" applyProtection="1">
      <alignment horizontal="center" vertical="center"/>
    </xf>
    <xf numFmtId="0" fontId="9" fillId="0" borderId="5" xfId="0" applyFont="1" applyFill="1" applyBorder="1" applyAlignment="1">
      <alignment horizontal="center" vertical="center" wrapText="1"/>
    </xf>
    <xf numFmtId="0" fontId="9" fillId="0" borderId="9"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23" fillId="0" borderId="5" xfId="0" applyFont="1" applyFill="1" applyBorder="1" applyAlignment="1">
      <alignment horizontal="center" vertical="center" wrapText="1"/>
    </xf>
    <xf numFmtId="0" fontId="23" fillId="0" borderId="9" xfId="0" applyFont="1" applyFill="1" applyBorder="1" applyAlignment="1">
      <alignment horizontal="center" vertical="center" wrapText="1"/>
    </xf>
    <xf numFmtId="0" fontId="23" fillId="0" borderId="6" xfId="0" applyFont="1" applyFill="1" applyBorder="1" applyAlignment="1">
      <alignment horizontal="center" vertical="center" wrapText="1"/>
    </xf>
    <xf numFmtId="0" fontId="13" fillId="0" borderId="1"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xf>
    <xf numFmtId="0" fontId="13" fillId="0" borderId="5" xfId="0" applyFont="1" applyFill="1" applyBorder="1" applyAlignment="1" applyProtection="1">
      <alignment horizontal="center" vertical="center" wrapText="1"/>
    </xf>
    <xf numFmtId="0" fontId="13" fillId="0" borderId="6" xfId="0" applyFont="1" applyFill="1" applyBorder="1" applyAlignment="1" applyProtection="1">
      <alignment horizontal="center" vertical="center" wrapText="1"/>
    </xf>
    <xf numFmtId="0" fontId="10" fillId="0" borderId="10" xfId="0" applyFont="1" applyFill="1" applyBorder="1" applyAlignment="1" applyProtection="1">
      <alignment horizontal="center" vertical="center"/>
    </xf>
    <xf numFmtId="0" fontId="16" fillId="0" borderId="13" xfId="0" applyFont="1" applyFill="1" applyBorder="1" applyAlignment="1" applyProtection="1">
      <alignment horizontal="center" vertical="center" wrapText="1"/>
    </xf>
    <xf numFmtId="0" fontId="16" fillId="0" borderId="12" xfId="0" applyFont="1" applyFill="1" applyBorder="1" applyAlignment="1" applyProtection="1">
      <alignment horizontal="center" vertical="center"/>
    </xf>
    <xf numFmtId="0" fontId="16" fillId="0" borderId="11" xfId="0" applyFont="1" applyFill="1" applyBorder="1" applyAlignment="1" applyProtection="1">
      <alignment horizontal="center" vertical="center"/>
    </xf>
    <xf numFmtId="0" fontId="16" fillId="0" borderId="16" xfId="0" applyFont="1" applyFill="1" applyBorder="1" applyAlignment="1" applyProtection="1">
      <alignment horizontal="center" vertical="center"/>
    </xf>
    <xf numFmtId="0" fontId="13" fillId="0" borderId="5" xfId="0" applyFont="1" applyFill="1" applyBorder="1" applyAlignment="1" applyProtection="1">
      <alignment horizontal="center" vertical="center"/>
    </xf>
    <xf numFmtId="0" fontId="13" fillId="0" borderId="6" xfId="0" applyFont="1" applyFill="1" applyBorder="1" applyAlignment="1" applyProtection="1">
      <alignment horizontal="center" vertical="center"/>
    </xf>
    <xf numFmtId="0" fontId="23" fillId="0" borderId="5" xfId="0" applyFont="1" applyFill="1" applyBorder="1" applyAlignment="1" applyProtection="1">
      <alignment horizontal="center" vertical="center"/>
      <protection locked="0"/>
    </xf>
    <xf numFmtId="0" fontId="23" fillId="0" borderId="6" xfId="0" applyFont="1" applyFill="1" applyBorder="1" applyAlignment="1" applyProtection="1">
      <alignment horizontal="center" vertical="center"/>
      <protection locked="0"/>
    </xf>
    <xf numFmtId="0" fontId="9" fillId="0" borderId="1" xfId="0" applyFont="1" applyBorder="1" applyAlignment="1" applyProtection="1">
      <alignment horizontal="center" vertical="center"/>
    </xf>
    <xf numFmtId="0" fontId="13" fillId="0" borderId="13" xfId="0" applyFont="1" applyFill="1" applyBorder="1" applyAlignment="1" applyProtection="1">
      <alignment horizontal="center" vertical="center" wrapText="1"/>
    </xf>
    <xf numFmtId="0" fontId="13" fillId="0" borderId="8" xfId="0" applyFont="1" applyFill="1" applyBorder="1" applyAlignment="1" applyProtection="1">
      <alignment horizontal="center" vertical="center" wrapText="1"/>
    </xf>
    <xf numFmtId="0" fontId="13" fillId="0" borderId="12" xfId="0" applyFont="1" applyFill="1" applyBorder="1" applyAlignment="1" applyProtection="1">
      <alignment horizontal="center" vertical="center" wrapText="1"/>
    </xf>
    <xf numFmtId="0" fontId="13" fillId="0" borderId="4" xfId="0" applyFont="1" applyFill="1" applyBorder="1" applyAlignment="1" applyProtection="1">
      <alignment horizontal="center" vertical="center" wrapText="1"/>
    </xf>
    <xf numFmtId="0" fontId="13" fillId="0" borderId="7" xfId="0" applyFont="1" applyFill="1" applyBorder="1" applyAlignment="1" applyProtection="1">
      <alignment horizontal="center" vertical="center" wrapText="1"/>
    </xf>
    <xf numFmtId="0" fontId="13" fillId="0" borderId="15" xfId="0" applyFont="1" applyFill="1" applyBorder="1" applyAlignment="1" applyProtection="1">
      <alignment horizontal="center" vertical="center" wrapText="1"/>
    </xf>
    <xf numFmtId="0" fontId="23" fillId="0" borderId="1" xfId="0" applyFont="1" applyFill="1" applyBorder="1" applyAlignment="1" applyProtection="1">
      <alignment horizontal="center" vertical="center" wrapText="1"/>
    </xf>
    <xf numFmtId="0" fontId="23" fillId="0" borderId="1" xfId="0" applyFont="1" applyFill="1" applyBorder="1" applyAlignment="1" applyProtection="1">
      <alignment horizontal="center" vertical="center"/>
    </xf>
    <xf numFmtId="0" fontId="23" fillId="0" borderId="1" xfId="0" applyNumberFormat="1" applyFont="1" applyFill="1" applyBorder="1" applyAlignment="1" applyProtection="1">
      <alignment horizontal="center" vertical="center" wrapText="1"/>
    </xf>
    <xf numFmtId="0" fontId="23" fillId="0" borderId="1" xfId="0" applyNumberFormat="1" applyFont="1" applyFill="1" applyBorder="1" applyAlignment="1" applyProtection="1">
      <alignment horizontal="center" vertical="center"/>
    </xf>
    <xf numFmtId="0" fontId="13" fillId="0" borderId="9" xfId="0" applyFont="1" applyFill="1" applyBorder="1" applyAlignment="1" applyProtection="1">
      <alignment horizontal="center" vertical="center" wrapText="1"/>
    </xf>
    <xf numFmtId="0" fontId="37" fillId="0" borderId="3" xfId="0" applyFont="1" applyFill="1" applyBorder="1" applyAlignment="1" applyProtection="1">
      <alignment horizontal="center" vertical="center"/>
    </xf>
    <xf numFmtId="0" fontId="37" fillId="0" borderId="2" xfId="0" applyFont="1" applyFill="1" applyBorder="1" applyAlignment="1" applyProtection="1">
      <alignment horizontal="center" vertical="center"/>
    </xf>
    <xf numFmtId="0" fontId="23" fillId="0" borderId="3" xfId="8" applyFont="1" applyFill="1" applyBorder="1" applyAlignment="1" applyProtection="1">
      <alignment horizontal="center" vertical="center"/>
    </xf>
    <xf numFmtId="0" fontId="23" fillId="0" borderId="2" xfId="8" applyFont="1" applyFill="1" applyBorder="1" applyAlignment="1" applyProtection="1">
      <alignment horizontal="center" vertical="center"/>
    </xf>
    <xf numFmtId="0" fontId="23" fillId="0" borderId="10" xfId="8" applyFont="1" applyFill="1" applyBorder="1" applyAlignment="1" applyProtection="1">
      <alignment horizontal="center" vertical="center"/>
    </xf>
    <xf numFmtId="0" fontId="13" fillId="0" borderId="12" xfId="0" applyFont="1" applyFill="1" applyBorder="1" applyAlignment="1" applyProtection="1">
      <alignment horizontal="center" vertical="center"/>
    </xf>
    <xf numFmtId="0" fontId="13" fillId="0" borderId="11" xfId="0" applyFont="1" applyFill="1" applyBorder="1" applyAlignment="1" applyProtection="1">
      <alignment horizontal="center" vertical="center"/>
    </xf>
    <xf numFmtId="0" fontId="13" fillId="0" borderId="16" xfId="0" applyFont="1" applyFill="1" applyBorder="1" applyAlignment="1" applyProtection="1">
      <alignment horizontal="center" vertical="center"/>
    </xf>
    <xf numFmtId="0" fontId="13" fillId="0" borderId="4" xfId="0" applyFont="1" applyFill="1" applyBorder="1" applyAlignment="1" applyProtection="1">
      <alignment horizontal="center" vertical="center"/>
    </xf>
    <xf numFmtId="0" fontId="13" fillId="0" borderId="15" xfId="0" applyFont="1" applyFill="1" applyBorder="1" applyAlignment="1" applyProtection="1">
      <alignment horizontal="center" vertical="center"/>
    </xf>
    <xf numFmtId="0" fontId="29" fillId="0" borderId="0" xfId="0" applyFont="1" applyAlignment="1" applyProtection="1">
      <alignment horizontal="center" vertical="center" wrapText="1"/>
    </xf>
    <xf numFmtId="14" fontId="31" fillId="5" borderId="7" xfId="8" applyNumberFormat="1" applyFont="1" applyFill="1" applyBorder="1" applyAlignment="1" applyProtection="1">
      <alignment horizontal="center" vertical="center" wrapText="1"/>
      <protection locked="0"/>
    </xf>
    <xf numFmtId="0" fontId="23" fillId="0" borderId="5" xfId="8" applyFont="1" applyFill="1" applyBorder="1" applyAlignment="1" applyProtection="1">
      <alignment horizontal="center" vertical="center"/>
      <protection locked="0"/>
    </xf>
    <xf numFmtId="0" fontId="23" fillId="0" borderId="6" xfId="8" applyFont="1" applyFill="1" applyBorder="1" applyAlignment="1" applyProtection="1">
      <alignment horizontal="center" vertical="center"/>
      <protection locked="0"/>
    </xf>
    <xf numFmtId="0" fontId="23" fillId="0" borderId="5" xfId="0" applyFont="1" applyFill="1" applyBorder="1" applyAlignment="1" applyProtection="1">
      <alignment horizontal="center" vertical="center" wrapText="1"/>
      <protection locked="0"/>
    </xf>
    <xf numFmtId="0" fontId="23" fillId="0" borderId="6" xfId="0" applyFont="1" applyFill="1" applyBorder="1" applyAlignment="1" applyProtection="1">
      <alignment horizontal="center" vertical="center" wrapText="1"/>
      <protection locked="0"/>
    </xf>
    <xf numFmtId="0" fontId="37" fillId="0" borderId="10" xfId="0" applyFont="1" applyFill="1" applyBorder="1" applyAlignment="1" applyProtection="1">
      <alignment horizontal="center" vertical="center"/>
    </xf>
    <xf numFmtId="0" fontId="13" fillId="0" borderId="74" xfId="0" applyFont="1" applyFill="1" applyBorder="1" applyAlignment="1" applyProtection="1">
      <alignment horizontal="center" vertical="center" wrapText="1"/>
    </xf>
    <xf numFmtId="0" fontId="13" fillId="0" borderId="75" xfId="0" applyFont="1" applyFill="1" applyBorder="1" applyAlignment="1" applyProtection="1">
      <alignment horizontal="center" vertical="center" wrapText="1"/>
    </xf>
    <xf numFmtId="0" fontId="29" fillId="0" borderId="0" xfId="0" applyFont="1" applyFill="1" applyAlignment="1" applyProtection="1">
      <alignment horizontal="center" vertical="center" wrapText="1"/>
    </xf>
    <xf numFmtId="0" fontId="37" fillId="0" borderId="5" xfId="0" applyFont="1" applyFill="1" applyBorder="1" applyAlignment="1">
      <alignment horizontal="center" vertical="center" wrapText="1"/>
    </xf>
    <xf numFmtId="0" fontId="37" fillId="0" borderId="9" xfId="0" applyFont="1" applyFill="1" applyBorder="1" applyAlignment="1">
      <alignment horizontal="center" vertical="center" wrapText="1"/>
    </xf>
    <xf numFmtId="0" fontId="37" fillId="0" borderId="6" xfId="0" applyFont="1" applyFill="1" applyBorder="1" applyAlignment="1">
      <alignment horizontal="center" vertical="center" wrapText="1"/>
    </xf>
    <xf numFmtId="14" fontId="31" fillId="51" borderId="74" xfId="8" applyNumberFormat="1" applyFont="1" applyFill="1" applyBorder="1" applyAlignment="1" applyProtection="1">
      <alignment horizontal="center" vertical="center" wrapText="1"/>
      <protection locked="0"/>
    </xf>
    <xf numFmtId="0" fontId="9" fillId="0" borderId="13" xfId="0" applyFont="1" applyFill="1" applyBorder="1" applyAlignment="1" applyProtection="1">
      <alignment horizontal="center" vertical="center" wrapText="1"/>
    </xf>
    <xf numFmtId="0" fontId="9" fillId="0" borderId="8" xfId="0" applyFont="1" applyFill="1" applyBorder="1" applyAlignment="1" applyProtection="1">
      <alignment horizontal="center" vertical="center" wrapText="1"/>
    </xf>
    <xf numFmtId="0" fontId="9" fillId="0" borderId="4" xfId="0" applyFont="1" applyFill="1" applyBorder="1" applyAlignment="1" applyProtection="1">
      <alignment horizontal="center" vertical="center" wrapText="1"/>
    </xf>
    <xf numFmtId="0" fontId="9" fillId="0" borderId="7" xfId="0" applyFont="1" applyFill="1" applyBorder="1" applyAlignment="1" applyProtection="1">
      <alignment horizontal="center" vertical="center" wrapText="1"/>
    </xf>
    <xf numFmtId="0" fontId="9" fillId="0" borderId="12" xfId="0" applyFont="1" applyFill="1" applyBorder="1" applyAlignment="1" applyProtection="1">
      <alignment horizontal="center" vertical="center" wrapText="1"/>
      <protection locked="0"/>
    </xf>
    <xf numFmtId="0" fontId="9" fillId="0" borderId="15" xfId="0" applyFont="1" applyFill="1" applyBorder="1" applyAlignment="1" applyProtection="1">
      <alignment horizontal="center" vertical="center" wrapText="1"/>
      <protection locked="0"/>
    </xf>
    <xf numFmtId="0" fontId="9" fillId="0" borderId="3" xfId="8" applyFont="1" applyFill="1" applyBorder="1" applyAlignment="1" applyProtection="1">
      <alignment horizontal="center" vertical="center" wrapText="1"/>
    </xf>
    <xf numFmtId="0" fontId="9" fillId="0" borderId="2" xfId="8" applyFont="1" applyFill="1" applyBorder="1" applyAlignment="1" applyProtection="1">
      <alignment horizontal="center" vertical="center" wrapText="1"/>
    </xf>
    <xf numFmtId="0" fontId="9" fillId="0" borderId="5" xfId="8" applyFont="1" applyFill="1" applyBorder="1" applyAlignment="1" applyProtection="1">
      <alignment horizontal="center" vertical="center" wrapText="1"/>
    </xf>
    <xf numFmtId="0" fontId="9" fillId="0" borderId="9" xfId="8" applyFont="1" applyFill="1" applyBorder="1" applyAlignment="1" applyProtection="1">
      <alignment horizontal="center" vertical="center" wrapText="1"/>
    </xf>
    <xf numFmtId="0" fontId="9" fillId="0" borderId="6" xfId="8" applyFont="1" applyFill="1" applyBorder="1" applyAlignment="1" applyProtection="1">
      <alignment horizontal="center" vertical="center" wrapText="1"/>
    </xf>
    <xf numFmtId="0" fontId="50" fillId="0" borderId="13" xfId="0" applyFont="1" applyFill="1" applyBorder="1" applyAlignment="1" applyProtection="1">
      <alignment horizontal="center" vertical="center" wrapText="1"/>
    </xf>
    <xf numFmtId="0" fontId="50" fillId="0" borderId="8"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92" xfId="0" applyFont="1" applyFill="1" applyBorder="1" applyAlignment="1" applyProtection="1">
      <alignment horizontal="center" vertical="center" wrapText="1"/>
    </xf>
    <xf numFmtId="0" fontId="50" fillId="0" borderId="74" xfId="0" applyFont="1" applyFill="1" applyBorder="1" applyAlignment="1" applyProtection="1">
      <alignment horizontal="center" vertical="center" wrapText="1"/>
    </xf>
    <xf numFmtId="0" fontId="50" fillId="0" borderId="75" xfId="0" applyFont="1" applyFill="1" applyBorder="1" applyAlignment="1" applyProtection="1">
      <alignment horizontal="center" vertical="center" wrapText="1"/>
    </xf>
    <xf numFmtId="0" fontId="152" fillId="0" borderId="5" xfId="0" applyFont="1" applyBorder="1" applyAlignment="1" applyProtection="1">
      <alignment horizontal="center" vertical="center" wrapText="1"/>
    </xf>
    <xf numFmtId="0" fontId="152" fillId="0" borderId="9" xfId="0" applyFont="1" applyBorder="1" applyAlignment="1" applyProtection="1">
      <alignment horizontal="center" vertical="center" wrapText="1"/>
    </xf>
    <xf numFmtId="0" fontId="152" fillId="0" borderId="6" xfId="0" applyFont="1" applyBorder="1" applyAlignment="1" applyProtection="1">
      <alignment horizontal="center" vertical="center" wrapText="1"/>
    </xf>
    <xf numFmtId="20" fontId="9" fillId="0" borderId="0" xfId="0" applyNumberFormat="1" applyFont="1" applyBorder="1" applyAlignment="1" applyProtection="1">
      <alignment horizontal="center" vertical="center"/>
    </xf>
    <xf numFmtId="0" fontId="97" fillId="5" borderId="3" xfId="4" applyFont="1" applyFill="1" applyBorder="1" applyAlignment="1">
      <alignment horizontal="center" vertical="center" wrapText="1"/>
    </xf>
    <xf numFmtId="0" fontId="97" fillId="5" borderId="91" xfId="4" applyFont="1" applyFill="1" applyBorder="1" applyAlignment="1">
      <alignment horizontal="center" vertical="center" wrapText="1"/>
    </xf>
    <xf numFmtId="0" fontId="97" fillId="5" borderId="3" xfId="4" applyFont="1" applyFill="1" applyBorder="1" applyAlignment="1">
      <alignment horizontal="center" vertical="center"/>
    </xf>
    <xf numFmtId="0" fontId="97" fillId="5" borderId="91" xfId="4" applyFont="1" applyFill="1" applyBorder="1" applyAlignment="1">
      <alignment horizontal="center" vertical="center"/>
    </xf>
    <xf numFmtId="0" fontId="49" fillId="0" borderId="3" xfId="4" applyFont="1" applyBorder="1" applyAlignment="1">
      <alignment horizontal="center" vertical="center"/>
    </xf>
    <xf numFmtId="0" fontId="49" fillId="0" borderId="10" xfId="4" applyFont="1" applyBorder="1" applyAlignment="1">
      <alignment horizontal="center" vertical="center"/>
    </xf>
    <xf numFmtId="0" fontId="49" fillId="0" borderId="91" xfId="4" applyFont="1" applyBorder="1" applyAlignment="1">
      <alignment horizontal="center" vertical="center"/>
    </xf>
    <xf numFmtId="0" fontId="97" fillId="5" borderId="1" xfId="4" applyFont="1" applyFill="1" applyBorder="1" applyAlignment="1">
      <alignment horizontal="center" vertical="center"/>
    </xf>
    <xf numFmtId="0" fontId="57" fillId="13" borderId="0" xfId="4" applyFont="1" applyFill="1" applyAlignment="1">
      <alignment horizontal="center" vertical="center"/>
    </xf>
    <xf numFmtId="0" fontId="233" fillId="0" borderId="3" xfId="0" applyFont="1" applyFill="1" applyBorder="1" applyAlignment="1" applyProtection="1">
      <alignment horizontal="center" vertical="center" wrapText="1"/>
    </xf>
    <xf numFmtId="0" fontId="233" fillId="0" borderId="10" xfId="0" applyFont="1" applyFill="1" applyBorder="1" applyAlignment="1" applyProtection="1">
      <alignment horizontal="center" vertical="center" wrapText="1"/>
    </xf>
    <xf numFmtId="0" fontId="98" fillId="0" borderId="1" xfId="84" applyFill="1" applyBorder="1" applyAlignment="1" applyProtection="1">
      <alignment horizontal="left" vertical="center"/>
    </xf>
    <xf numFmtId="0" fontId="98" fillId="0" borderId="3" xfId="84" applyFill="1" applyBorder="1" applyAlignment="1" applyProtection="1">
      <alignment horizontal="left" vertical="center"/>
    </xf>
    <xf numFmtId="0" fontId="98" fillId="0" borderId="10" xfId="84" applyFill="1" applyBorder="1" applyAlignment="1" applyProtection="1">
      <alignment horizontal="left" vertical="center"/>
    </xf>
    <xf numFmtId="0" fontId="98" fillId="0" borderId="91" xfId="84" applyFill="1" applyBorder="1" applyAlignment="1" applyProtection="1">
      <alignment horizontal="left" vertical="center"/>
    </xf>
    <xf numFmtId="0" fontId="23" fillId="0" borderId="11" xfId="8" applyFont="1" applyFill="1" applyBorder="1" applyAlignment="1" applyProtection="1">
      <alignment horizontal="center" vertical="center"/>
    </xf>
    <xf numFmtId="0" fontId="23" fillId="0" borderId="4" xfId="8" applyFont="1" applyFill="1" applyBorder="1" applyAlignment="1" applyProtection="1">
      <alignment horizontal="center" vertical="center"/>
    </xf>
    <xf numFmtId="0" fontId="51" fillId="0" borderId="0" xfId="0" applyFont="1" applyFill="1" applyBorder="1" applyAlignment="1">
      <alignment horizontal="center" vertical="center" wrapText="1"/>
    </xf>
    <xf numFmtId="0" fontId="51" fillId="0" borderId="7" xfId="0" applyFont="1" applyFill="1" applyBorder="1" applyAlignment="1">
      <alignment horizontal="center" vertical="center"/>
    </xf>
    <xf numFmtId="0" fontId="51" fillId="0" borderId="11" xfId="0" applyFont="1" applyFill="1" applyBorder="1" applyAlignment="1">
      <alignment horizontal="center" vertical="center" wrapText="1"/>
    </xf>
    <xf numFmtId="0" fontId="51" fillId="0" borderId="4" xfId="0" applyFont="1" applyFill="1" applyBorder="1" applyAlignment="1">
      <alignment horizontal="center" vertical="center"/>
    </xf>
    <xf numFmtId="0" fontId="23" fillId="0" borderId="13" xfId="8" applyFont="1" applyFill="1" applyBorder="1" applyAlignment="1" applyProtection="1">
      <alignment horizontal="center" vertical="center" wrapText="1"/>
    </xf>
    <xf numFmtId="0" fontId="23" fillId="0" borderId="4" xfId="8" applyFont="1" applyFill="1" applyBorder="1" applyAlignment="1" applyProtection="1">
      <alignment horizontal="center" vertical="center" wrapText="1"/>
    </xf>
    <xf numFmtId="0" fontId="23" fillId="0" borderId="9" xfId="8" applyFont="1" applyFill="1" applyBorder="1" applyAlignment="1" applyProtection="1">
      <alignment horizontal="center" vertical="center"/>
    </xf>
    <xf numFmtId="0" fontId="51" fillId="0" borderId="13" xfId="0" applyFont="1" applyFill="1" applyBorder="1" applyAlignment="1">
      <alignment horizontal="center" vertical="center" wrapText="1"/>
    </xf>
    <xf numFmtId="0" fontId="23" fillId="6" borderId="1" xfId="8" applyFont="1" applyFill="1" applyBorder="1" applyAlignment="1" applyProtection="1">
      <alignment horizontal="center" vertical="center" wrapText="1"/>
    </xf>
    <xf numFmtId="0" fontId="23" fillId="6" borderId="5" xfId="8" applyFont="1" applyFill="1" applyBorder="1" applyAlignment="1" applyProtection="1">
      <alignment horizontal="center" vertical="center" wrapText="1"/>
    </xf>
    <xf numFmtId="0" fontId="23" fillId="6" borderId="9" xfId="8" applyFont="1" applyFill="1" applyBorder="1" applyAlignment="1" applyProtection="1">
      <alignment horizontal="center" vertical="center" wrapText="1"/>
    </xf>
    <xf numFmtId="0" fontId="37" fillId="0" borderId="11" xfId="0" applyFont="1" applyFill="1" applyBorder="1" applyAlignment="1" applyProtection="1">
      <alignment horizontal="center" vertical="center"/>
    </xf>
    <xf numFmtId="0" fontId="37" fillId="0" borderId="4" xfId="0" applyFont="1" applyFill="1" applyBorder="1" applyAlignment="1" applyProtection="1">
      <alignment horizontal="center" vertical="center"/>
    </xf>
    <xf numFmtId="0" fontId="13" fillId="0" borderId="0" xfId="0" applyFont="1" applyFill="1" applyBorder="1" applyAlignment="1" applyProtection="1">
      <alignment horizontal="center" vertical="center" wrapText="1"/>
    </xf>
    <xf numFmtId="0" fontId="13" fillId="0" borderId="0" xfId="0" applyFont="1" applyFill="1" applyBorder="1" applyAlignment="1" applyProtection="1">
      <alignment horizontal="center" vertical="center"/>
    </xf>
    <xf numFmtId="0" fontId="13" fillId="0" borderId="7" xfId="0" applyFont="1" applyFill="1" applyBorder="1" applyAlignment="1" applyProtection="1">
      <alignment horizontal="center" vertical="center"/>
    </xf>
    <xf numFmtId="0" fontId="13" fillId="0" borderId="11" xfId="0" applyFont="1" applyFill="1" applyBorder="1" applyAlignment="1" applyProtection="1">
      <alignment horizontal="center" vertical="center" wrapText="1"/>
    </xf>
    <xf numFmtId="0" fontId="33" fillId="0" borderId="3" xfId="0" applyFont="1" applyFill="1" applyBorder="1" applyAlignment="1" applyProtection="1">
      <alignment horizontal="center" vertical="center"/>
    </xf>
    <xf numFmtId="0" fontId="33" fillId="0" borderId="2" xfId="0" applyFont="1" applyFill="1" applyBorder="1" applyAlignment="1" applyProtection="1">
      <alignment horizontal="center" vertical="center"/>
    </xf>
    <xf numFmtId="0" fontId="16" fillId="0" borderId="11" xfId="0" applyFont="1" applyFill="1" applyBorder="1" applyAlignment="1" applyProtection="1">
      <alignment horizontal="center" vertical="center" wrapText="1"/>
    </xf>
    <xf numFmtId="0" fontId="16" fillId="0" borderId="4" xfId="0" applyFont="1" applyFill="1" applyBorder="1" applyAlignment="1" applyProtection="1">
      <alignment horizontal="center" vertical="center"/>
    </xf>
    <xf numFmtId="0" fontId="10" fillId="0" borderId="11" xfId="0" applyFont="1" applyFill="1" applyBorder="1" applyAlignment="1" applyProtection="1">
      <alignment horizontal="center" vertical="center"/>
    </xf>
    <xf numFmtId="0" fontId="10" fillId="0" borderId="4" xfId="0" applyFont="1" applyFill="1" applyBorder="1" applyAlignment="1" applyProtection="1">
      <alignment horizontal="center" vertical="center"/>
    </xf>
    <xf numFmtId="0" fontId="16" fillId="0" borderId="0" xfId="0"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xf>
    <xf numFmtId="0" fontId="16" fillId="0" borderId="7" xfId="0" applyFont="1" applyFill="1" applyBorder="1" applyAlignment="1" applyProtection="1">
      <alignment horizontal="center" vertical="center"/>
    </xf>
    <xf numFmtId="0" fontId="54" fillId="0" borderId="5" xfId="0" applyFont="1" applyFill="1" applyBorder="1" applyAlignment="1">
      <alignment horizontal="center" vertical="center" wrapText="1"/>
    </xf>
    <xf numFmtId="0" fontId="54" fillId="0" borderId="9" xfId="0" applyFont="1" applyFill="1" applyBorder="1" applyAlignment="1">
      <alignment horizontal="center" vertical="center" wrapText="1"/>
    </xf>
    <xf numFmtId="0" fontId="54" fillId="38" borderId="5" xfId="0" applyFont="1" applyFill="1" applyBorder="1" applyAlignment="1" applyProtection="1">
      <alignment horizontal="left" vertical="center" wrapText="1"/>
      <protection locked="0"/>
    </xf>
    <xf numFmtId="0" fontId="54" fillId="38" borderId="6" xfId="0" applyFont="1" applyFill="1" applyBorder="1" applyAlignment="1" applyProtection="1">
      <alignment horizontal="left" vertical="center" wrapText="1"/>
      <protection locked="0"/>
    </xf>
    <xf numFmtId="0" fontId="103" fillId="38" borderId="5" xfId="0" applyFont="1" applyFill="1" applyBorder="1" applyAlignment="1" applyProtection="1">
      <alignment horizontal="left" vertical="center" wrapText="1"/>
      <protection locked="0"/>
    </xf>
    <xf numFmtId="0" fontId="103"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23" fillId="0" borderId="0" xfId="0" applyFont="1" applyFill="1" applyBorder="1" applyAlignment="1">
      <alignment horizontal="center" vertical="center"/>
    </xf>
    <xf numFmtId="0" fontId="23" fillId="0" borderId="5" xfId="0" applyFont="1" applyFill="1" applyBorder="1" applyAlignment="1">
      <alignment horizontal="center" vertical="center"/>
    </xf>
    <xf numFmtId="0" fontId="23" fillId="0" borderId="6" xfId="0" applyFont="1" applyFill="1" applyBorder="1" applyAlignment="1">
      <alignment horizontal="center" vertical="center"/>
    </xf>
    <xf numFmtId="0" fontId="23" fillId="5" borderId="3" xfId="0" applyFont="1" applyFill="1" applyBorder="1" applyAlignment="1" applyProtection="1">
      <alignment horizontal="center" vertical="center" wrapText="1"/>
      <protection locked="0"/>
    </xf>
    <xf numFmtId="0" fontId="23" fillId="5" borderId="10" xfId="0" applyFont="1" applyFill="1" applyBorder="1" applyAlignment="1" applyProtection="1">
      <alignment horizontal="center" vertical="center" wrapText="1"/>
      <protection locked="0"/>
    </xf>
    <xf numFmtId="0" fontId="23" fillId="5" borderId="2" xfId="0" applyFont="1" applyFill="1" applyBorder="1" applyAlignment="1" applyProtection="1">
      <alignment horizontal="center" vertical="center" wrapText="1"/>
      <protection locked="0"/>
    </xf>
    <xf numFmtId="0" fontId="23" fillId="0" borderId="13" xfId="0" applyFont="1" applyFill="1" applyBorder="1" applyAlignment="1">
      <alignment horizontal="center" vertical="center"/>
    </xf>
    <xf numFmtId="0" fontId="23" fillId="0" borderId="12" xfId="0" applyFont="1" applyFill="1" applyBorder="1" applyAlignment="1">
      <alignment horizontal="center" vertical="center"/>
    </xf>
    <xf numFmtId="0" fontId="23" fillId="0" borderId="4" xfId="0" applyFont="1" applyFill="1" applyBorder="1" applyAlignment="1">
      <alignment horizontal="center" vertical="center"/>
    </xf>
    <xf numFmtId="0" fontId="23" fillId="0" borderId="15" xfId="0" applyFont="1" applyFill="1" applyBorder="1" applyAlignment="1">
      <alignment horizontal="center" vertical="center"/>
    </xf>
    <xf numFmtId="0" fontId="37" fillId="14" borderId="1" xfId="85" applyFont="1" applyFill="1" applyBorder="1" applyAlignment="1">
      <alignment horizontal="right" vertical="center" wrapText="1"/>
    </xf>
    <xf numFmtId="0" fontId="37" fillId="0" borderId="3" xfId="0" applyFont="1" applyFill="1" applyBorder="1" applyAlignment="1">
      <alignment horizontal="center" vertical="center" wrapText="1"/>
    </xf>
    <xf numFmtId="0" fontId="37" fillId="0" borderId="10" xfId="0" applyFont="1" applyFill="1" applyBorder="1" applyAlignment="1">
      <alignment horizontal="center" vertical="center" wrapText="1"/>
    </xf>
    <xf numFmtId="0" fontId="37" fillId="0" borderId="2" xfId="0" applyFont="1" applyFill="1" applyBorder="1" applyAlignment="1">
      <alignment horizontal="center" vertical="center" wrapText="1"/>
    </xf>
    <xf numFmtId="0" fontId="37" fillId="5" borderId="3" xfId="0" applyFont="1" applyFill="1" applyBorder="1" applyAlignment="1">
      <alignment horizontal="center" vertical="center" wrapText="1"/>
    </xf>
    <xf numFmtId="0" fontId="37" fillId="5" borderId="10" xfId="0" applyFont="1" applyFill="1" applyBorder="1" applyAlignment="1">
      <alignment horizontal="center" vertical="center" wrapText="1"/>
    </xf>
    <xf numFmtId="0" fontId="37" fillId="5" borderId="2" xfId="0" applyFont="1" applyFill="1" applyBorder="1" applyAlignment="1">
      <alignment horizontal="center" vertical="center" wrapText="1"/>
    </xf>
    <xf numFmtId="0" fontId="37" fillId="0" borderId="1" xfId="0" applyFont="1" applyFill="1" applyBorder="1" applyAlignment="1">
      <alignment horizontal="center" vertical="center"/>
    </xf>
    <xf numFmtId="0" fontId="37" fillId="0" borderId="13" xfId="0" applyFont="1" applyFill="1" applyBorder="1" applyAlignment="1">
      <alignment horizontal="center" vertical="center" wrapText="1"/>
    </xf>
    <xf numFmtId="0" fontId="37" fillId="0" borderId="12"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37" fillId="0" borderId="15" xfId="0" applyFont="1" applyFill="1" applyBorder="1" applyAlignment="1">
      <alignment horizontal="center" vertical="center" wrapText="1"/>
    </xf>
    <xf numFmtId="0" fontId="37" fillId="0" borderId="1" xfId="0" quotePrefix="1" applyFont="1" applyFill="1" applyBorder="1" applyAlignment="1" applyProtection="1">
      <alignment horizontal="center" vertical="center"/>
    </xf>
    <xf numFmtId="0" fontId="37" fillId="0" borderId="13" xfId="0" applyFont="1" applyFill="1" applyBorder="1" applyAlignment="1" applyProtection="1">
      <alignment horizontal="center" vertical="center" wrapText="1"/>
    </xf>
    <xf numFmtId="0" fontId="37" fillId="0" borderId="12" xfId="0" applyFont="1" applyFill="1" applyBorder="1" applyAlignment="1" applyProtection="1">
      <alignment horizontal="center" vertical="center" wrapText="1"/>
    </xf>
    <xf numFmtId="0" fontId="37" fillId="0" borderId="11" xfId="0" applyFont="1" applyFill="1" applyBorder="1" applyAlignment="1" applyProtection="1">
      <alignment horizontal="center" vertical="center" wrapText="1"/>
    </xf>
    <xf numFmtId="0" fontId="37" fillId="0" borderId="16" xfId="0" applyFont="1" applyFill="1" applyBorder="1" applyAlignment="1" applyProtection="1">
      <alignment horizontal="center" vertical="center" wrapText="1"/>
    </xf>
    <xf numFmtId="0" fontId="37" fillId="0" borderId="3" xfId="0" applyFont="1" applyFill="1" applyBorder="1" applyAlignment="1" applyProtection="1">
      <alignment horizontal="center" vertical="center" wrapText="1"/>
    </xf>
    <xf numFmtId="0" fontId="37" fillId="0" borderId="10" xfId="0" applyFont="1" applyFill="1" applyBorder="1" applyAlignment="1" applyProtection="1">
      <alignment horizontal="center" vertical="center" wrapText="1"/>
    </xf>
    <xf numFmtId="0" fontId="37" fillId="0" borderId="3" xfId="0" applyNumberFormat="1" applyFont="1" applyFill="1" applyBorder="1" applyAlignment="1" applyProtection="1">
      <alignment horizontal="center" vertical="center" wrapText="1"/>
    </xf>
    <xf numFmtId="0" fontId="37" fillId="0" borderId="10" xfId="0" applyNumberFormat="1" applyFont="1" applyFill="1" applyBorder="1" applyAlignment="1" applyProtection="1">
      <alignment horizontal="center" vertical="center" wrapText="1"/>
    </xf>
    <xf numFmtId="20" fontId="37" fillId="0" borderId="1" xfId="0" quotePrefix="1" applyNumberFormat="1" applyFont="1" applyFill="1" applyBorder="1" applyAlignment="1" applyProtection="1">
      <alignment horizontal="center" vertical="center"/>
    </xf>
    <xf numFmtId="0" fontId="37" fillId="0" borderId="11" xfId="0" applyFont="1" applyFill="1" applyBorder="1" applyAlignment="1">
      <alignment horizontal="center" vertical="center" wrapText="1"/>
    </xf>
    <xf numFmtId="20" fontId="37" fillId="0" borderId="7" xfId="0" quotePrefix="1" applyNumberFormat="1" applyFont="1" applyFill="1" applyBorder="1" applyAlignment="1" applyProtection="1">
      <alignment horizontal="center" vertical="center"/>
    </xf>
    <xf numFmtId="0" fontId="37" fillId="0" borderId="7" xfId="0" quotePrefix="1" applyFont="1" applyFill="1" applyBorder="1" applyAlignment="1" applyProtection="1">
      <alignment horizontal="center" vertical="center"/>
    </xf>
    <xf numFmtId="20" fontId="37" fillId="0" borderId="5" xfId="0" quotePrefix="1" applyNumberFormat="1" applyFont="1" applyFill="1" applyBorder="1" applyAlignment="1" applyProtection="1">
      <alignment horizontal="center" vertical="center"/>
    </xf>
    <xf numFmtId="20" fontId="37" fillId="0" borderId="9" xfId="0" quotePrefix="1" applyNumberFormat="1" applyFont="1" applyFill="1" applyBorder="1" applyAlignment="1" applyProtection="1">
      <alignment horizontal="center" vertical="center"/>
    </xf>
    <xf numFmtId="20" fontId="37" fillId="0" borderId="6" xfId="0" quotePrefix="1" applyNumberFormat="1" applyFont="1" applyFill="1" applyBorder="1" applyAlignment="1" applyProtection="1">
      <alignment horizontal="center" vertical="center"/>
    </xf>
    <xf numFmtId="0" fontId="37" fillId="0" borderId="0" xfId="0" applyFont="1" applyFill="1" applyBorder="1" applyAlignment="1" applyProtection="1">
      <alignment horizontal="center" vertical="center" wrapText="1"/>
      <protection locked="0"/>
    </xf>
    <xf numFmtId="20" fontId="37" fillId="4" borderId="1" xfId="0" quotePrefix="1" applyNumberFormat="1" applyFont="1" applyFill="1" applyBorder="1" applyAlignment="1" applyProtection="1">
      <alignment horizontal="center" vertical="center"/>
    </xf>
    <xf numFmtId="0" fontId="37" fillId="0" borderId="5" xfId="0" applyFont="1" applyFill="1" applyBorder="1" applyAlignment="1">
      <alignment horizontal="center" vertical="center"/>
    </xf>
    <xf numFmtId="0" fontId="37" fillId="0" borderId="6" xfId="0" applyFont="1" applyFill="1" applyBorder="1" applyAlignment="1">
      <alignment horizontal="center" vertical="center"/>
    </xf>
    <xf numFmtId="0" fontId="37" fillId="0" borderId="13" xfId="0" applyFont="1" applyFill="1" applyBorder="1" applyAlignment="1">
      <alignment horizontal="center" vertical="center"/>
    </xf>
    <xf numFmtId="0" fontId="37" fillId="0" borderId="12" xfId="0" applyFont="1" applyFill="1" applyBorder="1" applyAlignment="1">
      <alignment horizontal="center" vertical="center"/>
    </xf>
    <xf numFmtId="0" fontId="37" fillId="0" borderId="4" xfId="0" applyFont="1" applyFill="1" applyBorder="1" applyAlignment="1">
      <alignment horizontal="center" vertical="center"/>
    </xf>
    <xf numFmtId="0" fontId="37" fillId="0" borderId="15" xfId="0" applyFont="1" applyFill="1" applyBorder="1" applyAlignment="1">
      <alignment horizontal="center" vertical="center"/>
    </xf>
    <xf numFmtId="0" fontId="110" fillId="0" borderId="0" xfId="0" applyFont="1" applyFill="1" applyAlignment="1" applyProtection="1">
      <alignment horizontal="center" vertical="center" wrapText="1"/>
    </xf>
    <xf numFmtId="0" fontId="39" fillId="0" borderId="0" xfId="8" applyFont="1" applyFill="1" applyBorder="1" applyAlignment="1" applyProtection="1">
      <alignment horizontal="center" vertical="center" wrapText="1"/>
    </xf>
    <xf numFmtId="0" fontId="23" fillId="0" borderId="13" xfId="0" applyFont="1" applyFill="1" applyBorder="1" applyAlignment="1" applyProtection="1">
      <alignment horizontal="center" vertical="center"/>
      <protection locked="0"/>
    </xf>
    <xf numFmtId="0" fontId="23" fillId="0" borderId="12" xfId="0" applyFont="1" applyFill="1" applyBorder="1" applyAlignment="1" applyProtection="1">
      <alignment horizontal="center" vertical="center"/>
      <protection locked="0"/>
    </xf>
    <xf numFmtId="0" fontId="24" fillId="0" borderId="1" xfId="0" applyFont="1" applyFill="1" applyBorder="1" applyAlignment="1" applyProtection="1"/>
    <xf numFmtId="0" fontId="31" fillId="0" borderId="13" xfId="0" applyFont="1" applyFill="1" applyBorder="1" applyAlignment="1" applyProtection="1">
      <alignment horizontal="center" vertical="center" wrapText="1"/>
    </xf>
    <xf numFmtId="0" fontId="31" fillId="0" borderId="8" xfId="0" applyFont="1" applyFill="1" applyBorder="1" applyAlignment="1" applyProtection="1">
      <alignment horizontal="center" vertical="center" wrapText="1"/>
    </xf>
    <xf numFmtId="0" fontId="31" fillId="0" borderId="12" xfId="0" applyFont="1" applyFill="1" applyBorder="1" applyAlignment="1" applyProtection="1">
      <alignment horizontal="center" vertical="center" wrapText="1"/>
    </xf>
    <xf numFmtId="0" fontId="31" fillId="0" borderId="11" xfId="0" applyFont="1" applyFill="1" applyBorder="1" applyAlignment="1" applyProtection="1">
      <alignment horizontal="center" vertical="center" wrapText="1"/>
    </xf>
    <xf numFmtId="0" fontId="31" fillId="0" borderId="0" xfId="0" applyFont="1" applyFill="1" applyBorder="1" applyAlignment="1" applyProtection="1">
      <alignment horizontal="center" vertical="center" wrapText="1"/>
    </xf>
    <xf numFmtId="0" fontId="31" fillId="0" borderId="16" xfId="0" applyFont="1" applyFill="1" applyBorder="1" applyAlignment="1" applyProtection="1">
      <alignment horizontal="center" vertical="center" wrapText="1"/>
    </xf>
    <xf numFmtId="0" fontId="31" fillId="0" borderId="4" xfId="0" applyFont="1" applyFill="1" applyBorder="1" applyAlignment="1" applyProtection="1">
      <alignment horizontal="center" vertical="center" wrapText="1"/>
    </xf>
    <xf numFmtId="0" fontId="31" fillId="0" borderId="7" xfId="0" applyFont="1" applyFill="1" applyBorder="1" applyAlignment="1" applyProtection="1">
      <alignment horizontal="center" vertical="center" wrapText="1"/>
    </xf>
    <xf numFmtId="0" fontId="31" fillId="0" borderId="15"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3" fillId="0" borderId="5" xfId="0" applyNumberFormat="1" applyFont="1" applyFill="1" applyBorder="1" applyAlignment="1" applyProtection="1">
      <alignment horizontal="center" vertical="center" wrapText="1"/>
    </xf>
    <xf numFmtId="0" fontId="13" fillId="0" borderId="5" xfId="0" applyFont="1" applyFill="1" applyBorder="1" applyAlignment="1" applyProtection="1">
      <alignment horizontal="left" vertical="center" wrapText="1"/>
    </xf>
    <xf numFmtId="0" fontId="13" fillId="0" borderId="9" xfId="0" applyFont="1" applyFill="1" applyBorder="1" applyAlignment="1" applyProtection="1">
      <alignment horizontal="left" vertical="center" wrapText="1"/>
    </xf>
    <xf numFmtId="0" fontId="13" fillId="0" borderId="6" xfId="0" applyFont="1" applyFill="1" applyBorder="1" applyAlignment="1" applyProtection="1">
      <alignment horizontal="left" vertical="center" wrapText="1"/>
    </xf>
    <xf numFmtId="0" fontId="23" fillId="0" borderId="12" xfId="8" applyFont="1" applyFill="1" applyBorder="1" applyAlignment="1" applyProtection="1">
      <alignment horizontal="center" vertical="center" wrapText="1"/>
    </xf>
    <xf numFmtId="0" fontId="23" fillId="0" borderId="10" xfId="8" applyFont="1" applyFill="1" applyBorder="1" applyAlignment="1" applyProtection="1">
      <alignment horizontal="center" vertical="center" wrapText="1"/>
    </xf>
    <xf numFmtId="20" fontId="24" fillId="0" borderId="2" xfId="0" applyNumberFormat="1" applyFont="1" applyFill="1" applyBorder="1" applyAlignment="1" applyProtection="1">
      <alignment horizontal="center" vertical="center" wrapText="1"/>
    </xf>
    <xf numFmtId="0" fontId="24" fillId="0" borderId="2" xfId="0" applyFont="1" applyFill="1" applyBorder="1" applyAlignment="1" applyProtection="1">
      <alignment horizontal="center" vertical="center" wrapText="1"/>
    </xf>
    <xf numFmtId="0" fontId="23" fillId="0" borderId="9" xfId="0" applyFont="1" applyFill="1" applyBorder="1" applyAlignment="1" applyProtection="1">
      <alignment horizontal="center" vertical="center" wrapText="1"/>
      <protection locked="0"/>
    </xf>
    <xf numFmtId="0" fontId="31" fillId="0" borderId="5" xfId="0" applyFont="1" applyFill="1" applyBorder="1" applyAlignment="1" applyProtection="1">
      <alignment horizontal="center" vertical="center" wrapText="1"/>
    </xf>
    <xf numFmtId="0" fontId="31" fillId="0" borderId="9" xfId="0" applyFont="1" applyFill="1" applyBorder="1" applyAlignment="1" applyProtection="1">
      <alignment horizontal="center" vertical="center" wrapText="1"/>
    </xf>
    <xf numFmtId="0" fontId="31" fillId="0" borderId="6" xfId="0" applyFont="1" applyFill="1" applyBorder="1" applyAlignment="1" applyProtection="1">
      <alignment horizontal="center" vertical="center" wrapText="1"/>
    </xf>
    <xf numFmtId="0" fontId="116" fillId="0" borderId="0" xfId="0" applyFont="1" applyFill="1" applyAlignment="1" applyProtection="1">
      <alignment horizontal="center" vertical="center" wrapText="1"/>
    </xf>
    <xf numFmtId="0" fontId="17" fillId="0" borderId="0" xfId="0" applyFont="1" applyFill="1" applyBorder="1" applyAlignment="1" applyProtection="1">
      <alignment horizontal="center" vertical="center" wrapText="1"/>
    </xf>
    <xf numFmtId="0" fontId="62" fillId="0" borderId="5" xfId="8" applyFont="1" applyFill="1" applyBorder="1" applyAlignment="1" applyProtection="1">
      <alignment horizontal="center" vertical="center" wrapText="1"/>
    </xf>
    <xf numFmtId="0" fontId="62" fillId="0" borderId="6" xfId="8" applyFont="1" applyFill="1" applyBorder="1" applyAlignment="1" applyProtection="1">
      <alignment horizontal="center" vertical="center" wrapText="1"/>
    </xf>
    <xf numFmtId="0" fontId="29" fillId="0" borderId="5" xfId="8" applyFont="1" applyFill="1" applyBorder="1" applyAlignment="1" applyProtection="1">
      <alignment horizontal="center" vertical="center" wrapText="1"/>
    </xf>
    <xf numFmtId="0" fontId="29" fillId="0" borderId="6" xfId="8" applyFont="1" applyFill="1" applyBorder="1" applyAlignment="1" applyProtection="1">
      <alignment horizontal="center" vertical="center" wrapText="1"/>
    </xf>
    <xf numFmtId="0" fontId="62" fillId="0" borderId="5" xfId="8" applyFont="1" applyFill="1" applyBorder="1" applyAlignment="1" applyProtection="1">
      <alignment horizontal="center" vertical="center"/>
    </xf>
    <xf numFmtId="0" fontId="62" fillId="0" borderId="6" xfId="8" applyFont="1" applyFill="1" applyBorder="1" applyAlignment="1" applyProtection="1">
      <alignment horizontal="center" vertical="center"/>
    </xf>
    <xf numFmtId="0" fontId="29" fillId="0" borderId="5" xfId="8" applyFont="1" applyFill="1" applyBorder="1" applyAlignment="1" applyProtection="1">
      <alignment horizontal="center" vertical="center"/>
    </xf>
    <xf numFmtId="0" fontId="29" fillId="0" borderId="6" xfId="8" applyFont="1" applyFill="1" applyBorder="1" applyAlignment="1" applyProtection="1">
      <alignment horizontal="center" vertical="center"/>
    </xf>
    <xf numFmtId="0" fontId="29" fillId="0" borderId="1" xfId="8" applyFont="1" applyFill="1" applyBorder="1" applyAlignment="1" applyProtection="1">
      <alignment horizontal="center" vertical="center" wrapText="1"/>
    </xf>
    <xf numFmtId="20" fontId="62" fillId="0" borderId="1" xfId="0" applyNumberFormat="1" applyFont="1" applyFill="1" applyBorder="1" applyAlignment="1" applyProtection="1">
      <alignment horizontal="center" vertical="center"/>
    </xf>
    <xf numFmtId="0" fontId="62" fillId="0" borderId="1" xfId="0" applyFont="1" applyFill="1" applyBorder="1" applyAlignment="1" applyProtection="1">
      <alignment horizontal="center" vertical="center"/>
    </xf>
    <xf numFmtId="20" fontId="62" fillId="0" borderId="5" xfId="0" applyNumberFormat="1" applyFont="1" applyFill="1" applyBorder="1" applyAlignment="1" applyProtection="1">
      <alignment horizontal="center" vertical="center"/>
    </xf>
    <xf numFmtId="20" fontId="62" fillId="0" borderId="9" xfId="0" applyNumberFormat="1" applyFont="1" applyFill="1" applyBorder="1" applyAlignment="1" applyProtection="1">
      <alignment horizontal="center" vertical="center"/>
    </xf>
    <xf numFmtId="20" fontId="62" fillId="0" borderId="6" xfId="0" applyNumberFormat="1" applyFont="1" applyFill="1" applyBorder="1" applyAlignment="1" applyProtection="1">
      <alignment horizontal="center" vertical="center"/>
    </xf>
    <xf numFmtId="0" fontId="62" fillId="0" borderId="4" xfId="0" applyFont="1" applyFill="1" applyBorder="1" applyAlignment="1" applyProtection="1">
      <alignment horizontal="center" vertical="center"/>
    </xf>
    <xf numFmtId="0" fontId="62" fillId="0" borderId="7" xfId="0" applyFont="1" applyFill="1" applyBorder="1" applyAlignment="1" applyProtection="1">
      <alignment horizontal="center" vertical="center"/>
    </xf>
    <xf numFmtId="0" fontId="62" fillId="0" borderId="15" xfId="0" applyFont="1" applyFill="1" applyBorder="1" applyAlignment="1" applyProtection="1">
      <alignment horizontal="center" vertical="center"/>
    </xf>
    <xf numFmtId="0" fontId="29" fillId="4" borderId="1" xfId="8" applyFont="1" applyFill="1" applyBorder="1" applyAlignment="1" applyProtection="1">
      <alignment horizontal="center" vertical="center" wrapText="1" shrinkToFit="1"/>
    </xf>
    <xf numFmtId="0" fontId="120" fillId="0" borderId="3" xfId="0" applyFont="1" applyFill="1" applyBorder="1" applyAlignment="1" applyProtection="1">
      <alignment horizontal="center" vertical="center"/>
    </xf>
    <xf numFmtId="0" fontId="120" fillId="0" borderId="10" xfId="0" applyFont="1" applyFill="1" applyBorder="1" applyAlignment="1" applyProtection="1">
      <alignment horizontal="center" vertical="center"/>
    </xf>
    <xf numFmtId="0" fontId="120" fillId="0" borderId="2" xfId="0" applyFont="1" applyFill="1" applyBorder="1" applyAlignment="1" applyProtection="1">
      <alignment horizontal="center" vertical="center"/>
    </xf>
    <xf numFmtId="0" fontId="62" fillId="0" borderId="1" xfId="0" applyFont="1" applyFill="1" applyBorder="1" applyAlignment="1" applyProtection="1">
      <alignment horizontal="center" vertical="center" wrapText="1"/>
    </xf>
    <xf numFmtId="0" fontId="62" fillId="0" borderId="1" xfId="0" applyNumberFormat="1" applyFont="1" applyFill="1" applyBorder="1" applyAlignment="1" applyProtection="1">
      <alignment horizontal="center" vertical="center" wrapText="1"/>
    </xf>
    <xf numFmtId="0" fontId="62" fillId="0" borderId="1" xfId="0" applyNumberFormat="1" applyFont="1" applyFill="1" applyBorder="1" applyAlignment="1" applyProtection="1">
      <alignment horizontal="center" vertical="center"/>
    </xf>
    <xf numFmtId="0" fontId="62" fillId="0" borderId="5" xfId="0" applyFont="1" applyFill="1" applyBorder="1" applyAlignment="1" applyProtection="1">
      <alignment horizontal="center" vertical="center" wrapText="1"/>
    </xf>
    <xf numFmtId="0" fontId="62" fillId="0" borderId="9" xfId="0" applyFont="1" applyFill="1" applyBorder="1" applyAlignment="1" applyProtection="1">
      <alignment horizontal="center" vertical="center" wrapText="1"/>
    </xf>
    <xf numFmtId="0" fontId="62" fillId="0" borderId="6" xfId="0" applyFont="1" applyFill="1" applyBorder="1" applyAlignment="1" applyProtection="1">
      <alignment horizontal="center" vertical="center" wrapText="1"/>
    </xf>
    <xf numFmtId="0" fontId="62" fillId="0" borderId="5" xfId="0" applyFont="1" applyFill="1" applyBorder="1" applyAlignment="1" applyProtection="1">
      <alignment horizontal="center" vertical="center"/>
    </xf>
    <xf numFmtId="0" fontId="62" fillId="0" borderId="9" xfId="0" applyFont="1" applyFill="1" applyBorder="1" applyAlignment="1" applyProtection="1">
      <alignment horizontal="center" vertical="center"/>
    </xf>
    <xf numFmtId="0" fontId="62" fillId="0" borderId="6" xfId="0" applyFont="1" applyFill="1" applyBorder="1" applyAlignment="1" applyProtection="1">
      <alignment horizontal="center" vertical="center"/>
    </xf>
    <xf numFmtId="0" fontId="29" fillId="0" borderId="1" xfId="0" applyFont="1" applyFill="1" applyBorder="1" applyAlignment="1" applyProtection="1">
      <alignment horizontal="center" vertical="center"/>
    </xf>
    <xf numFmtId="0" fontId="29" fillId="0" borderId="3" xfId="0" applyFont="1" applyFill="1" applyBorder="1" applyAlignment="1">
      <alignment horizontal="center" vertical="center" wrapText="1"/>
    </xf>
    <xf numFmtId="0" fontId="29" fillId="0" borderId="10" xfId="0" applyFont="1" applyFill="1" applyBorder="1" applyAlignment="1">
      <alignment horizontal="center" vertical="center" wrapText="1"/>
    </xf>
    <xf numFmtId="0" fontId="29" fillId="0" borderId="2" xfId="0" applyFont="1" applyFill="1" applyBorder="1" applyAlignment="1">
      <alignment horizontal="center" vertical="center" wrapText="1"/>
    </xf>
    <xf numFmtId="0" fontId="62" fillId="0" borderId="1" xfId="0" applyFont="1" applyFill="1" applyBorder="1" applyAlignment="1">
      <alignment horizontal="center" vertical="center"/>
    </xf>
    <xf numFmtId="0" fontId="29" fillId="0" borderId="13" xfId="8" applyFont="1" applyFill="1" applyBorder="1" applyAlignment="1" applyProtection="1">
      <alignment horizontal="center" vertical="center" wrapText="1"/>
    </xf>
    <xf numFmtId="0" fontId="29" fillId="0" borderId="12" xfId="8" applyFont="1" applyFill="1" applyBorder="1" applyAlignment="1" applyProtection="1">
      <alignment horizontal="center" vertical="center" wrapText="1"/>
    </xf>
    <xf numFmtId="0" fontId="58" fillId="0" borderId="5" xfId="0" applyFont="1" applyFill="1" applyBorder="1" applyAlignment="1" applyProtection="1">
      <alignment horizontal="center" vertical="center" wrapText="1"/>
      <protection locked="0"/>
    </xf>
    <xf numFmtId="0" fontId="58" fillId="0" borderId="9" xfId="0" applyFont="1" applyFill="1" applyBorder="1" applyAlignment="1" applyProtection="1">
      <alignment horizontal="center" vertical="center" wrapText="1"/>
      <protection locked="0"/>
    </xf>
    <xf numFmtId="0" fontId="62" fillId="0" borderId="3" xfId="0" applyFont="1" applyFill="1" applyBorder="1" applyAlignment="1">
      <alignment horizontal="center" vertical="center" wrapText="1"/>
    </xf>
    <xf numFmtId="0" fontId="62" fillId="0" borderId="2" xfId="0" applyFont="1" applyFill="1" applyBorder="1" applyAlignment="1">
      <alignment horizontal="center" vertical="center" wrapText="1"/>
    </xf>
    <xf numFmtId="0" fontId="29" fillId="0" borderId="7" xfId="8" applyFont="1" applyFill="1" applyBorder="1" applyAlignment="1" applyProtection="1">
      <alignment horizontal="center" vertical="center"/>
    </xf>
    <xf numFmtId="0" fontId="62" fillId="0" borderId="0" xfId="0" applyFont="1" applyFill="1" applyBorder="1" applyAlignment="1" applyProtection="1">
      <alignment horizontal="center" vertical="center" wrapText="1"/>
    </xf>
    <xf numFmtId="0" fontId="29" fillId="0" borderId="0" xfId="8" applyFont="1" applyFill="1" applyBorder="1" applyAlignment="1" applyProtection="1">
      <alignment horizontal="center" vertical="center" wrapText="1"/>
    </xf>
    <xf numFmtId="0" fontId="29" fillId="0" borderId="2" xfId="8" applyFont="1" applyFill="1" applyBorder="1" applyAlignment="1" applyProtection="1">
      <alignment horizontal="center" vertical="center" wrapText="1"/>
    </xf>
    <xf numFmtId="0" fontId="62" fillId="0" borderId="2" xfId="0" applyFont="1" applyFill="1" applyBorder="1" applyAlignment="1" applyProtection="1">
      <alignment horizontal="center" vertical="center" wrapText="1"/>
    </xf>
    <xf numFmtId="0" fontId="62" fillId="0" borderId="2" xfId="0" applyNumberFormat="1" applyFont="1" applyFill="1" applyBorder="1" applyAlignment="1" applyProtection="1">
      <alignment horizontal="center" vertical="center" wrapText="1"/>
    </xf>
    <xf numFmtId="0" fontId="127" fillId="0" borderId="3" xfId="0" applyFont="1" applyFill="1" applyBorder="1" applyAlignment="1" applyProtection="1">
      <alignment horizontal="center" vertical="center"/>
    </xf>
    <xf numFmtId="0" fontId="127" fillId="0" borderId="10" xfId="0" applyFont="1" applyFill="1" applyBorder="1" applyAlignment="1" applyProtection="1">
      <alignment horizontal="center" vertical="center"/>
    </xf>
    <xf numFmtId="0" fontId="127" fillId="0" borderId="2" xfId="0" applyFont="1" applyFill="1" applyBorder="1" applyAlignment="1" applyProtection="1">
      <alignment horizontal="center" vertical="center"/>
    </xf>
    <xf numFmtId="0" fontId="16" fillId="0" borderId="1" xfId="0" applyFont="1" applyFill="1" applyBorder="1" applyAlignment="1" applyProtection="1">
      <alignment horizontal="center" vertical="center" wrapText="1"/>
    </xf>
    <xf numFmtId="0" fontId="16" fillId="0" borderId="1" xfId="0" applyFont="1" applyFill="1" applyBorder="1" applyAlignment="1" applyProtection="1">
      <alignment horizontal="center" vertical="center"/>
    </xf>
    <xf numFmtId="0" fontId="16" fillId="0" borderId="1" xfId="0" applyNumberFormat="1" applyFont="1" applyFill="1" applyBorder="1" applyAlignment="1" applyProtection="1">
      <alignment horizontal="center" vertical="center" wrapText="1"/>
    </xf>
    <xf numFmtId="0" fontId="16" fillId="0" borderId="1" xfId="0" applyNumberFormat="1" applyFont="1" applyFill="1" applyBorder="1" applyAlignment="1" applyProtection="1">
      <alignment horizontal="center" vertical="center"/>
    </xf>
    <xf numFmtId="186" fontId="120" fillId="0" borderId="7" xfId="0" applyNumberFormat="1" applyFont="1" applyFill="1" applyBorder="1" applyAlignment="1" applyProtection="1">
      <alignment horizontal="center" vertical="center" wrapText="1"/>
    </xf>
    <xf numFmtId="0" fontId="58" fillId="0" borderId="1" xfId="0" applyFont="1" applyFill="1" applyBorder="1" applyAlignment="1" applyProtection="1">
      <alignment horizontal="center" vertical="center" wrapText="1"/>
      <protection locked="0"/>
    </xf>
    <xf numFmtId="0" fontId="16" fillId="0" borderId="15" xfId="0" applyFont="1" applyFill="1" applyBorder="1" applyAlignment="1" applyProtection="1">
      <alignment horizontal="center" vertical="center"/>
    </xf>
    <xf numFmtId="0" fontId="13" fillId="0" borderId="3"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6" fillId="0" borderId="1" xfId="0" applyFont="1" applyFill="1" applyBorder="1" applyAlignment="1">
      <alignment horizontal="center" vertical="center"/>
    </xf>
    <xf numFmtId="0" fontId="129" fillId="0" borderId="1" xfId="0" applyFont="1" applyFill="1" applyBorder="1" applyAlignment="1" applyProtection="1">
      <alignment horizontal="center" vertical="center" wrapText="1"/>
    </xf>
    <xf numFmtId="0" fontId="173" fillId="0" borderId="1" xfId="0" applyFont="1" applyFill="1" applyBorder="1" applyAlignment="1" applyProtection="1">
      <alignment horizontal="center" vertical="center" wrapText="1"/>
    </xf>
    <xf numFmtId="0" fontId="173" fillId="0" borderId="5" xfId="0" applyFont="1" applyFill="1" applyBorder="1" applyAlignment="1" applyProtection="1">
      <alignment horizontal="center" vertical="center" wrapText="1"/>
    </xf>
    <xf numFmtId="0" fontId="173" fillId="0" borderId="9" xfId="0" applyFont="1" applyFill="1" applyBorder="1" applyAlignment="1" applyProtection="1">
      <alignment horizontal="center" vertical="center" wrapText="1"/>
    </xf>
    <xf numFmtId="0" fontId="9" fillId="0" borderId="5" xfId="0" applyFont="1" applyFill="1" applyBorder="1" applyAlignment="1" applyProtection="1">
      <alignment horizontal="center" vertical="center"/>
      <protection locked="0"/>
    </xf>
    <xf numFmtId="0" fontId="9" fillId="0" borderId="6" xfId="0" applyFont="1" applyFill="1" applyBorder="1" applyAlignment="1" applyProtection="1">
      <alignment horizontal="center" vertical="center"/>
      <protection locked="0"/>
    </xf>
    <xf numFmtId="20" fontId="9" fillId="0" borderId="5" xfId="0" applyNumberFormat="1" applyFont="1" applyFill="1" applyBorder="1" applyAlignment="1">
      <alignment horizontal="center" vertical="center" wrapText="1"/>
    </xf>
    <xf numFmtId="20" fontId="13" fillId="0" borderId="5" xfId="0" applyNumberFormat="1" applyFont="1" applyFill="1" applyBorder="1" applyAlignment="1">
      <alignment horizontal="center" vertical="center" wrapText="1"/>
    </xf>
    <xf numFmtId="0" fontId="13" fillId="0" borderId="6" xfId="0" applyFont="1" applyFill="1" applyBorder="1" applyAlignment="1">
      <alignment horizontal="center" vertical="center" wrapText="1"/>
    </xf>
    <xf numFmtId="0" fontId="62" fillId="0" borderId="0" xfId="0" applyFont="1" applyFill="1" applyAlignment="1">
      <alignment horizontal="center" vertical="center" wrapText="1"/>
    </xf>
    <xf numFmtId="0" fontId="64" fillId="0" borderId="0" xfId="0" applyFont="1" applyFill="1" applyBorder="1" applyAlignment="1">
      <alignment horizontal="center" vertical="center" wrapText="1"/>
    </xf>
    <xf numFmtId="0" fontId="64" fillId="0" borderId="16" xfId="0" applyFont="1" applyFill="1" applyBorder="1" applyAlignment="1">
      <alignment horizontal="center" vertical="center" wrapText="1"/>
    </xf>
    <xf numFmtId="0" fontId="9" fillId="0" borderId="3" xfId="0" applyFont="1" applyFill="1" applyBorder="1" applyAlignment="1">
      <alignment horizontal="center" vertical="center"/>
    </xf>
    <xf numFmtId="0" fontId="9" fillId="0" borderId="2" xfId="0" applyFont="1" applyFill="1" applyBorder="1" applyAlignment="1">
      <alignment horizontal="center" vertical="center"/>
    </xf>
    <xf numFmtId="0" fontId="9" fillId="0" borderId="3" xfId="0" applyFont="1" applyFill="1" applyBorder="1" applyAlignment="1">
      <alignment horizontal="left" vertical="center" wrapText="1"/>
    </xf>
    <xf numFmtId="0" fontId="9" fillId="0" borderId="2" xfId="0" applyFont="1" applyFill="1" applyBorder="1" applyAlignment="1">
      <alignment horizontal="left"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xf>
    <xf numFmtId="0" fontId="13" fillId="0" borderId="5"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23" fillId="0" borderId="5" xfId="8" applyFont="1" applyFill="1" applyBorder="1" applyAlignment="1">
      <alignment horizontal="center" vertical="center" wrapText="1"/>
    </xf>
    <xf numFmtId="0" fontId="134" fillId="0" borderId="6" xfId="0" applyFont="1" applyFill="1" applyBorder="1">
      <alignment vertical="center"/>
    </xf>
    <xf numFmtId="0" fontId="9" fillId="0" borderId="5" xfId="8" applyFont="1" applyFill="1" applyBorder="1" applyAlignment="1">
      <alignment horizontal="center" vertical="center"/>
    </xf>
    <xf numFmtId="0" fontId="9" fillId="0" borderId="5" xfId="0" applyFont="1" applyFill="1" applyBorder="1" applyAlignment="1">
      <alignment horizontal="center" vertical="center"/>
    </xf>
    <xf numFmtId="0" fontId="9" fillId="0" borderId="9" xfId="0" applyFont="1" applyFill="1" applyBorder="1" applyAlignment="1">
      <alignment horizontal="center" vertical="center"/>
    </xf>
    <xf numFmtId="0" fontId="9" fillId="0" borderId="6" xfId="0" applyFont="1" applyFill="1" applyBorder="1" applyAlignment="1">
      <alignment horizontal="center" vertical="center"/>
    </xf>
    <xf numFmtId="0" fontId="23" fillId="0" borderId="13" xfId="8" applyFont="1" applyFill="1" applyBorder="1" applyAlignment="1">
      <alignment horizontal="center" vertical="center" wrapText="1"/>
    </xf>
    <xf numFmtId="0" fontId="23" fillId="0" borderId="12" xfId="8" applyFont="1" applyFill="1" applyBorder="1" applyAlignment="1">
      <alignment horizontal="center" vertical="center" wrapText="1"/>
    </xf>
    <xf numFmtId="0" fontId="23" fillId="0" borderId="11" xfId="8" applyFont="1" applyFill="1" applyBorder="1" applyAlignment="1">
      <alignment horizontal="center" vertical="center" wrapText="1"/>
    </xf>
    <xf numFmtId="0" fontId="23" fillId="0" borderId="16" xfId="8" applyFont="1" applyFill="1" applyBorder="1" applyAlignment="1">
      <alignment horizontal="center" vertical="center" wrapText="1"/>
    </xf>
    <xf numFmtId="0" fontId="23" fillId="0" borderId="4" xfId="8" applyFont="1" applyFill="1" applyBorder="1" applyAlignment="1">
      <alignment horizontal="center" vertical="center" wrapText="1"/>
    </xf>
    <xf numFmtId="0" fontId="23" fillId="0" borderId="15" xfId="8" applyFont="1" applyFill="1" applyBorder="1" applyAlignment="1">
      <alignment horizontal="center" vertical="center" wrapText="1"/>
    </xf>
    <xf numFmtId="179" fontId="9" fillId="0" borderId="5" xfId="0" applyNumberFormat="1" applyFont="1" applyFill="1" applyBorder="1" applyAlignment="1">
      <alignment horizontal="center" vertical="center"/>
    </xf>
    <xf numFmtId="179" fontId="9" fillId="0" borderId="6" xfId="0" applyNumberFormat="1" applyFont="1" applyFill="1" applyBorder="1" applyAlignment="1">
      <alignment horizontal="center" vertical="center"/>
    </xf>
    <xf numFmtId="0" fontId="9" fillId="0" borderId="3"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9" fillId="0" borderId="5" xfId="0" applyNumberFormat="1" applyFont="1" applyFill="1" applyBorder="1" applyAlignment="1">
      <alignment horizontal="center" vertical="center"/>
    </xf>
    <xf numFmtId="0" fontId="9" fillId="0" borderId="6" xfId="0" applyNumberFormat="1" applyFont="1" applyFill="1" applyBorder="1" applyAlignment="1">
      <alignment horizontal="center" vertical="center"/>
    </xf>
    <xf numFmtId="179" fontId="9" fillId="0" borderId="13" xfId="0" applyNumberFormat="1" applyFont="1" applyFill="1" applyBorder="1" applyAlignment="1">
      <alignment horizontal="center" vertical="center"/>
    </xf>
    <xf numFmtId="179" fontId="9" fillId="0" borderId="12" xfId="0" applyNumberFormat="1" applyFont="1" applyFill="1" applyBorder="1" applyAlignment="1">
      <alignment horizontal="center" vertical="center"/>
    </xf>
    <xf numFmtId="179" fontId="9" fillId="0" borderId="4" xfId="0" applyNumberFormat="1" applyFont="1" applyFill="1" applyBorder="1" applyAlignment="1">
      <alignment horizontal="center" vertical="center"/>
    </xf>
    <xf numFmtId="179" fontId="9" fillId="0" borderId="15" xfId="0" applyNumberFormat="1" applyFont="1" applyFill="1" applyBorder="1" applyAlignment="1">
      <alignment horizontal="center" vertical="center"/>
    </xf>
    <xf numFmtId="9" fontId="9" fillId="0" borderId="5" xfId="0" applyNumberFormat="1" applyFont="1" applyFill="1" applyBorder="1" applyAlignment="1">
      <alignment horizontal="center" vertical="center"/>
    </xf>
    <xf numFmtId="9" fontId="9" fillId="0" borderId="6" xfId="0" applyNumberFormat="1" applyFont="1" applyFill="1" applyBorder="1" applyAlignment="1">
      <alignment horizontal="center" vertical="center"/>
    </xf>
    <xf numFmtId="0" fontId="140" fillId="0" borderId="0" xfId="0" applyFont="1" applyFill="1" applyAlignment="1" applyProtection="1">
      <alignment horizontal="center" vertical="center" wrapText="1"/>
    </xf>
    <xf numFmtId="0" fontId="142" fillId="0" borderId="0" xfId="8" applyFont="1" applyFill="1" applyBorder="1" applyAlignment="1" applyProtection="1">
      <alignment horizontal="center" vertical="center" wrapText="1"/>
    </xf>
    <xf numFmtId="0" fontId="142" fillId="0" borderId="16" xfId="8" applyFont="1" applyFill="1" applyBorder="1" applyAlignment="1" applyProtection="1">
      <alignment horizontal="center" vertical="center" wrapText="1"/>
    </xf>
    <xf numFmtId="0" fontId="51" fillId="0" borderId="5" xfId="0" applyFont="1" applyFill="1" applyBorder="1" applyAlignment="1" applyProtection="1">
      <alignment horizontal="center" vertical="center" wrapText="1"/>
    </xf>
    <xf numFmtId="0" fontId="132" fillId="0" borderId="5" xfId="8" applyFont="1" applyFill="1" applyBorder="1" applyAlignment="1" applyProtection="1">
      <alignment horizontal="center" vertical="center"/>
    </xf>
    <xf numFmtId="0" fontId="132" fillId="0" borderId="6" xfId="8" applyFont="1" applyFill="1" applyBorder="1" applyAlignment="1" applyProtection="1">
      <alignment horizontal="center" vertical="center"/>
    </xf>
    <xf numFmtId="0" fontId="74" fillId="0" borderId="1" xfId="0" applyFont="1" applyFill="1" applyBorder="1" applyAlignment="1" applyProtection="1">
      <alignment horizontal="center" vertical="center"/>
    </xf>
    <xf numFmtId="0" fontId="144" fillId="0" borderId="13" xfId="0" applyFont="1" applyFill="1" applyBorder="1" applyAlignment="1" applyProtection="1">
      <alignment horizontal="center" vertical="center" wrapText="1"/>
    </xf>
    <xf numFmtId="0" fontId="144" fillId="0" borderId="8" xfId="0" applyFont="1" applyFill="1" applyBorder="1" applyAlignment="1" applyProtection="1">
      <alignment horizontal="center" vertical="center" wrapText="1"/>
    </xf>
    <xf numFmtId="0" fontId="144" fillId="0" borderId="12" xfId="0" applyFont="1" applyFill="1" applyBorder="1" applyAlignment="1" applyProtection="1">
      <alignment horizontal="center" vertical="center" wrapText="1"/>
    </xf>
    <xf numFmtId="0" fontId="144" fillId="0" borderId="11" xfId="0" applyFont="1" applyFill="1" applyBorder="1" applyAlignment="1" applyProtection="1">
      <alignment horizontal="center" vertical="center" wrapText="1"/>
    </xf>
    <xf numFmtId="0" fontId="144" fillId="0" borderId="0" xfId="0" applyFont="1" applyFill="1" applyBorder="1" applyAlignment="1" applyProtection="1">
      <alignment horizontal="center" vertical="center" wrapText="1"/>
    </xf>
    <xf numFmtId="0" fontId="144" fillId="0" borderId="16" xfId="0" applyFont="1" applyFill="1" applyBorder="1" applyAlignment="1" applyProtection="1">
      <alignment horizontal="center" vertical="center" wrapText="1"/>
    </xf>
    <xf numFmtId="0" fontId="144" fillId="0" borderId="4" xfId="0" applyFont="1" applyFill="1" applyBorder="1" applyAlignment="1" applyProtection="1">
      <alignment horizontal="center" vertical="center" wrapText="1"/>
    </xf>
    <xf numFmtId="0" fontId="144" fillId="0" borderId="7" xfId="0" applyFont="1" applyFill="1" applyBorder="1" applyAlignment="1" applyProtection="1">
      <alignment horizontal="center" vertical="center" wrapText="1"/>
    </xf>
    <xf numFmtId="0" fontId="144" fillId="0" borderId="15" xfId="0" applyFont="1" applyFill="1" applyBorder="1" applyAlignment="1" applyProtection="1">
      <alignment horizontal="center" vertical="center" wrapText="1"/>
    </xf>
    <xf numFmtId="0" fontId="74" fillId="0" borderId="1" xfId="0" applyFont="1" applyFill="1" applyBorder="1" applyAlignment="1" applyProtection="1">
      <alignment horizontal="center" vertical="center" wrapText="1"/>
    </xf>
    <xf numFmtId="0" fontId="54" fillId="0" borderId="96" xfId="0" applyFont="1" applyFill="1" applyBorder="1" applyAlignment="1" applyProtection="1">
      <alignment horizontal="left" vertical="center" wrapText="1"/>
    </xf>
    <xf numFmtId="0" fontId="54" fillId="0" borderId="97" xfId="0" applyFont="1" applyFill="1" applyBorder="1" applyAlignment="1" applyProtection="1">
      <alignment horizontal="left" vertical="center" wrapText="1"/>
    </xf>
    <xf numFmtId="0" fontId="54" fillId="0" borderId="98" xfId="0" applyFont="1" applyFill="1" applyBorder="1" applyAlignment="1" applyProtection="1">
      <alignment horizontal="left" vertical="center" wrapText="1"/>
    </xf>
    <xf numFmtId="0" fontId="51" fillId="0" borderId="3" xfId="8" applyFont="1" applyFill="1" applyBorder="1" applyAlignment="1" applyProtection="1">
      <alignment horizontal="center" vertical="center" wrapText="1"/>
    </xf>
    <xf numFmtId="0" fontId="51" fillId="0" borderId="10" xfId="8" applyFont="1" applyFill="1" applyBorder="1" applyAlignment="1" applyProtection="1">
      <alignment horizontal="center" vertical="center" wrapText="1"/>
    </xf>
    <xf numFmtId="0" fontId="51" fillId="0" borderId="2" xfId="8" applyFont="1" applyFill="1" applyBorder="1" applyAlignment="1" applyProtection="1">
      <alignment horizontal="center" vertical="center" wrapText="1"/>
    </xf>
    <xf numFmtId="20" fontId="74" fillId="0" borderId="1" xfId="0" applyNumberFormat="1" applyFont="1" applyFill="1" applyBorder="1" applyAlignment="1" applyProtection="1">
      <alignment horizontal="center" vertical="center" wrapText="1"/>
    </xf>
    <xf numFmtId="20" fontId="74" fillId="0" borderId="5" xfId="0" applyNumberFormat="1" applyFont="1" applyFill="1" applyBorder="1" applyAlignment="1" applyProtection="1">
      <alignment horizontal="center" vertical="center" wrapText="1"/>
    </xf>
    <xf numFmtId="20" fontId="74" fillId="0" borderId="9" xfId="0" applyNumberFormat="1" applyFont="1" applyFill="1" applyBorder="1" applyAlignment="1" applyProtection="1">
      <alignment horizontal="center" vertical="center" wrapText="1"/>
    </xf>
    <xf numFmtId="20" fontId="74" fillId="0" borderId="6" xfId="0" applyNumberFormat="1" applyFont="1" applyFill="1" applyBorder="1" applyAlignment="1" applyProtection="1">
      <alignment horizontal="center" vertical="center" wrapText="1"/>
    </xf>
    <xf numFmtId="0" fontId="74" fillId="0" borderId="5" xfId="0" applyFont="1" applyFill="1" applyBorder="1" applyAlignment="1" applyProtection="1">
      <alignment horizontal="center" vertical="center" wrapText="1"/>
    </xf>
    <xf numFmtId="0" fontId="74" fillId="0" borderId="9" xfId="0" applyFont="1" applyFill="1" applyBorder="1" applyAlignment="1" applyProtection="1">
      <alignment horizontal="center" vertical="center" wrapText="1"/>
    </xf>
    <xf numFmtId="0" fontId="74" fillId="0" borderId="6" xfId="0" applyFont="1" applyFill="1" applyBorder="1" applyAlignment="1" applyProtection="1">
      <alignment horizontal="center" vertical="center" wrapText="1"/>
    </xf>
    <xf numFmtId="0" fontId="54" fillId="0" borderId="5" xfId="0" applyFont="1" applyFill="1" applyBorder="1" applyAlignment="1" applyProtection="1">
      <alignment horizontal="left" vertical="center" wrapText="1"/>
    </xf>
    <xf numFmtId="0" fontId="54" fillId="0" borderId="9" xfId="0" applyFont="1" applyFill="1" applyBorder="1" applyAlignment="1" applyProtection="1">
      <alignment horizontal="left" vertical="center" wrapText="1"/>
    </xf>
    <xf numFmtId="0" fontId="54" fillId="0" borderId="6" xfId="0" applyFont="1" applyFill="1" applyBorder="1" applyAlignment="1" applyProtection="1">
      <alignment horizontal="left" vertical="center" wrapText="1"/>
    </xf>
    <xf numFmtId="0" fontId="54" fillId="0" borderId="13" xfId="0" applyFont="1" applyFill="1" applyBorder="1" applyAlignment="1" applyProtection="1">
      <alignment horizontal="left" vertical="center" wrapText="1"/>
    </xf>
    <xf numFmtId="0" fontId="54" fillId="0" borderId="8" xfId="0" applyFont="1" applyFill="1" applyBorder="1" applyAlignment="1" applyProtection="1">
      <alignment horizontal="left" vertical="center" wrapText="1"/>
    </xf>
    <xf numFmtId="0" fontId="54" fillId="0" borderId="12" xfId="0" applyFont="1" applyFill="1" applyBorder="1" applyAlignment="1" applyProtection="1">
      <alignment horizontal="left" vertical="center" wrapText="1"/>
    </xf>
    <xf numFmtId="0" fontId="51" fillId="0" borderId="9" xfId="0" applyFont="1" applyFill="1" applyBorder="1" applyAlignment="1" applyProtection="1">
      <alignment horizontal="center" vertical="center" wrapText="1"/>
      <protection locked="0"/>
    </xf>
    <xf numFmtId="0" fontId="144" fillId="0" borderId="5" xfId="0" applyFont="1" applyFill="1" applyBorder="1" applyAlignment="1" applyProtection="1">
      <alignment horizontal="center" vertical="center" wrapText="1"/>
    </xf>
    <xf numFmtId="0" fontId="144" fillId="0" borderId="9" xfId="0" applyFont="1" applyFill="1" applyBorder="1" applyAlignment="1" applyProtection="1">
      <alignment horizontal="center" vertical="center" wrapText="1"/>
    </xf>
    <xf numFmtId="0" fontId="144" fillId="0" borderId="6"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16" fillId="0" borderId="12" xfId="0" applyFont="1" applyFill="1" applyBorder="1" applyAlignment="1" applyProtection="1">
      <alignment horizontal="center" vertical="center" wrapText="1"/>
    </xf>
    <xf numFmtId="0" fontId="16" fillId="0" borderId="16" xfId="0" applyFont="1" applyFill="1" applyBorder="1" applyAlignment="1" applyProtection="1">
      <alignment horizontal="center" vertical="center" wrapText="1"/>
    </xf>
    <xf numFmtId="0" fontId="16" fillId="0" borderId="4" xfId="0" applyFont="1" applyFill="1" applyBorder="1" applyAlignment="1" applyProtection="1">
      <alignment horizontal="center" vertical="center" wrapText="1"/>
    </xf>
    <xf numFmtId="0" fontId="16" fillId="0" borderId="15" xfId="0" applyFont="1" applyFill="1" applyBorder="1" applyAlignment="1" applyProtection="1">
      <alignment horizontal="center" vertical="center" wrapText="1"/>
    </xf>
    <xf numFmtId="0" fontId="13" fillId="0" borderId="13"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3" fillId="0" borderId="4" xfId="0" applyFont="1" applyFill="1" applyBorder="1" applyAlignment="1">
      <alignment horizontal="center" vertical="center" wrapText="1"/>
    </xf>
    <xf numFmtId="0" fontId="13" fillId="0" borderId="12" xfId="0" applyFont="1" applyFill="1" applyBorder="1" applyAlignment="1">
      <alignment horizontal="center" vertical="center" wrapText="1"/>
    </xf>
    <xf numFmtId="0" fontId="13" fillId="0" borderId="16" xfId="0" applyFont="1" applyFill="1" applyBorder="1" applyAlignment="1">
      <alignment horizontal="center" vertical="center" wrapText="1"/>
    </xf>
    <xf numFmtId="0" fontId="13" fillId="0" borderId="15" xfId="0" applyFont="1" applyFill="1" applyBorder="1" applyAlignment="1">
      <alignment horizontal="center" vertical="center" wrapText="1"/>
    </xf>
    <xf numFmtId="180" fontId="16" fillId="0" borderId="0" xfId="0" applyNumberFormat="1" applyFont="1" applyFill="1" applyBorder="1" applyAlignment="1" applyProtection="1">
      <alignment horizontal="center" vertical="center"/>
    </xf>
    <xf numFmtId="0" fontId="193" fillId="0" borderId="5" xfId="0" applyFont="1" applyFill="1" applyBorder="1" applyAlignment="1" applyProtection="1">
      <alignment horizontal="center" vertical="center" wrapText="1"/>
      <protection locked="0"/>
    </xf>
    <xf numFmtId="0" fontId="193" fillId="0" borderId="9" xfId="0" applyFont="1" applyFill="1" applyBorder="1" applyAlignment="1" applyProtection="1">
      <alignment horizontal="center" vertical="center" wrapText="1"/>
      <protection locked="0"/>
    </xf>
    <xf numFmtId="0" fontId="16" fillId="0" borderId="5" xfId="0" applyFont="1" applyFill="1" applyBorder="1" applyAlignment="1">
      <alignment horizontal="center" vertical="center" wrapText="1"/>
    </xf>
    <xf numFmtId="0" fontId="16" fillId="0" borderId="6" xfId="0" applyFont="1" applyFill="1" applyBorder="1" applyAlignment="1">
      <alignment horizontal="center" vertical="center" wrapText="1"/>
    </xf>
    <xf numFmtId="41" fontId="49" fillId="0" borderId="5" xfId="0" applyNumberFormat="1" applyFont="1" applyFill="1" applyBorder="1" applyAlignment="1" applyProtection="1">
      <alignment horizontal="center" vertical="center" wrapText="1"/>
      <protection locked="0"/>
    </xf>
    <xf numFmtId="41" fontId="49" fillId="0" borderId="9" xfId="0" applyNumberFormat="1" applyFont="1" applyFill="1" applyBorder="1" applyAlignment="1" applyProtection="1">
      <alignment horizontal="center" vertical="center" wrapText="1"/>
      <protection locked="0"/>
    </xf>
    <xf numFmtId="41" fontId="49" fillId="0" borderId="1" xfId="0" applyNumberFormat="1" applyFont="1" applyFill="1" applyBorder="1" applyAlignment="1" applyProtection="1">
      <alignment horizontal="center" vertical="center" wrapText="1"/>
      <protection locked="0"/>
    </xf>
    <xf numFmtId="41" fontId="49" fillId="0" borderId="6" xfId="0" applyNumberFormat="1" applyFont="1" applyFill="1" applyBorder="1" applyAlignment="1" applyProtection="1">
      <alignment horizontal="center" vertical="center" wrapText="1"/>
      <protection locked="0"/>
    </xf>
    <xf numFmtId="0" fontId="49" fillId="0" borderId="3" xfId="0" applyFont="1" applyFill="1" applyBorder="1" applyAlignment="1" applyProtection="1">
      <alignment horizontal="center" vertical="center" wrapText="1"/>
    </xf>
    <xf numFmtId="0" fontId="49" fillId="0" borderId="10" xfId="0" applyFont="1" applyFill="1" applyBorder="1" applyAlignment="1" applyProtection="1">
      <alignment horizontal="center" vertical="center" wrapText="1"/>
    </xf>
    <xf numFmtId="0" fontId="49" fillId="0" borderId="3" xfId="0" applyNumberFormat="1" applyFont="1" applyFill="1" applyBorder="1" applyAlignment="1" applyProtection="1">
      <alignment horizontal="center" vertical="center" wrapText="1"/>
    </xf>
    <xf numFmtId="0" fontId="49" fillId="0" borderId="10" xfId="0" applyNumberFormat="1" applyFont="1" applyFill="1" applyBorder="1" applyAlignment="1" applyProtection="1">
      <alignment horizontal="center" vertical="center" wrapText="1"/>
    </xf>
    <xf numFmtId="0" fontId="49" fillId="0" borderId="1" xfId="0" quotePrefix="1" applyFont="1" applyFill="1" applyBorder="1" applyAlignment="1" applyProtection="1">
      <alignment horizontal="center" vertical="center"/>
    </xf>
    <xf numFmtId="20" fontId="49" fillId="0" borderId="1" xfId="0" quotePrefix="1" applyNumberFormat="1" applyFont="1" applyFill="1" applyBorder="1" applyAlignment="1" applyProtection="1">
      <alignment horizontal="center" vertical="center"/>
    </xf>
    <xf numFmtId="0" fontId="49" fillId="0" borderId="8" xfId="0" applyFont="1" applyFill="1" applyBorder="1" applyAlignment="1" applyProtection="1">
      <alignment horizontal="center" vertical="center"/>
    </xf>
    <xf numFmtId="0" fontId="49" fillId="0" borderId="12" xfId="0" applyFont="1" applyFill="1" applyBorder="1" applyAlignment="1" applyProtection="1">
      <alignment horizontal="center" vertical="center"/>
    </xf>
    <xf numFmtId="0" fontId="49" fillId="0" borderId="1" xfId="0" applyFont="1" applyFill="1" applyBorder="1" applyAlignment="1" applyProtection="1">
      <alignment horizontal="center" vertical="center"/>
    </xf>
    <xf numFmtId="0" fontId="49" fillId="5" borderId="3" xfId="0" applyFont="1" applyFill="1" applyBorder="1" applyAlignment="1">
      <alignment horizontal="center" vertical="center" wrapText="1"/>
    </xf>
    <xf numFmtId="0" fontId="49" fillId="5" borderId="10" xfId="0" applyFont="1" applyFill="1" applyBorder="1" applyAlignment="1">
      <alignment horizontal="center" vertical="center" wrapText="1"/>
    </xf>
    <xf numFmtId="0" fontId="49" fillId="5" borderId="2" xfId="0" applyFont="1" applyFill="1" applyBorder="1" applyAlignment="1">
      <alignment horizontal="center" vertical="center" wrapText="1"/>
    </xf>
    <xf numFmtId="0" fontId="49" fillId="0" borderId="13" xfId="0" applyFont="1" applyFill="1" applyBorder="1" applyAlignment="1" applyProtection="1">
      <alignment horizontal="center" vertical="center" wrapText="1"/>
    </xf>
    <xf numFmtId="0" fontId="49" fillId="0" borderId="12" xfId="0" applyFont="1" applyFill="1" applyBorder="1" applyAlignment="1" applyProtection="1">
      <alignment horizontal="center" vertical="center" wrapText="1"/>
    </xf>
    <xf numFmtId="0" fontId="49" fillId="0" borderId="11" xfId="0" applyFont="1" applyFill="1" applyBorder="1" applyAlignment="1" applyProtection="1">
      <alignment horizontal="center" vertical="center" wrapText="1"/>
    </xf>
    <xf numFmtId="0" fontId="49" fillId="0" borderId="16" xfId="0" applyFont="1" applyFill="1" applyBorder="1" applyAlignment="1" applyProtection="1">
      <alignment horizontal="center" vertical="center" wrapText="1"/>
    </xf>
    <xf numFmtId="0" fontId="49" fillId="0" borderId="7" xfId="0" quotePrefix="1" applyFont="1" applyFill="1" applyBorder="1" applyAlignment="1" applyProtection="1">
      <alignment horizontal="center" vertical="center"/>
    </xf>
    <xf numFmtId="0" fontId="49" fillId="0" borderId="5" xfId="0" applyFont="1" applyFill="1" applyBorder="1" applyAlignment="1">
      <alignment horizontal="center" vertical="center"/>
    </xf>
    <xf numFmtId="0" fontId="49" fillId="0" borderId="6" xfId="0" applyFont="1" applyFill="1" applyBorder="1" applyAlignment="1">
      <alignment horizontal="center" vertical="center"/>
    </xf>
    <xf numFmtId="0" fontId="211" fillId="0" borderId="0" xfId="84" applyFont="1" applyFill="1" applyBorder="1" applyAlignment="1" applyProtection="1">
      <alignment horizontal="left" vertical="center"/>
    </xf>
    <xf numFmtId="0" fontId="148" fillId="0" borderId="3" xfId="0" applyFont="1" applyFill="1" applyBorder="1" applyAlignment="1" applyProtection="1">
      <alignment horizontal="center" vertical="center"/>
    </xf>
    <xf numFmtId="0" fontId="148" fillId="0" borderId="2" xfId="0" applyFont="1" applyFill="1" applyBorder="1" applyAlignment="1" applyProtection="1">
      <alignment horizontal="center" vertical="center"/>
    </xf>
    <xf numFmtId="0" fontId="148" fillId="0" borderId="8" xfId="0" applyFont="1" applyFill="1" applyBorder="1" applyAlignment="1" applyProtection="1">
      <alignment horizontal="center" vertical="center"/>
    </xf>
    <xf numFmtId="0" fontId="148" fillId="0" borderId="12" xfId="0" applyFont="1" applyFill="1" applyBorder="1" applyAlignment="1" applyProtection="1">
      <alignment horizontal="center" vertical="center"/>
    </xf>
    <xf numFmtId="0" fontId="148" fillId="0" borderId="7" xfId="0" applyFont="1" applyFill="1" applyBorder="1" applyAlignment="1" applyProtection="1">
      <alignment horizontal="center" vertical="center"/>
    </xf>
    <xf numFmtId="0" fontId="148" fillId="0" borderId="15" xfId="0" applyFont="1" applyFill="1" applyBorder="1" applyAlignment="1" applyProtection="1">
      <alignment horizontal="center" vertical="center"/>
    </xf>
    <xf numFmtId="0" fontId="142" fillId="0" borderId="0" xfId="0" applyFont="1" applyFill="1" applyBorder="1" applyAlignment="1">
      <alignment horizontal="center" vertical="center" wrapText="1"/>
    </xf>
    <xf numFmtId="20" fontId="145" fillId="5" borderId="5" xfId="0" quotePrefix="1" applyNumberFormat="1" applyFont="1" applyFill="1" applyBorder="1" applyAlignment="1">
      <alignment horizontal="right" vertical="center" wrapText="1"/>
    </xf>
    <xf numFmtId="20" fontId="145" fillId="5" borderId="9" xfId="0" quotePrefix="1" applyNumberFormat="1" applyFont="1" applyFill="1" applyBorder="1" applyAlignment="1">
      <alignment horizontal="right" vertical="center" wrapText="1"/>
    </xf>
    <xf numFmtId="191" fontId="146" fillId="5" borderId="9" xfId="0" applyNumberFormat="1" applyFont="1" applyFill="1" applyBorder="1" applyAlignment="1" applyProtection="1">
      <alignment horizontal="center" vertical="center"/>
      <protection locked="0"/>
    </xf>
    <xf numFmtId="191" fontId="146" fillId="5" borderId="6" xfId="0" applyNumberFormat="1" applyFont="1" applyFill="1" applyBorder="1" applyAlignment="1" applyProtection="1">
      <alignment horizontal="center" vertical="center"/>
      <protection locked="0"/>
    </xf>
    <xf numFmtId="0" fontId="52" fillId="0" borderId="3" xfId="0" applyFont="1" applyFill="1" applyBorder="1" applyAlignment="1" applyProtection="1">
      <alignment horizontal="center" vertical="center"/>
    </xf>
    <xf numFmtId="0" fontId="52" fillId="0" borderId="10" xfId="0" applyFont="1" applyFill="1" applyBorder="1" applyAlignment="1" applyProtection="1">
      <alignment horizontal="center" vertical="center"/>
    </xf>
    <xf numFmtId="0" fontId="52" fillId="0" borderId="2" xfId="0" applyFont="1" applyFill="1" applyBorder="1" applyAlignment="1" applyProtection="1">
      <alignment horizontal="center" vertical="center"/>
    </xf>
    <xf numFmtId="0" fontId="52" fillId="0" borderId="12" xfId="0" applyFont="1" applyFill="1" applyBorder="1" applyAlignment="1" applyProtection="1">
      <alignment horizontal="center" vertical="center" wrapText="1"/>
    </xf>
    <xf numFmtId="0" fontId="52" fillId="0" borderId="11"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52" fillId="0" borderId="16" xfId="0" applyFont="1" applyFill="1" applyBorder="1" applyAlignment="1" applyProtection="1">
      <alignment horizontal="center" vertical="center" wrapText="1"/>
    </xf>
    <xf numFmtId="0" fontId="52" fillId="0" borderId="15" xfId="0" applyFont="1" applyFill="1" applyBorder="1" applyAlignment="1" applyProtection="1">
      <alignment horizontal="center" vertical="center" wrapText="1"/>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52" fillId="0" borderId="2" xfId="0"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10" xfId="0" applyNumberFormat="1" applyFont="1" applyFill="1" applyBorder="1" applyAlignment="1" applyProtection="1">
      <alignment horizontal="center" vertical="center" wrapText="1"/>
    </xf>
    <xf numFmtId="0" fontId="52" fillId="0" borderId="2" xfId="0" applyNumberFormat="1" applyFont="1" applyFill="1" applyBorder="1" applyAlignment="1" applyProtection="1">
      <alignment horizontal="center" vertical="center" wrapText="1"/>
    </xf>
    <xf numFmtId="0" fontId="145" fillId="0" borderId="1" xfId="0" applyFont="1" applyFill="1" applyBorder="1" applyAlignment="1" applyProtection="1">
      <alignment horizontal="center" vertical="center"/>
    </xf>
    <xf numFmtId="0" fontId="145" fillId="0" borderId="1" xfId="0" quotePrefix="1" applyFont="1" applyFill="1" applyBorder="1" applyAlignment="1" applyProtection="1">
      <alignment horizontal="center" vertical="center"/>
    </xf>
    <xf numFmtId="0" fontId="75" fillId="0" borderId="5" xfId="0" applyFont="1" applyFill="1" applyBorder="1" applyAlignment="1">
      <alignment horizontal="center" vertical="center" wrapText="1"/>
    </xf>
    <xf numFmtId="0" fontId="75" fillId="0" borderId="9" xfId="0" applyFont="1" applyFill="1" applyBorder="1" applyAlignment="1">
      <alignment horizontal="center" vertical="center" wrapText="1"/>
    </xf>
    <xf numFmtId="0" fontId="75" fillId="0" borderId="6" xfId="0" applyFont="1" applyFill="1" applyBorder="1" applyAlignment="1">
      <alignment horizontal="center" vertical="center" wrapText="1"/>
    </xf>
    <xf numFmtId="0" fontId="75" fillId="0" borderId="13" xfId="0" applyFont="1" applyFill="1" applyBorder="1" applyAlignment="1">
      <alignment horizontal="center" vertical="center" wrapText="1"/>
    </xf>
    <xf numFmtId="0" fontId="75" fillId="0" borderId="8" xfId="0" applyFont="1" applyFill="1" applyBorder="1" applyAlignment="1">
      <alignment horizontal="center" vertical="center" wrapText="1"/>
    </xf>
    <xf numFmtId="0" fontId="75" fillId="0" borderId="12" xfId="0" applyFont="1" applyFill="1" applyBorder="1" applyAlignment="1">
      <alignment horizontal="center" vertical="center" wrapText="1"/>
    </xf>
    <xf numFmtId="0" fontId="49" fillId="42" borderId="13" xfId="0" applyFont="1" applyFill="1" applyBorder="1" applyAlignment="1">
      <alignment horizontal="center" vertical="center" wrapText="1"/>
    </xf>
    <xf numFmtId="0" fontId="49" fillId="42" borderId="11" xfId="0" applyFont="1" applyFill="1" applyBorder="1" applyAlignment="1">
      <alignment horizontal="center" vertical="center" wrapText="1"/>
    </xf>
    <xf numFmtId="0" fontId="155" fillId="0" borderId="6" xfId="0" applyFont="1" applyFill="1" applyBorder="1" applyAlignment="1">
      <alignment horizontal="center" vertical="center"/>
    </xf>
    <xf numFmtId="0" fontId="155" fillId="0" borderId="1" xfId="0" applyFont="1" applyFill="1" applyBorder="1" applyAlignment="1">
      <alignment horizontal="center" vertical="center"/>
    </xf>
    <xf numFmtId="0" fontId="58" fillId="0" borderId="5" xfId="0" applyFont="1" applyFill="1" applyBorder="1" applyAlignment="1" applyProtection="1">
      <alignment horizontal="center" vertical="center" wrapText="1"/>
    </xf>
    <xf numFmtId="0" fontId="58" fillId="0" borderId="9" xfId="0" applyFont="1" applyFill="1" applyBorder="1" applyAlignment="1" applyProtection="1">
      <alignment horizontal="center" vertical="center"/>
    </xf>
    <xf numFmtId="0" fontId="58" fillId="0" borderId="9" xfId="0" applyFont="1" applyFill="1" applyBorder="1" applyAlignment="1" applyProtection="1">
      <alignment horizontal="center" vertical="center" wrapText="1"/>
    </xf>
    <xf numFmtId="0" fontId="58" fillId="0" borderId="6" xfId="0" quotePrefix="1" applyFont="1" applyFill="1" applyBorder="1" applyAlignment="1" applyProtection="1">
      <alignment horizontal="center" vertical="center"/>
    </xf>
    <xf numFmtId="180" fontId="154" fillId="40" borderId="5" xfId="0" applyNumberFormat="1" applyFont="1" applyFill="1" applyBorder="1" applyAlignment="1">
      <alignment horizontal="center" vertical="center"/>
    </xf>
    <xf numFmtId="180" fontId="154" fillId="40" borderId="9" xfId="0" applyNumberFormat="1" applyFont="1" applyFill="1" applyBorder="1" applyAlignment="1">
      <alignment horizontal="center" vertical="center"/>
    </xf>
    <xf numFmtId="180" fontId="154" fillId="40" borderId="6" xfId="0" applyNumberFormat="1" applyFont="1" applyFill="1" applyBorder="1" applyAlignment="1">
      <alignment horizontal="center" vertical="center"/>
    </xf>
    <xf numFmtId="0" fontId="173" fillId="0" borderId="5" xfId="0" applyFont="1" applyFill="1" applyBorder="1" applyAlignment="1" applyProtection="1">
      <alignment horizontal="center" vertical="center" wrapText="1"/>
      <protection locked="0"/>
    </xf>
    <xf numFmtId="0" fontId="173" fillId="0" borderId="9" xfId="0" applyFont="1" applyFill="1" applyBorder="1" applyAlignment="1" applyProtection="1">
      <alignment horizontal="center" vertical="center" wrapText="1"/>
      <protection locked="0"/>
    </xf>
    <xf numFmtId="0" fontId="75" fillId="0" borderId="4" xfId="0" applyFont="1" applyFill="1" applyBorder="1" applyAlignment="1">
      <alignment horizontal="center" vertical="center" wrapText="1"/>
    </xf>
    <xf numFmtId="0" fontId="75" fillId="0" borderId="7" xfId="0" applyFont="1" applyFill="1" applyBorder="1" applyAlignment="1">
      <alignment horizontal="center" vertical="center" wrapText="1"/>
    </xf>
    <xf numFmtId="0" fontId="75" fillId="0" borderId="15" xfId="0" applyFont="1" applyFill="1" applyBorder="1" applyAlignment="1">
      <alignment horizontal="center" vertical="center" wrapText="1"/>
    </xf>
    <xf numFmtId="0" fontId="173" fillId="0" borderId="6" xfId="0" applyFont="1" applyFill="1" applyBorder="1" applyAlignment="1" applyProtection="1">
      <alignment horizontal="center" vertical="center" wrapText="1"/>
      <protection locked="0"/>
    </xf>
    <xf numFmtId="20" fontId="145" fillId="5" borderId="5" xfId="0" quotePrefix="1" applyNumberFormat="1" applyFont="1" applyFill="1" applyBorder="1" applyAlignment="1">
      <alignment horizontal="center" vertical="center" wrapText="1"/>
    </xf>
    <xf numFmtId="20" fontId="145" fillId="5" borderId="9" xfId="0" quotePrefix="1" applyNumberFormat="1" applyFont="1" applyFill="1" applyBorder="1" applyAlignment="1">
      <alignment horizontal="center" vertical="center" wrapText="1"/>
    </xf>
    <xf numFmtId="0" fontId="23" fillId="6" borderId="1" xfId="0" applyFont="1" applyFill="1" applyBorder="1" applyAlignment="1" applyProtection="1">
      <alignment horizontal="center" vertical="center" wrapText="1"/>
    </xf>
    <xf numFmtId="0" fontId="24" fillId="6" borderId="3" xfId="0" applyFont="1" applyFill="1" applyBorder="1" applyAlignment="1" applyProtection="1">
      <alignment horizontal="center" vertical="center"/>
    </xf>
    <xf numFmtId="0" fontId="24" fillId="6" borderId="2" xfId="0" applyFont="1" applyFill="1" applyBorder="1" applyAlignment="1" applyProtection="1">
      <alignment horizontal="center" vertical="center"/>
    </xf>
    <xf numFmtId="0" fontId="23" fillId="6" borderId="5" xfId="0" applyFont="1" applyFill="1" applyBorder="1" applyAlignment="1" applyProtection="1">
      <alignment horizontal="center" vertical="center" wrapText="1"/>
    </xf>
    <xf numFmtId="0" fontId="23" fillId="6" borderId="5" xfId="0" applyFont="1" applyFill="1" applyBorder="1" applyAlignment="1" applyProtection="1">
      <alignment horizontal="center" vertical="center"/>
    </xf>
    <xf numFmtId="0" fontId="23" fillId="0" borderId="13"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3" fillId="0" borderId="4" xfId="0" applyFont="1" applyFill="1" applyBorder="1" applyAlignment="1">
      <alignment horizontal="center" vertical="center" wrapText="1"/>
    </xf>
    <xf numFmtId="0" fontId="51" fillId="0" borderId="3" xfId="0" applyFont="1" applyFill="1" applyBorder="1" applyAlignment="1">
      <alignment horizontal="center" vertical="center"/>
    </xf>
    <xf numFmtId="0" fontId="51" fillId="0" borderId="2" xfId="0" applyFont="1" applyFill="1" applyBorder="1" applyAlignment="1">
      <alignment horizontal="center" vertical="center"/>
    </xf>
    <xf numFmtId="0" fontId="51" fillId="0" borderId="4" xfId="0" applyFont="1" applyFill="1" applyBorder="1" applyAlignment="1">
      <alignment horizontal="center" vertical="center" wrapText="1"/>
    </xf>
    <xf numFmtId="0" fontId="24" fillId="0" borderId="3" xfId="0" applyFont="1" applyFill="1" applyBorder="1" applyAlignment="1" applyProtection="1">
      <alignment horizontal="center" vertical="center"/>
    </xf>
    <xf numFmtId="0" fontId="24" fillId="0" borderId="2"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24" fillId="0" borderId="4" xfId="0" applyFont="1" applyFill="1" applyBorder="1" applyAlignment="1" applyProtection="1">
      <alignment horizontal="center" vertical="center" wrapText="1"/>
    </xf>
    <xf numFmtId="14" fontId="51" fillId="5" borderId="5" xfId="0" applyNumberFormat="1" applyFont="1" applyFill="1" applyBorder="1" applyAlignment="1">
      <alignment horizontal="left" vertical="center" wrapText="1"/>
    </xf>
    <xf numFmtId="14" fontId="51" fillId="5" borderId="6" xfId="0" applyNumberFormat="1" applyFont="1" applyFill="1" applyBorder="1" applyAlignment="1">
      <alignment horizontal="left" vertical="center" wrapText="1"/>
    </xf>
    <xf numFmtId="0" fontId="51" fillId="0" borderId="3" xfId="0" applyFont="1" applyFill="1" applyBorder="1" applyAlignment="1" applyProtection="1">
      <alignment horizontal="center" vertical="center"/>
    </xf>
    <xf numFmtId="0" fontId="51" fillId="0" borderId="10" xfId="0"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10" xfId="0" applyFont="1" applyFill="1" applyBorder="1" applyAlignment="1" applyProtection="1">
      <alignment horizontal="center" vertical="center" wrapText="1"/>
    </xf>
    <xf numFmtId="0" fontId="70" fillId="6" borderId="0" xfId="0" applyFont="1" applyFill="1" applyAlignment="1">
      <alignment horizontal="center" vertical="center"/>
    </xf>
    <xf numFmtId="190" fontId="67" fillId="13" borderId="0" xfId="6" applyNumberFormat="1" applyFont="1" applyFill="1" applyAlignment="1">
      <alignment horizontal="center"/>
    </xf>
    <xf numFmtId="190" fontId="23" fillId="13" borderId="0" xfId="6" applyNumberFormat="1" applyFont="1" applyFill="1" applyAlignment="1">
      <alignment horizontal="center"/>
    </xf>
    <xf numFmtId="190" fontId="67" fillId="12" borderId="0" xfId="6" applyNumberFormat="1" applyFont="1" applyFill="1" applyAlignment="1">
      <alignment horizontal="center"/>
    </xf>
    <xf numFmtId="190" fontId="67" fillId="5" borderId="0" xfId="6" applyNumberFormat="1" applyFont="1" applyFill="1" applyAlignment="1">
      <alignment horizontal="center"/>
    </xf>
    <xf numFmtId="190" fontId="23" fillId="5" borderId="0" xfId="6" applyNumberFormat="1" applyFont="1" applyFill="1" applyAlignment="1">
      <alignment horizontal="center"/>
    </xf>
    <xf numFmtId="0" fontId="51" fillId="0" borderId="1" xfId="4" applyFont="1" applyBorder="1" applyAlignment="1">
      <alignment horizontal="center" vertical="center"/>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2389">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s>
  <tableStyles count="0" defaultTableStyle="TableStyleMedium9" defaultPivotStyle="PivotStyleLight16"/>
  <colors>
    <mruColors>
      <color rgb="FF99FF66"/>
      <color rgb="FF00FF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externalLink" Target="externalLinks/externalLink4.xml"/><Relationship Id="rId55"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externalLink" Target="externalLinks/externalLink5.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1" Type="http://schemas.openxmlformats.org/officeDocument/2006/relationships/hyperlink" Target="#MENU!A1"/></Relationships>
</file>

<file path=xl/drawings/_rels/drawing1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3.emf"/></Relationships>
</file>

<file path=xl/drawings/_rels/drawing12.xml.rels><?xml version="1.0" encoding="UTF-8" standalone="yes"?>
<Relationships xmlns="http://schemas.openxmlformats.org/package/2006/relationships"><Relationship Id="rId8" Type="http://schemas.openxmlformats.org/officeDocument/2006/relationships/hyperlink" Target="#MENU!A1"/><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 Id="rId9"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 Id="rId5" Type="http://schemas.openxmlformats.org/officeDocument/2006/relationships/hyperlink" Target="#MENU!A1"/><Relationship Id="rId4" Type="http://schemas.openxmlformats.org/officeDocument/2006/relationships/hyperlink" Target="#MENU!A1"/></Relationships>
</file>

<file path=xl/drawings/_rels/drawing15.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 Id="rId5" Type="http://schemas.openxmlformats.org/officeDocument/2006/relationships/hyperlink" Target="#MENU!A1"/><Relationship Id="rId4" Type="http://schemas.openxmlformats.org/officeDocument/2006/relationships/hyperlink" Target="#MENU!A1"/></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2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22.xml.rels><?xml version="1.0" encoding="UTF-8" standalone="yes"?>
<Relationships xmlns="http://schemas.openxmlformats.org/package/2006/relationships"><Relationship Id="rId1" Type="http://schemas.openxmlformats.org/officeDocument/2006/relationships/hyperlink" Target="#MENU!A1"/></Relationships>
</file>

<file path=xl/drawings/_rels/drawing23.xml.rels><?xml version="1.0" encoding="UTF-8" standalone="yes"?>
<Relationships xmlns="http://schemas.openxmlformats.org/package/2006/relationships"><Relationship Id="rId1" Type="http://schemas.openxmlformats.org/officeDocument/2006/relationships/hyperlink" Target="#MENU!A1"/></Relationships>
</file>

<file path=xl/drawings/_rels/drawing24.xml.rels><?xml version="1.0" encoding="UTF-8" standalone="yes"?>
<Relationships xmlns="http://schemas.openxmlformats.org/package/2006/relationships"><Relationship Id="rId1" Type="http://schemas.openxmlformats.org/officeDocument/2006/relationships/hyperlink" Target="#MENU!A1"/></Relationships>
</file>

<file path=xl/drawings/_rels/drawing25.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2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3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3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32.xml.rels><?xml version="1.0" encoding="UTF-8" standalone="yes"?>
<Relationships xmlns="http://schemas.openxmlformats.org/package/2006/relationships"><Relationship Id="rId1" Type="http://schemas.openxmlformats.org/officeDocument/2006/relationships/hyperlink" Target="#MENU!A1"/></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3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3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39.xml.rels><?xml version="1.0" encoding="UTF-8" standalone="yes"?>
<Relationships xmlns="http://schemas.openxmlformats.org/package/2006/relationships"><Relationship Id="rId1" Type="http://schemas.openxmlformats.org/officeDocument/2006/relationships/hyperlink" Target="#MENU!A1"/></Relationships>
</file>

<file path=xl/drawings/_rels/drawing40.xml.rels><?xml version="1.0" encoding="UTF-8" standalone="yes"?>
<Relationships xmlns="http://schemas.openxmlformats.org/package/2006/relationships"><Relationship Id="rId1" Type="http://schemas.openxmlformats.org/officeDocument/2006/relationships/hyperlink" Target="#MENU!A1"/></Relationships>
</file>

<file path=xl/drawings/_rels/drawing4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MENU!A1"/></Relationships>
</file>

<file path=xl/drawings/_rels/drawing4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hyperlink" Target="#MENU!A1"/></Relationships>
</file>

<file path=xl/drawings/_rels/drawing43.xml.rels><?xml version="1.0" encoding="UTF-8" standalone="yes"?>
<Relationships xmlns="http://schemas.openxmlformats.org/package/2006/relationships"><Relationship Id="rId1" Type="http://schemas.openxmlformats.org/officeDocument/2006/relationships/hyperlink" Target="#MENU!A1"/></Relationships>
</file>

<file path=xl/drawings/_rels/drawing44.xml.rels><?xml version="1.0" encoding="UTF-8" standalone="yes"?>
<Relationships xmlns="http://schemas.openxmlformats.org/package/2006/relationships"><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13</xdr:col>
      <xdr:colOff>246529</xdr:colOff>
      <xdr:row>23</xdr:row>
      <xdr:rowOff>347381</xdr:rowOff>
    </xdr:from>
    <xdr:to>
      <xdr:col>15</xdr:col>
      <xdr:colOff>78441</xdr:colOff>
      <xdr:row>29</xdr:row>
      <xdr:rowOff>302559</xdr:rowOff>
    </xdr:to>
    <xdr:sp macro="" textlink="">
      <xdr:nvSpPr>
        <xdr:cNvPr id="4" name="Left Arrow 3">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2483353" y="4571999"/>
          <a:ext cx="1199029" cy="30256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6</xdr:col>
      <xdr:colOff>268941</xdr:colOff>
      <xdr:row>0</xdr:row>
      <xdr:rowOff>56030</xdr:rowOff>
    </xdr:from>
    <xdr:to>
      <xdr:col>8</xdr:col>
      <xdr:colOff>461704</xdr:colOff>
      <xdr:row>0</xdr:row>
      <xdr:rowOff>417364</xdr:rowOff>
    </xdr:to>
    <xdr:sp macro="" textlink="">
      <xdr:nvSpPr>
        <xdr:cNvPr id="5" name="Left Arrow 4">
          <a:hlinkClick xmlns:r="http://schemas.openxmlformats.org/officeDocument/2006/relationships" r:id="rId2"/>
          <a:extLst>
            <a:ext uri="{FF2B5EF4-FFF2-40B4-BE49-F238E27FC236}">
              <a16:creationId xmlns:a16="http://schemas.microsoft.com/office/drawing/2014/main" xmlns="" id="{00000000-0008-0000-0100-000002000000}"/>
            </a:ext>
          </a:extLst>
        </xdr:cNvPr>
        <xdr:cNvSpPr/>
      </xdr:nvSpPr>
      <xdr:spPr>
        <a:xfrm>
          <a:off x="7720853" y="56030"/>
          <a:ext cx="1559880" cy="3613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175588</xdr:colOff>
      <xdr:row>0</xdr:row>
      <xdr:rowOff>306456</xdr:rowOff>
    </xdr:from>
    <xdr:to>
      <xdr:col>8</xdr:col>
      <xdr:colOff>361949</xdr:colOff>
      <xdr:row>1</xdr:row>
      <xdr:rowOff>257175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6347788" y="306456"/>
          <a:ext cx="1557961" cy="35076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6</xdr:col>
      <xdr:colOff>44183</xdr:colOff>
      <xdr:row>1</xdr:row>
      <xdr:rowOff>347062</xdr:rowOff>
    </xdr:from>
    <xdr:to>
      <xdr:col>12</xdr:col>
      <xdr:colOff>476251</xdr:colOff>
      <xdr:row>6</xdr:row>
      <xdr:rowOff>236124</xdr:rowOff>
    </xdr:to>
    <xdr:pic>
      <xdr:nvPicPr>
        <xdr:cNvPr id="4098" name="Picture 2"/>
        <xdr:cNvPicPr>
          <a:picLocks noChangeAspect="1" noChangeArrowheads="1"/>
        </xdr:cNvPicPr>
      </xdr:nvPicPr>
      <xdr:blipFill>
        <a:blip xmlns:r="http://schemas.openxmlformats.org/officeDocument/2006/relationships" r:embed="rId2"/>
        <a:srcRect/>
        <a:stretch>
          <a:fillRect/>
        </a:stretch>
      </xdr:blipFill>
      <xdr:spPr bwMode="auto">
        <a:xfrm>
          <a:off x="6289862" y="741669"/>
          <a:ext cx="4514210" cy="1911724"/>
        </a:xfrm>
        <a:prstGeom prst="rect">
          <a:avLst/>
        </a:prstGeom>
        <a:noFill/>
      </xdr:spPr>
    </xdr:pic>
    <xdr:clientData/>
  </xdr:twoCellAnchor>
  <xdr:twoCellAnchor editAs="oneCell">
    <xdr:from>
      <xdr:col>6</xdr:col>
      <xdr:colOff>99255</xdr:colOff>
      <xdr:row>7</xdr:row>
      <xdr:rowOff>312963</xdr:rowOff>
    </xdr:from>
    <xdr:to>
      <xdr:col>12</xdr:col>
      <xdr:colOff>190503</xdr:colOff>
      <xdr:row>12</xdr:row>
      <xdr:rowOff>37618</xdr:rowOff>
    </xdr:to>
    <xdr:pic>
      <xdr:nvPicPr>
        <xdr:cNvPr id="4100" name="Picture 4"/>
        <xdr:cNvPicPr>
          <a:picLocks noChangeAspect="1" noChangeArrowheads="1"/>
        </xdr:cNvPicPr>
      </xdr:nvPicPr>
      <xdr:blipFill>
        <a:blip xmlns:r="http://schemas.openxmlformats.org/officeDocument/2006/relationships" r:embed="rId3"/>
        <a:srcRect/>
        <a:stretch>
          <a:fillRect/>
        </a:stretch>
      </xdr:blipFill>
      <xdr:spPr bwMode="auto">
        <a:xfrm>
          <a:off x="6344934" y="2898320"/>
          <a:ext cx="4173390" cy="1877786"/>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609601</xdr:colOff>
      <xdr:row>4</xdr:row>
      <xdr:rowOff>104775</xdr:rowOff>
    </xdr:from>
    <xdr:to>
      <xdr:col>10</xdr:col>
      <xdr:colOff>561976</xdr:colOff>
      <xdr:row>4</xdr:row>
      <xdr:rowOff>106363</xdr:rowOff>
    </xdr:to>
    <xdr:cxnSp macro="">
      <xdr:nvCxnSpPr>
        <xdr:cNvPr id="8" name="Straight Arrow Connector 7">
          <a:extLst>
            <a:ext uri="{FF2B5EF4-FFF2-40B4-BE49-F238E27FC236}">
              <a16:creationId xmlns:a16="http://schemas.microsoft.com/office/drawing/2014/main" xmlns=""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609601</xdr:colOff>
      <xdr:row>7</xdr:row>
      <xdr:rowOff>104775</xdr:rowOff>
    </xdr:from>
    <xdr:to>
      <xdr:col>10</xdr:col>
      <xdr:colOff>561976</xdr:colOff>
      <xdr:row>7</xdr:row>
      <xdr:rowOff>106363</xdr:rowOff>
    </xdr:to>
    <xdr:cxnSp macro="">
      <xdr:nvCxnSpPr>
        <xdr:cNvPr id="14" name="Straight Arrow Connector 13">
          <a:extLst>
            <a:ext uri="{FF2B5EF4-FFF2-40B4-BE49-F238E27FC236}">
              <a16:creationId xmlns:a16="http://schemas.microsoft.com/office/drawing/2014/main" xmlns=""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609601</xdr:colOff>
      <xdr:row>10</xdr:row>
      <xdr:rowOff>104775</xdr:rowOff>
    </xdr:from>
    <xdr:to>
      <xdr:col>10</xdr:col>
      <xdr:colOff>561976</xdr:colOff>
      <xdr:row>10</xdr:row>
      <xdr:rowOff>106363</xdr:rowOff>
    </xdr:to>
    <xdr:cxnSp macro="">
      <xdr:nvCxnSpPr>
        <xdr:cNvPr id="16" name="Straight Arrow Connector 15">
          <a:extLst>
            <a:ext uri="{FF2B5EF4-FFF2-40B4-BE49-F238E27FC236}">
              <a16:creationId xmlns:a16="http://schemas.microsoft.com/office/drawing/2014/main" xmlns=""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638175</xdr:colOff>
      <xdr:row>3</xdr:row>
      <xdr:rowOff>104775</xdr:rowOff>
    </xdr:from>
    <xdr:to>
      <xdr:col>10</xdr:col>
      <xdr:colOff>638175</xdr:colOff>
      <xdr:row>3</xdr:row>
      <xdr:rowOff>106363</xdr:rowOff>
    </xdr:to>
    <xdr:cxnSp macro="">
      <xdr:nvCxnSpPr>
        <xdr:cNvPr id="24" name="Straight Arrow Connector 23">
          <a:extLst>
            <a:ext uri="{FF2B5EF4-FFF2-40B4-BE49-F238E27FC236}">
              <a16:creationId xmlns:a16="http://schemas.microsoft.com/office/drawing/2014/main" xmlns=""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619125</xdr:colOff>
      <xdr:row>6</xdr:row>
      <xdr:rowOff>85725</xdr:rowOff>
    </xdr:from>
    <xdr:to>
      <xdr:col>10</xdr:col>
      <xdr:colOff>600075</xdr:colOff>
      <xdr:row>6</xdr:row>
      <xdr:rowOff>87313</xdr:rowOff>
    </xdr:to>
    <xdr:cxnSp macro="">
      <xdr:nvCxnSpPr>
        <xdr:cNvPr id="26" name="Straight Arrow Connector 25">
          <a:extLst>
            <a:ext uri="{FF2B5EF4-FFF2-40B4-BE49-F238E27FC236}">
              <a16:creationId xmlns:a16="http://schemas.microsoft.com/office/drawing/2014/main" xmlns=""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657225</xdr:colOff>
      <xdr:row>9</xdr:row>
      <xdr:rowOff>95250</xdr:rowOff>
    </xdr:from>
    <xdr:to>
      <xdr:col>10</xdr:col>
      <xdr:colOff>600075</xdr:colOff>
      <xdr:row>9</xdr:row>
      <xdr:rowOff>96838</xdr:rowOff>
    </xdr:to>
    <xdr:cxnSp macro="">
      <xdr:nvCxnSpPr>
        <xdr:cNvPr id="28" name="Straight Arrow Connector 27">
          <a:extLst>
            <a:ext uri="{FF2B5EF4-FFF2-40B4-BE49-F238E27FC236}">
              <a16:creationId xmlns:a16="http://schemas.microsoft.com/office/drawing/2014/main" xmlns=""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247650</xdr:colOff>
      <xdr:row>11</xdr:row>
      <xdr:rowOff>19050</xdr:rowOff>
    </xdr:from>
    <xdr:to>
      <xdr:col>11</xdr:col>
      <xdr:colOff>352426</xdr:colOff>
      <xdr:row>14</xdr:row>
      <xdr:rowOff>214031</xdr:rowOff>
    </xdr:to>
    <xdr:pic>
      <xdr:nvPicPr>
        <xdr:cNvPr id="19729" name="Picture 81">
          <a:extLst>
            <a:ext uri="{FF2B5EF4-FFF2-40B4-BE49-F238E27FC236}">
              <a16:creationId xmlns:a16="http://schemas.microsoft.com/office/drawing/2014/main" xmlns=""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13</xdr:col>
      <xdr:colOff>28576</xdr:colOff>
      <xdr:row>8</xdr:row>
      <xdr:rowOff>152400</xdr:rowOff>
    </xdr:from>
    <xdr:to>
      <xdr:col>15</xdr:col>
      <xdr:colOff>428626</xdr:colOff>
      <xdr:row>11</xdr:row>
      <xdr:rowOff>152400</xdr:rowOff>
    </xdr:to>
    <xdr:sp macro="" textlink="">
      <xdr:nvSpPr>
        <xdr:cNvPr id="9" name="Left Arrow 8">
          <a:hlinkClick xmlns:r="http://schemas.openxmlformats.org/officeDocument/2006/relationships" r:id="rId2"/>
          <a:extLst>
            <a:ext uri="{FF2B5EF4-FFF2-40B4-BE49-F238E27FC236}">
              <a16:creationId xmlns:a16="http://schemas.microsoft.com/office/drawing/2014/main" xmlns="" id="{00000000-0008-0000-0300-000009000000}"/>
            </a:ext>
          </a:extLst>
        </xdr:cNvPr>
        <xdr:cNvSpPr/>
      </xdr:nvSpPr>
      <xdr:spPr>
        <a:xfrm>
          <a:off x="8582026" y="166687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10</xdr:col>
      <xdr:colOff>400050</xdr:colOff>
      <xdr:row>38</xdr:row>
      <xdr:rowOff>152400</xdr:rowOff>
    </xdr:from>
    <xdr:to>
      <xdr:col>13</xdr:col>
      <xdr:colOff>361950</xdr:colOff>
      <xdr:row>41</xdr:row>
      <xdr:rowOff>152400</xdr:rowOff>
    </xdr:to>
    <xdr:sp macro="" textlink="">
      <xdr:nvSpPr>
        <xdr:cNvPr id="10" name="Left Arrow 9">
          <a:hlinkClick xmlns:r="http://schemas.openxmlformats.org/officeDocument/2006/relationships" r:id="rId3"/>
          <a:extLst>
            <a:ext uri="{FF2B5EF4-FFF2-40B4-BE49-F238E27FC236}">
              <a16:creationId xmlns:a16="http://schemas.microsoft.com/office/drawing/2014/main" xmlns="" id="{00000000-0008-0000-0300-000009000000}"/>
            </a:ext>
          </a:extLst>
        </xdr:cNvPr>
        <xdr:cNvSpPr/>
      </xdr:nvSpPr>
      <xdr:spPr>
        <a:xfrm>
          <a:off x="7143750" y="7886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50</xdr:row>
      <xdr:rowOff>0</xdr:rowOff>
    </xdr:from>
    <xdr:to>
      <xdr:col>2</xdr:col>
      <xdr:colOff>755650</xdr:colOff>
      <xdr:row>50</xdr:row>
      <xdr:rowOff>600075</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400-000003000000}"/>
            </a:ext>
          </a:extLst>
        </xdr:cNvPr>
        <xdr:cNvSpPr/>
      </xdr:nvSpPr>
      <xdr:spPr>
        <a:xfrm>
          <a:off x="0" y="244951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88</xdr:row>
      <xdr:rowOff>0</xdr:rowOff>
    </xdr:from>
    <xdr:to>
      <xdr:col>2</xdr:col>
      <xdr:colOff>755650</xdr:colOff>
      <xdr:row>88</xdr:row>
      <xdr:rowOff>600075</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400-000004000000}"/>
            </a:ext>
          </a:extLst>
        </xdr:cNvPr>
        <xdr:cNvSpPr/>
      </xdr:nvSpPr>
      <xdr:spPr>
        <a:xfrm>
          <a:off x="0" y="416242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42</xdr:col>
      <xdr:colOff>467591</xdr:colOff>
      <xdr:row>19</xdr:row>
      <xdr:rowOff>34636</xdr:rowOff>
    </xdr:from>
    <xdr:to>
      <xdr:col>44</xdr:col>
      <xdr:colOff>643659</xdr:colOff>
      <xdr:row>20</xdr:row>
      <xdr:rowOff>64943</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400-000002000000}"/>
            </a:ext>
          </a:extLst>
        </xdr:cNvPr>
        <xdr:cNvSpPr/>
      </xdr:nvSpPr>
      <xdr:spPr>
        <a:xfrm>
          <a:off x="17647227" y="9369136"/>
          <a:ext cx="1561523" cy="7230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43</xdr:col>
      <xdr:colOff>0</xdr:colOff>
      <xdr:row>48</xdr:row>
      <xdr:rowOff>0</xdr:rowOff>
    </xdr:from>
    <xdr:to>
      <xdr:col>45</xdr:col>
      <xdr:colOff>176069</xdr:colOff>
      <xdr:row>49</xdr:row>
      <xdr:rowOff>116897</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400-000002000000}"/>
            </a:ext>
          </a:extLst>
        </xdr:cNvPr>
        <xdr:cNvSpPr/>
      </xdr:nvSpPr>
      <xdr:spPr>
        <a:xfrm>
          <a:off x="17872364" y="23379545"/>
          <a:ext cx="1561523" cy="7230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43</xdr:col>
      <xdr:colOff>0</xdr:colOff>
      <xdr:row>83</xdr:row>
      <xdr:rowOff>0</xdr:rowOff>
    </xdr:from>
    <xdr:to>
      <xdr:col>45</xdr:col>
      <xdr:colOff>176069</xdr:colOff>
      <xdr:row>85</xdr:row>
      <xdr:rowOff>307398</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400-000002000000}"/>
            </a:ext>
          </a:extLst>
        </xdr:cNvPr>
        <xdr:cNvSpPr/>
      </xdr:nvSpPr>
      <xdr:spPr>
        <a:xfrm>
          <a:off x="17872364" y="39520091"/>
          <a:ext cx="1561523" cy="7230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43</xdr:col>
      <xdr:colOff>0</xdr:colOff>
      <xdr:row>61</xdr:row>
      <xdr:rowOff>0</xdr:rowOff>
    </xdr:from>
    <xdr:to>
      <xdr:col>45</xdr:col>
      <xdr:colOff>176069</xdr:colOff>
      <xdr:row>62</xdr:row>
      <xdr:rowOff>290079</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400-000002000000}"/>
            </a:ext>
          </a:extLst>
        </xdr:cNvPr>
        <xdr:cNvSpPr/>
      </xdr:nvSpPr>
      <xdr:spPr>
        <a:xfrm>
          <a:off x="17872364" y="30324136"/>
          <a:ext cx="1561523" cy="7230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43</xdr:col>
      <xdr:colOff>0</xdr:colOff>
      <xdr:row>103</xdr:row>
      <xdr:rowOff>0</xdr:rowOff>
    </xdr:from>
    <xdr:to>
      <xdr:col>45</xdr:col>
      <xdr:colOff>176069</xdr:colOff>
      <xdr:row>104</xdr:row>
      <xdr:rowOff>30307</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400-000002000000}"/>
            </a:ext>
          </a:extLst>
        </xdr:cNvPr>
        <xdr:cNvSpPr/>
      </xdr:nvSpPr>
      <xdr:spPr>
        <a:xfrm>
          <a:off x="17872364" y="47711591"/>
          <a:ext cx="1561523" cy="7230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43</xdr:col>
      <xdr:colOff>0</xdr:colOff>
      <xdr:row>30</xdr:row>
      <xdr:rowOff>0</xdr:rowOff>
    </xdr:from>
    <xdr:to>
      <xdr:col>45</xdr:col>
      <xdr:colOff>176069</xdr:colOff>
      <xdr:row>31</xdr:row>
      <xdr:rowOff>134216</xdr:rowOff>
    </xdr:to>
    <xdr:sp macro="" textlink="">
      <xdr:nvSpPr>
        <xdr:cNvPr id="10" name="Left Arrow 9">
          <a:hlinkClick xmlns:r="http://schemas.openxmlformats.org/officeDocument/2006/relationships" r:id="rId8"/>
          <a:extLst>
            <a:ext uri="{FF2B5EF4-FFF2-40B4-BE49-F238E27FC236}">
              <a16:creationId xmlns:a16="http://schemas.microsoft.com/office/drawing/2014/main" xmlns="" id="{00000000-0008-0000-0400-000002000000}"/>
            </a:ext>
          </a:extLst>
        </xdr:cNvPr>
        <xdr:cNvSpPr/>
      </xdr:nvSpPr>
      <xdr:spPr>
        <a:xfrm>
          <a:off x="17872364" y="14876318"/>
          <a:ext cx="1561523" cy="7230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43</xdr:col>
      <xdr:colOff>0</xdr:colOff>
      <xdr:row>2</xdr:row>
      <xdr:rowOff>0</xdr:rowOff>
    </xdr:from>
    <xdr:to>
      <xdr:col>45</xdr:col>
      <xdr:colOff>176069</xdr:colOff>
      <xdr:row>3</xdr:row>
      <xdr:rowOff>203488</xdr:rowOff>
    </xdr:to>
    <xdr:sp macro="" textlink="">
      <xdr:nvSpPr>
        <xdr:cNvPr id="11" name="Left Arrow 10">
          <a:hlinkClick xmlns:r="http://schemas.openxmlformats.org/officeDocument/2006/relationships" r:id="rId9"/>
          <a:extLst>
            <a:ext uri="{FF2B5EF4-FFF2-40B4-BE49-F238E27FC236}">
              <a16:creationId xmlns:a16="http://schemas.microsoft.com/office/drawing/2014/main" xmlns="" id="{00000000-0008-0000-0400-000002000000}"/>
            </a:ext>
          </a:extLst>
        </xdr:cNvPr>
        <xdr:cNvSpPr/>
      </xdr:nvSpPr>
      <xdr:spPr>
        <a:xfrm>
          <a:off x="17872364" y="1350818"/>
          <a:ext cx="1561523" cy="7230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186170</xdr:colOff>
      <xdr:row>0</xdr:row>
      <xdr:rowOff>247650</xdr:rowOff>
    </xdr:to>
    <xdr:pic>
      <xdr:nvPicPr>
        <xdr:cNvPr id="2" name="Picture 1" descr="clip_image002.jpg">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editAs="oneCell">
    <xdr:from>
      <xdr:col>0</xdr:col>
      <xdr:colOff>238125</xdr:colOff>
      <xdr:row>38</xdr:row>
      <xdr:rowOff>186418</xdr:rowOff>
    </xdr:from>
    <xdr:to>
      <xdr:col>1</xdr:col>
      <xdr:colOff>352177</xdr:colOff>
      <xdr:row>38</xdr:row>
      <xdr:rowOff>430892</xdr:rowOff>
    </xdr:to>
    <xdr:pic>
      <xdr:nvPicPr>
        <xdr:cNvPr id="3" name="Picture 1" descr="clip_image002.jpg">
          <a:extLst>
            <a:ext uri="{FF2B5EF4-FFF2-40B4-BE49-F238E27FC236}">
              <a16:creationId xmlns:a16="http://schemas.microsoft.com/office/drawing/2014/main" xmlns=""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238125" y="22260606"/>
          <a:ext cx="356507" cy="244474"/>
        </a:xfrm>
        <a:prstGeom prst="rect">
          <a:avLst/>
        </a:prstGeom>
        <a:noFill/>
        <a:ln w="9525">
          <a:noFill/>
          <a:miter lim="800000"/>
          <a:headEnd/>
          <a:tailEnd/>
        </a:ln>
      </xdr:spPr>
    </xdr:pic>
    <xdr:clientData/>
  </xdr:twoCellAnchor>
  <xdr:twoCellAnchor>
    <xdr:from>
      <xdr:col>32</xdr:col>
      <xdr:colOff>217714</xdr:colOff>
      <xdr:row>0</xdr:row>
      <xdr:rowOff>312965</xdr:rowOff>
    </xdr:from>
    <xdr:to>
      <xdr:col>34</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32</xdr:col>
      <xdr:colOff>0</xdr:colOff>
      <xdr:row>42</xdr:row>
      <xdr:rowOff>0</xdr:rowOff>
    </xdr:from>
    <xdr:to>
      <xdr:col>34</xdr:col>
      <xdr:colOff>410935</xdr:colOff>
      <xdr:row>43</xdr:row>
      <xdr:rowOff>205468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16</xdr:row>
      <xdr:rowOff>0</xdr:rowOff>
    </xdr:from>
    <xdr:to>
      <xdr:col>35</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61</xdr:row>
      <xdr:rowOff>0</xdr:rowOff>
    </xdr:from>
    <xdr:to>
      <xdr:col>35</xdr:col>
      <xdr:colOff>692726</xdr:colOff>
      <xdr:row>62</xdr:row>
      <xdr:rowOff>24864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73</xdr:row>
      <xdr:rowOff>0</xdr:rowOff>
    </xdr:from>
    <xdr:to>
      <xdr:col>35</xdr:col>
      <xdr:colOff>692726</xdr:colOff>
      <xdr:row>74</xdr:row>
      <xdr:rowOff>24864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133350</xdr:colOff>
      <xdr:row>36</xdr:row>
      <xdr:rowOff>0</xdr:rowOff>
    </xdr:from>
    <xdr:to>
      <xdr:col>6</xdr:col>
      <xdr:colOff>177635</xdr:colOff>
      <xdr:row>36</xdr:row>
      <xdr:rowOff>0</xdr:rowOff>
    </xdr:to>
    <xdr:pic>
      <xdr:nvPicPr>
        <xdr:cNvPr id="2" name="Picture 5" descr="clip_image002.jpg">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176027</xdr:colOff>
      <xdr:row>0</xdr:row>
      <xdr:rowOff>66675</xdr:rowOff>
    </xdr:to>
    <xdr:pic>
      <xdr:nvPicPr>
        <xdr:cNvPr id="3"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237259</xdr:colOff>
      <xdr:row>0</xdr:row>
      <xdr:rowOff>323850</xdr:rowOff>
    </xdr:to>
    <xdr:pic>
      <xdr:nvPicPr>
        <xdr:cNvPr id="4" name="Picture 1" descr="clip_image002.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36</xdr:row>
      <xdr:rowOff>66675</xdr:rowOff>
    </xdr:from>
    <xdr:to>
      <xdr:col>5</xdr:col>
      <xdr:colOff>176027</xdr:colOff>
      <xdr:row>36</xdr:row>
      <xdr:rowOff>66675</xdr:rowOff>
    </xdr:to>
    <xdr:pic>
      <xdr:nvPicPr>
        <xdr:cNvPr id="5" name="Picture 1" descr="clip_image002.jpg">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6" name="Picture 1" descr="clip_image002.jpg">
          <a:extLst>
            <a:ext uri="{FF2B5EF4-FFF2-40B4-BE49-F238E27FC236}">
              <a16:creationId xmlns:a16="http://schemas.microsoft.com/office/drawing/2014/main" xmlns=""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89808</xdr:colOff>
      <xdr:row>36</xdr:row>
      <xdr:rowOff>112939</xdr:rowOff>
    </xdr:from>
    <xdr:to>
      <xdr:col>1</xdr:col>
      <xdr:colOff>260392</xdr:colOff>
      <xdr:row>36</xdr:row>
      <xdr:rowOff>345622</xdr:rowOff>
    </xdr:to>
    <xdr:pic>
      <xdr:nvPicPr>
        <xdr:cNvPr id="7" name="Picture 1" descr="clip_image002.jpg">
          <a:extLst>
            <a:ext uri="{FF2B5EF4-FFF2-40B4-BE49-F238E27FC236}">
              <a16:creationId xmlns:a16="http://schemas.microsoft.com/office/drawing/2014/main" xmlns="" id="{00000000-0008-0000-0600-000007000000}"/>
            </a:ext>
          </a:extLst>
        </xdr:cNvPr>
        <xdr:cNvPicPr>
          <a:picLocks noChangeAspect="1"/>
        </xdr:cNvPicPr>
      </xdr:nvPicPr>
      <xdr:blipFill>
        <a:blip xmlns:r="http://schemas.openxmlformats.org/officeDocument/2006/relationships" r:embed="rId1"/>
        <a:srcRect/>
        <a:stretch>
          <a:fillRect/>
        </a:stretch>
      </xdr:blipFill>
      <xdr:spPr bwMode="auto">
        <a:xfrm>
          <a:off x="89808" y="15352939"/>
          <a:ext cx="381000" cy="232683"/>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8" name="Picture 1" descr="clip_image002.jpg">
          <a:extLst>
            <a:ext uri="{FF2B5EF4-FFF2-40B4-BE49-F238E27FC236}">
              <a16:creationId xmlns:a16="http://schemas.microsoft.com/office/drawing/2014/main" xmlns=""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9" name="Picture 1" descr="clip_image002.jpg">
          <a:extLst>
            <a:ext uri="{FF2B5EF4-FFF2-40B4-BE49-F238E27FC236}">
              <a16:creationId xmlns:a16="http://schemas.microsoft.com/office/drawing/2014/main" xmlns=""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10" name="Picture 1" descr="clip_image002.jpg">
          <a:extLst>
            <a:ext uri="{FF2B5EF4-FFF2-40B4-BE49-F238E27FC236}">
              <a16:creationId xmlns:a16="http://schemas.microsoft.com/office/drawing/2014/main" xmlns=""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36</xdr:row>
      <xdr:rowOff>66675</xdr:rowOff>
    </xdr:from>
    <xdr:to>
      <xdr:col>5</xdr:col>
      <xdr:colOff>176027</xdr:colOff>
      <xdr:row>36</xdr:row>
      <xdr:rowOff>66675</xdr:rowOff>
    </xdr:to>
    <xdr:pic>
      <xdr:nvPicPr>
        <xdr:cNvPr id="11" name="Picture 1" descr="clip_image002.jpg">
          <a:extLst>
            <a:ext uri="{FF2B5EF4-FFF2-40B4-BE49-F238E27FC236}">
              <a16:creationId xmlns:a16="http://schemas.microsoft.com/office/drawing/2014/main" xmlns=""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66675</xdr:colOff>
      <xdr:row>36</xdr:row>
      <xdr:rowOff>85725</xdr:rowOff>
    </xdr:from>
    <xdr:to>
      <xdr:col>1</xdr:col>
      <xdr:colOff>237259</xdr:colOff>
      <xdr:row>36</xdr:row>
      <xdr:rowOff>323850</xdr:rowOff>
    </xdr:to>
    <xdr:pic>
      <xdr:nvPicPr>
        <xdr:cNvPr id="12" name="Picture 1" descr="clip_image002.jpg">
          <a:extLst>
            <a:ext uri="{FF2B5EF4-FFF2-40B4-BE49-F238E27FC236}">
              <a16:creationId xmlns:a16="http://schemas.microsoft.com/office/drawing/2014/main" xmlns=""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66675" y="15325725"/>
          <a:ext cx="381000" cy="238125"/>
        </a:xfrm>
        <a:prstGeom prst="rect">
          <a:avLst/>
        </a:prstGeom>
        <a:noFill/>
        <a:ln w="9525">
          <a:noFill/>
          <a:miter lim="800000"/>
          <a:headEnd/>
          <a:tailEnd/>
        </a:ln>
      </xdr:spPr>
    </xdr:pic>
    <xdr:clientData/>
  </xdr:twoCellAnchor>
  <xdr:twoCellAnchor>
    <xdr:from>
      <xdr:col>32</xdr:col>
      <xdr:colOff>258535</xdr:colOff>
      <xdr:row>0</xdr:row>
      <xdr:rowOff>108858</xdr:rowOff>
    </xdr:from>
    <xdr:to>
      <xdr:col>34</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a16="http://schemas.microsoft.com/office/drawing/2014/main" xmlns=""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32</xdr:col>
      <xdr:colOff>155862</xdr:colOff>
      <xdr:row>39</xdr:row>
      <xdr:rowOff>0</xdr:rowOff>
    </xdr:from>
    <xdr:to>
      <xdr:col>34</xdr:col>
      <xdr:colOff>571499</xdr:colOff>
      <xdr:row>40</xdr:row>
      <xdr:rowOff>69396</xdr:rowOff>
    </xdr:to>
    <xdr:sp macro="" textlink="">
      <xdr:nvSpPr>
        <xdr:cNvPr id="14" name="Left Arrow 13">
          <a:hlinkClick xmlns:r="http://schemas.openxmlformats.org/officeDocument/2006/relationships" r:id="rId3"/>
          <a:extLst>
            <a:ext uri="{FF2B5EF4-FFF2-40B4-BE49-F238E27FC236}">
              <a16:creationId xmlns:a16="http://schemas.microsoft.com/office/drawing/2014/main" xmlns=""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53</xdr:row>
      <xdr:rowOff>0</xdr:rowOff>
    </xdr:from>
    <xdr:to>
      <xdr:col>36</xdr:col>
      <xdr:colOff>-1</xdr:colOff>
      <xdr:row>53</xdr:row>
      <xdr:rowOff>596364</xdr:rowOff>
    </xdr:to>
    <xdr:sp macro="" textlink="">
      <xdr:nvSpPr>
        <xdr:cNvPr id="15" name="Left Arrow 14">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15</xdr:row>
      <xdr:rowOff>0</xdr:rowOff>
    </xdr:from>
    <xdr:to>
      <xdr:col>36</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36</xdr:row>
      <xdr:rowOff>76200</xdr:rowOff>
    </xdr:from>
    <xdr:to>
      <xdr:col>1</xdr:col>
      <xdr:colOff>57150</xdr:colOff>
      <xdr:row>36</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6192500"/>
          <a:ext cx="381000" cy="238125"/>
        </a:xfrm>
        <a:prstGeom prst="rect">
          <a:avLst/>
        </a:prstGeom>
        <a:noFill/>
        <a:ln w="9525">
          <a:noFill/>
          <a:miter lim="800000"/>
          <a:headEnd/>
          <a:tailEnd/>
        </a:ln>
      </xdr:spPr>
    </xdr:pic>
    <xdr:clientData/>
  </xdr:twoCellAnchor>
  <xdr:twoCellAnchor>
    <xdr:from>
      <xdr:col>32</xdr:col>
      <xdr:colOff>415637</xdr:colOff>
      <xdr:row>0</xdr:row>
      <xdr:rowOff>54428</xdr:rowOff>
    </xdr:from>
    <xdr:to>
      <xdr:col>35</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291955" y="5442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22</xdr:row>
      <xdr:rowOff>0</xdr:rowOff>
    </xdr:from>
    <xdr:to>
      <xdr:col>35</xdr:col>
      <xdr:colOff>692726</xdr:colOff>
      <xdr:row>22</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5569045" y="1290204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42</xdr:row>
      <xdr:rowOff>0</xdr:rowOff>
    </xdr:from>
    <xdr:to>
      <xdr:col>35</xdr:col>
      <xdr:colOff>692726</xdr:colOff>
      <xdr:row>42</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569045" y="2462645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59</xdr:row>
      <xdr:rowOff>0</xdr:rowOff>
    </xdr:from>
    <xdr:to>
      <xdr:col>35</xdr:col>
      <xdr:colOff>692726</xdr:colOff>
      <xdr:row>59</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569045" y="352251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68</xdr:row>
      <xdr:rowOff>0</xdr:rowOff>
    </xdr:from>
    <xdr:to>
      <xdr:col>35</xdr:col>
      <xdr:colOff>692726</xdr:colOff>
      <xdr:row>68</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569045" y="40836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12</xdr:row>
      <xdr:rowOff>0</xdr:rowOff>
    </xdr:from>
    <xdr:to>
      <xdr:col>35</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5569045" y="68406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8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36</xdr:row>
      <xdr:rowOff>76200</xdr:rowOff>
    </xdr:from>
    <xdr:to>
      <xdr:col>1</xdr:col>
      <xdr:colOff>57150</xdr:colOff>
      <xdr:row>36</xdr:row>
      <xdr:rowOff>314325</xdr:rowOff>
    </xdr:to>
    <xdr:pic>
      <xdr:nvPicPr>
        <xdr:cNvPr id="3" name="Picture 1" descr="clip_image002.jpg">
          <a:extLst>
            <a:ext uri="{FF2B5EF4-FFF2-40B4-BE49-F238E27FC236}">
              <a16:creationId xmlns:a16="http://schemas.microsoft.com/office/drawing/2014/main" xmlns="" id="{00000000-0008-0000-08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6030575"/>
          <a:ext cx="381000" cy="238125"/>
        </a:xfrm>
        <a:prstGeom prst="rect">
          <a:avLst/>
        </a:prstGeom>
        <a:noFill/>
        <a:ln w="9525">
          <a:noFill/>
          <a:miter lim="800000"/>
          <a:headEnd/>
          <a:tailEnd/>
        </a:ln>
      </xdr:spPr>
    </xdr:pic>
    <xdr:clientData/>
  </xdr:twoCellAnchor>
  <xdr:twoCellAnchor>
    <xdr:from>
      <xdr:col>16</xdr:col>
      <xdr:colOff>353786</xdr:colOff>
      <xdr:row>0</xdr:row>
      <xdr:rowOff>54428</xdr:rowOff>
    </xdr:from>
    <xdr:to>
      <xdr:col>19</xdr:col>
      <xdr:colOff>84365</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459936" y="54428"/>
          <a:ext cx="178797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16</xdr:col>
      <xdr:colOff>0</xdr:colOff>
      <xdr:row>41</xdr:row>
      <xdr:rowOff>0</xdr:rowOff>
    </xdr:from>
    <xdr:to>
      <xdr:col>18</xdr:col>
      <xdr:colOff>410936</xdr:colOff>
      <xdr:row>42</xdr:row>
      <xdr:rowOff>232682</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800-000005000000}"/>
            </a:ext>
          </a:extLst>
        </xdr:cNvPr>
        <xdr:cNvSpPr/>
      </xdr:nvSpPr>
      <xdr:spPr>
        <a:xfrm>
          <a:off x="11106150" y="18030825"/>
          <a:ext cx="1782536" cy="60415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156482</xdr:colOff>
      <xdr:row>0</xdr:row>
      <xdr:rowOff>247650</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editAs="oneCell">
    <xdr:from>
      <xdr:col>0</xdr:col>
      <xdr:colOff>0</xdr:colOff>
      <xdr:row>40</xdr:row>
      <xdr:rowOff>91168</xdr:rowOff>
    </xdr:from>
    <xdr:to>
      <xdr:col>1</xdr:col>
      <xdr:colOff>70757</xdr:colOff>
      <xdr:row>41</xdr:row>
      <xdr:rowOff>2267</xdr:rowOff>
    </xdr:to>
    <xdr:pic>
      <xdr:nvPicPr>
        <xdr:cNvPr id="3" name="Picture 1" descr="clip_image002.jpg">
          <a:extLst>
            <a:ext uri="{FF2B5EF4-FFF2-40B4-BE49-F238E27FC236}">
              <a16:creationId xmlns:a16="http://schemas.microsoft.com/office/drawing/2014/main" xmlns="" id="{00000000-0008-0000-0A00-000003000000}"/>
            </a:ext>
          </a:extLst>
        </xdr:cNvPr>
        <xdr:cNvPicPr>
          <a:picLocks noChangeAspect="1"/>
        </xdr:cNvPicPr>
      </xdr:nvPicPr>
      <xdr:blipFill>
        <a:blip xmlns:r="http://schemas.openxmlformats.org/officeDocument/2006/relationships" r:embed="rId1"/>
        <a:srcRect/>
        <a:stretch>
          <a:fillRect/>
        </a:stretch>
      </xdr:blipFill>
      <xdr:spPr bwMode="auto">
        <a:xfrm>
          <a:off x="0" y="15378793"/>
          <a:ext cx="356507" cy="228600"/>
        </a:xfrm>
        <a:prstGeom prst="rect">
          <a:avLst/>
        </a:prstGeom>
        <a:noFill/>
        <a:ln w="9525">
          <a:noFill/>
          <a:miter lim="800000"/>
          <a:headEnd/>
          <a:tailEnd/>
        </a:ln>
      </xdr:spPr>
    </xdr:pic>
    <xdr:clientData/>
  </xdr:twoCellAnchor>
  <xdr:twoCellAnchor>
    <xdr:from>
      <xdr:col>20</xdr:col>
      <xdr:colOff>149679</xdr:colOff>
      <xdr:row>0</xdr:row>
      <xdr:rowOff>81642</xdr:rowOff>
    </xdr:from>
    <xdr:to>
      <xdr:col>22</xdr:col>
      <xdr:colOff>142875</xdr:colOff>
      <xdr:row>1</xdr:row>
      <xdr:rowOff>314324</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A00-000004000000}"/>
            </a:ext>
          </a:extLst>
        </xdr:cNvPr>
        <xdr:cNvSpPr/>
      </xdr:nvSpPr>
      <xdr:spPr>
        <a:xfrm>
          <a:off x="10690679" y="81642"/>
          <a:ext cx="1358446" cy="59780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20</xdr:col>
      <xdr:colOff>0</xdr:colOff>
      <xdr:row>47</xdr:row>
      <xdr:rowOff>0</xdr:rowOff>
    </xdr:from>
    <xdr:to>
      <xdr:col>21</xdr:col>
      <xdr:colOff>650875</xdr:colOff>
      <xdr:row>48</xdr:row>
      <xdr:rowOff>232682</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A00-000005000000}"/>
            </a:ext>
          </a:extLst>
        </xdr:cNvPr>
        <xdr:cNvSpPr/>
      </xdr:nvSpPr>
      <xdr:spPr>
        <a:xfrm>
          <a:off x="10541000" y="19669125"/>
          <a:ext cx="1333500" cy="6454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21</xdr:col>
      <xdr:colOff>0</xdr:colOff>
      <xdr:row>33</xdr:row>
      <xdr:rowOff>0</xdr:rowOff>
    </xdr:from>
    <xdr:to>
      <xdr:col>22</xdr:col>
      <xdr:colOff>675821</xdr:colOff>
      <xdr:row>34</xdr:row>
      <xdr:rowOff>169182</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A00-000004000000}"/>
            </a:ext>
          </a:extLst>
        </xdr:cNvPr>
        <xdr:cNvSpPr/>
      </xdr:nvSpPr>
      <xdr:spPr>
        <a:xfrm>
          <a:off x="11223625" y="13589000"/>
          <a:ext cx="1358446" cy="59780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21</xdr:col>
      <xdr:colOff>0</xdr:colOff>
      <xdr:row>64</xdr:row>
      <xdr:rowOff>0</xdr:rowOff>
    </xdr:from>
    <xdr:to>
      <xdr:col>22</xdr:col>
      <xdr:colOff>675821</xdr:colOff>
      <xdr:row>65</xdr:row>
      <xdr:rowOff>296182</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A00-000004000000}"/>
            </a:ext>
          </a:extLst>
        </xdr:cNvPr>
        <xdr:cNvSpPr/>
      </xdr:nvSpPr>
      <xdr:spPr>
        <a:xfrm>
          <a:off x="11223625" y="26638250"/>
          <a:ext cx="1358446" cy="59780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21771</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453118</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453118</xdr:colOff>
      <xdr:row>38</xdr:row>
      <xdr:rowOff>66675</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453118</xdr:colOff>
      <xdr:row>75</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89808</xdr:colOff>
      <xdr:row>38</xdr:row>
      <xdr:rowOff>112939</xdr:rowOff>
    </xdr:from>
    <xdr:to>
      <xdr:col>1</xdr:col>
      <xdr:colOff>156483</xdr:colOff>
      <xdr:row>38</xdr:row>
      <xdr:rowOff>345622</xdr:rowOff>
    </xdr:to>
    <xdr:pic>
      <xdr:nvPicPr>
        <xdr:cNvPr id="7" name="Picture 1" descr="clip_image002.jpg">
          <a:extLst>
            <a:ext uri="{FF2B5EF4-FFF2-40B4-BE49-F238E27FC236}">
              <a16:creationId xmlns:a16="http://schemas.microsoft.com/office/drawing/2014/main" xmlns="" id="{00000000-0008-0000-0B00-000007000000}"/>
            </a:ext>
          </a:extLst>
        </xdr:cNvPr>
        <xdr:cNvPicPr>
          <a:picLocks noChangeAspect="1"/>
        </xdr:cNvPicPr>
      </xdr:nvPicPr>
      <xdr:blipFill>
        <a:blip xmlns:r="http://schemas.openxmlformats.org/officeDocument/2006/relationships" r:embed="rId1"/>
        <a:srcRect/>
        <a:stretch>
          <a:fillRect/>
        </a:stretch>
      </xdr:blipFill>
      <xdr:spPr bwMode="auto">
        <a:xfrm>
          <a:off x="89808" y="15010039"/>
          <a:ext cx="381000" cy="232683"/>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453118</xdr:colOff>
      <xdr:row>75</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453118</xdr:colOff>
      <xdr:row>75</xdr:row>
      <xdr:rowOff>0</xdr:rowOff>
    </xdr:to>
    <xdr:pic>
      <xdr:nvPicPr>
        <xdr:cNvPr id="11"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453118</xdr:colOff>
      <xdr:row>75</xdr:row>
      <xdr:rowOff>0</xdr:rowOff>
    </xdr:to>
    <xdr:pic>
      <xdr:nvPicPr>
        <xdr:cNvPr id="13"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453118</xdr:colOff>
      <xdr:row>38</xdr:row>
      <xdr:rowOff>66675</xdr:rowOff>
    </xdr:to>
    <xdr:pic>
      <xdr:nvPicPr>
        <xdr:cNvPr id="15"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0</xdr:col>
      <xdr:colOff>66675</xdr:colOff>
      <xdr:row>38</xdr:row>
      <xdr:rowOff>85725</xdr:rowOff>
    </xdr:from>
    <xdr:to>
      <xdr:col>1</xdr:col>
      <xdr:colOff>133350</xdr:colOff>
      <xdr:row>38</xdr:row>
      <xdr:rowOff>323850</xdr:rowOff>
    </xdr:to>
    <xdr:pic>
      <xdr:nvPicPr>
        <xdr:cNvPr id="16" name="Picture 1" descr="clip_image002.jpg">
          <a:extLst>
            <a:ext uri="{FF2B5EF4-FFF2-40B4-BE49-F238E27FC236}">
              <a16:creationId xmlns:a16="http://schemas.microsoft.com/office/drawing/2014/main" xmlns="" id="{00000000-0008-0000-0B00-000010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79639" cy="238125"/>
        </a:xfrm>
        <a:prstGeom prst="rect">
          <a:avLst/>
        </a:prstGeom>
        <a:noFill/>
        <a:ln w="9525">
          <a:noFill/>
          <a:miter lim="800000"/>
          <a:headEnd/>
          <a:tailEnd/>
        </a:ln>
      </xdr:spPr>
    </xdr:pic>
    <xdr:clientData/>
  </xdr:twoCellAnchor>
  <xdr:twoCellAnchor>
    <xdr:from>
      <xdr:col>20</xdr:col>
      <xdr:colOff>204107</xdr:colOff>
      <xdr:row>0</xdr:row>
      <xdr:rowOff>40822</xdr:rowOff>
    </xdr:from>
    <xdr:to>
      <xdr:col>22</xdr:col>
      <xdr:colOff>615042</xdr:colOff>
      <xdr:row>1</xdr:row>
      <xdr:rowOff>273504</xdr:rowOff>
    </xdr:to>
    <xdr:sp macro="" textlink="">
      <xdr:nvSpPr>
        <xdr:cNvPr id="14" name="Left Arrow 13">
          <a:hlinkClick xmlns:r="http://schemas.openxmlformats.org/officeDocument/2006/relationships" r:id="rId2"/>
          <a:extLst>
            <a:ext uri="{FF2B5EF4-FFF2-40B4-BE49-F238E27FC236}">
              <a16:creationId xmlns:a16="http://schemas.microsoft.com/office/drawing/2014/main" xmlns="" id="{00000000-0008-0000-0B00-00000E000000}"/>
            </a:ext>
          </a:extLst>
        </xdr:cNvPr>
        <xdr:cNvSpPr/>
      </xdr:nvSpPr>
      <xdr:spPr>
        <a:xfrm>
          <a:off x="10912928" y="4082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20</xdr:col>
      <xdr:colOff>0</xdr:colOff>
      <xdr:row>41</xdr:row>
      <xdr:rowOff>0</xdr:rowOff>
    </xdr:from>
    <xdr:to>
      <xdr:col>22</xdr:col>
      <xdr:colOff>410935</xdr:colOff>
      <xdr:row>42</xdr:row>
      <xdr:rowOff>69396</xdr:rowOff>
    </xdr:to>
    <xdr:sp macro="" textlink="">
      <xdr:nvSpPr>
        <xdr:cNvPr id="17" name="Left Arrow 16">
          <a:hlinkClick xmlns:r="http://schemas.openxmlformats.org/officeDocument/2006/relationships" r:id="rId3"/>
          <a:extLst>
            <a:ext uri="{FF2B5EF4-FFF2-40B4-BE49-F238E27FC236}">
              <a16:creationId xmlns:a16="http://schemas.microsoft.com/office/drawing/2014/main" xmlns="" id="{00000000-0008-0000-0B00-000011000000}"/>
            </a:ext>
          </a:extLst>
        </xdr:cNvPr>
        <xdr:cNvSpPr/>
      </xdr:nvSpPr>
      <xdr:spPr>
        <a:xfrm>
          <a:off x="10708821" y="1698171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8125"/>
        </a:xfrm>
        <a:prstGeom prst="rect">
          <a:avLst/>
        </a:prstGeom>
        <a:noFill/>
        <a:ln w="9525">
          <a:noFill/>
          <a:miter lim="800000"/>
          <a:headEnd/>
          <a:tailEnd/>
        </a:ln>
      </xdr:spPr>
    </xdr:pic>
    <xdr:clientData/>
  </xdr:twoCellAnchor>
  <xdr:twoCellAnchor editAs="oneCell">
    <xdr:from>
      <xdr:col>0</xdr:col>
      <xdr:colOff>57150</xdr:colOff>
      <xdr:row>42</xdr:row>
      <xdr:rowOff>76200</xdr:rowOff>
    </xdr:from>
    <xdr:to>
      <xdr:col>1</xdr:col>
      <xdr:colOff>57150</xdr:colOff>
      <xdr:row>42</xdr:row>
      <xdr:rowOff>314325</xdr:rowOff>
    </xdr:to>
    <xdr:pic>
      <xdr:nvPicPr>
        <xdr:cNvPr id="3" name="Picture 1" descr="clip_image002.jpg">
          <a:extLst>
            <a:ext uri="{FF2B5EF4-FFF2-40B4-BE49-F238E27FC236}">
              <a16:creationId xmlns:a16="http://schemas.microsoft.com/office/drawing/2014/main" xmlns="" id="{00000000-0008-0000-0C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5963900"/>
          <a:ext cx="381000" cy="238125"/>
        </a:xfrm>
        <a:prstGeom prst="rect">
          <a:avLst/>
        </a:prstGeom>
        <a:noFill/>
        <a:ln w="9525">
          <a:noFill/>
          <a:miter lim="800000"/>
          <a:headEnd/>
          <a:tailEnd/>
        </a:ln>
      </xdr:spPr>
    </xdr:pic>
    <xdr:clientData/>
  </xdr:twoCellAnchor>
  <xdr:twoCellAnchor>
    <xdr:from>
      <xdr:col>20</xdr:col>
      <xdr:colOff>311727</xdr:colOff>
      <xdr:row>0</xdr:row>
      <xdr:rowOff>103909</xdr:rowOff>
    </xdr:from>
    <xdr:to>
      <xdr:col>23</xdr:col>
      <xdr:colOff>5195</xdr:colOff>
      <xdr:row>1</xdr:row>
      <xdr:rowOff>340302</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C00-000004000000}"/>
            </a:ext>
          </a:extLst>
        </xdr:cNvPr>
        <xdr:cNvSpPr/>
      </xdr:nvSpPr>
      <xdr:spPr>
        <a:xfrm>
          <a:off x="11430000" y="10390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20</xdr:col>
      <xdr:colOff>0</xdr:colOff>
      <xdr:row>44</xdr:row>
      <xdr:rowOff>0</xdr:rowOff>
    </xdr:from>
    <xdr:to>
      <xdr:col>22</xdr:col>
      <xdr:colOff>386196</xdr:colOff>
      <xdr:row>45</xdr:row>
      <xdr:rowOff>271030</xdr:rowOff>
    </xdr:to>
    <xdr:sp macro="" textlink="">
      <xdr:nvSpPr>
        <xdr:cNvPr id="6" name="Left Arrow 5">
          <a:hlinkClick xmlns:r="http://schemas.openxmlformats.org/officeDocument/2006/relationships" r:id="rId3"/>
          <a:extLst>
            <a:ext uri="{FF2B5EF4-FFF2-40B4-BE49-F238E27FC236}">
              <a16:creationId xmlns:a16="http://schemas.microsoft.com/office/drawing/2014/main" xmlns="" id="{00000000-0008-0000-0C00-000006000000}"/>
            </a:ext>
          </a:extLst>
        </xdr:cNvPr>
        <xdr:cNvSpPr/>
      </xdr:nvSpPr>
      <xdr:spPr>
        <a:xfrm>
          <a:off x="11118273" y="16954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D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35</xdr:row>
      <xdr:rowOff>76200</xdr:rowOff>
    </xdr:from>
    <xdr:to>
      <xdr:col>1</xdr:col>
      <xdr:colOff>57150</xdr:colOff>
      <xdr:row>35</xdr:row>
      <xdr:rowOff>314325</xdr:rowOff>
    </xdr:to>
    <xdr:pic>
      <xdr:nvPicPr>
        <xdr:cNvPr id="3" name="Picture 1" descr="clip_image002.jpg">
          <a:extLst>
            <a:ext uri="{FF2B5EF4-FFF2-40B4-BE49-F238E27FC236}">
              <a16:creationId xmlns:a16="http://schemas.microsoft.com/office/drawing/2014/main" xmlns="" id="{00000000-0008-0000-0D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5382875"/>
          <a:ext cx="381000" cy="238125"/>
        </a:xfrm>
        <a:prstGeom prst="rect">
          <a:avLst/>
        </a:prstGeom>
        <a:noFill/>
        <a:ln w="9525">
          <a:noFill/>
          <a:miter lim="800000"/>
          <a:headEnd/>
          <a:tailEnd/>
        </a:ln>
      </xdr:spPr>
    </xdr:pic>
    <xdr:clientData/>
  </xdr:twoCellAnchor>
  <xdr:twoCellAnchor>
    <xdr:from>
      <xdr:col>16</xdr:col>
      <xdr:colOff>353786</xdr:colOff>
      <xdr:row>0</xdr:row>
      <xdr:rowOff>54428</xdr:rowOff>
    </xdr:from>
    <xdr:to>
      <xdr:col>19</xdr:col>
      <xdr:colOff>84365</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D00-000004000000}"/>
            </a:ext>
          </a:extLst>
        </xdr:cNvPr>
        <xdr:cNvSpPr/>
      </xdr:nvSpPr>
      <xdr:spPr>
        <a:xfrm>
          <a:off x="10259786" y="54428"/>
          <a:ext cx="178797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16</xdr:col>
      <xdr:colOff>0</xdr:colOff>
      <xdr:row>40</xdr:row>
      <xdr:rowOff>0</xdr:rowOff>
    </xdr:from>
    <xdr:to>
      <xdr:col>18</xdr:col>
      <xdr:colOff>410936</xdr:colOff>
      <xdr:row>41</xdr:row>
      <xdr:rowOff>232682</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D00-000005000000}"/>
            </a:ext>
          </a:extLst>
        </xdr:cNvPr>
        <xdr:cNvSpPr/>
      </xdr:nvSpPr>
      <xdr:spPr>
        <a:xfrm>
          <a:off x="9906000" y="17383125"/>
          <a:ext cx="1782536" cy="60415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242455</xdr:colOff>
      <xdr:row>0</xdr:row>
      <xdr:rowOff>242454</xdr:rowOff>
    </xdr:from>
    <xdr:to>
      <xdr:col>2</xdr:col>
      <xdr:colOff>767196</xdr:colOff>
      <xdr:row>1</xdr:row>
      <xdr:rowOff>167120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F00-000002000000}"/>
            </a:ext>
          </a:extLst>
        </xdr:cNvPr>
        <xdr:cNvSpPr/>
      </xdr:nvSpPr>
      <xdr:spPr>
        <a:xfrm>
          <a:off x="242455" y="24245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60</xdr:row>
      <xdr:rowOff>0</xdr:rowOff>
    </xdr:from>
    <xdr:to>
      <xdr:col>2</xdr:col>
      <xdr:colOff>524741</xdr:colOff>
      <xdr:row>60</xdr:row>
      <xdr:rowOff>600075</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F00-000006000000}"/>
            </a:ext>
          </a:extLst>
        </xdr:cNvPr>
        <xdr:cNvSpPr/>
      </xdr:nvSpPr>
      <xdr:spPr>
        <a:xfrm>
          <a:off x="0" y="293543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88</xdr:row>
      <xdr:rowOff>0</xdr:rowOff>
    </xdr:from>
    <xdr:to>
      <xdr:col>2</xdr:col>
      <xdr:colOff>524741</xdr:colOff>
      <xdr:row>88</xdr:row>
      <xdr:rowOff>600075</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F00-000007000000}"/>
            </a:ext>
          </a:extLst>
        </xdr:cNvPr>
        <xdr:cNvSpPr/>
      </xdr:nvSpPr>
      <xdr:spPr>
        <a:xfrm>
          <a:off x="0" y="4140777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29</xdr:row>
      <xdr:rowOff>0</xdr:rowOff>
    </xdr:from>
    <xdr:to>
      <xdr:col>2</xdr:col>
      <xdr:colOff>524741</xdr:colOff>
      <xdr:row>29</xdr:row>
      <xdr:rowOff>600075</xdr:rowOff>
    </xdr:to>
    <xdr:sp macro="" textlink="">
      <xdr:nvSpPr>
        <xdr:cNvPr id="8" name="Left Arrow 7">
          <a:hlinkClick xmlns:r="http://schemas.openxmlformats.org/officeDocument/2006/relationships" r:id="rId4"/>
          <a:extLst>
            <a:ext uri="{FF2B5EF4-FFF2-40B4-BE49-F238E27FC236}">
              <a16:creationId xmlns:a16="http://schemas.microsoft.com/office/drawing/2014/main" xmlns="" id="{00000000-0008-0000-0F00-000008000000}"/>
            </a:ext>
          </a:extLst>
        </xdr:cNvPr>
        <xdr:cNvSpPr/>
      </xdr:nvSpPr>
      <xdr:spPr>
        <a:xfrm>
          <a:off x="0" y="1402772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42</xdr:col>
      <xdr:colOff>259773</xdr:colOff>
      <xdr:row>61</xdr:row>
      <xdr:rowOff>415637</xdr:rowOff>
    </xdr:from>
    <xdr:to>
      <xdr:col>44</xdr:col>
      <xdr:colOff>645968</xdr:colOff>
      <xdr:row>62</xdr:row>
      <xdr:rowOff>461530</xdr:rowOff>
    </xdr:to>
    <xdr:sp macro="" textlink="">
      <xdr:nvSpPr>
        <xdr:cNvPr id="9" name="Left Arrow 8">
          <a:hlinkClick xmlns:r="http://schemas.openxmlformats.org/officeDocument/2006/relationships" r:id="rId5"/>
          <a:extLst>
            <a:ext uri="{FF2B5EF4-FFF2-40B4-BE49-F238E27FC236}">
              <a16:creationId xmlns="" xmlns:a16="http://schemas.microsoft.com/office/drawing/2014/main" id="{00000000-0008-0000-0C00-000004000000}"/>
            </a:ext>
          </a:extLst>
        </xdr:cNvPr>
        <xdr:cNvSpPr/>
      </xdr:nvSpPr>
      <xdr:spPr>
        <a:xfrm>
          <a:off x="18461182" y="29891182"/>
          <a:ext cx="1771650" cy="5654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108</xdr:row>
      <xdr:rowOff>0</xdr:rowOff>
    </xdr:from>
    <xdr:to>
      <xdr:col>13</xdr:col>
      <xdr:colOff>542059</xdr:colOff>
      <xdr:row>109</xdr:row>
      <xdr:rowOff>253712</xdr:rowOff>
    </xdr:to>
    <xdr:sp macro="" textlink="">
      <xdr:nvSpPr>
        <xdr:cNvPr id="11" name="Left Arrow 10">
          <a:hlinkClick xmlns:r="http://schemas.openxmlformats.org/officeDocument/2006/relationships" r:id="rId6"/>
          <a:extLst>
            <a:ext uri="{FF2B5EF4-FFF2-40B4-BE49-F238E27FC236}">
              <a16:creationId xmlns:a16="http://schemas.microsoft.com/office/drawing/2014/main" xmlns="" id="{00000000-0008-0000-0F00-000007000000}"/>
            </a:ext>
          </a:extLst>
        </xdr:cNvPr>
        <xdr:cNvSpPr/>
      </xdr:nvSpPr>
      <xdr:spPr>
        <a:xfrm>
          <a:off x="7187045" y="5207577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0</xdr:colOff>
      <xdr:row>220</xdr:row>
      <xdr:rowOff>0</xdr:rowOff>
    </xdr:from>
    <xdr:to>
      <xdr:col>11</xdr:col>
      <xdr:colOff>552450</xdr:colOff>
      <xdr:row>222</xdr:row>
      <xdr:rowOff>47625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12</xdr:col>
      <xdr:colOff>571500</xdr:colOff>
      <xdr:row>12</xdr:row>
      <xdr:rowOff>122465</xdr:rowOff>
    </xdr:from>
    <xdr:to>
      <xdr:col>15</xdr:col>
      <xdr:colOff>234043</xdr:colOff>
      <xdr:row>13</xdr:row>
      <xdr:rowOff>355147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500-000002000000}"/>
            </a:ext>
          </a:extLst>
        </xdr:cNvPr>
        <xdr:cNvSpPr/>
      </xdr:nvSpPr>
      <xdr:spPr>
        <a:xfrm>
          <a:off x="11987893"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44</xdr:col>
      <xdr:colOff>0</xdr:colOff>
      <xdr:row>30</xdr:row>
      <xdr:rowOff>0</xdr:rowOff>
    </xdr:from>
    <xdr:to>
      <xdr:col>46</xdr:col>
      <xdr:colOff>386195</xdr:colOff>
      <xdr:row>31</xdr:row>
      <xdr:rowOff>219075</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1700-000003000000}"/>
            </a:ext>
          </a:extLst>
        </xdr:cNvPr>
        <xdr:cNvSpPr/>
      </xdr:nvSpPr>
      <xdr:spPr>
        <a:xfrm>
          <a:off x="18288000" y="1364672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0</xdr:row>
      <xdr:rowOff>0</xdr:rowOff>
    </xdr:from>
    <xdr:to>
      <xdr:col>46</xdr:col>
      <xdr:colOff>386195</xdr:colOff>
      <xdr:row>0</xdr:row>
      <xdr:rowOff>600075</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700-000004000000}"/>
            </a:ext>
          </a:extLst>
        </xdr:cNvPr>
        <xdr:cNvSpPr/>
      </xdr:nvSpPr>
      <xdr:spPr>
        <a:xfrm>
          <a:off x="18288000"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28</xdr:col>
      <xdr:colOff>519545</xdr:colOff>
      <xdr:row>53</xdr:row>
      <xdr:rowOff>277091</xdr:rowOff>
    </xdr:from>
    <xdr:to>
      <xdr:col>34</xdr:col>
      <xdr:colOff>386195</xdr:colOff>
      <xdr:row>55</xdr:row>
      <xdr:rowOff>340303</xdr:rowOff>
    </xdr:to>
    <xdr:sp macro="" textlink="">
      <xdr:nvSpPr>
        <xdr:cNvPr id="6" name="Left Arrow 5">
          <a:hlinkClick xmlns:r="http://schemas.openxmlformats.org/officeDocument/2006/relationships" r:id="rId3"/>
          <a:extLst>
            <a:ext uri="{FF2B5EF4-FFF2-40B4-BE49-F238E27FC236}">
              <a16:creationId xmlns:a16="http://schemas.microsoft.com/office/drawing/2014/main" xmlns="" id="{00000000-0008-0000-1700-000006000000}"/>
            </a:ext>
          </a:extLst>
        </xdr:cNvPr>
        <xdr:cNvSpPr/>
      </xdr:nvSpPr>
      <xdr:spPr>
        <a:xfrm>
          <a:off x="13889181" y="23379546"/>
          <a:ext cx="1771650" cy="8252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81</xdr:row>
      <xdr:rowOff>0</xdr:rowOff>
    </xdr:from>
    <xdr:to>
      <xdr:col>46</xdr:col>
      <xdr:colOff>386195</xdr:colOff>
      <xdr:row>82</xdr:row>
      <xdr:rowOff>80530</xdr:rowOff>
    </xdr:to>
    <xdr:sp macro="" textlink="">
      <xdr:nvSpPr>
        <xdr:cNvPr id="7" name="Left Arrow 6">
          <a:hlinkClick xmlns:r="http://schemas.openxmlformats.org/officeDocument/2006/relationships" r:id="rId4"/>
          <a:extLst>
            <a:ext uri="{FF2B5EF4-FFF2-40B4-BE49-F238E27FC236}">
              <a16:creationId xmlns:a16="http://schemas.microsoft.com/office/drawing/2014/main" xmlns=""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22</xdr:col>
      <xdr:colOff>0</xdr:colOff>
      <xdr:row>85</xdr:row>
      <xdr:rowOff>0</xdr:rowOff>
    </xdr:from>
    <xdr:to>
      <xdr:col>27</xdr:col>
      <xdr:colOff>247650</xdr:colOff>
      <xdr:row>86</xdr:row>
      <xdr:rowOff>305666</xdr:rowOff>
    </xdr:to>
    <xdr:sp macro="" textlink="">
      <xdr:nvSpPr>
        <xdr:cNvPr id="10" name="Left Arrow 9">
          <a:hlinkClick xmlns:r="http://schemas.openxmlformats.org/officeDocument/2006/relationships" r:id="rId5"/>
          <a:extLst>
            <a:ext uri="{FF2B5EF4-FFF2-40B4-BE49-F238E27FC236}">
              <a16:creationId xmlns:a16="http://schemas.microsoft.com/office/drawing/2014/main" xmlns="" id="{00000000-0008-0000-1700-000006000000}"/>
            </a:ext>
          </a:extLst>
        </xdr:cNvPr>
        <xdr:cNvSpPr/>
      </xdr:nvSpPr>
      <xdr:spPr>
        <a:xfrm>
          <a:off x="11533909" y="36316227"/>
          <a:ext cx="1771650" cy="8252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22</xdr:col>
      <xdr:colOff>0</xdr:colOff>
      <xdr:row>107</xdr:row>
      <xdr:rowOff>0</xdr:rowOff>
    </xdr:from>
    <xdr:to>
      <xdr:col>27</xdr:col>
      <xdr:colOff>247650</xdr:colOff>
      <xdr:row>108</xdr:row>
      <xdr:rowOff>340303</xdr:rowOff>
    </xdr:to>
    <xdr:sp macro="" textlink="">
      <xdr:nvSpPr>
        <xdr:cNvPr id="11" name="Left Arrow 10">
          <a:hlinkClick xmlns:r="http://schemas.openxmlformats.org/officeDocument/2006/relationships" r:id="rId6"/>
          <a:extLst>
            <a:ext uri="{FF2B5EF4-FFF2-40B4-BE49-F238E27FC236}">
              <a16:creationId xmlns:a16="http://schemas.microsoft.com/office/drawing/2014/main" xmlns="" id="{00000000-0008-0000-1700-000006000000}"/>
            </a:ext>
          </a:extLst>
        </xdr:cNvPr>
        <xdr:cNvSpPr/>
      </xdr:nvSpPr>
      <xdr:spPr>
        <a:xfrm>
          <a:off x="11533909" y="46551273"/>
          <a:ext cx="1771650" cy="8252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22</xdr:col>
      <xdr:colOff>0</xdr:colOff>
      <xdr:row>68</xdr:row>
      <xdr:rowOff>0</xdr:rowOff>
    </xdr:from>
    <xdr:to>
      <xdr:col>27</xdr:col>
      <xdr:colOff>247650</xdr:colOff>
      <xdr:row>69</xdr:row>
      <xdr:rowOff>167120</xdr:rowOff>
    </xdr:to>
    <xdr:sp macro="" textlink="">
      <xdr:nvSpPr>
        <xdr:cNvPr id="12" name="Left Arrow 11">
          <a:hlinkClick xmlns:r="http://schemas.openxmlformats.org/officeDocument/2006/relationships" r:id="rId7"/>
          <a:extLst>
            <a:ext uri="{FF2B5EF4-FFF2-40B4-BE49-F238E27FC236}">
              <a16:creationId xmlns:a16="http://schemas.microsoft.com/office/drawing/2014/main" xmlns=""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18</xdr:col>
      <xdr:colOff>0</xdr:colOff>
      <xdr:row>7</xdr:row>
      <xdr:rowOff>0</xdr:rowOff>
    </xdr:from>
    <xdr:to>
      <xdr:col>20</xdr:col>
      <xdr:colOff>410935</xdr:colOff>
      <xdr:row>8</xdr:row>
      <xdr:rowOff>240104</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500-000005000000}"/>
            </a:ext>
          </a:extLst>
        </xdr:cNvPr>
        <xdr:cNvSpPr/>
      </xdr:nvSpPr>
      <xdr:spPr>
        <a:xfrm>
          <a:off x="11759045" y="3532909"/>
          <a:ext cx="1796390" cy="77696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a16="http://schemas.microsoft.com/office/drawing/2014/main" xmlns=""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a16="http://schemas.microsoft.com/office/drawing/2014/main" xmlns=""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18</xdr:col>
      <xdr:colOff>0</xdr:colOff>
      <xdr:row>8</xdr:row>
      <xdr:rowOff>0</xdr:rowOff>
    </xdr:from>
    <xdr:to>
      <xdr:col>20</xdr:col>
      <xdr:colOff>410936</xdr:colOff>
      <xdr:row>9</xdr:row>
      <xdr:rowOff>42182</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300-000009000000}"/>
            </a:ext>
          </a:extLst>
        </xdr:cNvPr>
        <xdr:cNvSpPr/>
      </xdr:nvSpPr>
      <xdr:spPr>
        <a:xfrm>
          <a:off x="12083143" y="446314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a16="http://schemas.microsoft.com/office/drawing/2014/main" xmlns=""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a16="http://schemas.microsoft.com/office/drawing/2014/main" xmlns=""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19</xdr:col>
      <xdr:colOff>536864</xdr:colOff>
      <xdr:row>52</xdr:row>
      <xdr:rowOff>121228</xdr:rowOff>
    </xdr:from>
    <xdr:to>
      <xdr:col>25</xdr:col>
      <xdr:colOff>86591</xdr:colOff>
      <xdr:row>53</xdr:row>
      <xdr:rowOff>346365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200-000002000000}"/>
            </a:ext>
          </a:extLst>
        </xdr:cNvPr>
        <xdr:cNvSpPr/>
      </xdr:nvSpPr>
      <xdr:spPr>
        <a:xfrm>
          <a:off x="11516591" y="22098001"/>
          <a:ext cx="1697182" cy="5368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xdr:col>
      <xdr:colOff>0</xdr:colOff>
      <xdr:row>0</xdr:row>
      <xdr:rowOff>0</xdr:rowOff>
    </xdr:from>
    <xdr:to>
      <xdr:col>1</xdr:col>
      <xdr:colOff>1771650</xdr:colOff>
      <xdr:row>0</xdr:row>
      <xdr:rowOff>600075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2200-000003000000}"/>
            </a:ext>
          </a:extLst>
        </xdr:cNvPr>
        <xdr:cNvSpPr/>
      </xdr:nvSpPr>
      <xdr:spPr>
        <a:xfrm>
          <a:off x="1316182"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24</xdr:col>
      <xdr:colOff>0</xdr:colOff>
      <xdr:row>80</xdr:row>
      <xdr:rowOff>0</xdr:rowOff>
    </xdr:from>
    <xdr:to>
      <xdr:col>29</xdr:col>
      <xdr:colOff>247650</xdr:colOff>
      <xdr:row>84</xdr:row>
      <xdr:rowOff>45893</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2200-000004000000}"/>
            </a:ext>
          </a:extLst>
        </xdr:cNvPr>
        <xdr:cNvSpPr/>
      </xdr:nvSpPr>
      <xdr:spPr>
        <a:xfrm>
          <a:off x="13265727" y="380826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28</xdr:col>
      <xdr:colOff>0</xdr:colOff>
      <xdr:row>106</xdr:row>
      <xdr:rowOff>0</xdr:rowOff>
    </xdr:from>
    <xdr:to>
      <xdr:col>33</xdr:col>
      <xdr:colOff>39832</xdr:colOff>
      <xdr:row>107</xdr:row>
      <xdr:rowOff>167120</xdr:rowOff>
    </xdr:to>
    <xdr:sp macro="" textlink="">
      <xdr:nvSpPr>
        <xdr:cNvPr id="5" name="Left Arrow 4">
          <a:hlinkClick xmlns:r="http://schemas.openxmlformats.org/officeDocument/2006/relationships" r:id="rId4"/>
          <a:extLst>
            <a:ext uri="{FF2B5EF4-FFF2-40B4-BE49-F238E27FC236}">
              <a16:creationId xmlns:a16="http://schemas.microsoft.com/office/drawing/2014/main" xmlns="" id="{00000000-0008-0000-2200-000005000000}"/>
            </a:ext>
          </a:extLst>
        </xdr:cNvPr>
        <xdr:cNvSpPr/>
      </xdr:nvSpPr>
      <xdr:spPr>
        <a:xfrm>
          <a:off x="14200909" y="483870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35</xdr:row>
      <xdr:rowOff>17318</xdr:rowOff>
    </xdr:from>
    <xdr:to>
      <xdr:col>45</xdr:col>
      <xdr:colOff>34636</xdr:colOff>
      <xdr:row>36</xdr:row>
      <xdr:rowOff>219075</xdr:rowOff>
    </xdr:to>
    <xdr:sp macro="" textlink="">
      <xdr:nvSpPr>
        <xdr:cNvPr id="6" name="Left Arrow 5">
          <a:hlinkClick xmlns:r="http://schemas.openxmlformats.org/officeDocument/2006/relationships" r:id="rId5"/>
          <a:extLst>
            <a:ext uri="{FF2B5EF4-FFF2-40B4-BE49-F238E27FC236}">
              <a16:creationId xmlns:a16="http://schemas.microsoft.com/office/drawing/2014/main" xmlns="" id="{00000000-0008-0000-2200-000002000000}"/>
            </a:ext>
          </a:extLst>
        </xdr:cNvPr>
        <xdr:cNvSpPr/>
      </xdr:nvSpPr>
      <xdr:spPr>
        <a:xfrm>
          <a:off x="19829318" y="14807045"/>
          <a:ext cx="1524000" cy="58275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1</xdr:row>
      <xdr:rowOff>571500</xdr:rowOff>
    </xdr:from>
    <xdr:to>
      <xdr:col>44</xdr:col>
      <xdr:colOff>1402773</xdr:colOff>
      <xdr:row>3</xdr:row>
      <xdr:rowOff>86591</xdr:rowOff>
    </xdr:to>
    <xdr:sp macro="" textlink="">
      <xdr:nvSpPr>
        <xdr:cNvPr id="7" name="Left Arrow 6">
          <a:hlinkClick xmlns:r="http://schemas.openxmlformats.org/officeDocument/2006/relationships" r:id="rId6"/>
          <a:extLst>
            <a:ext uri="{FF2B5EF4-FFF2-40B4-BE49-F238E27FC236}">
              <a16:creationId xmlns:a16="http://schemas.microsoft.com/office/drawing/2014/main" xmlns="" id="{00000000-0008-0000-2200-000002000000}"/>
            </a:ext>
          </a:extLst>
        </xdr:cNvPr>
        <xdr:cNvSpPr/>
      </xdr:nvSpPr>
      <xdr:spPr>
        <a:xfrm>
          <a:off x="20054455" y="1229591"/>
          <a:ext cx="2095500" cy="67540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20</xdr:row>
      <xdr:rowOff>0</xdr:rowOff>
    </xdr:from>
    <xdr:to>
      <xdr:col>44</xdr:col>
      <xdr:colOff>1402773</xdr:colOff>
      <xdr:row>21</xdr:row>
      <xdr:rowOff>329046</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2200-000002000000}"/>
            </a:ext>
          </a:extLst>
        </xdr:cNvPr>
        <xdr:cNvSpPr/>
      </xdr:nvSpPr>
      <xdr:spPr>
        <a:xfrm>
          <a:off x="20054455" y="8814955"/>
          <a:ext cx="2095500" cy="67540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a16="http://schemas.microsoft.com/office/drawing/2014/main" xmlns=""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a16="http://schemas.microsoft.com/office/drawing/2014/main" xmlns=""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a16="http://schemas.microsoft.com/office/drawing/2014/main" xmlns=""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2.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7</xdr:col>
      <xdr:colOff>52631</xdr:colOff>
      <xdr:row>54</xdr:row>
      <xdr:rowOff>161683</xdr:rowOff>
    </xdr:from>
    <xdr:to>
      <xdr:col>12</xdr:col>
      <xdr:colOff>52631</xdr:colOff>
      <xdr:row>73</xdr:row>
      <xdr:rowOff>28818</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6762751" y="10834689"/>
          <a:ext cx="3581885" cy="457200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2.%20Data%20hoa%20nghiem\1.%20PP%20H&#211;A%20NGHI&#7878;M%20C&#193;C%20B&#7890;N-XLBM\&#28414;&#38651;%20E%20&#32218;QC&#24037;&#31243;&#34920;.pdf" TargetMode="External"/><Relationship Id="rId7" Type="http://schemas.openxmlformats.org/officeDocument/2006/relationships/printerSettings" Target="../printerSettings/printerSettings3.bin"/><Relationship Id="rId2" Type="http://schemas.openxmlformats.org/officeDocument/2006/relationships/hyperlink" Target="..\..\..\2.%20Data%20hoa%20nghiem\QC\(%20&#37573;&#37811;&#21512;&#37329;)&#28961;&#27696;&#40572;&#21514;&#38651;C%20&#32218;QC&#24037;&#31243;&#34920;2022.08.26-NIKEN.xlsx" TargetMode="External"/><Relationship Id="rId1" Type="http://schemas.openxmlformats.org/officeDocument/2006/relationships/hyperlink" Target="..\..\..\2.%20Data%20hoa%20nghiem\QC\QC-RUA%20LIEU%20F,G.pdf" TargetMode="External"/><Relationship Id="rId6" Type="http://schemas.openxmlformats.org/officeDocument/2006/relationships/hyperlink" Target="..\..\..\2.%20Data%20hoa%20nghiem\1.%20PP%20H&#211;A%20NGHI&#7878;M%20C&#193;C%20B&#7890;N-XLBM\&#28961;&#27696;&#40572;&#21514;&#38651;C%20&#32218;QC&#24037;&#31243;&#34920;Q3-CXVN-PC01-AS57%2020221028.xlsx" TargetMode="External"/><Relationship Id="rId5" Type="http://schemas.openxmlformats.org/officeDocument/2006/relationships/hyperlink" Target="..\..\..\2.%20Data%20hoa%20nghiem\PP%20HOA%20NGHIEM%202021.11.25-moi.doc" TargetMode="External"/><Relationship Id="rId4" Type="http://schemas.openxmlformats.org/officeDocument/2006/relationships/hyperlink" Target="..\..\..\2.%20Data%20hoa%20nghiem\1.%20PP%20H&#211;A%20NGHI&#7878;M%20C&#193;C%20B&#7890;N-XLBM\&#28414;&#38651;%20F%20&#32218;QC&#24037;&#31243;&#34920;%20(&#26356;&#26032;20220912).xlsx"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20&#273;&#7863;c,%20lo&#227;ng-XT.pdf" TargetMode="External"/><Relationship Id="rId13" Type="http://schemas.openxmlformats.org/officeDocument/2006/relationships/hyperlink" Target="../../../2.%20Data%20hoa%20nghiem/1.%20PP%20H&#211;A%20NGHI&#7878;M%20C&#193;C%20B&#7890;N-XLBM/HALO-PPPT_EC-508-&#272;G-XT,XM-1F.pdf" TargetMode="External"/><Relationship Id="rId18" Type="http://schemas.openxmlformats.org/officeDocument/2006/relationships/hyperlink" Target="..\..\..\2.%20Data%20hoa%20nghiem\1.%20PP%20H&#211;A%20NGHI&#7878;M%20C&#193;C%20B&#7890;N-XLBM\ZN-XM,XT.pdf" TargetMode="External"/><Relationship Id="rId26" Type="http://schemas.openxmlformats.org/officeDocument/2006/relationships/drawing" Target="../drawings/drawing21.xml"/><Relationship Id="rId3" Type="http://schemas.openxmlformats.org/officeDocument/2006/relationships/hyperlink" Target="../../../2.%20Data%20hoa%20nghiem/1.%20PP%20H&#211;A%20NGHI&#7878;M%20C&#193;C%20B&#7890;N-XLBM/HNO3-XM.pdf" TargetMode="External"/><Relationship Id="rId21" Type="http://schemas.openxmlformats.org/officeDocument/2006/relationships/hyperlink" Target="..\..\..\2.%20Data%20hoa%20nghiem\1.%20PP%20H&#211;A%20NGHI&#7878;M%20C&#193;C%20B&#7890;N-XLBM\HALO-PPPT_Kem%20ki&#7873;m.pdf" TargetMode="External"/><Relationship Id="rId7" Type="http://schemas.openxmlformats.org/officeDocument/2006/relationships/hyperlink" Target="../../../2.%20Data%20hoa%20nghiem/1.%20PP%20H&#211;A%20NGHI&#7878;M%20C&#193;C%20B&#7890;N-XLBM/HNO3-XT.pdf" TargetMode="External"/><Relationship Id="rId12" Type="http://schemas.openxmlformats.org/officeDocument/2006/relationships/hyperlink" Target="../../../2.%20Data%20hoa%20nghiem/1.%20PP%20H&#211;A%20NGHI&#7878;M%20C&#193;C%20B&#7890;N-XLBM/HALO-PPPT_CT-21A-XB-XT,XM-1F.pdf" TargetMode="External"/><Relationship Id="rId17" Type="http://schemas.openxmlformats.org/officeDocument/2006/relationships/hyperlink" Target="../../../2.%20Data%20hoa%20nghiem/1.%20PP%20H&#211;A%20NGHI&#7878;M%20C&#193;C%20B&#7890;N-XLBM/ZN-XM,XT.pdf" TargetMode="External"/><Relationship Id="rId25" Type="http://schemas.openxmlformats.org/officeDocument/2006/relationships/printerSettings" Target="../printerSettings/printerSettings22.bin"/><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HALO-PPPT_lanthane%20318-CR2O3-XM1F.pdf" TargetMode="External"/><Relationship Id="rId20" Type="http://schemas.openxmlformats.org/officeDocument/2006/relationships/hyperlink" Target="..\..\..\2.%20Data%20hoa%20nghiem\1.%20PP%20H&#211;A%20NGHI&#7878;M%20C&#193;C%20B&#7890;N-XLBM\ZN-XM,XT.pdf" TargetMode="External"/><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HNO3-XM.pdf" TargetMode="External"/><Relationship Id="rId11" Type="http://schemas.openxmlformats.org/officeDocument/2006/relationships/hyperlink" Target="../../../2.%20Data%20hoa%20nghiem/1.%20PP%20H&#211;A%20NGHI&#7878;M%20C&#193;C%20B&#7890;N-XLBM/HALO-PPPT_EC-508-&#272;G-XT,XM-1F.pdf" TargetMode="External"/><Relationship Id="rId24" Type="http://schemas.openxmlformats.org/officeDocument/2006/relationships/hyperlink" Target="..\..\..\2.%20Data%20hoa%20nghiem\1.%20PP%20H&#211;A%20NGHI&#7878;M%20C&#193;C%20B&#7890;N-XLBM\NA2CO3-HALO.pdf" TargetMode="External"/><Relationship Id="rId5" Type="http://schemas.openxmlformats.org/officeDocument/2006/relationships/hyperlink" Target="../../../2.%20Data%20hoa%20nghiem/1.%20PP%20H&#211;A%20NGHI&#7878;M%20C&#193;C%20B&#7890;N-XLBM/HCL%20ho&#7841;t%20h&#243;a-xt,xm.pdf" TargetMode="External"/><Relationship Id="rId15" Type="http://schemas.openxmlformats.org/officeDocument/2006/relationships/hyperlink" Target="..\..\..\2.%20Data%20hoa%20nghiem\1.%20PP%20H&#211;A%20NGHI&#7878;M%20C&#193;C%20B&#7890;N-XLBM\NaOH-XM,XT.pdf" TargetMode="External"/><Relationship Id="rId23" Type="http://schemas.openxmlformats.org/officeDocument/2006/relationships/hyperlink" Target="..\..\..\2.%20Data%20hoa%20nghiem\1.%20PP%20H&#211;A%20NGHI&#7878;M%20C&#193;C%20B&#7890;N-XLBM\JASCO-Ph&#432;&#417;ng%20ph&#225;p%20ph&#226;n%20t&#237;ch%20ZN-Ni-XT.pdf" TargetMode="External"/><Relationship Id="rId28" Type="http://schemas.openxmlformats.org/officeDocument/2006/relationships/comments" Target="../comments2.xml"/><Relationship Id="rId10" Type="http://schemas.openxmlformats.org/officeDocument/2006/relationships/hyperlink" Target="../../../2.%20Data%20hoa%20nghiem/1.%20PP%20H&#211;A%20NGHI&#7878;M%20C&#193;C%20B&#7890;N-XLBM/HALO-PPPT_CT-21A-XB-XT,XM-1F.pdf" TargetMode="External"/><Relationship Id="rId19" Type="http://schemas.openxmlformats.org/officeDocument/2006/relationships/hyperlink" Target="../../../2.%20Data%20hoa%20nghiem/1.%20PP%20H&#211;A%20NGHI&#7878;M%20C&#193;C%20B&#7890;N-XLBM/HALO-PPPT_lanthane%20318-CR2O3-XM1F.pdf" TargetMode="External"/><Relationship Id="rId4" Type="http://schemas.openxmlformats.org/officeDocument/2006/relationships/hyperlink" Target="../../../2.%20Data%20hoa%20nghiem/1.%20PP%20H&#211;A%20NGHI&#7878;M%20C&#193;C%20B&#7890;N-XLBM/HCL-&#273;&#7863;c,%20lo&#227;ng-XM.pdf" TargetMode="External"/><Relationship Id="rId9" Type="http://schemas.openxmlformats.org/officeDocument/2006/relationships/hyperlink" Target="../../../2.%20Data%20hoa%20nghiem/1.%20PP%20H&#211;A%20NGHI&#7878;M%20C&#193;C%20B&#7890;N-XLBM/JASCO-CR3+XT,XL-1E.pdf" TargetMode="External"/><Relationship Id="rId14" Type="http://schemas.openxmlformats.org/officeDocument/2006/relationships/hyperlink" Target="../../../2.%20Data%20hoa%20nghiem/1.%20PP%20H&#211;A%20NGHI&#7878;M%20C&#193;C%20B&#7890;N-XLBM/JASCO-XB,&#272;G-XL-1E.pdf" TargetMode="External"/><Relationship Id="rId22" Type="http://schemas.openxmlformats.org/officeDocument/2006/relationships/hyperlink" Target="..\..\..\2.%20Data%20hoa%20nghiem\1.%20PP%20H&#211;A%20NGHI&#7878;M%20C&#193;C%20B&#7890;N-XLBM\HALO-PPPT_Kem%20ki&#7873;m.pdf" TargetMode="External"/><Relationship Id="rId27" Type="http://schemas.openxmlformats.org/officeDocument/2006/relationships/vmlDrawing" Target="../drawings/vmlDrawing2.v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RL.pdf" TargetMode="External"/><Relationship Id="rId13" Type="http://schemas.openxmlformats.org/officeDocument/2006/relationships/hyperlink" Target="../../../2.%20Data%20hoa%20nghiem/1.%20PP%20H&#211;A%20NGHI&#7878;M%20C&#193;C%20B&#7890;N-XLBM/t&#7927;%20l&#7879;%20acid-RL.pdf" TargetMode="External"/><Relationship Id="rId18" Type="http://schemas.openxmlformats.org/officeDocument/2006/relationships/hyperlink" Target="../../../2.%20Data%20hoa%20nghiem/1.%20PP%20H&#211;A%20NGHI&#7878;M%20C&#193;C%20B&#7890;N-XLBM/HALO-PPPT_CT-21A-XB-XT,XM-1F.pdf" TargetMode="External"/><Relationship Id="rId3" Type="http://schemas.openxmlformats.org/officeDocument/2006/relationships/hyperlink" Target="../../../2.%20Data%20hoa%20nghiem/1.%20PP%20H&#211;A%20NGHI&#7878;M%20C&#193;C%20B&#7890;N-XLBM/TA-photphat-RL.pdf" TargetMode="External"/><Relationship Id="rId21" Type="http://schemas.openxmlformats.org/officeDocument/2006/relationships/hyperlink" Target="../../../2.%20Data%20hoa%20nghiem/1.%20PP%20H&#211;A%20NGHI&#7878;M%20C&#193;C%20B&#7890;N-XLBM/&#273;&#243;ng%20l&#7895;-ML.pdf" TargetMode="External"/><Relationship Id="rId7" Type="http://schemas.openxmlformats.org/officeDocument/2006/relationships/hyperlink" Target="../../../2.%20Data%20hoa%20nghiem/1.%20PP%20H&#211;A%20NGHI&#7878;M%20C&#193;C%20B&#7890;N-XLBM/HCL-RL.pdf" TargetMode="External"/><Relationship Id="rId12" Type="http://schemas.openxmlformats.org/officeDocument/2006/relationships/hyperlink" Target="../../../2.%20Data%20hoa%20nghiem/1.%20PP%20H&#211;A%20NGHI&#7878;M%20C&#193;C%20B&#7890;N-XLBM/t&#7927;%20l&#7879;%20acid-RL.pdf" TargetMode="External"/><Relationship Id="rId17" Type="http://schemas.openxmlformats.org/officeDocument/2006/relationships/hyperlink" Target="../../../2.%20Data%20hoa%20nghiem/1.%20PP%20H&#211;A%20NGHI&#7878;M%20C&#193;C%20B&#7890;N-XLBM/Fe%20ph&#226;n%20ly-RL.pdf" TargetMode="External"/><Relationship Id="rId25" Type="http://schemas.openxmlformats.org/officeDocument/2006/relationships/drawing" Target="../drawings/drawing37.xml"/><Relationship Id="rId2" Type="http://schemas.openxmlformats.org/officeDocument/2006/relationships/hyperlink" Target="../../../2.%20Data%20hoa%20nghiem/1.%20PP%20H&#211;A%20NGHI&#7878;M%20C&#193;C%20B&#7890;N-XLBM/TA-photphat-RL.pdf" TargetMode="External"/><Relationship Id="rId16" Type="http://schemas.openxmlformats.org/officeDocument/2006/relationships/hyperlink" Target="../../../2.%20Data%20hoa%20nghiem/1.%20PP%20H&#211;A%20NGHI&#7878;M%20C&#193;C%20B&#7890;N-XLBM/Fe%20ph&#226;n%20ly-RL.pdf" TargetMode="External"/><Relationship Id="rId20" Type="http://schemas.openxmlformats.org/officeDocument/2006/relationships/hyperlink" Target="../../../2.%20Data%20hoa%20nghiem/1.%20PP%20H&#211;A%20NGHI&#7878;M%20C&#193;C%20B&#7890;N-XLBM/AL3+ML.pdf" TargetMode="External"/><Relationship Id="rId1" Type="http://schemas.openxmlformats.org/officeDocument/2006/relationships/hyperlink" Target="../../../2.%20Data%20hoa%20nghiem/1.%20PP%20H&#211;A%20NGHI&#7878;M%20C&#193;C%20B&#7890;N-XLBM/HCL-RL.pdf" TargetMode="External"/><Relationship Id="rId6" Type="http://schemas.openxmlformats.org/officeDocument/2006/relationships/hyperlink" Target="../../../2.%20Data%20hoa%20nghiem/1.%20PP%20H&#211;A%20NGHI&#7878;M%20C&#193;C%20B&#7890;N-XLBM/kh&#7917;%20d&#7847;u-RL.pdf" TargetMode="External"/><Relationship Id="rId11" Type="http://schemas.openxmlformats.org/officeDocument/2006/relationships/hyperlink" Target="../../../2.%20Data%20hoa%20nghiem/1.%20PP%20H&#211;A%20NGHI&#7878;M%20C&#193;C%20B&#7890;N-XLBM/t&#7927;%20l&#7879;%20acid-RL.pdf" TargetMode="External"/><Relationship Id="rId24" Type="http://schemas.openxmlformats.org/officeDocument/2006/relationships/printerSettings" Target="../printerSettings/printerSettings38.bin"/><Relationship Id="rId5" Type="http://schemas.openxmlformats.org/officeDocument/2006/relationships/hyperlink" Target="../../../2.%20Data%20hoa%20nghiem/1.%20PP%20H&#211;A%20NGHI&#7878;M%20C&#193;C%20B&#7890;N-XLBM/kh&#7917;%20d&#7847;u-RL.pdf" TargetMode="External"/><Relationship Id="rId15" Type="http://schemas.openxmlformats.org/officeDocument/2006/relationships/hyperlink" Target="../../../2.%20Data%20hoa%20nghiem/1.%20PP%20H&#211;A%20NGHI&#7878;M%20C&#193;C%20B&#7890;N-XLBM/Fe%20ph&#226;n%20ly-RL.pdf" TargetMode="External"/><Relationship Id="rId23" Type="http://schemas.openxmlformats.org/officeDocument/2006/relationships/hyperlink" Target="../../../2.%20Data%20hoa%20nghiem/1.%20PP%20H&#211;A%20NGHI&#7878;M%20C&#193;C%20B&#7890;N-XLBM/HNO3-ML.pdf" TargetMode="External"/><Relationship Id="rId10" Type="http://schemas.openxmlformats.org/officeDocument/2006/relationships/hyperlink" Target="../../../2.%20Data%20hoa%20nghiem/1.%20PP%20H&#211;A%20NGHI&#7878;M%20C&#193;C%20B&#7890;N-XLBM/t&#7927;%20l&#7879;%20acid-RL.pdf" TargetMode="External"/><Relationship Id="rId19" Type="http://schemas.openxmlformats.org/officeDocument/2006/relationships/hyperlink" Target="../../../2.%20Data%20hoa%20nghiem/1.%20PP%20H&#211;A%20NGHI&#7878;M%20C&#193;C%20B&#7890;N-XLBM/H2SO4-ML.pdf" TargetMode="External"/><Relationship Id="rId4" Type="http://schemas.openxmlformats.org/officeDocument/2006/relationships/hyperlink" Target="../../../2.%20Data%20hoa%20nghiem/1.%20PP%20H&#211;A%20NGHI&#7878;M%20C&#193;C%20B&#7890;N-XLBM/TA-photphat-RL.pdf" TargetMode="External"/><Relationship Id="rId9" Type="http://schemas.openxmlformats.org/officeDocument/2006/relationships/hyperlink" Target="../../../2.%20Data%20hoa%20nghiem/1.%20PP%20H&#211;A%20NGHI&#7878;M%20C&#193;C%20B&#7890;N-XLBM/TA-photphat-RL.pdf" TargetMode="External"/><Relationship Id="rId14" Type="http://schemas.openxmlformats.org/officeDocument/2006/relationships/hyperlink" Target="../../../2.%20Data%20hoa%20nghiem/1.%20PP%20H&#211;A%20NGHI&#7878;M%20C&#193;C%20B&#7890;N-XLBM/Fe%20ph&#226;n%20ly-RL.pdf" TargetMode="External"/><Relationship Id="rId22" Type="http://schemas.openxmlformats.org/officeDocument/2006/relationships/hyperlink" Target="../../../2.%20Data%20hoa%20nghiem/1.%20PP%20H&#211;A%20NGHI&#7878;M%20C&#193;C%20B&#7890;N-XLBM/XB-ML.pdf" TargetMode="Externa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2.bin"/><Relationship Id="rId1" Type="http://schemas.openxmlformats.org/officeDocument/2006/relationships/hyperlink" Target="../../../2.%20Data%20hoa%20nghiem/1.%20PP%20H&#211;A%20NGHI&#7878;M%20C&#193;C%20B&#7890;N-XLBM/HCL-&#272;&#7846;U%20V&#192;O.pdf"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dimension ref="A1:H73"/>
  <sheetViews>
    <sheetView showGridLines="0" view="pageBreakPreview" zoomScale="85" zoomScaleNormal="70" zoomScaleSheetLayoutView="85" workbookViewId="0">
      <selection activeCell="K12" sqref="K12"/>
    </sheetView>
  </sheetViews>
  <sheetFormatPr defaultRowHeight="15"/>
  <cols>
    <col min="1" max="1" width="10.125" style="1014" customWidth="1"/>
    <col min="2" max="2" width="28.75" style="1014" customWidth="1"/>
    <col min="3" max="3" width="16.375" style="1014" customWidth="1"/>
    <col min="4" max="4" width="21.5" style="1538" customWidth="1"/>
    <col min="5" max="5" width="9" style="1529"/>
    <col min="6" max="6" width="12.125" style="1014" customWidth="1"/>
    <col min="7" max="7" width="7.5" style="1529" customWidth="1"/>
    <col min="8" max="8" width="6.875" style="1554" customWidth="1"/>
    <col min="9" max="16384" width="9" style="1014"/>
  </cols>
  <sheetData>
    <row r="1" spans="1:8" ht="30" customHeight="1">
      <c r="B1" s="1712" t="s">
        <v>1375</v>
      </c>
      <c r="C1" s="1712"/>
      <c r="D1" s="1712"/>
      <c r="E1" s="1712"/>
      <c r="F1" s="1712"/>
    </row>
    <row r="2" spans="1:8" ht="16.5" customHeight="1">
      <c r="B2" s="1555" t="str">
        <f>MENU!AC9</f>
        <v>2022/12/03</v>
      </c>
      <c r="C2" s="1528"/>
    </row>
    <row r="3" spans="1:8" ht="22.5" customHeight="1">
      <c r="A3" s="1018" t="s">
        <v>1396</v>
      </c>
      <c r="B3" s="1548" t="s">
        <v>1351</v>
      </c>
      <c r="C3" s="1549" t="s">
        <v>1352</v>
      </c>
      <c r="D3" s="1550" t="s">
        <v>1384</v>
      </c>
      <c r="E3" s="1551" t="s">
        <v>1353</v>
      </c>
      <c r="F3" s="1549" t="s">
        <v>1354</v>
      </c>
      <c r="G3" s="1677" t="s">
        <v>1490</v>
      </c>
      <c r="H3" s="1686" t="s">
        <v>1498</v>
      </c>
    </row>
    <row r="4" spans="1:8" ht="24" customHeight="1">
      <c r="A4" s="1554" t="s">
        <v>1399</v>
      </c>
      <c r="B4" s="1708" t="s">
        <v>1419</v>
      </c>
      <c r="C4" s="1016" t="s">
        <v>1355</v>
      </c>
      <c r="D4" s="1539" t="str">
        <f>'XM.GUI MAIL'!E11</f>
        <v>7-12g/l
(9g±1g/l)</v>
      </c>
      <c r="E4" s="1526" t="s">
        <v>1356</v>
      </c>
      <c r="F4" s="1678">
        <f>'XM.GUI MAIL'!H11</f>
        <v>10.01</v>
      </c>
      <c r="G4" s="1684"/>
      <c r="H4" s="1685" t="str">
        <f>IF(G4="","",(F4-G4)/F4)</f>
        <v/>
      </c>
    </row>
    <row r="5" spans="1:8" ht="24" customHeight="1">
      <c r="A5" s="1554" t="s">
        <v>1399</v>
      </c>
      <c r="B5" s="1709"/>
      <c r="C5" s="1016" t="s">
        <v>1357</v>
      </c>
      <c r="D5" s="1539" t="str">
        <f>'XM.GUI MAIL'!E10</f>
        <v>130 - 150g/L
(140±5g/L)</v>
      </c>
      <c r="E5" s="1526" t="s">
        <v>1356</v>
      </c>
      <c r="F5" s="1678">
        <f>'XM.GUI MAIL'!H10</f>
        <v>140</v>
      </c>
      <c r="G5" s="1684"/>
      <c r="H5" s="1685" t="str">
        <f t="shared" ref="H5:H17" si="0">IF(G5="","",(F5-G5)/F5)</f>
        <v/>
      </c>
    </row>
    <row r="6" spans="1:8" ht="23.25" hidden="1" customHeight="1">
      <c r="A6" s="1554" t="s">
        <v>1399</v>
      </c>
      <c r="B6" s="1709"/>
      <c r="C6" s="1017" t="s">
        <v>1358</v>
      </c>
      <c r="D6" s="1552" t="s">
        <v>1385</v>
      </c>
      <c r="E6" s="1553" t="s">
        <v>1356</v>
      </c>
      <c r="F6" s="1679">
        <f>XM.HN!E60</f>
        <v>0</v>
      </c>
      <c r="G6" s="1684"/>
      <c r="H6" s="1685" t="str">
        <f t="shared" si="0"/>
        <v/>
      </c>
    </row>
    <row r="7" spans="1:8" ht="23.25" hidden="1" customHeight="1">
      <c r="A7" s="1554" t="s">
        <v>1399</v>
      </c>
      <c r="B7" s="1709"/>
      <c r="C7" s="1536" t="s">
        <v>1359</v>
      </c>
      <c r="D7" s="1541" t="s">
        <v>1360</v>
      </c>
      <c r="E7" s="1537" t="s">
        <v>1361</v>
      </c>
      <c r="F7" s="1680"/>
      <c r="G7" s="1684"/>
      <c r="H7" s="1685" t="str">
        <f t="shared" si="0"/>
        <v/>
      </c>
    </row>
    <row r="8" spans="1:8" ht="23.25" hidden="1" customHeight="1">
      <c r="A8" s="1554" t="s">
        <v>1399</v>
      </c>
      <c r="B8" s="1709"/>
      <c r="C8" s="1536" t="s">
        <v>1362</v>
      </c>
      <c r="D8" s="1541" t="s">
        <v>1360</v>
      </c>
      <c r="E8" s="1537" t="s">
        <v>1361</v>
      </c>
      <c r="F8" s="1680"/>
      <c r="G8" s="1684"/>
      <c r="H8" s="1685" t="str">
        <f t="shared" si="0"/>
        <v/>
      </c>
    </row>
    <row r="9" spans="1:8" ht="23.25" hidden="1" customHeight="1">
      <c r="A9" s="1554" t="s">
        <v>1399</v>
      </c>
      <c r="B9" s="1709"/>
      <c r="C9" s="1536" t="s">
        <v>1363</v>
      </c>
      <c r="D9" s="1541" t="s">
        <v>1360</v>
      </c>
      <c r="E9" s="1537" t="s">
        <v>1361</v>
      </c>
      <c r="F9" s="1680"/>
      <c r="G9" s="1684"/>
      <c r="H9" s="1685" t="str">
        <f t="shared" si="0"/>
        <v/>
      </c>
    </row>
    <row r="10" spans="1:8" ht="23.25" hidden="1" customHeight="1">
      <c r="A10" s="1554" t="s">
        <v>1399</v>
      </c>
      <c r="B10" s="1709"/>
      <c r="C10" s="1536" t="s">
        <v>1364</v>
      </c>
      <c r="D10" s="1541" t="s">
        <v>1360</v>
      </c>
      <c r="E10" s="1537" t="s">
        <v>1361</v>
      </c>
      <c r="F10" s="1680"/>
      <c r="G10" s="1684"/>
      <c r="H10" s="1685" t="str">
        <f t="shared" si="0"/>
        <v/>
      </c>
    </row>
    <row r="11" spans="1:8" ht="21" customHeight="1">
      <c r="A11" s="1554" t="s">
        <v>1399</v>
      </c>
      <c r="B11" s="1708" t="s">
        <v>1405</v>
      </c>
      <c r="C11" s="1016" t="s">
        <v>1376</v>
      </c>
      <c r="D11" s="1539" t="str">
        <f>'XM.GUI MAIL'!E12</f>
        <v>12~18 %
(14±2%)</v>
      </c>
      <c r="E11" s="1526" t="s">
        <v>1366</v>
      </c>
      <c r="F11" s="1678">
        <f>'XM.GUI MAIL'!H12</f>
        <v>13.669064748201439</v>
      </c>
      <c r="G11" s="1684"/>
      <c r="H11" s="1685" t="str">
        <f t="shared" si="0"/>
        <v/>
      </c>
    </row>
    <row r="12" spans="1:8" ht="24.75" customHeight="1">
      <c r="A12" s="1554" t="s">
        <v>1399</v>
      </c>
      <c r="B12" s="1709"/>
      <c r="C12" s="1016" t="s">
        <v>1367</v>
      </c>
      <c r="D12" s="1542" t="str">
        <f>'XM.GUI MAIL'!E13</f>
        <v>1.6~2.2(1.8±0.1 )</v>
      </c>
      <c r="E12" s="1532" t="s">
        <v>1368</v>
      </c>
      <c r="F12" s="1678">
        <f>'XM.GUI MAIL'!H13</f>
        <v>1.76</v>
      </c>
      <c r="G12" s="1684"/>
      <c r="H12" s="1685" t="str">
        <f t="shared" si="0"/>
        <v/>
      </c>
    </row>
    <row r="13" spans="1:8" ht="23.25" hidden="1" customHeight="1">
      <c r="A13" s="1554" t="s">
        <v>1399</v>
      </c>
      <c r="B13" s="1709"/>
      <c r="C13" s="1536" t="s">
        <v>1359</v>
      </c>
      <c r="D13" s="1543" t="s">
        <v>1377</v>
      </c>
      <c r="E13" s="1537" t="s">
        <v>1361</v>
      </c>
      <c r="F13" s="1680"/>
      <c r="G13" s="1684"/>
      <c r="H13" s="1685" t="str">
        <f t="shared" si="0"/>
        <v/>
      </c>
    </row>
    <row r="14" spans="1:8" ht="23.25" hidden="1" customHeight="1">
      <c r="A14" s="1554" t="s">
        <v>1399</v>
      </c>
      <c r="B14" s="1709"/>
      <c r="C14" s="1536" t="s">
        <v>1362</v>
      </c>
      <c r="D14" s="1543" t="s">
        <v>1378</v>
      </c>
      <c r="E14" s="1537" t="s">
        <v>1361</v>
      </c>
      <c r="F14" s="1680"/>
      <c r="G14" s="1684"/>
      <c r="H14" s="1685" t="str">
        <f t="shared" si="0"/>
        <v/>
      </c>
    </row>
    <row r="15" spans="1:8" ht="23.25" hidden="1" customHeight="1">
      <c r="A15" s="1554" t="s">
        <v>1399</v>
      </c>
      <c r="B15" s="1709"/>
      <c r="C15" s="1536" t="s">
        <v>1371</v>
      </c>
      <c r="D15" s="1544" t="s">
        <v>1389</v>
      </c>
      <c r="E15" s="1537" t="s">
        <v>1361</v>
      </c>
      <c r="F15" s="1680"/>
      <c r="G15" s="1684"/>
      <c r="H15" s="1685" t="str">
        <f t="shared" si="0"/>
        <v/>
      </c>
    </row>
    <row r="16" spans="1:8" ht="20.25" customHeight="1">
      <c r="A16" s="1554" t="s">
        <v>1399</v>
      </c>
      <c r="B16" s="1708" t="s">
        <v>1390</v>
      </c>
      <c r="C16" s="1016" t="s">
        <v>1365</v>
      </c>
      <c r="D16" s="1539" t="str">
        <f>'XM.GUI MAIL'!E18</f>
        <v>5-10%
(7.5±1%)</v>
      </c>
      <c r="E16" s="1526" t="s">
        <v>1366</v>
      </c>
      <c r="F16" s="1678">
        <f>'XM.GUI MAIL'!H18</f>
        <v>7.68</v>
      </c>
      <c r="G16" s="1684"/>
      <c r="H16" s="1685" t="str">
        <f t="shared" si="0"/>
        <v/>
      </c>
    </row>
    <row r="17" spans="1:8" ht="23.25" customHeight="1">
      <c r="A17" s="1554" t="s">
        <v>1399</v>
      </c>
      <c r="B17" s="1709"/>
      <c r="C17" s="1016" t="s">
        <v>1367</v>
      </c>
      <c r="D17" s="1542" t="str">
        <f>'XM.GUI MAIL'!E19</f>
        <v>1.6~2.0(1.8±0.1)</v>
      </c>
      <c r="E17" s="1532" t="s">
        <v>1368</v>
      </c>
      <c r="F17" s="1678">
        <f>'XM.GUI MAIL'!H19</f>
        <v>2.25</v>
      </c>
      <c r="G17" s="1684"/>
      <c r="H17" s="1685" t="str">
        <f t="shared" si="0"/>
        <v/>
      </c>
    </row>
    <row r="18" spans="1:8" ht="23.25" hidden="1" customHeight="1">
      <c r="A18" s="1554" t="s">
        <v>1399</v>
      </c>
      <c r="B18" s="1709"/>
      <c r="C18" s="1536" t="s">
        <v>1359</v>
      </c>
      <c r="D18" s="1544" t="s">
        <v>1369</v>
      </c>
      <c r="E18" s="1537" t="s">
        <v>1361</v>
      </c>
      <c r="F18" s="1536"/>
      <c r="H18" s="1683" t="e">
        <f t="shared" ref="H18:H20" si="1">(F18-G18)/F18</f>
        <v>#DIV/0!</v>
      </c>
    </row>
    <row r="19" spans="1:8" ht="23.25" hidden="1" customHeight="1">
      <c r="A19" s="1554" t="s">
        <v>1399</v>
      </c>
      <c r="B19" s="1709"/>
      <c r="C19" s="1536" t="s">
        <v>1362</v>
      </c>
      <c r="D19" s="1544" t="s">
        <v>1370</v>
      </c>
      <c r="E19" s="1537" t="s">
        <v>1361</v>
      </c>
      <c r="F19" s="1536"/>
      <c r="H19" s="1683" t="e">
        <f t="shared" si="1"/>
        <v>#DIV/0!</v>
      </c>
    </row>
    <row r="20" spans="1:8" ht="23.25" hidden="1" customHeight="1">
      <c r="A20" s="1554" t="s">
        <v>1399</v>
      </c>
      <c r="B20" s="1709"/>
      <c r="C20" s="1536" t="s">
        <v>1371</v>
      </c>
      <c r="D20" s="1544" t="s">
        <v>1389</v>
      </c>
      <c r="E20" s="1537" t="s">
        <v>1361</v>
      </c>
      <c r="F20" s="1536"/>
      <c r="H20" s="1683" t="e">
        <f t="shared" si="1"/>
        <v>#DIV/0!</v>
      </c>
    </row>
    <row r="21" spans="1:8" ht="15" customHeight="1">
      <c r="B21" s="1533"/>
      <c r="C21" s="1534"/>
      <c r="D21" s="1545"/>
      <c r="E21" s="1535"/>
      <c r="F21" s="1534"/>
    </row>
    <row r="22" spans="1:8" ht="22.5" customHeight="1">
      <c r="B22" s="1548" t="s">
        <v>1351</v>
      </c>
      <c r="C22" s="1549" t="s">
        <v>1352</v>
      </c>
      <c r="D22" s="1550" t="s">
        <v>1384</v>
      </c>
      <c r="E22" s="1551" t="s">
        <v>1353</v>
      </c>
      <c r="F22" s="1549" t="s">
        <v>1354</v>
      </c>
      <c r="G22" s="377"/>
    </row>
    <row r="23" spans="1:8" ht="21.75" customHeight="1">
      <c r="A23" s="1014" t="s">
        <v>1397</v>
      </c>
      <c r="B23" s="1708" t="s">
        <v>1391</v>
      </c>
      <c r="C23" s="1016" t="s">
        <v>1355</v>
      </c>
      <c r="D23" s="1539" t="str">
        <f>'XM.GUI MAIL'!E42</f>
        <v>8-12g/l
(10±1g/l)</v>
      </c>
      <c r="E23" s="1526" t="s">
        <v>1356</v>
      </c>
      <c r="F23" s="1678">
        <f>'XM.GUI MAIL'!H42</f>
        <v>8.19</v>
      </c>
      <c r="G23" s="1684"/>
      <c r="H23" s="1685" t="str">
        <f t="shared" ref="H23:H36" si="2">IF(G23="","",(F23-G23)/F23)</f>
        <v/>
      </c>
    </row>
    <row r="24" spans="1:8" ht="21.75" customHeight="1">
      <c r="A24" s="1014" t="s">
        <v>1397</v>
      </c>
      <c r="B24" s="1709"/>
      <c r="C24" s="1016" t="s">
        <v>1357</v>
      </c>
      <c r="D24" s="1539" t="str">
        <f>'XM.GUI MAIL'!E41</f>
        <v>130 - 150g/L
(140±10g/L)</v>
      </c>
      <c r="E24" s="1526" t="s">
        <v>1356</v>
      </c>
      <c r="F24" s="1678">
        <f>'XM.GUI MAIL'!H41</f>
        <v>140</v>
      </c>
      <c r="G24" s="1684"/>
      <c r="H24" s="1685" t="str">
        <f t="shared" si="2"/>
        <v/>
      </c>
    </row>
    <row r="25" spans="1:8" ht="23.25" hidden="1" customHeight="1">
      <c r="A25" s="1014" t="s">
        <v>1397</v>
      </c>
      <c r="B25" s="1709"/>
      <c r="C25" s="1017" t="s">
        <v>1358</v>
      </c>
      <c r="D25" s="1552" t="s">
        <v>1385</v>
      </c>
      <c r="E25" s="1553" t="s">
        <v>1356</v>
      </c>
      <c r="F25" s="1679">
        <f>XM.HN!E61</f>
        <v>0</v>
      </c>
      <c r="G25" s="1684"/>
      <c r="H25" s="1685" t="str">
        <f t="shared" si="2"/>
        <v/>
      </c>
    </row>
    <row r="26" spans="1:8" ht="23.25" hidden="1" customHeight="1">
      <c r="A26" s="1014" t="s">
        <v>1397</v>
      </c>
      <c r="B26" s="1709"/>
      <c r="C26" s="1536" t="s">
        <v>1359</v>
      </c>
      <c r="D26" s="1541" t="s">
        <v>1360</v>
      </c>
      <c r="E26" s="1537" t="s">
        <v>1361</v>
      </c>
      <c r="F26" s="1680"/>
      <c r="G26" s="1684"/>
      <c r="H26" s="1685" t="str">
        <f t="shared" si="2"/>
        <v/>
      </c>
    </row>
    <row r="27" spans="1:8" ht="23.25" hidden="1" customHeight="1">
      <c r="A27" s="1014" t="s">
        <v>1397</v>
      </c>
      <c r="B27" s="1709"/>
      <c r="C27" s="1536" t="s">
        <v>1362</v>
      </c>
      <c r="D27" s="1541" t="s">
        <v>1360</v>
      </c>
      <c r="E27" s="1537" t="s">
        <v>1361</v>
      </c>
      <c r="F27" s="1680"/>
      <c r="G27" s="1684"/>
      <c r="H27" s="1685" t="str">
        <f t="shared" si="2"/>
        <v/>
      </c>
    </row>
    <row r="28" spans="1:8" ht="23.25" hidden="1" customHeight="1">
      <c r="A28" s="1014" t="s">
        <v>1397</v>
      </c>
      <c r="B28" s="1709"/>
      <c r="C28" s="1536" t="s">
        <v>1363</v>
      </c>
      <c r="D28" s="1541" t="s">
        <v>1360</v>
      </c>
      <c r="E28" s="1537" t="s">
        <v>1361</v>
      </c>
      <c r="F28" s="1680"/>
      <c r="G28" s="1684"/>
      <c r="H28" s="1685" t="str">
        <f t="shared" si="2"/>
        <v/>
      </c>
    </row>
    <row r="29" spans="1:8" ht="23.25" hidden="1" customHeight="1">
      <c r="A29" s="1014" t="s">
        <v>1397</v>
      </c>
      <c r="B29" s="1709"/>
      <c r="C29" s="1536" t="s">
        <v>1364</v>
      </c>
      <c r="D29" s="1541" t="s">
        <v>1360</v>
      </c>
      <c r="E29" s="1537" t="s">
        <v>1361</v>
      </c>
      <c r="F29" s="1680"/>
      <c r="G29" s="1684"/>
      <c r="H29" s="1685" t="str">
        <f t="shared" si="2"/>
        <v/>
      </c>
    </row>
    <row r="30" spans="1:8" ht="21" customHeight="1">
      <c r="A30" s="1014" t="s">
        <v>1397</v>
      </c>
      <c r="B30" s="1708" t="s">
        <v>1401</v>
      </c>
      <c r="C30" s="1016" t="s">
        <v>1372</v>
      </c>
      <c r="D30" s="1539" t="str">
        <f>'XM.GUI MAIL'!E43</f>
        <v>6~10 %
(8±0.5%)</v>
      </c>
      <c r="E30" s="1526" t="s">
        <v>1366</v>
      </c>
      <c r="F30" s="1678">
        <f>'XM.GUI MAIL'!H43</f>
        <v>5.8178400000000003</v>
      </c>
      <c r="G30" s="1684"/>
      <c r="H30" s="1685" t="str">
        <f t="shared" si="2"/>
        <v/>
      </c>
    </row>
    <row r="31" spans="1:8" ht="21" customHeight="1">
      <c r="A31" s="1014" t="s">
        <v>1397</v>
      </c>
      <c r="B31" s="1709"/>
      <c r="C31" s="1016" t="s">
        <v>1367</v>
      </c>
      <c r="D31" s="1542" t="str">
        <f>'XM.GUI MAIL'!E44</f>
        <v>2~2.5(2.3±0.1 )</v>
      </c>
      <c r="E31" s="1532" t="s">
        <v>1368</v>
      </c>
      <c r="F31" s="1678">
        <f>'XM.GUI MAIL'!H44</f>
        <v>2.35</v>
      </c>
      <c r="G31" s="1684"/>
      <c r="H31" s="1685" t="str">
        <f t="shared" si="2"/>
        <v/>
      </c>
    </row>
    <row r="32" spans="1:8" ht="23.25" hidden="1" customHeight="1">
      <c r="A32" s="1014" t="s">
        <v>1397</v>
      </c>
      <c r="B32" s="1709"/>
      <c r="C32" s="1536" t="s">
        <v>1359</v>
      </c>
      <c r="D32" s="1543" t="s">
        <v>1377</v>
      </c>
      <c r="E32" s="1537" t="s">
        <v>1361</v>
      </c>
      <c r="F32" s="1680"/>
      <c r="G32" s="1684"/>
      <c r="H32" s="1685" t="str">
        <f t="shared" si="2"/>
        <v/>
      </c>
    </row>
    <row r="33" spans="1:8" ht="23.25" hidden="1" customHeight="1">
      <c r="A33" s="1014" t="s">
        <v>1397</v>
      </c>
      <c r="B33" s="1709"/>
      <c r="C33" s="1536" t="s">
        <v>1362</v>
      </c>
      <c r="D33" s="1543" t="s">
        <v>1378</v>
      </c>
      <c r="E33" s="1537" t="s">
        <v>1361</v>
      </c>
      <c r="F33" s="1680"/>
      <c r="G33" s="1684"/>
      <c r="H33" s="1685" t="str">
        <f t="shared" si="2"/>
        <v/>
      </c>
    </row>
    <row r="34" spans="1:8" ht="23.25" hidden="1" customHeight="1">
      <c r="A34" s="1014" t="s">
        <v>1397</v>
      </c>
      <c r="B34" s="1709"/>
      <c r="C34" s="1536" t="s">
        <v>1371</v>
      </c>
      <c r="D34" s="1544" t="s">
        <v>1389</v>
      </c>
      <c r="E34" s="1537" t="s">
        <v>1361</v>
      </c>
      <c r="F34" s="1680"/>
      <c r="G34" s="1684"/>
      <c r="H34" s="1685" t="str">
        <f t="shared" si="2"/>
        <v/>
      </c>
    </row>
    <row r="35" spans="1:8" ht="18" customHeight="1">
      <c r="A35" s="1014" t="s">
        <v>1397</v>
      </c>
      <c r="B35" s="1708" t="s">
        <v>1402</v>
      </c>
      <c r="C35" s="1016" t="s">
        <v>1373</v>
      </c>
      <c r="D35" s="1539" t="str">
        <f>'XM.GUI MAIL'!E49</f>
        <v>5~8%
(6%±0.5)</v>
      </c>
      <c r="E35" s="1526" t="s">
        <v>1366</v>
      </c>
      <c r="F35" s="1678">
        <f>'XM.GUI MAIL'!H49</f>
        <v>5.9</v>
      </c>
      <c r="G35" s="1684"/>
      <c r="H35" s="1685" t="str">
        <f t="shared" si="2"/>
        <v/>
      </c>
    </row>
    <row r="36" spans="1:8" ht="18" customHeight="1">
      <c r="A36" s="1014" t="s">
        <v>1397</v>
      </c>
      <c r="B36" s="1709"/>
      <c r="C36" s="1016" t="s">
        <v>1367</v>
      </c>
      <c r="D36" s="1542" t="str">
        <f>'XM.GUI MAIL'!E50</f>
        <v>1.8~2.4
(2.1±0.1 )</v>
      </c>
      <c r="E36" s="1532" t="s">
        <v>1368</v>
      </c>
      <c r="F36" s="1678">
        <f>'XM.GUI MAIL'!H50</f>
        <v>1.84</v>
      </c>
      <c r="G36" s="1684"/>
      <c r="H36" s="1685" t="str">
        <f t="shared" si="2"/>
        <v/>
      </c>
    </row>
    <row r="37" spans="1:8" ht="23.25" hidden="1" customHeight="1">
      <c r="A37" s="1014" t="s">
        <v>1397</v>
      </c>
      <c r="B37" s="1709"/>
      <c r="C37" s="1536" t="s">
        <v>1359</v>
      </c>
      <c r="D37" s="1544" t="s">
        <v>1369</v>
      </c>
      <c r="E37" s="1537" t="s">
        <v>1361</v>
      </c>
      <c r="F37" s="1536"/>
      <c r="H37" s="1554" t="e">
        <f t="shared" ref="H37:H39" si="3">(F37-G37)/F37</f>
        <v>#DIV/0!</v>
      </c>
    </row>
    <row r="38" spans="1:8" ht="23.25" hidden="1" customHeight="1">
      <c r="A38" s="1014" t="s">
        <v>1397</v>
      </c>
      <c r="B38" s="1709"/>
      <c r="C38" s="1536" t="s">
        <v>1362</v>
      </c>
      <c r="D38" s="1544" t="s">
        <v>1370</v>
      </c>
      <c r="E38" s="1537" t="s">
        <v>1361</v>
      </c>
      <c r="F38" s="1536"/>
      <c r="H38" s="1554" t="e">
        <f t="shared" si="3"/>
        <v>#DIV/0!</v>
      </c>
    </row>
    <row r="39" spans="1:8" ht="23.25" hidden="1" customHeight="1">
      <c r="A39" s="1014" t="s">
        <v>1397</v>
      </c>
      <c r="B39" s="1709"/>
      <c r="C39" s="1536" t="s">
        <v>1371</v>
      </c>
      <c r="D39" s="1544" t="s">
        <v>1389</v>
      </c>
      <c r="E39" s="1537" t="s">
        <v>1361</v>
      </c>
      <c r="F39" s="1536"/>
      <c r="H39" s="1554" t="e">
        <f t="shared" si="3"/>
        <v>#DIV/0!</v>
      </c>
    </row>
    <row r="40" spans="1:8" ht="14.25" customHeight="1"/>
    <row r="41" spans="1:8" ht="21.75" customHeight="1">
      <c r="B41" s="1548" t="s">
        <v>1351</v>
      </c>
      <c r="C41" s="1549" t="s">
        <v>1352</v>
      </c>
      <c r="D41" s="1550" t="s">
        <v>1384</v>
      </c>
      <c r="E41" s="1551" t="s">
        <v>1353</v>
      </c>
      <c r="F41" s="1549" t="s">
        <v>1354</v>
      </c>
    </row>
    <row r="42" spans="1:8" ht="20.25" customHeight="1">
      <c r="A42" s="1014" t="s">
        <v>1397</v>
      </c>
      <c r="B42" s="1708" t="s">
        <v>1392</v>
      </c>
      <c r="C42" s="1016" t="s">
        <v>1355</v>
      </c>
      <c r="D42" s="1539" t="str">
        <f>'XM.GUI MAIL'!E73</f>
        <v>6~8g/L
(7±0.5g/L)</v>
      </c>
      <c r="E42" s="1526" t="s">
        <v>1356</v>
      </c>
      <c r="F42" s="1678">
        <f>'XM.GUI MAIL'!H73</f>
        <v>0</v>
      </c>
      <c r="G42" s="1684"/>
      <c r="H42" s="1685" t="str">
        <f t="shared" ref="H42:H68" si="4">IF(G42="","",(F42-G42)/F42)</f>
        <v/>
      </c>
    </row>
    <row r="43" spans="1:8" ht="20.25" customHeight="1">
      <c r="A43" s="1014" t="s">
        <v>1397</v>
      </c>
      <c r="B43" s="1709"/>
      <c r="C43" s="1016" t="s">
        <v>1357</v>
      </c>
      <c r="D43" s="1539" t="str">
        <f>'XM.GUI MAIL'!E72</f>
        <v>135~ 145g/L
(140±5g/L)</v>
      </c>
      <c r="E43" s="1526" t="s">
        <v>1356</v>
      </c>
      <c r="F43" s="1678">
        <f>'XM.GUI MAIL'!H72</f>
        <v>0</v>
      </c>
      <c r="G43" s="1684"/>
      <c r="H43" s="1685" t="str">
        <f t="shared" si="4"/>
        <v/>
      </c>
    </row>
    <row r="44" spans="1:8" ht="23.25" hidden="1" customHeight="1">
      <c r="A44" s="1014" t="s">
        <v>1397</v>
      </c>
      <c r="B44" s="1709"/>
      <c r="C44" s="1017" t="s">
        <v>1358</v>
      </c>
      <c r="D44" s="1552" t="s">
        <v>1385</v>
      </c>
      <c r="E44" s="1553" t="s">
        <v>1356</v>
      </c>
      <c r="F44" s="1679">
        <f>XM.HN!E62</f>
        <v>0</v>
      </c>
      <c r="G44" s="1684"/>
      <c r="H44" s="1685" t="str">
        <f t="shared" si="4"/>
        <v/>
      </c>
    </row>
    <row r="45" spans="1:8" ht="23.25" hidden="1" customHeight="1">
      <c r="A45" s="1014" t="s">
        <v>1397</v>
      </c>
      <c r="B45" s="1709"/>
      <c r="C45" s="1536" t="s">
        <v>1359</v>
      </c>
      <c r="D45" s="1541" t="s">
        <v>1360</v>
      </c>
      <c r="E45" s="1537" t="s">
        <v>1361</v>
      </c>
      <c r="F45" s="1680"/>
      <c r="G45" s="1684"/>
      <c r="H45" s="1685" t="str">
        <f t="shared" si="4"/>
        <v/>
      </c>
    </row>
    <row r="46" spans="1:8" ht="23.25" hidden="1" customHeight="1">
      <c r="A46" s="1014" t="s">
        <v>1397</v>
      </c>
      <c r="B46" s="1709"/>
      <c r="C46" s="1536" t="s">
        <v>1362</v>
      </c>
      <c r="D46" s="1541" t="s">
        <v>1360</v>
      </c>
      <c r="E46" s="1537" t="s">
        <v>1361</v>
      </c>
      <c r="F46" s="1680"/>
      <c r="G46" s="1684"/>
      <c r="H46" s="1685" t="str">
        <f t="shared" si="4"/>
        <v/>
      </c>
    </row>
    <row r="47" spans="1:8" ht="23.25" hidden="1" customHeight="1">
      <c r="A47" s="1014" t="s">
        <v>1397</v>
      </c>
      <c r="B47" s="1709"/>
      <c r="C47" s="1536" t="s">
        <v>1363</v>
      </c>
      <c r="D47" s="1541" t="s">
        <v>1360</v>
      </c>
      <c r="E47" s="1537" t="s">
        <v>1361</v>
      </c>
      <c r="F47" s="1680"/>
      <c r="G47" s="1684"/>
      <c r="H47" s="1685" t="str">
        <f t="shared" si="4"/>
        <v/>
      </c>
    </row>
    <row r="48" spans="1:8" ht="23.25" hidden="1" customHeight="1">
      <c r="A48" s="1014" t="s">
        <v>1397</v>
      </c>
      <c r="B48" s="1709"/>
      <c r="C48" s="1536" t="s">
        <v>1364</v>
      </c>
      <c r="D48" s="1541" t="s">
        <v>1360</v>
      </c>
      <c r="E48" s="1537" t="s">
        <v>1361</v>
      </c>
      <c r="F48" s="1680"/>
      <c r="G48" s="1684"/>
      <c r="H48" s="1685" t="str">
        <f t="shared" si="4"/>
        <v/>
      </c>
    </row>
    <row r="49" spans="1:8" ht="18.75" customHeight="1">
      <c r="A49" s="1014" t="s">
        <v>1397</v>
      </c>
      <c r="B49" s="1708" t="s">
        <v>1393</v>
      </c>
      <c r="C49" s="1016" t="s">
        <v>1355</v>
      </c>
      <c r="D49" s="1539" t="str">
        <f>'XM.GUI MAIL'!E84</f>
        <v>5~6g/L
(5.5± 1g/L)</v>
      </c>
      <c r="E49" s="1526" t="s">
        <v>1356</v>
      </c>
      <c r="F49" s="1678" t="str">
        <f>'XM.GUI MAIL'!H84</f>
        <v/>
      </c>
      <c r="G49" s="1684"/>
      <c r="H49" s="1685" t="str">
        <f t="shared" si="4"/>
        <v/>
      </c>
    </row>
    <row r="50" spans="1:8" ht="23.25" hidden="1" customHeight="1">
      <c r="A50" s="1014" t="s">
        <v>1397</v>
      </c>
      <c r="B50" s="1709"/>
      <c r="C50" s="1536" t="s">
        <v>1374</v>
      </c>
      <c r="D50" s="1546" t="s">
        <v>1386</v>
      </c>
      <c r="E50" s="1537" t="s">
        <v>1356</v>
      </c>
      <c r="F50" s="1680"/>
      <c r="G50" s="1684"/>
      <c r="H50" s="1685" t="str">
        <f t="shared" si="4"/>
        <v/>
      </c>
    </row>
    <row r="51" spans="1:8" ht="21.75" customHeight="1">
      <c r="A51" s="1014" t="s">
        <v>1397</v>
      </c>
      <c r="B51" s="1709"/>
      <c r="C51" s="1016" t="s">
        <v>1357</v>
      </c>
      <c r="D51" s="1539" t="str">
        <f>'XM.GUI MAIL'!E86</f>
        <v>120~130g/L
(125 ± 5g/L)</v>
      </c>
      <c r="E51" s="1526" t="s">
        <v>1356</v>
      </c>
      <c r="F51" s="1678">
        <f>'XM.GUI MAIL'!H86</f>
        <v>0</v>
      </c>
      <c r="G51" s="1684"/>
      <c r="H51" s="1685" t="str">
        <f t="shared" si="4"/>
        <v/>
      </c>
    </row>
    <row r="52" spans="1:8" ht="23.25" hidden="1" customHeight="1">
      <c r="A52" s="1014" t="s">
        <v>1397</v>
      </c>
      <c r="B52" s="1709"/>
      <c r="C52" s="1536" t="s">
        <v>1358</v>
      </c>
      <c r="D52" s="1540" t="s">
        <v>1385</v>
      </c>
      <c r="E52" s="1537" t="s">
        <v>1356</v>
      </c>
      <c r="F52" s="1680"/>
      <c r="G52" s="1684"/>
      <c r="H52" s="1685" t="str">
        <f t="shared" si="4"/>
        <v/>
      </c>
    </row>
    <row r="53" spans="1:8" ht="23.25" hidden="1" customHeight="1">
      <c r="A53" s="1014" t="s">
        <v>1397</v>
      </c>
      <c r="B53" s="1709"/>
      <c r="C53" s="1536" t="s">
        <v>1359</v>
      </c>
      <c r="D53" s="1540" t="s">
        <v>1387</v>
      </c>
      <c r="E53" s="1537" t="s">
        <v>1361</v>
      </c>
      <c r="F53" s="1680"/>
      <c r="G53" s="1684"/>
      <c r="H53" s="1685" t="str">
        <f t="shared" si="4"/>
        <v/>
      </c>
    </row>
    <row r="54" spans="1:8" ht="23.25" hidden="1" customHeight="1">
      <c r="A54" s="1014" t="s">
        <v>1397</v>
      </c>
      <c r="B54" s="1709"/>
      <c r="C54" s="1536" t="s">
        <v>1362</v>
      </c>
      <c r="D54" s="1540" t="s">
        <v>1388</v>
      </c>
      <c r="E54" s="1537" t="s">
        <v>1361</v>
      </c>
      <c r="F54" s="1680"/>
      <c r="G54" s="1684"/>
      <c r="H54" s="1685" t="str">
        <f t="shared" si="4"/>
        <v/>
      </c>
    </row>
    <row r="55" spans="1:8" ht="23.25" hidden="1" customHeight="1">
      <c r="A55" s="1014" t="s">
        <v>1397</v>
      </c>
      <c r="B55" s="1709"/>
      <c r="C55" s="1536" t="s">
        <v>1363</v>
      </c>
      <c r="D55" s="1547"/>
      <c r="E55" s="1537" t="s">
        <v>1361</v>
      </c>
      <c r="F55" s="1680"/>
      <c r="G55" s="1684"/>
      <c r="H55" s="1685" t="str">
        <f t="shared" si="4"/>
        <v/>
      </c>
    </row>
    <row r="56" spans="1:8" ht="23.25" hidden="1" customHeight="1">
      <c r="A56" s="1014" t="s">
        <v>1397</v>
      </c>
      <c r="B56" s="1709"/>
      <c r="C56" s="1536" t="s">
        <v>1364</v>
      </c>
      <c r="D56" s="1540" t="s">
        <v>1370</v>
      </c>
      <c r="E56" s="1537" t="s">
        <v>1361</v>
      </c>
      <c r="F56" s="1680"/>
      <c r="G56" s="1684"/>
      <c r="H56" s="1685" t="str">
        <f t="shared" si="4"/>
        <v/>
      </c>
    </row>
    <row r="57" spans="1:8" ht="21" customHeight="1">
      <c r="A57" s="1014" t="s">
        <v>1397</v>
      </c>
      <c r="B57" s="1708" t="s">
        <v>1404</v>
      </c>
      <c r="C57" s="1016" t="s">
        <v>1372</v>
      </c>
      <c r="D57" s="1539" t="str">
        <f>'XM.GUI MAIL'!E74</f>
        <v>5~8 %
(6±0.5%)</v>
      </c>
      <c r="E57" s="1526" t="s">
        <v>1366</v>
      </c>
      <c r="F57" s="1678">
        <f>'XM.GUI MAIL'!H74</f>
        <v>-1.0461</v>
      </c>
      <c r="G57" s="1684"/>
      <c r="H57" s="1685" t="str">
        <f t="shared" si="4"/>
        <v/>
      </c>
    </row>
    <row r="58" spans="1:8" ht="22.5" customHeight="1">
      <c r="A58" s="1014" t="s">
        <v>1397</v>
      </c>
      <c r="B58" s="1709"/>
      <c r="C58" s="1016" t="s">
        <v>1367</v>
      </c>
      <c r="D58" s="1542" t="str">
        <f>'XM.GUI MAIL'!E75</f>
        <v>2.0~2.4(2.2±0.2 )</v>
      </c>
      <c r="E58" s="1532" t="s">
        <v>1368</v>
      </c>
      <c r="F58" s="1678">
        <f>'XM.GUI MAIL'!H75</f>
        <v>0</v>
      </c>
      <c r="G58" s="1684"/>
      <c r="H58" s="1685" t="str">
        <f t="shared" si="4"/>
        <v/>
      </c>
    </row>
    <row r="59" spans="1:8" ht="23.25" hidden="1" customHeight="1">
      <c r="A59" s="1014" t="s">
        <v>1397</v>
      </c>
      <c r="B59" s="1709"/>
      <c r="C59" s="1536" t="s">
        <v>1359</v>
      </c>
      <c r="D59" s="1543" t="s">
        <v>1377</v>
      </c>
      <c r="E59" s="1537" t="s">
        <v>1361</v>
      </c>
      <c r="F59" s="1680"/>
      <c r="G59" s="1684"/>
      <c r="H59" s="1685" t="str">
        <f t="shared" si="4"/>
        <v/>
      </c>
    </row>
    <row r="60" spans="1:8" ht="23.25" hidden="1" customHeight="1">
      <c r="A60" s="1014" t="s">
        <v>1397</v>
      </c>
      <c r="B60" s="1709"/>
      <c r="C60" s="1536" t="s">
        <v>1362</v>
      </c>
      <c r="D60" s="1543" t="s">
        <v>1378</v>
      </c>
      <c r="E60" s="1537" t="s">
        <v>1361</v>
      </c>
      <c r="F60" s="1680"/>
      <c r="G60" s="1684"/>
      <c r="H60" s="1685" t="str">
        <f t="shared" si="4"/>
        <v/>
      </c>
    </row>
    <row r="61" spans="1:8" ht="23.25" hidden="1" customHeight="1">
      <c r="A61" s="1014" t="s">
        <v>1397</v>
      </c>
      <c r="B61" s="1709"/>
      <c r="C61" s="1536" t="s">
        <v>1371</v>
      </c>
      <c r="D61" s="1544" t="s">
        <v>1389</v>
      </c>
      <c r="E61" s="1537" t="s">
        <v>1361</v>
      </c>
      <c r="F61" s="1680"/>
      <c r="G61" s="1684"/>
      <c r="H61" s="1685" t="str">
        <f t="shared" si="4"/>
        <v/>
      </c>
    </row>
    <row r="62" spans="1:8" ht="18.75" customHeight="1">
      <c r="A62" s="1554" t="s">
        <v>1398</v>
      </c>
      <c r="B62" s="1708" t="s">
        <v>1403</v>
      </c>
      <c r="C62" s="1016" t="s">
        <v>1376</v>
      </c>
      <c r="D62" s="1539" t="str">
        <f>'XM.GUI MAIL'!E82</f>
        <v>8~16 %
(12±2%)</v>
      </c>
      <c r="E62" s="1526" t="s">
        <v>1366</v>
      </c>
      <c r="F62" s="1678" t="str">
        <f>'XM.GUI MAIL'!H82</f>
        <v/>
      </c>
      <c r="G62" s="1684"/>
      <c r="H62" s="1685" t="str">
        <f t="shared" si="4"/>
        <v/>
      </c>
    </row>
    <row r="63" spans="1:8" ht="21" customHeight="1">
      <c r="A63" s="1554" t="s">
        <v>1398</v>
      </c>
      <c r="B63" s="1709"/>
      <c r="C63" s="1016" t="s">
        <v>1367</v>
      </c>
      <c r="D63" s="1542" t="str">
        <f>'XM.GUI MAIL'!E83</f>
        <v>1.8~2.4(2.0 ±0.2 )</v>
      </c>
      <c r="E63" s="1532" t="s">
        <v>1368</v>
      </c>
      <c r="F63" s="1678">
        <f>'XM.GUI MAIL'!H83</f>
        <v>0</v>
      </c>
      <c r="G63" s="1684"/>
      <c r="H63" s="1685" t="str">
        <f t="shared" si="4"/>
        <v/>
      </c>
    </row>
    <row r="64" spans="1:8" ht="23.25" hidden="1" customHeight="1">
      <c r="A64" s="1554" t="s">
        <v>1398</v>
      </c>
      <c r="B64" s="1709"/>
      <c r="C64" s="1536" t="s">
        <v>1359</v>
      </c>
      <c r="D64" s="1543" t="s">
        <v>1377</v>
      </c>
      <c r="E64" s="1537" t="s">
        <v>1361</v>
      </c>
      <c r="F64" s="1680"/>
      <c r="G64" s="1684"/>
      <c r="H64" s="1685" t="str">
        <f t="shared" si="4"/>
        <v/>
      </c>
    </row>
    <row r="65" spans="1:8" ht="23.25" hidden="1" customHeight="1">
      <c r="A65" s="1554" t="s">
        <v>1398</v>
      </c>
      <c r="B65" s="1709"/>
      <c r="C65" s="1536" t="s">
        <v>1362</v>
      </c>
      <c r="D65" s="1543" t="s">
        <v>1378</v>
      </c>
      <c r="E65" s="1537" t="s">
        <v>1361</v>
      </c>
      <c r="F65" s="1680"/>
      <c r="G65" s="1684"/>
      <c r="H65" s="1685" t="str">
        <f t="shared" si="4"/>
        <v/>
      </c>
    </row>
    <row r="66" spans="1:8" ht="23.25" hidden="1" customHeight="1">
      <c r="A66" s="1554" t="s">
        <v>1398</v>
      </c>
      <c r="B66" s="1709"/>
      <c r="C66" s="1536" t="s">
        <v>1371</v>
      </c>
      <c r="D66" s="1544" t="s">
        <v>1389</v>
      </c>
      <c r="E66" s="1537" t="s">
        <v>1361</v>
      </c>
      <c r="F66" s="1680"/>
      <c r="G66" s="1684"/>
      <c r="H66" s="1685" t="str">
        <f t="shared" si="4"/>
        <v/>
      </c>
    </row>
    <row r="67" spans="1:8" ht="19.5" customHeight="1">
      <c r="A67" s="1554" t="s">
        <v>1398</v>
      </c>
      <c r="B67" s="1708" t="s">
        <v>1394</v>
      </c>
      <c r="C67" s="1016" t="s">
        <v>1365</v>
      </c>
      <c r="D67" s="1539" t="str">
        <f>'XM.GUI MAIL'!E80</f>
        <v>3~9%
(6±1%)</v>
      </c>
      <c r="E67" s="1526" t="s">
        <v>1366</v>
      </c>
      <c r="F67" s="1678" t="str">
        <f>'XM.GUI MAIL'!H80</f>
        <v/>
      </c>
      <c r="G67" s="1684"/>
      <c r="H67" s="1685" t="str">
        <f t="shared" si="4"/>
        <v/>
      </c>
    </row>
    <row r="68" spans="1:8" ht="19.5" customHeight="1">
      <c r="A68" s="1554" t="s">
        <v>1398</v>
      </c>
      <c r="B68" s="1709"/>
      <c r="C68" s="1016" t="s">
        <v>1367</v>
      </c>
      <c r="D68" s="1542" t="str">
        <f>'XM.GUI MAIL'!E81</f>
        <v>1.8~2.4(2.0±0.1)</v>
      </c>
      <c r="E68" s="1532" t="s">
        <v>1368</v>
      </c>
      <c r="F68" s="1678">
        <f>'XM.GUI MAIL'!H81</f>
        <v>0</v>
      </c>
      <c r="G68" s="1684"/>
      <c r="H68" s="1685" t="str">
        <f t="shared" si="4"/>
        <v/>
      </c>
    </row>
    <row r="69" spans="1:8" ht="27" hidden="1" customHeight="1">
      <c r="A69" s="1554" t="s">
        <v>1398</v>
      </c>
      <c r="B69" s="1709"/>
      <c r="C69" s="1536" t="s">
        <v>1359</v>
      </c>
      <c r="D69" s="1544" t="s">
        <v>1369</v>
      </c>
      <c r="E69" s="1537" t="s">
        <v>1361</v>
      </c>
      <c r="F69" s="1536"/>
    </row>
    <row r="70" spans="1:8" ht="27" hidden="1" customHeight="1">
      <c r="A70" s="1554" t="s">
        <v>1398</v>
      </c>
      <c r="B70" s="1709"/>
      <c r="C70" s="1536" t="s">
        <v>1362</v>
      </c>
      <c r="D70" s="1544" t="s">
        <v>1370</v>
      </c>
      <c r="E70" s="1537" t="s">
        <v>1361</v>
      </c>
      <c r="F70" s="1536"/>
    </row>
    <row r="71" spans="1:8" ht="27" hidden="1" customHeight="1">
      <c r="A71" s="1554" t="s">
        <v>1398</v>
      </c>
      <c r="B71" s="1709"/>
      <c r="C71" s="1536" t="s">
        <v>1371</v>
      </c>
      <c r="D71" s="1544" t="s">
        <v>1389</v>
      </c>
      <c r="E71" s="1537" t="s">
        <v>1361</v>
      </c>
      <c r="F71" s="1536"/>
    </row>
    <row r="72" spans="1:8" ht="27.75" hidden="1" customHeight="1">
      <c r="A72" s="1554" t="s">
        <v>1398</v>
      </c>
      <c r="B72" s="1710" t="s">
        <v>1395</v>
      </c>
      <c r="C72" s="1536" t="s">
        <v>1379</v>
      </c>
      <c r="D72" s="1547" t="s">
        <v>1382</v>
      </c>
      <c r="E72" s="1537" t="s">
        <v>1381</v>
      </c>
      <c r="F72" s="1536"/>
    </row>
    <row r="73" spans="1:8" ht="27.75" hidden="1" customHeight="1">
      <c r="A73" s="1554" t="s">
        <v>1398</v>
      </c>
      <c r="B73" s="1711"/>
      <c r="C73" s="1536" t="s">
        <v>1380</v>
      </c>
      <c r="D73" s="1547" t="s">
        <v>1383</v>
      </c>
      <c r="E73" s="1537" t="s">
        <v>1381</v>
      </c>
      <c r="F73" s="1536"/>
    </row>
  </sheetData>
  <mergeCells count="13">
    <mergeCell ref="B30:B34"/>
    <mergeCell ref="B1:F1"/>
    <mergeCell ref="B4:B10"/>
    <mergeCell ref="B11:B15"/>
    <mergeCell ref="B16:B20"/>
    <mergeCell ref="B23:B29"/>
    <mergeCell ref="B35:B39"/>
    <mergeCell ref="B42:B48"/>
    <mergeCell ref="B49:B56"/>
    <mergeCell ref="B57:B61"/>
    <mergeCell ref="B72:B73"/>
    <mergeCell ref="B67:B71"/>
    <mergeCell ref="B62:B66"/>
  </mergeCells>
  <phoneticPr fontId="6" type="noConversion"/>
  <pageMargins left="0.7" right="0.7" top="0.34" bottom="0.24" header="0.16" footer="0.15"/>
  <pageSetup orientation="portrait" r:id="rId1"/>
  <drawing r:id="rId2"/>
</worksheet>
</file>

<file path=xl/worksheets/sheet2.xml><?xml version="1.0" encoding="utf-8"?>
<worksheet xmlns="http://schemas.openxmlformats.org/spreadsheetml/2006/main" xmlns:r="http://schemas.openxmlformats.org/officeDocument/2006/relationships">
  <dimension ref="A1:D14"/>
  <sheetViews>
    <sheetView showGridLines="0" zoomScale="85" zoomScaleNormal="85" zoomScaleSheetLayoutView="85" workbookViewId="0">
      <selection activeCell="A14" sqref="A14"/>
    </sheetView>
  </sheetViews>
  <sheetFormatPr defaultRowHeight="21.75" customHeight="1"/>
  <cols>
    <col min="1" max="1" width="11.75" style="1014" customWidth="1"/>
    <col min="2" max="2" width="20.125" style="1014" customWidth="1"/>
    <col min="3" max="4" width="17.25" style="1014" customWidth="1"/>
    <col min="5" max="16384" width="9" style="1014"/>
  </cols>
  <sheetData>
    <row r="1" spans="1:4" ht="31.5" customHeight="1">
      <c r="A1" s="1715" t="s">
        <v>1338</v>
      </c>
      <c r="B1" s="1715"/>
      <c r="C1" s="1715"/>
      <c r="D1" s="1715"/>
    </row>
    <row r="2" spans="1:4" ht="28.5" customHeight="1">
      <c r="A2" s="1529" t="s">
        <v>1339</v>
      </c>
      <c r="B2" s="1528" t="str">
        <f>MENU!AC9</f>
        <v>2022/12/03</v>
      </c>
    </row>
    <row r="3" spans="1:4" ht="30.75" customHeight="1">
      <c r="A3" s="1716" t="s">
        <v>1340</v>
      </c>
      <c r="B3" s="1718" t="s">
        <v>1341</v>
      </c>
      <c r="C3" s="1720" t="s">
        <v>1342</v>
      </c>
      <c r="D3" s="1720"/>
    </row>
    <row r="4" spans="1:4" ht="30.75" customHeight="1">
      <c r="A4" s="1717"/>
      <c r="B4" s="1719"/>
      <c r="C4" s="1527">
        <v>0.33333333333333331</v>
      </c>
      <c r="D4" s="1527">
        <v>0.66666666666666663</v>
      </c>
    </row>
    <row r="5" spans="1:4" ht="34.5" customHeight="1">
      <c r="A5" s="1713" t="s">
        <v>1343</v>
      </c>
      <c r="B5" s="1016" t="s">
        <v>1344</v>
      </c>
      <c r="C5" s="1556"/>
      <c r="D5" s="1444"/>
    </row>
    <row r="6" spans="1:4" ht="34.5" customHeight="1">
      <c r="A6" s="1721"/>
      <c r="B6" s="1016" t="s">
        <v>1345</v>
      </c>
      <c r="C6" s="1556"/>
      <c r="D6" s="1444"/>
    </row>
    <row r="7" spans="1:4" ht="34.5" customHeight="1">
      <c r="A7" s="1714"/>
      <c r="B7" s="1016" t="s">
        <v>1346</v>
      </c>
      <c r="C7" s="1556"/>
      <c r="D7" s="1444"/>
    </row>
    <row r="8" spans="1:4" ht="34.5" customHeight="1">
      <c r="A8" s="1713" t="s">
        <v>1347</v>
      </c>
      <c r="B8" s="1016" t="s">
        <v>1344</v>
      </c>
      <c r="C8" s="1556"/>
      <c r="D8" s="1444"/>
    </row>
    <row r="9" spans="1:4" ht="34.5" customHeight="1">
      <c r="A9" s="1721"/>
      <c r="B9" s="1016" t="s">
        <v>1345</v>
      </c>
      <c r="C9" s="1556"/>
      <c r="D9" s="1444"/>
    </row>
    <row r="10" spans="1:4" ht="34.5" customHeight="1">
      <c r="A10" s="1714"/>
      <c r="B10" s="1016" t="s">
        <v>1346</v>
      </c>
      <c r="C10" s="1556"/>
      <c r="D10" s="1444"/>
    </row>
    <row r="11" spans="1:4" ht="34.5" customHeight="1">
      <c r="A11" s="1713" t="s">
        <v>1348</v>
      </c>
      <c r="B11" s="1016" t="s">
        <v>1349</v>
      </c>
      <c r="C11" s="1556"/>
      <c r="D11" s="1444"/>
    </row>
    <row r="12" spans="1:4" ht="34.5" customHeight="1">
      <c r="A12" s="1714"/>
      <c r="B12" s="1016" t="s">
        <v>1346</v>
      </c>
      <c r="C12" s="1556"/>
      <c r="D12" s="1444"/>
    </row>
    <row r="14" spans="1:4" ht="21.75" customHeight="1">
      <c r="A14" s="1014" t="s">
        <v>1427</v>
      </c>
      <c r="B14" s="1567" t="s">
        <v>1428</v>
      </c>
    </row>
  </sheetData>
  <mergeCells count="7">
    <mergeCell ref="A11:A12"/>
    <mergeCell ref="A1:D1"/>
    <mergeCell ref="A3:A4"/>
    <mergeCell ref="B3:B4"/>
    <mergeCell ref="C3:D3"/>
    <mergeCell ref="A5:A7"/>
    <mergeCell ref="A8:A10"/>
  </mergeCells>
  <phoneticPr fontId="6"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sheetPr codeName="Sheet1">
    <tabColor rgb="FF0000FF"/>
  </sheetPr>
  <dimension ref="B2:AG37"/>
  <sheetViews>
    <sheetView zoomScale="85" zoomScaleNormal="85" workbookViewId="0">
      <selection activeCell="B9" sqref="B9:D10"/>
    </sheetView>
  </sheetViews>
  <sheetFormatPr defaultColWidth="6.25" defaultRowHeight="15.75"/>
  <cols>
    <col min="1" max="1" width="2.375" style="375" customWidth="1"/>
    <col min="2" max="4" width="5.5" style="375" customWidth="1"/>
    <col min="5" max="5" width="2.625" style="375" customWidth="1"/>
    <col min="6" max="8" width="5" style="375" customWidth="1"/>
    <col min="9" max="9" width="2.25" style="375" customWidth="1"/>
    <col min="10" max="12" width="5.125" style="375" customWidth="1"/>
    <col min="13" max="13" width="2.5" style="375" customWidth="1"/>
    <col min="14" max="16" width="4.75" style="375" customWidth="1"/>
    <col min="17" max="17" width="2.625" style="375" customWidth="1"/>
    <col min="18" max="18" width="4.375" style="375" customWidth="1"/>
    <col min="19" max="19" width="3.75" style="375" customWidth="1"/>
    <col min="20" max="20" width="5.375" style="375" customWidth="1"/>
    <col min="21" max="21" width="3.25" style="375" customWidth="1"/>
    <col min="22" max="22" width="4.875" style="375" customWidth="1"/>
    <col min="23" max="23" width="4.125" style="375" customWidth="1"/>
    <col min="24" max="24" width="2.75" style="375" customWidth="1"/>
    <col min="25" max="25" width="14.25" style="375" customWidth="1"/>
    <col min="26" max="26" width="3.375" style="375" customWidth="1"/>
    <col min="27" max="27" width="14.125" style="375" customWidth="1"/>
    <col min="28" max="28" width="2.375" style="375" customWidth="1"/>
    <col min="29" max="16384" width="6.25" style="375"/>
  </cols>
  <sheetData>
    <row r="2" spans="2:33" ht="16.5" thickBot="1">
      <c r="U2" s="964"/>
      <c r="V2" s="964"/>
      <c r="W2" s="964"/>
      <c r="X2" s="964"/>
      <c r="Y2" s="964"/>
      <c r="Z2" s="964"/>
      <c r="AA2" s="964"/>
      <c r="AB2" s="964"/>
      <c r="AC2" s="964"/>
      <c r="AD2" s="964"/>
    </row>
    <row r="3" spans="2:33">
      <c r="B3" s="1780" t="s">
        <v>398</v>
      </c>
      <c r="C3" s="1781"/>
      <c r="D3" s="1781"/>
      <c r="E3" s="1781"/>
      <c r="F3" s="1781"/>
      <c r="G3" s="1781"/>
      <c r="H3" s="1786"/>
      <c r="I3" s="376"/>
      <c r="J3" s="1780" t="s">
        <v>399</v>
      </c>
      <c r="K3" s="1781"/>
      <c r="L3" s="1781"/>
      <c r="M3" s="1781"/>
      <c r="N3" s="1781"/>
      <c r="O3" s="1781"/>
      <c r="P3" s="1786"/>
      <c r="Q3" s="376"/>
      <c r="R3" s="1780" t="s">
        <v>400</v>
      </c>
      <c r="S3" s="1781"/>
      <c r="T3" s="1782"/>
      <c r="U3" s="964"/>
      <c r="V3" s="1857" t="s">
        <v>930</v>
      </c>
      <c r="W3" s="1858"/>
      <c r="X3" s="1858"/>
      <c r="Y3" s="1859"/>
      <c r="Z3" s="1013"/>
      <c r="AA3" s="1855" t="s">
        <v>954</v>
      </c>
      <c r="AB3" s="964"/>
      <c r="AC3" s="964"/>
      <c r="AD3" s="964"/>
    </row>
    <row r="4" spans="2:33">
      <c r="B4" s="1783"/>
      <c r="C4" s="1784"/>
      <c r="D4" s="1784"/>
      <c r="E4" s="1784"/>
      <c r="F4" s="1784"/>
      <c r="G4" s="1784"/>
      <c r="H4" s="1787"/>
      <c r="I4" s="376"/>
      <c r="J4" s="1783"/>
      <c r="K4" s="1784"/>
      <c r="L4" s="1784"/>
      <c r="M4" s="1784"/>
      <c r="N4" s="1784"/>
      <c r="O4" s="1784"/>
      <c r="P4" s="1787"/>
      <c r="Q4" s="376"/>
      <c r="R4" s="1783"/>
      <c r="S4" s="1784"/>
      <c r="T4" s="1785"/>
      <c r="U4" s="964"/>
      <c r="V4" s="1860"/>
      <c r="W4" s="1861"/>
      <c r="X4" s="1861"/>
      <c r="Y4" s="1862"/>
      <c r="Z4" s="1013"/>
      <c r="AA4" s="1733"/>
      <c r="AB4" s="964"/>
      <c r="AC4" s="964"/>
      <c r="AD4" s="964"/>
    </row>
    <row r="5" spans="2:33" ht="16.5" thickBot="1">
      <c r="B5" s="857"/>
      <c r="C5" s="857"/>
      <c r="D5" s="857"/>
      <c r="E5" s="857"/>
      <c r="F5" s="857"/>
      <c r="G5" s="857"/>
      <c r="H5" s="857"/>
      <c r="I5" s="857"/>
      <c r="J5" s="857"/>
      <c r="K5" s="857"/>
      <c r="L5" s="857"/>
      <c r="M5" s="857"/>
      <c r="N5" s="857"/>
      <c r="O5" s="857"/>
      <c r="P5" s="857"/>
      <c r="Q5" s="857"/>
      <c r="R5" s="857"/>
      <c r="S5" s="857"/>
      <c r="T5" s="857"/>
      <c r="U5" s="857"/>
      <c r="V5" s="857"/>
      <c r="W5" s="857"/>
      <c r="X5" s="857"/>
      <c r="Y5" s="857"/>
      <c r="Z5" s="1010"/>
      <c r="AA5" s="857"/>
      <c r="AB5" s="857"/>
      <c r="AC5" s="857"/>
      <c r="AD5" s="857"/>
      <c r="AE5" s="857"/>
      <c r="AF5" s="857"/>
    </row>
    <row r="6" spans="2:33" ht="15.75" customHeight="1">
      <c r="B6" s="1834" t="s">
        <v>873</v>
      </c>
      <c r="C6" s="1835"/>
      <c r="D6" s="1836"/>
      <c r="E6" s="857"/>
      <c r="F6" s="1762" t="s">
        <v>879</v>
      </c>
      <c r="G6" s="1763"/>
      <c r="H6" s="1764"/>
      <c r="I6" s="857"/>
      <c r="J6" s="1768" t="s">
        <v>880</v>
      </c>
      <c r="K6" s="1769"/>
      <c r="L6" s="1770"/>
      <c r="M6" s="857"/>
      <c r="N6" s="1774" t="s">
        <v>864</v>
      </c>
      <c r="O6" s="1775"/>
      <c r="P6" s="1776"/>
      <c r="Q6" s="857"/>
      <c r="R6" s="1840" t="s">
        <v>863</v>
      </c>
      <c r="S6" s="1841"/>
      <c r="T6" s="1842"/>
      <c r="U6" s="962"/>
      <c r="V6" s="1749" t="s">
        <v>938</v>
      </c>
      <c r="W6" s="1750"/>
      <c r="X6" s="986"/>
      <c r="Y6" s="1732">
        <f>AC9+TIME(8,45,0)</f>
        <v>44898.364583333336</v>
      </c>
      <c r="Z6" s="1010"/>
      <c r="AA6" s="1856" t="s">
        <v>947</v>
      </c>
      <c r="AB6" s="857"/>
      <c r="AC6" s="858" t="s">
        <v>841</v>
      </c>
      <c r="AD6" s="859" t="s">
        <v>1268</v>
      </c>
      <c r="AE6" s="857"/>
      <c r="AF6" s="857"/>
    </row>
    <row r="7" spans="2:33" ht="15.75" customHeight="1">
      <c r="B7" s="1837"/>
      <c r="C7" s="1838"/>
      <c r="D7" s="1839"/>
      <c r="E7" s="857"/>
      <c r="F7" s="1765"/>
      <c r="G7" s="1766"/>
      <c r="H7" s="1767"/>
      <c r="I7" s="857"/>
      <c r="J7" s="1771"/>
      <c r="K7" s="1772"/>
      <c r="L7" s="1773"/>
      <c r="M7" s="857"/>
      <c r="N7" s="1777"/>
      <c r="O7" s="1778"/>
      <c r="P7" s="1779"/>
      <c r="Q7" s="857"/>
      <c r="R7" s="1843"/>
      <c r="S7" s="1844"/>
      <c r="T7" s="1845"/>
      <c r="U7" s="962"/>
      <c r="V7" s="1751"/>
      <c r="W7" s="1752"/>
      <c r="X7" s="986"/>
      <c r="Y7" s="1733"/>
      <c r="Z7" s="1010"/>
      <c r="AA7" s="1733"/>
      <c r="AB7" s="857"/>
      <c r="AC7" s="860" t="s">
        <v>842</v>
      </c>
      <c r="AD7" s="861" t="s">
        <v>1267</v>
      </c>
      <c r="AE7" s="857"/>
      <c r="AF7" s="857"/>
    </row>
    <row r="8" spans="2:33" ht="16.5" thickBot="1">
      <c r="B8" s="857"/>
      <c r="C8" s="857"/>
      <c r="D8" s="857"/>
      <c r="E8" s="857"/>
      <c r="F8" s="857"/>
      <c r="G8" s="857"/>
      <c r="H8" s="857"/>
      <c r="I8" s="857"/>
      <c r="J8" s="857"/>
      <c r="K8" s="857"/>
      <c r="L8" s="857"/>
      <c r="M8" s="857"/>
      <c r="N8" s="857"/>
      <c r="O8" s="857"/>
      <c r="P8" s="857"/>
      <c r="Q8" s="857"/>
      <c r="R8" s="857"/>
      <c r="S8" s="857"/>
      <c r="T8" s="857"/>
      <c r="U8" s="857"/>
      <c r="V8" s="989"/>
      <c r="W8" s="989"/>
      <c r="X8" s="376"/>
      <c r="Y8" s="376"/>
      <c r="Z8" s="1010"/>
      <c r="AA8" s="376"/>
      <c r="AB8" s="857"/>
      <c r="AC8" s="857"/>
      <c r="AD8" s="857"/>
      <c r="AE8" s="857"/>
      <c r="AF8" s="857"/>
    </row>
    <row r="9" spans="2:33" ht="15.75" customHeight="1">
      <c r="B9" s="1828" t="s">
        <v>885</v>
      </c>
      <c r="C9" s="1829"/>
      <c r="D9" s="1830"/>
      <c r="E9" s="857"/>
      <c r="F9" s="1788" t="s">
        <v>878</v>
      </c>
      <c r="G9" s="1789"/>
      <c r="H9" s="1790"/>
      <c r="I9" s="857"/>
      <c r="J9" s="1848" t="s">
        <v>870</v>
      </c>
      <c r="K9" s="1769"/>
      <c r="L9" s="1770"/>
      <c r="M9" s="857"/>
      <c r="N9" s="1849" t="s">
        <v>865</v>
      </c>
      <c r="O9" s="1850"/>
      <c r="P9" s="1851"/>
      <c r="Q9" s="857"/>
      <c r="R9" s="1840" t="s">
        <v>861</v>
      </c>
      <c r="S9" s="1841"/>
      <c r="T9" s="1842"/>
      <c r="U9" s="962"/>
      <c r="V9" s="1749" t="s">
        <v>939</v>
      </c>
      <c r="W9" s="1750"/>
      <c r="X9" s="986"/>
      <c r="Y9" s="1732">
        <f>AC9+TIME(10,45,0)</f>
        <v>44898.447916666664</v>
      </c>
      <c r="Z9" s="1010"/>
      <c r="AA9" s="1856" t="s">
        <v>948</v>
      </c>
      <c r="AB9" s="857"/>
      <c r="AC9" s="1806" t="s">
        <v>1504</v>
      </c>
      <c r="AD9" s="1807"/>
      <c r="AE9" s="1747" t="s">
        <v>944</v>
      </c>
      <c r="AF9" s="1748"/>
      <c r="AG9" s="1748"/>
    </row>
    <row r="10" spans="2:33" ht="15.75" customHeight="1">
      <c r="B10" s="1831"/>
      <c r="C10" s="1832"/>
      <c r="D10" s="1833"/>
      <c r="E10" s="857"/>
      <c r="F10" s="1791"/>
      <c r="G10" s="1792"/>
      <c r="H10" s="1793"/>
      <c r="I10" s="857"/>
      <c r="J10" s="1771"/>
      <c r="K10" s="1772"/>
      <c r="L10" s="1773"/>
      <c r="M10" s="857"/>
      <c r="N10" s="1852"/>
      <c r="O10" s="1853"/>
      <c r="P10" s="1854"/>
      <c r="Q10" s="857"/>
      <c r="R10" s="1843"/>
      <c r="S10" s="1844"/>
      <c r="T10" s="1845"/>
      <c r="U10" s="962"/>
      <c r="V10" s="1751"/>
      <c r="W10" s="1752"/>
      <c r="X10" s="986"/>
      <c r="Y10" s="1733"/>
      <c r="Z10" s="1010"/>
      <c r="AA10" s="1733"/>
      <c r="AB10" s="857"/>
      <c r="AC10" s="1808"/>
      <c r="AD10" s="1809"/>
      <c r="AE10" s="1747"/>
      <c r="AF10" s="1748"/>
      <c r="AG10" s="1748"/>
    </row>
    <row r="11" spans="2:33" ht="16.5" customHeight="1" thickBot="1">
      <c r="B11" s="857"/>
      <c r="C11" s="857"/>
      <c r="D11" s="857"/>
      <c r="E11" s="857"/>
      <c r="F11" s="857"/>
      <c r="G11" s="857"/>
      <c r="H11" s="857"/>
      <c r="I11" s="857"/>
      <c r="J11" s="857"/>
      <c r="K11" s="857"/>
      <c r="L11" s="857"/>
      <c r="M11" s="857"/>
      <c r="N11" s="857"/>
      <c r="O11" s="857"/>
      <c r="P11" s="857"/>
      <c r="Q11" s="857"/>
      <c r="R11" s="857"/>
      <c r="S11" s="857"/>
      <c r="T11" s="857"/>
      <c r="U11" s="857"/>
      <c r="V11" s="989"/>
      <c r="W11" s="989"/>
      <c r="X11" s="376"/>
      <c r="Y11" s="376"/>
      <c r="Z11" s="1010"/>
      <c r="AA11" s="376"/>
      <c r="AB11" s="857"/>
      <c r="AC11" s="857"/>
      <c r="AD11" s="857"/>
      <c r="AE11" s="857"/>
      <c r="AF11" s="857"/>
    </row>
    <row r="12" spans="2:33" ht="15.75" customHeight="1">
      <c r="B12" s="1816" t="s">
        <v>877</v>
      </c>
      <c r="C12" s="1817"/>
      <c r="D12" s="1818"/>
      <c r="E12" s="857"/>
      <c r="F12" s="1788" t="s">
        <v>874</v>
      </c>
      <c r="G12" s="1789"/>
      <c r="H12" s="1790"/>
      <c r="I12" s="857"/>
      <c r="J12" s="1794" t="s">
        <v>881</v>
      </c>
      <c r="K12" s="1795"/>
      <c r="L12" s="1796"/>
      <c r="M12" s="857"/>
      <c r="N12" s="1800" t="s">
        <v>866</v>
      </c>
      <c r="O12" s="1801"/>
      <c r="P12" s="1802"/>
      <c r="Q12" s="857"/>
      <c r="R12" s="1740" t="s">
        <v>862</v>
      </c>
      <c r="S12" s="1741"/>
      <c r="T12" s="1742"/>
      <c r="U12" s="963"/>
      <c r="V12" s="1749" t="s">
        <v>940</v>
      </c>
      <c r="W12" s="1750"/>
      <c r="X12" s="986"/>
      <c r="Y12" s="1732">
        <f>AC9+TIME(15,30,0)</f>
        <v>44898.645833333336</v>
      </c>
      <c r="Z12" s="1010"/>
      <c r="AA12" s="1856" t="s">
        <v>952</v>
      </c>
      <c r="AB12" s="857"/>
      <c r="AC12" s="1758"/>
      <c r="AD12" s="1759"/>
      <c r="AE12" s="857"/>
      <c r="AF12" s="857"/>
    </row>
    <row r="13" spans="2:33" ht="15.75" customHeight="1">
      <c r="B13" s="1819"/>
      <c r="C13" s="1820"/>
      <c r="D13" s="1821"/>
      <c r="E13" s="857"/>
      <c r="F13" s="1791"/>
      <c r="G13" s="1792"/>
      <c r="H13" s="1793"/>
      <c r="I13" s="857"/>
      <c r="J13" s="1797"/>
      <c r="K13" s="1798"/>
      <c r="L13" s="1799"/>
      <c r="M13" s="857"/>
      <c r="N13" s="1803"/>
      <c r="O13" s="1804"/>
      <c r="P13" s="1805"/>
      <c r="Q13" s="857"/>
      <c r="R13" s="1743"/>
      <c r="S13" s="1744"/>
      <c r="T13" s="1745"/>
      <c r="U13" s="963"/>
      <c r="V13" s="1751"/>
      <c r="W13" s="1752"/>
      <c r="X13" s="986"/>
      <c r="Y13" s="1733"/>
      <c r="Z13" s="1012"/>
      <c r="AA13" s="1733"/>
      <c r="AB13" s="857"/>
      <c r="AC13" s="1760"/>
      <c r="AD13" s="1761"/>
      <c r="AE13" s="857"/>
      <c r="AF13" s="857"/>
    </row>
    <row r="14" spans="2:33" ht="16.5" customHeight="1" thickBot="1">
      <c r="B14" s="857"/>
      <c r="C14" s="857"/>
      <c r="D14" s="857"/>
      <c r="E14" s="857"/>
      <c r="F14" s="857"/>
      <c r="G14" s="857"/>
      <c r="H14" s="857"/>
      <c r="I14" s="857"/>
      <c r="J14" s="857"/>
      <c r="K14" s="857"/>
      <c r="L14" s="857"/>
      <c r="M14" s="857"/>
      <c r="N14" s="857"/>
      <c r="O14" s="857"/>
      <c r="P14" s="857"/>
      <c r="Q14" s="857"/>
      <c r="R14" s="857"/>
      <c r="S14" s="857"/>
      <c r="T14" s="857"/>
      <c r="U14" s="857"/>
      <c r="V14" s="989"/>
      <c r="W14" s="989"/>
      <c r="X14" s="376"/>
      <c r="Y14" s="376"/>
      <c r="Z14" s="376"/>
      <c r="AA14" s="376"/>
      <c r="AB14" s="857"/>
      <c r="AC14" s="857"/>
      <c r="AD14" s="857"/>
      <c r="AE14" s="857"/>
      <c r="AF14" s="857"/>
    </row>
    <row r="15" spans="2:33" ht="15.75" customHeight="1">
      <c r="B15" s="1816" t="s">
        <v>875</v>
      </c>
      <c r="C15" s="1817"/>
      <c r="D15" s="1818"/>
      <c r="E15" s="857"/>
      <c r="F15" s="1788" t="s">
        <v>889</v>
      </c>
      <c r="G15" s="1789"/>
      <c r="H15" s="1790"/>
      <c r="I15" s="857"/>
      <c r="J15" s="1810" t="s">
        <v>882</v>
      </c>
      <c r="K15" s="1811"/>
      <c r="L15" s="1812"/>
      <c r="M15" s="857"/>
      <c r="N15" s="1800" t="s">
        <v>867</v>
      </c>
      <c r="O15" s="1801"/>
      <c r="P15" s="1802"/>
      <c r="Q15" s="857"/>
      <c r="R15" s="1822" t="s">
        <v>1228</v>
      </c>
      <c r="S15" s="1823"/>
      <c r="T15" s="1824"/>
      <c r="U15" s="963"/>
      <c r="V15" s="1749" t="s">
        <v>941</v>
      </c>
      <c r="W15" s="1750"/>
      <c r="X15" s="986"/>
      <c r="Y15" s="1732">
        <f>AC9+TIME(17,0,0)</f>
        <v>44898.708333333336</v>
      </c>
      <c r="Z15" s="1011"/>
      <c r="AA15" s="1856" t="s">
        <v>949</v>
      </c>
      <c r="AB15" s="857"/>
      <c r="AC15" s="1754" t="s">
        <v>909</v>
      </c>
      <c r="AD15" s="1755"/>
      <c r="AE15" s="857"/>
      <c r="AF15" s="857"/>
    </row>
    <row r="16" spans="2:33" ht="15.75" customHeight="1">
      <c r="B16" s="1819"/>
      <c r="C16" s="1820"/>
      <c r="D16" s="1821"/>
      <c r="E16" s="857"/>
      <c r="F16" s="1791"/>
      <c r="G16" s="1792"/>
      <c r="H16" s="1793"/>
      <c r="I16" s="857"/>
      <c r="J16" s="1813"/>
      <c r="K16" s="1814"/>
      <c r="L16" s="1815"/>
      <c r="M16" s="857"/>
      <c r="N16" s="1803"/>
      <c r="O16" s="1804"/>
      <c r="P16" s="1805"/>
      <c r="Q16" s="857"/>
      <c r="R16" s="1825"/>
      <c r="S16" s="1826"/>
      <c r="T16" s="1827"/>
      <c r="U16" s="963"/>
      <c r="V16" s="1751"/>
      <c r="W16" s="1752"/>
      <c r="X16" s="986"/>
      <c r="Y16" s="1733"/>
      <c r="Z16" s="1012"/>
      <c r="AA16" s="1733"/>
      <c r="AB16" s="857"/>
      <c r="AC16" s="1756"/>
      <c r="AD16" s="1757"/>
      <c r="AE16" s="857"/>
      <c r="AF16" s="857"/>
    </row>
    <row r="17" spans="2:32" ht="16.5" customHeight="1" thickBot="1">
      <c r="B17" s="857"/>
      <c r="C17" s="857"/>
      <c r="D17" s="857"/>
      <c r="E17" s="857"/>
      <c r="F17" s="857"/>
      <c r="G17" s="857"/>
      <c r="H17" s="857"/>
      <c r="I17" s="857"/>
      <c r="J17" s="857"/>
      <c r="K17" s="857"/>
      <c r="L17" s="857"/>
      <c r="M17" s="857"/>
      <c r="N17" s="857"/>
      <c r="O17" s="857"/>
      <c r="P17" s="857"/>
      <c r="Q17" s="857"/>
      <c r="R17" s="857"/>
      <c r="S17" s="857"/>
      <c r="T17" s="857"/>
      <c r="U17" s="857"/>
      <c r="V17" s="989"/>
      <c r="W17" s="989"/>
      <c r="X17" s="376"/>
      <c r="Y17" s="376"/>
      <c r="Z17" s="376"/>
      <c r="AA17" s="376"/>
      <c r="AB17" s="857"/>
      <c r="AC17" s="857"/>
      <c r="AD17" s="857"/>
      <c r="AE17" s="857"/>
      <c r="AF17" s="857"/>
    </row>
    <row r="18" spans="2:32" ht="15.75" customHeight="1">
      <c r="B18" s="1816" t="s">
        <v>876</v>
      </c>
      <c r="C18" s="1817"/>
      <c r="D18" s="1818"/>
      <c r="E18" s="857"/>
      <c r="F18" s="1788" t="s">
        <v>1056</v>
      </c>
      <c r="G18" s="1789"/>
      <c r="H18" s="1790"/>
      <c r="I18" s="857"/>
      <c r="J18" s="1810" t="s">
        <v>883</v>
      </c>
      <c r="K18" s="1811"/>
      <c r="L18" s="1812"/>
      <c r="M18" s="857"/>
      <c r="N18" s="1800" t="s">
        <v>989</v>
      </c>
      <c r="O18" s="1801"/>
      <c r="P18" s="1802"/>
      <c r="Q18" s="857"/>
      <c r="R18" s="1746" t="s">
        <v>1051</v>
      </c>
      <c r="S18" s="1723"/>
      <c r="T18" s="1724"/>
      <c r="U18" s="963"/>
      <c r="V18" s="1734" t="s">
        <v>942</v>
      </c>
      <c r="W18" s="1735"/>
      <c r="X18" s="986"/>
      <c r="Y18" s="1738">
        <f>AC9+TIME(20,45,0)</f>
        <v>44898.864583333336</v>
      </c>
      <c r="Z18" s="1011"/>
      <c r="AA18" s="1753" t="s">
        <v>950</v>
      </c>
      <c r="AB18" s="857"/>
      <c r="AC18" s="857"/>
      <c r="AD18" s="857"/>
      <c r="AE18" s="857"/>
      <c r="AF18" s="857"/>
    </row>
    <row r="19" spans="2:32" ht="15.75" customHeight="1">
      <c r="B19" s="1819"/>
      <c r="C19" s="1820"/>
      <c r="D19" s="1821"/>
      <c r="E19" s="857"/>
      <c r="F19" s="1791"/>
      <c r="G19" s="1792"/>
      <c r="H19" s="1793"/>
      <c r="I19" s="857"/>
      <c r="J19" s="1813"/>
      <c r="K19" s="1814"/>
      <c r="L19" s="1815"/>
      <c r="M19" s="857"/>
      <c r="N19" s="1803"/>
      <c r="O19" s="1804"/>
      <c r="P19" s="1805"/>
      <c r="Q19" s="857"/>
      <c r="R19" s="1725"/>
      <c r="S19" s="1726"/>
      <c r="T19" s="1727"/>
      <c r="U19" s="963"/>
      <c r="V19" s="1736"/>
      <c r="W19" s="1737"/>
      <c r="X19" s="986"/>
      <c r="Y19" s="1739"/>
      <c r="Z19" s="1012"/>
      <c r="AA19" s="1739"/>
      <c r="AB19" s="857"/>
      <c r="AC19" s="857"/>
      <c r="AD19" s="857"/>
      <c r="AE19" s="857"/>
      <c r="AF19" s="857"/>
    </row>
    <row r="20" spans="2:32" ht="16.5" customHeight="1" thickBot="1">
      <c r="B20" s="857"/>
      <c r="C20" s="857"/>
      <c r="D20" s="857"/>
      <c r="E20" s="857"/>
      <c r="F20" s="857"/>
      <c r="G20" s="857"/>
      <c r="H20" s="857"/>
      <c r="I20" s="857"/>
      <c r="J20" s="857"/>
      <c r="K20" s="857"/>
      <c r="L20" s="857"/>
      <c r="M20" s="857"/>
      <c r="N20" s="857"/>
      <c r="O20" s="857"/>
      <c r="P20" s="857"/>
      <c r="Q20" s="857"/>
      <c r="R20" s="857"/>
      <c r="S20" s="857"/>
      <c r="T20" s="857"/>
      <c r="U20" s="857"/>
      <c r="V20" s="989"/>
      <c r="W20" s="989"/>
      <c r="X20" s="376"/>
      <c r="Y20" s="376"/>
      <c r="Z20" s="376"/>
      <c r="AA20" s="376"/>
      <c r="AB20" s="857"/>
      <c r="AC20" s="857"/>
      <c r="AD20" s="857"/>
      <c r="AE20" s="857"/>
      <c r="AF20" s="857"/>
    </row>
    <row r="21" spans="2:32" ht="15.75" customHeight="1">
      <c r="B21" s="1816" t="s">
        <v>1055</v>
      </c>
      <c r="C21" s="1817"/>
      <c r="D21" s="1818"/>
      <c r="E21" s="857"/>
      <c r="F21" s="1788"/>
      <c r="G21" s="1789"/>
      <c r="H21" s="1790"/>
      <c r="I21" s="857"/>
      <c r="J21" s="1810" t="s">
        <v>988</v>
      </c>
      <c r="K21" s="1811"/>
      <c r="L21" s="1812"/>
      <c r="M21" s="857"/>
      <c r="N21" s="1800" t="s">
        <v>928</v>
      </c>
      <c r="O21" s="1801"/>
      <c r="P21" s="1802"/>
      <c r="Q21" s="857"/>
      <c r="R21" s="1746" t="s">
        <v>1107</v>
      </c>
      <c r="S21" s="1723"/>
      <c r="T21" s="1724"/>
      <c r="U21" s="963"/>
      <c r="V21" s="1734" t="s">
        <v>943</v>
      </c>
      <c r="W21" s="1735"/>
      <c r="X21" s="986"/>
      <c r="Y21" s="1738">
        <f>AC9+TIME(22,45,0)</f>
        <v>44898.947916666664</v>
      </c>
      <c r="Z21" s="1011"/>
      <c r="AA21" s="1753" t="s">
        <v>951</v>
      </c>
      <c r="AB21" s="857"/>
      <c r="AC21" s="857"/>
      <c r="AD21" s="857"/>
      <c r="AE21" s="857"/>
      <c r="AF21" s="857"/>
    </row>
    <row r="22" spans="2:32" ht="15.75" customHeight="1">
      <c r="B22" s="1819"/>
      <c r="C22" s="1820"/>
      <c r="D22" s="1821"/>
      <c r="E22" s="857"/>
      <c r="F22" s="1791"/>
      <c r="G22" s="1792"/>
      <c r="H22" s="1793"/>
      <c r="I22" s="857"/>
      <c r="J22" s="1813"/>
      <c r="K22" s="1814"/>
      <c r="L22" s="1815"/>
      <c r="M22" s="857"/>
      <c r="N22" s="1803"/>
      <c r="O22" s="1804"/>
      <c r="P22" s="1805"/>
      <c r="Q22" s="857"/>
      <c r="R22" s="1725"/>
      <c r="S22" s="1726"/>
      <c r="T22" s="1727"/>
      <c r="U22" s="963"/>
      <c r="V22" s="1736"/>
      <c r="W22" s="1737"/>
      <c r="X22" s="986"/>
      <c r="Y22" s="1739"/>
      <c r="Z22" s="1012"/>
      <c r="AA22" s="1739"/>
      <c r="AB22" s="857"/>
      <c r="AC22" s="857"/>
      <c r="AD22" s="857"/>
      <c r="AE22" s="857"/>
      <c r="AF22" s="857"/>
    </row>
    <row r="23" spans="2:32" ht="16.5" thickBot="1">
      <c r="B23" s="857"/>
      <c r="C23" s="857"/>
      <c r="D23" s="857"/>
      <c r="E23" s="857"/>
      <c r="F23" s="857"/>
      <c r="G23" s="857"/>
      <c r="H23" s="857"/>
      <c r="I23" s="857"/>
      <c r="J23" s="857"/>
      <c r="K23" s="857"/>
      <c r="L23" s="857"/>
      <c r="M23" s="857"/>
      <c r="N23" s="857"/>
      <c r="O23" s="857"/>
      <c r="P23" s="857"/>
      <c r="Q23" s="857"/>
      <c r="R23" s="857"/>
      <c r="S23" s="857"/>
      <c r="T23" s="857"/>
      <c r="U23" s="857"/>
      <c r="V23" s="376"/>
      <c r="W23" s="376"/>
      <c r="X23" s="376"/>
      <c r="Y23" s="376"/>
      <c r="Z23" s="376"/>
      <c r="AA23" s="376"/>
      <c r="AB23" s="857"/>
      <c r="AC23" s="857"/>
      <c r="AD23" s="857"/>
      <c r="AE23" s="857"/>
      <c r="AF23" s="857"/>
    </row>
    <row r="24" spans="2:32" ht="15.75" customHeight="1">
      <c r="B24" s="1816" t="s">
        <v>886</v>
      </c>
      <c r="C24" s="1817"/>
      <c r="D24" s="1818"/>
      <c r="E24" s="857"/>
      <c r="F24" s="1788" t="s">
        <v>887</v>
      </c>
      <c r="G24" s="1789"/>
      <c r="H24" s="1790"/>
      <c r="I24" s="857"/>
      <c r="J24" s="1810" t="s">
        <v>929</v>
      </c>
      <c r="K24" s="1811"/>
      <c r="L24" s="1812"/>
      <c r="M24" s="857"/>
      <c r="N24" s="1800" t="s">
        <v>868</v>
      </c>
      <c r="O24" s="1801"/>
      <c r="P24" s="1802"/>
      <c r="Q24" s="857"/>
      <c r="R24" s="1746" t="s">
        <v>1488</v>
      </c>
      <c r="S24" s="1723"/>
      <c r="T24" s="1724"/>
      <c r="U24" s="963"/>
      <c r="V24" s="1734" t="s">
        <v>945</v>
      </c>
      <c r="W24" s="1735"/>
      <c r="X24" s="986"/>
      <c r="Y24" s="1738">
        <f>AC9+TIME(3,0,0)</f>
        <v>44898.125</v>
      </c>
      <c r="Z24" s="1011"/>
      <c r="AA24" s="1753" t="s">
        <v>955</v>
      </c>
      <c r="AB24" s="857"/>
      <c r="AC24" s="857"/>
      <c r="AD24" s="857"/>
      <c r="AE24" s="857"/>
      <c r="AF24" s="857"/>
    </row>
    <row r="25" spans="2:32" ht="15.75" customHeight="1">
      <c r="B25" s="1819"/>
      <c r="C25" s="1820"/>
      <c r="D25" s="1821"/>
      <c r="E25" s="857"/>
      <c r="F25" s="1791"/>
      <c r="G25" s="1792"/>
      <c r="H25" s="1793"/>
      <c r="I25" s="857"/>
      <c r="J25" s="1813"/>
      <c r="K25" s="1814"/>
      <c r="L25" s="1815"/>
      <c r="M25" s="857"/>
      <c r="N25" s="1803"/>
      <c r="O25" s="1804"/>
      <c r="P25" s="1805"/>
      <c r="Q25" s="857"/>
      <c r="R25" s="1725"/>
      <c r="S25" s="1726"/>
      <c r="T25" s="1727"/>
      <c r="U25" s="963"/>
      <c r="V25" s="1736"/>
      <c r="W25" s="1737"/>
      <c r="X25" s="986"/>
      <c r="Y25" s="1739"/>
      <c r="Z25" s="1012"/>
      <c r="AA25" s="1739"/>
      <c r="AB25" s="857"/>
      <c r="AC25" s="857"/>
      <c r="AD25" s="857"/>
      <c r="AE25" s="857"/>
      <c r="AF25" s="857"/>
    </row>
    <row r="26" spans="2:32" ht="16.5" thickBot="1">
      <c r="B26" s="857"/>
      <c r="C26" s="857"/>
      <c r="D26" s="857"/>
      <c r="E26" s="857"/>
      <c r="F26" s="857"/>
      <c r="G26" s="857"/>
      <c r="H26" s="857"/>
      <c r="I26" s="857"/>
      <c r="J26" s="857"/>
      <c r="K26" s="857"/>
      <c r="L26" s="857"/>
      <c r="M26" s="857"/>
      <c r="N26" s="857"/>
      <c r="O26" s="857"/>
      <c r="P26" s="857"/>
      <c r="Q26" s="857"/>
      <c r="R26" s="857"/>
      <c r="S26" s="857"/>
      <c r="T26" s="857"/>
      <c r="U26" s="857"/>
      <c r="V26" s="376"/>
      <c r="W26" s="376"/>
      <c r="X26" s="376"/>
      <c r="Y26" s="376"/>
      <c r="Z26" s="376"/>
      <c r="AA26" s="376"/>
      <c r="AB26" s="857"/>
      <c r="AC26" s="857"/>
      <c r="AD26" s="857"/>
      <c r="AE26" s="857"/>
      <c r="AF26" s="857"/>
    </row>
    <row r="27" spans="2:32" ht="15.75" customHeight="1">
      <c r="B27" s="1816"/>
      <c r="C27" s="1817"/>
      <c r="D27" s="1818"/>
      <c r="E27" s="857"/>
      <c r="F27" s="1788"/>
      <c r="G27" s="1789"/>
      <c r="H27" s="1790"/>
      <c r="I27" s="857"/>
      <c r="J27" s="1810" t="s">
        <v>884</v>
      </c>
      <c r="K27" s="1811"/>
      <c r="L27" s="1812"/>
      <c r="M27" s="857"/>
      <c r="N27" s="1800"/>
      <c r="O27" s="1801"/>
      <c r="P27" s="1802"/>
      <c r="Q27" s="857"/>
      <c r="R27" s="1746" t="s">
        <v>892</v>
      </c>
      <c r="S27" s="1723"/>
      <c r="T27" s="1724"/>
      <c r="U27" s="963"/>
      <c r="V27" s="1734" t="s">
        <v>946</v>
      </c>
      <c r="W27" s="1735"/>
      <c r="X27" s="986"/>
      <c r="Y27" s="1738">
        <f>AC9+TIME(5,0,0)</f>
        <v>44898.208333333336</v>
      </c>
      <c r="Z27" s="1011"/>
      <c r="AA27" s="1753" t="s">
        <v>953</v>
      </c>
      <c r="AB27" s="857"/>
      <c r="AC27" s="857"/>
      <c r="AD27" s="857"/>
      <c r="AE27" s="857"/>
      <c r="AF27" s="857"/>
    </row>
    <row r="28" spans="2:32" ht="15.75" customHeight="1">
      <c r="B28" s="1819"/>
      <c r="C28" s="1820"/>
      <c r="D28" s="1821"/>
      <c r="E28" s="857"/>
      <c r="F28" s="1791"/>
      <c r="G28" s="1792"/>
      <c r="H28" s="1793"/>
      <c r="I28" s="857"/>
      <c r="J28" s="1813"/>
      <c r="K28" s="1814"/>
      <c r="L28" s="1815"/>
      <c r="M28" s="857"/>
      <c r="N28" s="1803"/>
      <c r="O28" s="1804"/>
      <c r="P28" s="1805"/>
      <c r="Q28" s="857"/>
      <c r="R28" s="1725"/>
      <c r="S28" s="1726"/>
      <c r="T28" s="1727"/>
      <c r="U28" s="963"/>
      <c r="V28" s="1736"/>
      <c r="W28" s="1737"/>
      <c r="X28" s="986"/>
      <c r="Y28" s="1739"/>
      <c r="Z28" s="1012"/>
      <c r="AA28" s="1739"/>
      <c r="AB28" s="857"/>
      <c r="AC28" s="857"/>
      <c r="AD28" s="857"/>
      <c r="AE28" s="857"/>
      <c r="AF28" s="857"/>
    </row>
    <row r="29" spans="2:32" ht="16.5" thickBot="1">
      <c r="B29" s="857"/>
      <c r="C29" s="857"/>
      <c r="D29" s="857"/>
      <c r="E29" s="857"/>
      <c r="F29" s="857"/>
      <c r="G29" s="857"/>
      <c r="H29" s="857"/>
      <c r="I29" s="857"/>
      <c r="J29" s="857"/>
      <c r="K29" s="857"/>
      <c r="L29" s="857"/>
      <c r="M29" s="857"/>
      <c r="N29" s="857"/>
      <c r="O29" s="857"/>
      <c r="P29" s="857"/>
      <c r="Q29" s="857"/>
      <c r="R29" s="857"/>
      <c r="S29" s="857"/>
      <c r="T29" s="857"/>
      <c r="U29" s="857"/>
      <c r="V29" s="376"/>
      <c r="W29" s="376"/>
      <c r="X29" s="376"/>
      <c r="Y29" s="376"/>
      <c r="Z29" s="376"/>
      <c r="AA29" s="376"/>
      <c r="AB29" s="857"/>
      <c r="AC29" s="857"/>
      <c r="AD29" s="857"/>
      <c r="AE29" s="857"/>
      <c r="AF29" s="857"/>
    </row>
    <row r="30" spans="2:32" ht="15.75" customHeight="1">
      <c r="B30" s="1816" t="s">
        <v>872</v>
      </c>
      <c r="C30" s="1817"/>
      <c r="D30" s="1818"/>
      <c r="E30" s="857"/>
      <c r="F30" s="1788" t="s">
        <v>888</v>
      </c>
      <c r="G30" s="1789"/>
      <c r="H30" s="1790"/>
      <c r="I30" s="857"/>
      <c r="J30" s="1810" t="s">
        <v>871</v>
      </c>
      <c r="K30" s="1811"/>
      <c r="L30" s="1812"/>
      <c r="M30" s="857"/>
      <c r="N30" s="1800" t="s">
        <v>869</v>
      </c>
      <c r="O30" s="1801"/>
      <c r="P30" s="1802"/>
      <c r="Q30" s="857"/>
      <c r="R30" s="1746" t="s">
        <v>893</v>
      </c>
      <c r="S30" s="1723"/>
      <c r="T30" s="1724"/>
      <c r="U30" s="963"/>
      <c r="V30" s="1728"/>
      <c r="W30" s="1729"/>
      <c r="X30" s="986"/>
      <c r="Y30" s="1732"/>
      <c r="Z30" s="1011"/>
      <c r="AA30" s="1846" t="s">
        <v>980</v>
      </c>
      <c r="AB30" s="857"/>
      <c r="AC30" s="857"/>
      <c r="AD30" s="857"/>
      <c r="AE30" s="857"/>
      <c r="AF30" s="857"/>
    </row>
    <row r="31" spans="2:32" ht="15.75" customHeight="1">
      <c r="B31" s="1819"/>
      <c r="C31" s="1820"/>
      <c r="D31" s="1821"/>
      <c r="E31" s="857"/>
      <c r="F31" s="1791"/>
      <c r="G31" s="1792"/>
      <c r="H31" s="1793"/>
      <c r="I31" s="857"/>
      <c r="J31" s="1813"/>
      <c r="K31" s="1814"/>
      <c r="L31" s="1815"/>
      <c r="M31" s="857"/>
      <c r="N31" s="1803"/>
      <c r="O31" s="1804"/>
      <c r="P31" s="1805"/>
      <c r="Q31" s="857"/>
      <c r="R31" s="1725"/>
      <c r="S31" s="1726"/>
      <c r="T31" s="1727"/>
      <c r="U31" s="963"/>
      <c r="V31" s="1730"/>
      <c r="W31" s="1731"/>
      <c r="X31" s="986"/>
      <c r="Y31" s="1733"/>
      <c r="Z31" s="1012"/>
      <c r="AA31" s="1847"/>
      <c r="AB31" s="857"/>
      <c r="AC31" s="857"/>
      <c r="AD31" s="857"/>
      <c r="AE31" s="857"/>
      <c r="AF31" s="857"/>
    </row>
    <row r="33" spans="18:20">
      <c r="R33" s="1740" t="s">
        <v>1350</v>
      </c>
      <c r="S33" s="1741"/>
      <c r="T33" s="1742"/>
    </row>
    <row r="34" spans="18:20">
      <c r="R34" s="1743"/>
      <c r="S34" s="1744"/>
      <c r="T34" s="1745"/>
    </row>
    <row r="36" spans="18:20" ht="15.75" customHeight="1">
      <c r="R36" s="1722" t="s">
        <v>1400</v>
      </c>
      <c r="S36" s="1723"/>
      <c r="T36" s="1724"/>
    </row>
    <row r="37" spans="18:20" ht="15.75" customHeight="1">
      <c r="R37" s="1725"/>
      <c r="S37" s="1726"/>
      <c r="T37" s="1727"/>
    </row>
  </sheetData>
  <dataConsolidate/>
  <mergeCells count="83">
    <mergeCell ref="N30:P31"/>
    <mergeCell ref="AA3:AA4"/>
    <mergeCell ref="AA6:AA7"/>
    <mergeCell ref="AA9:AA10"/>
    <mergeCell ref="AA12:AA13"/>
    <mergeCell ref="AA15:AA16"/>
    <mergeCell ref="Y6:Y7"/>
    <mergeCell ref="J3:P4"/>
    <mergeCell ref="V3:Y4"/>
    <mergeCell ref="V6:W7"/>
    <mergeCell ref="B9:D10"/>
    <mergeCell ref="B6:D7"/>
    <mergeCell ref="R6:T7"/>
    <mergeCell ref="B12:D13"/>
    <mergeCell ref="AA30:AA31"/>
    <mergeCell ref="J9:L10"/>
    <mergeCell ref="N9:P10"/>
    <mergeCell ref="R9:T10"/>
    <mergeCell ref="R27:T28"/>
    <mergeCell ref="F18:H19"/>
    <mergeCell ref="J18:L19"/>
    <mergeCell ref="N18:P19"/>
    <mergeCell ref="R18:T19"/>
    <mergeCell ref="F24:H25"/>
    <mergeCell ref="N27:P28"/>
    <mergeCell ref="N24:P25"/>
    <mergeCell ref="B18:D19"/>
    <mergeCell ref="R24:T25"/>
    <mergeCell ref="R21:T22"/>
    <mergeCell ref="F15:H16"/>
    <mergeCell ref="J15:L16"/>
    <mergeCell ref="N15:P16"/>
    <mergeCell ref="B15:D16"/>
    <mergeCell ref="R15:T16"/>
    <mergeCell ref="J21:L22"/>
    <mergeCell ref="N21:P22"/>
    <mergeCell ref="F30:H31"/>
    <mergeCell ref="J27:L28"/>
    <mergeCell ref="F21:H22"/>
    <mergeCell ref="J24:L25"/>
    <mergeCell ref="B30:D31"/>
    <mergeCell ref="J30:L31"/>
    <mergeCell ref="B21:D22"/>
    <mergeCell ref="B24:D25"/>
    <mergeCell ref="B27:D28"/>
    <mergeCell ref="F27:H28"/>
    <mergeCell ref="F12:H13"/>
    <mergeCell ref="J12:L13"/>
    <mergeCell ref="N12:P13"/>
    <mergeCell ref="AC9:AD10"/>
    <mergeCell ref="F9:H10"/>
    <mergeCell ref="R12:T13"/>
    <mergeCell ref="F6:H7"/>
    <mergeCell ref="J6:L7"/>
    <mergeCell ref="N6:P7"/>
    <mergeCell ref="R3:T4"/>
    <mergeCell ref="B3:H4"/>
    <mergeCell ref="AE9:AG10"/>
    <mergeCell ref="Y27:Y28"/>
    <mergeCell ref="V9:W10"/>
    <mergeCell ref="Y9:Y10"/>
    <mergeCell ref="V21:W22"/>
    <mergeCell ref="Y21:Y22"/>
    <mergeCell ref="V12:W13"/>
    <mergeCell ref="Y12:Y13"/>
    <mergeCell ref="V15:W16"/>
    <mergeCell ref="V27:W28"/>
    <mergeCell ref="AA18:AA19"/>
    <mergeCell ref="AA21:AA22"/>
    <mergeCell ref="AA24:AA25"/>
    <mergeCell ref="AA27:AA28"/>
    <mergeCell ref="AC15:AD16"/>
    <mergeCell ref="AC12:AD13"/>
    <mergeCell ref="R36:T37"/>
    <mergeCell ref="V30:W31"/>
    <mergeCell ref="Y30:Y31"/>
    <mergeCell ref="Y15:Y16"/>
    <mergeCell ref="V18:W19"/>
    <mergeCell ref="Y18:Y19"/>
    <mergeCell ref="V24:W25"/>
    <mergeCell ref="Y24:Y25"/>
    <mergeCell ref="R33:T34"/>
    <mergeCell ref="R30:T31"/>
  </mergeCells>
  <phoneticPr fontId="6"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B21:D22" location="'4.ZN-NI kh'!A1" display="4.Zn Ni.kh (2)"/>
    <hyperlink ref="F18:H19" location="'4.ZN-NI tt'!A1" display="4.Zn Ni TT (2)"/>
    <hyperlink ref="B24:D25" location="'XM.BO SUNG kh'!A1" display="'XM.BO SUNG kh'!A1"/>
    <hyperlink ref="F24:H25" location="'XM.BO SUNG tt'!A1" display="'XM.BO SUNG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C'!A1" display="'3.RL C'!A1"/>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C tt'!A1" display="'3.RL C tt'!A1"/>
    <hyperlink ref="N21:P22" location="'4.RL F tt'!Print_Area" display="4.RL D tt"/>
    <hyperlink ref="N24:P25" location="'5.ML tt'!A1" display="'5.ML tt'!A1"/>
    <hyperlink ref="N30:P31" location="RL.chart1!A1" display="RL.chart1!A1"/>
    <hyperlink ref="F30:H31" location="'XM.chart 1'!A1" display="'XM.chart 1'!A1"/>
    <hyperlink ref="R12:T13" location="'GHI CHU'!A1" display="'GHI CHU'!A1"/>
    <hyperlink ref="R6:T7" location="'IT.NONG DO'!A1" display="'IT.NONG DO'!A1"/>
    <hyperlink ref="R9:T10" location="'IT.NHIET DO'!A1" display="'IT.NHIET DO'!A1"/>
    <hyperlink ref="F12:H13" location="'2. XL-1F TT '!A1" display="'2. XL-1F TT '!A1"/>
    <hyperlink ref="F15:H16" location="'3.XT-C TT'!A1" display="'3.XT-C TT'!A1"/>
    <hyperlink ref="B15:D16" location="'2. XL-1F kh'!A1" display="'2. XL-1F kh'!A1"/>
    <hyperlink ref="B18:D19" location="'3.XT-C kh'!A1" display="'3.XT-C kh'!A1"/>
    <hyperlink ref="R27:T28" r:id="rId1" display="QC-RL"/>
    <hyperlink ref="R30:T31" r:id="rId2" display="QC-NI"/>
    <hyperlink ref="AC15:AD16" location="'ACID Đ.VAO'!Print_Area" display="'ACID Đ.VAO'!Print_Area"/>
    <hyperlink ref="B30:D31" location="XM.chart!A1" display="XM.chart!A1"/>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AA30:AA31" location="'tg import'!A1" display="'tg import'!A1"/>
    <hyperlink ref="R18:T19" r:id="rId3" display="QC- E"/>
    <hyperlink ref="R21:T22" r:id="rId4" display="QC-1F"/>
    <hyperlink ref="R15:T16" r:id="rId5" display="PP HÓA NGHIỆM"/>
    <hyperlink ref="R33:T34" location="'KT DAU'!A1" display="'KT DAU'!A1"/>
    <hyperlink ref="R36:T37" location="'PT TAP CHAT'!A1" display="'PT TAP CHAT'!A1"/>
    <hyperlink ref="R24:T25" r:id="rId6" display="QC- XT"/>
  </hyperlinks>
  <pageMargins left="0.7" right="0.7" top="0.75" bottom="0.75" header="0.3" footer="0.3"/>
  <pageSetup paperSize="9" orientation="portrait" verticalDpi="0" r:id="rId7"/>
  <legacyDrawing r:id="rId8"/>
</worksheet>
</file>

<file path=xl/worksheets/sheet4.xml><?xml version="1.0" encoding="utf-8"?>
<worksheet xmlns="http://schemas.openxmlformats.org/spreadsheetml/2006/main" xmlns:r="http://schemas.openxmlformats.org/officeDocument/2006/relationships">
  <sheetPr>
    <tabColor theme="8" tint="0.39997558519241921"/>
  </sheetPr>
  <dimension ref="A1:Q58"/>
  <sheetViews>
    <sheetView topLeftCell="A40" zoomScale="70" zoomScaleNormal="70" workbookViewId="0">
      <selection activeCell="C35" sqref="C35"/>
    </sheetView>
  </sheetViews>
  <sheetFormatPr defaultRowHeight="27.75" customHeight="1"/>
  <cols>
    <col min="1" max="1" width="25.5" style="999" customWidth="1"/>
    <col min="2" max="2" width="26.375" style="982" customWidth="1"/>
    <col min="3" max="3" width="26.375" style="983" customWidth="1"/>
    <col min="4" max="4" width="9" style="970"/>
    <col min="5" max="16" width="9" style="970" hidden="1" customWidth="1"/>
    <col min="17" max="16384" width="9" style="970"/>
  </cols>
  <sheetData>
    <row r="1" spans="1:17" ht="60.75" customHeight="1">
      <c r="A1" s="987" t="s">
        <v>360</v>
      </c>
      <c r="B1" s="968"/>
      <c r="C1" s="969"/>
    </row>
    <row r="2" spans="1:17" s="973" customFormat="1" ht="27.75" customHeight="1">
      <c r="A2" s="998" t="s">
        <v>361</v>
      </c>
      <c r="B2" s="971" t="s">
        <v>362</v>
      </c>
      <c r="C2" s="972" t="s">
        <v>367</v>
      </c>
      <c r="E2" s="974">
        <v>1</v>
      </c>
      <c r="F2" s="974" t="s">
        <v>890</v>
      </c>
      <c r="G2" s="974">
        <v>2</v>
      </c>
      <c r="H2" s="974" t="s">
        <v>890</v>
      </c>
      <c r="I2" s="974">
        <v>3</v>
      </c>
      <c r="J2" s="974" t="s">
        <v>890</v>
      </c>
      <c r="K2" s="974">
        <v>4</v>
      </c>
      <c r="L2" s="974" t="s">
        <v>890</v>
      </c>
      <c r="M2" s="974">
        <v>5</v>
      </c>
      <c r="N2" s="974" t="s">
        <v>890</v>
      </c>
      <c r="O2" s="974">
        <v>6</v>
      </c>
      <c r="P2" s="974" t="s">
        <v>890</v>
      </c>
      <c r="Q2" s="975">
        <v>1</v>
      </c>
    </row>
    <row r="3" spans="1:17" s="973" customFormat="1" ht="27.75" customHeight="1">
      <c r="A3" s="998" t="s">
        <v>385</v>
      </c>
      <c r="B3" s="971" t="s">
        <v>386</v>
      </c>
      <c r="C3" s="972" t="s">
        <v>391</v>
      </c>
    </row>
    <row r="4" spans="1:17" ht="27.75" customHeight="1">
      <c r="A4" s="990" t="s">
        <v>1506</v>
      </c>
      <c r="B4" s="976" t="s">
        <v>277</v>
      </c>
      <c r="C4" s="977">
        <v>30</v>
      </c>
      <c r="E4" s="970" t="b">
        <v>1</v>
      </c>
      <c r="F4" s="970" t="b">
        <v>0</v>
      </c>
      <c r="G4" s="970" t="b">
        <v>0</v>
      </c>
      <c r="H4" s="970" t="b">
        <v>0</v>
      </c>
      <c r="I4" s="970" t="b">
        <v>0</v>
      </c>
      <c r="J4" s="970" t="b">
        <v>0</v>
      </c>
      <c r="K4" s="970" t="b">
        <v>0</v>
      </c>
      <c r="L4" s="970" t="b">
        <v>0</v>
      </c>
      <c r="M4" s="970" t="b">
        <v>0</v>
      </c>
      <c r="N4" s="970" t="b">
        <v>0</v>
      </c>
      <c r="O4" s="970" t="b">
        <v>0</v>
      </c>
      <c r="P4" s="970" t="b">
        <v>0</v>
      </c>
      <c r="Q4" s="978" t="s">
        <v>1507</v>
      </c>
    </row>
    <row r="5" spans="1:17" ht="27.75" customHeight="1">
      <c r="A5" s="993" t="s">
        <v>1505</v>
      </c>
      <c r="B5" s="976" t="s">
        <v>278</v>
      </c>
      <c r="C5" s="977">
        <v>30.8</v>
      </c>
      <c r="E5" s="970" t="b">
        <v>1</v>
      </c>
      <c r="F5" s="970" t="b">
        <v>0</v>
      </c>
      <c r="G5" s="970" t="b">
        <v>0</v>
      </c>
      <c r="H5" s="970" t="b">
        <v>0</v>
      </c>
      <c r="I5" s="970" t="b">
        <v>0</v>
      </c>
      <c r="J5" s="970" t="b">
        <v>0</v>
      </c>
      <c r="K5" s="970" t="b">
        <v>0</v>
      </c>
      <c r="L5" s="970" t="b">
        <v>0</v>
      </c>
      <c r="M5" s="970" t="b">
        <v>0</v>
      </c>
      <c r="N5" s="970" t="b">
        <v>0</v>
      </c>
      <c r="O5" s="970" t="b">
        <v>0</v>
      </c>
      <c r="P5" s="970" t="b">
        <v>0</v>
      </c>
      <c r="Q5" s="978" t="s">
        <v>1507</v>
      </c>
    </row>
    <row r="6" spans="1:17" ht="27.75" customHeight="1">
      <c r="A6" s="993" t="s">
        <v>1505</v>
      </c>
      <c r="B6" s="976" t="s">
        <v>279</v>
      </c>
      <c r="C6" s="977">
        <v>65.599999999999994</v>
      </c>
      <c r="E6" s="970" t="b">
        <v>1</v>
      </c>
      <c r="F6" s="970" t="b">
        <v>0</v>
      </c>
      <c r="G6" s="970" t="b">
        <v>0</v>
      </c>
      <c r="H6" s="970" t="b">
        <v>0</v>
      </c>
      <c r="I6" s="970" t="b">
        <v>0</v>
      </c>
      <c r="J6" s="970" t="b">
        <v>0</v>
      </c>
      <c r="K6" s="970" t="b">
        <v>0</v>
      </c>
      <c r="L6" s="970" t="b">
        <v>0</v>
      </c>
      <c r="M6" s="970" t="b">
        <v>0</v>
      </c>
      <c r="N6" s="970" t="b">
        <v>0</v>
      </c>
      <c r="O6" s="970" t="b">
        <v>0</v>
      </c>
      <c r="P6" s="970" t="b">
        <v>0</v>
      </c>
      <c r="Q6" s="978" t="s">
        <v>1507</v>
      </c>
    </row>
    <row r="7" spans="1:17" ht="27.75" customHeight="1">
      <c r="A7" s="993" t="s">
        <v>1505</v>
      </c>
      <c r="B7" s="976" t="s">
        <v>280</v>
      </c>
      <c r="C7" s="977">
        <v>72.8</v>
      </c>
      <c r="E7" s="970" t="b">
        <v>1</v>
      </c>
      <c r="F7" s="970" t="b">
        <v>0</v>
      </c>
      <c r="G7" s="970" t="b">
        <v>0</v>
      </c>
      <c r="H7" s="970" t="b">
        <v>0</v>
      </c>
      <c r="I7" s="970" t="b">
        <v>0</v>
      </c>
      <c r="J7" s="970" t="b">
        <v>0</v>
      </c>
      <c r="K7" s="970" t="b">
        <v>0</v>
      </c>
      <c r="L7" s="970" t="b">
        <v>0</v>
      </c>
      <c r="M7" s="970" t="b">
        <v>0</v>
      </c>
      <c r="N7" s="970" t="b">
        <v>0</v>
      </c>
      <c r="O7" s="970" t="b">
        <v>0</v>
      </c>
      <c r="P7" s="970" t="b">
        <v>0</v>
      </c>
      <c r="Q7" s="978" t="s">
        <v>1507</v>
      </c>
    </row>
    <row r="8" spans="1:17" ht="27.75" customHeight="1">
      <c r="A8" s="993" t="s">
        <v>1505</v>
      </c>
      <c r="B8" s="976" t="s">
        <v>281</v>
      </c>
      <c r="C8" s="977">
        <v>140</v>
      </c>
      <c r="E8" s="970" t="b">
        <v>1</v>
      </c>
      <c r="F8" s="970" t="b">
        <v>0</v>
      </c>
      <c r="G8" s="970" t="b">
        <v>0</v>
      </c>
      <c r="H8" s="970" t="b">
        <v>0</v>
      </c>
      <c r="I8" s="970" t="b">
        <v>0</v>
      </c>
      <c r="J8" s="970" t="b">
        <v>0</v>
      </c>
      <c r="K8" s="970" t="b">
        <v>0</v>
      </c>
      <c r="L8" s="970" t="b">
        <v>0</v>
      </c>
      <c r="M8" s="970" t="b">
        <v>0</v>
      </c>
      <c r="N8" s="970" t="b">
        <v>0</v>
      </c>
      <c r="O8" s="970" t="b">
        <v>0</v>
      </c>
      <c r="P8" s="970" t="b">
        <v>0</v>
      </c>
      <c r="Q8" s="978" t="s">
        <v>1507</v>
      </c>
    </row>
    <row r="9" spans="1:17" ht="27.75" customHeight="1">
      <c r="A9" s="993" t="s">
        <v>1505</v>
      </c>
      <c r="B9" s="976" t="s">
        <v>282</v>
      </c>
      <c r="C9" s="977">
        <v>10.01</v>
      </c>
      <c r="E9" s="970" t="b">
        <v>1</v>
      </c>
      <c r="F9" s="970" t="b">
        <v>0</v>
      </c>
      <c r="G9" s="970" t="b">
        <v>0</v>
      </c>
      <c r="H9" s="970" t="b">
        <v>0</v>
      </c>
      <c r="I9" s="970" t="b">
        <v>0</v>
      </c>
      <c r="J9" s="970" t="b">
        <v>0</v>
      </c>
      <c r="K9" s="970" t="b">
        <v>0</v>
      </c>
      <c r="L9" s="970" t="b">
        <v>0</v>
      </c>
      <c r="M9" s="970" t="b">
        <v>0</v>
      </c>
      <c r="N9" s="970" t="b">
        <v>0</v>
      </c>
      <c r="O9" s="970" t="b">
        <v>0</v>
      </c>
      <c r="P9" s="970" t="b">
        <v>0</v>
      </c>
      <c r="Q9" s="978" t="s">
        <v>1507</v>
      </c>
    </row>
    <row r="10" spans="1:17" ht="27.75" customHeight="1">
      <c r="A10" s="993" t="s">
        <v>1505</v>
      </c>
      <c r="B10" s="976" t="s">
        <v>288</v>
      </c>
      <c r="C10" s="977">
        <v>13.669064748201439</v>
      </c>
      <c r="E10" s="970" t="b">
        <v>1</v>
      </c>
      <c r="F10" s="970" t="b">
        <v>0</v>
      </c>
      <c r="G10" s="970" t="b">
        <v>0</v>
      </c>
      <c r="H10" s="970" t="b">
        <v>0</v>
      </c>
      <c r="I10" s="970" t="b">
        <v>0</v>
      </c>
      <c r="J10" s="970" t="b">
        <v>0</v>
      </c>
      <c r="K10" s="970" t="b">
        <v>0</v>
      </c>
      <c r="L10" s="970" t="b">
        <v>0</v>
      </c>
      <c r="M10" s="970" t="b">
        <v>0</v>
      </c>
      <c r="N10" s="970" t="b">
        <v>0</v>
      </c>
      <c r="O10" s="970" t="b">
        <v>0</v>
      </c>
      <c r="P10" s="970" t="b">
        <v>0</v>
      </c>
      <c r="Q10" s="978" t="s">
        <v>1507</v>
      </c>
    </row>
    <row r="11" spans="1:17" ht="27.75" customHeight="1">
      <c r="A11" s="993" t="s">
        <v>1505</v>
      </c>
      <c r="B11" s="976" t="s">
        <v>290</v>
      </c>
      <c r="C11" s="977">
        <v>1.76</v>
      </c>
      <c r="E11" s="970" t="b">
        <v>1</v>
      </c>
      <c r="F11" s="970" t="b">
        <v>0</v>
      </c>
      <c r="G11" s="970" t="b">
        <v>0</v>
      </c>
      <c r="H11" s="970" t="b">
        <v>0</v>
      </c>
      <c r="I11" s="970" t="b">
        <v>0</v>
      </c>
      <c r="J11" s="970" t="b">
        <v>0</v>
      </c>
      <c r="K11" s="970" t="b">
        <v>0</v>
      </c>
      <c r="L11" s="970" t="b">
        <v>0</v>
      </c>
      <c r="M11" s="970" t="b">
        <v>0</v>
      </c>
      <c r="N11" s="970" t="b">
        <v>0</v>
      </c>
      <c r="O11" s="970" t="b">
        <v>0</v>
      </c>
      <c r="P11" s="970" t="b">
        <v>0</v>
      </c>
      <c r="Q11" s="978" t="s">
        <v>1507</v>
      </c>
    </row>
    <row r="12" spans="1:17" ht="27.75" customHeight="1">
      <c r="A12" s="993" t="s">
        <v>1505</v>
      </c>
      <c r="B12" s="976" t="s">
        <v>283</v>
      </c>
      <c r="C12" s="977">
        <v>0.49046874999999995</v>
      </c>
      <c r="E12" s="970" t="b">
        <v>1</v>
      </c>
      <c r="F12" s="970" t="b">
        <v>0</v>
      </c>
      <c r="G12" s="970" t="b">
        <v>0</v>
      </c>
      <c r="H12" s="970" t="b">
        <v>0</v>
      </c>
      <c r="I12" s="970" t="b">
        <v>0</v>
      </c>
      <c r="J12" s="970" t="b">
        <v>0</v>
      </c>
      <c r="K12" s="970" t="b">
        <v>0</v>
      </c>
      <c r="L12" s="970" t="b">
        <v>0</v>
      </c>
      <c r="M12" s="970" t="b">
        <v>0</v>
      </c>
      <c r="N12" s="970" t="b">
        <v>0</v>
      </c>
      <c r="O12" s="970" t="b">
        <v>0</v>
      </c>
      <c r="P12" s="970" t="b">
        <v>0</v>
      </c>
      <c r="Q12" s="978" t="s">
        <v>1507</v>
      </c>
    </row>
    <row r="13" spans="1:17" ht="27.75" customHeight="1">
      <c r="A13" s="993" t="s">
        <v>1505</v>
      </c>
      <c r="B13" s="976" t="s">
        <v>284</v>
      </c>
      <c r="C13" s="977">
        <v>0.26234374999999999</v>
      </c>
      <c r="E13" s="970" t="b">
        <v>1</v>
      </c>
      <c r="F13" s="970" t="b">
        <v>0</v>
      </c>
      <c r="G13" s="970" t="b">
        <v>0</v>
      </c>
      <c r="H13" s="970" t="b">
        <v>0</v>
      </c>
      <c r="I13" s="970" t="b">
        <v>0</v>
      </c>
      <c r="J13" s="970" t="b">
        <v>0</v>
      </c>
      <c r="K13" s="970" t="b">
        <v>0</v>
      </c>
      <c r="L13" s="970" t="b">
        <v>0</v>
      </c>
      <c r="M13" s="970" t="b">
        <v>0</v>
      </c>
      <c r="N13" s="970" t="b">
        <v>0</v>
      </c>
      <c r="O13" s="970" t="b">
        <v>0</v>
      </c>
      <c r="P13" s="970" t="b">
        <v>0</v>
      </c>
      <c r="Q13" s="978" t="s">
        <v>1507</v>
      </c>
    </row>
    <row r="14" spans="1:17" ht="27.75" customHeight="1">
      <c r="A14" s="993" t="s">
        <v>1505</v>
      </c>
      <c r="B14" s="976" t="s">
        <v>285</v>
      </c>
      <c r="C14" s="977">
        <v>0.1140625</v>
      </c>
      <c r="E14" s="970" t="b">
        <v>1</v>
      </c>
      <c r="F14" s="970" t="b">
        <v>0</v>
      </c>
      <c r="G14" s="970" t="b">
        <v>0</v>
      </c>
      <c r="H14" s="970" t="b">
        <v>0</v>
      </c>
      <c r="I14" s="970" t="b">
        <v>0</v>
      </c>
      <c r="J14" s="970" t="b">
        <v>0</v>
      </c>
      <c r="K14" s="970" t="b">
        <v>0</v>
      </c>
      <c r="L14" s="970" t="b">
        <v>0</v>
      </c>
      <c r="M14" s="970" t="b">
        <v>0</v>
      </c>
      <c r="N14" s="970" t="b">
        <v>0</v>
      </c>
      <c r="O14" s="970" t="b">
        <v>0</v>
      </c>
      <c r="P14" s="970" t="b">
        <v>0</v>
      </c>
      <c r="Q14" s="978" t="s">
        <v>1507</v>
      </c>
    </row>
    <row r="15" spans="1:17" ht="27.75" customHeight="1">
      <c r="A15" s="993" t="s">
        <v>1505</v>
      </c>
      <c r="B15" s="976" t="s">
        <v>286</v>
      </c>
      <c r="C15" s="977">
        <v>1.1341800000000003E-2</v>
      </c>
      <c r="E15" s="970" t="b">
        <v>1</v>
      </c>
      <c r="F15" s="970" t="b">
        <v>0</v>
      </c>
      <c r="G15" s="970" t="b">
        <v>0</v>
      </c>
      <c r="H15" s="970" t="b">
        <v>0</v>
      </c>
      <c r="I15" s="970" t="b">
        <v>0</v>
      </c>
      <c r="J15" s="970" t="b">
        <v>0</v>
      </c>
      <c r="K15" s="970" t="b">
        <v>0</v>
      </c>
      <c r="L15" s="970" t="b">
        <v>0</v>
      </c>
      <c r="M15" s="970" t="b">
        <v>0</v>
      </c>
      <c r="N15" s="970" t="b">
        <v>0</v>
      </c>
      <c r="O15" s="970" t="b">
        <v>0</v>
      </c>
      <c r="P15" s="970" t="b">
        <v>0</v>
      </c>
      <c r="Q15" s="978" t="s">
        <v>1507</v>
      </c>
    </row>
    <row r="16" spans="1:17" ht="27.75" customHeight="1">
      <c r="A16" s="993" t="s">
        <v>1505</v>
      </c>
      <c r="B16" s="976" t="s">
        <v>298</v>
      </c>
      <c r="C16" s="977">
        <v>350</v>
      </c>
      <c r="E16" s="970" t="b">
        <v>1</v>
      </c>
      <c r="F16" s="970" t="b">
        <v>0</v>
      </c>
      <c r="G16" s="970" t="b">
        <v>0</v>
      </c>
      <c r="H16" s="970" t="b">
        <v>0</v>
      </c>
      <c r="I16" s="970" t="b">
        <v>0</v>
      </c>
      <c r="J16" s="970" t="b">
        <v>0</v>
      </c>
      <c r="K16" s="970" t="b">
        <v>0</v>
      </c>
      <c r="L16" s="970" t="b">
        <v>0</v>
      </c>
      <c r="M16" s="970" t="b">
        <v>0</v>
      </c>
      <c r="N16" s="970" t="b">
        <v>0</v>
      </c>
      <c r="O16" s="970" t="b">
        <v>0</v>
      </c>
      <c r="P16" s="970" t="b">
        <v>0</v>
      </c>
      <c r="Q16" s="978" t="s">
        <v>1507</v>
      </c>
    </row>
    <row r="17" spans="1:17" ht="27.75" customHeight="1">
      <c r="A17" s="993" t="s">
        <v>1505</v>
      </c>
      <c r="B17" s="976" t="s">
        <v>299</v>
      </c>
      <c r="C17" s="977">
        <v>44</v>
      </c>
      <c r="E17" s="970" t="b">
        <v>1</v>
      </c>
      <c r="F17" s="970" t="b">
        <v>0</v>
      </c>
      <c r="G17" s="970" t="b">
        <v>0</v>
      </c>
      <c r="H17" s="970" t="b">
        <v>0</v>
      </c>
      <c r="I17" s="970" t="b">
        <v>0</v>
      </c>
      <c r="J17" s="970" t="b">
        <v>0</v>
      </c>
      <c r="K17" s="970" t="b">
        <v>0</v>
      </c>
      <c r="L17" s="970" t="b">
        <v>0</v>
      </c>
      <c r="M17" s="970" t="b">
        <v>0</v>
      </c>
      <c r="N17" s="970" t="b">
        <v>0</v>
      </c>
      <c r="O17" s="970" t="b">
        <v>0</v>
      </c>
      <c r="P17" s="970" t="b">
        <v>0</v>
      </c>
      <c r="Q17" s="978" t="s">
        <v>1507</v>
      </c>
    </row>
    <row r="18" spans="1:17" ht="27.75" customHeight="1">
      <c r="A18" s="993" t="s">
        <v>1505</v>
      </c>
      <c r="B18" s="976" t="s">
        <v>300</v>
      </c>
      <c r="C18" s="977">
        <v>72.039000000000001</v>
      </c>
      <c r="E18" s="970" t="b">
        <v>1</v>
      </c>
      <c r="F18" s="970" t="b">
        <v>0</v>
      </c>
      <c r="G18" s="970" t="b">
        <v>0</v>
      </c>
      <c r="H18" s="970" t="b">
        <v>0</v>
      </c>
      <c r="I18" s="970" t="b">
        <v>0</v>
      </c>
      <c r="J18" s="970" t="b">
        <v>0</v>
      </c>
      <c r="K18" s="970" t="b">
        <v>0</v>
      </c>
      <c r="L18" s="970" t="b">
        <v>0</v>
      </c>
      <c r="M18" s="970" t="b">
        <v>0</v>
      </c>
      <c r="N18" s="970" t="b">
        <v>0</v>
      </c>
      <c r="O18" s="970" t="b">
        <v>0</v>
      </c>
      <c r="P18" s="970" t="b">
        <v>0</v>
      </c>
      <c r="Q18" s="978" t="s">
        <v>1507</v>
      </c>
    </row>
    <row r="19" spans="1:17" ht="27.75" customHeight="1">
      <c r="A19" s="993" t="s">
        <v>1505</v>
      </c>
      <c r="B19" s="976" t="s">
        <v>301</v>
      </c>
      <c r="C19" s="977">
        <v>79.177999999999997</v>
      </c>
      <c r="E19" s="970" t="b">
        <v>1</v>
      </c>
      <c r="F19" s="970" t="b">
        <v>0</v>
      </c>
      <c r="G19" s="970" t="b">
        <v>0</v>
      </c>
      <c r="H19" s="970" t="b">
        <v>0</v>
      </c>
      <c r="I19" s="970" t="b">
        <v>0</v>
      </c>
      <c r="J19" s="970" t="b">
        <v>0</v>
      </c>
      <c r="K19" s="970" t="b">
        <v>0</v>
      </c>
      <c r="L19" s="970" t="b">
        <v>0</v>
      </c>
      <c r="M19" s="970" t="b">
        <v>0</v>
      </c>
      <c r="N19" s="970" t="b">
        <v>0</v>
      </c>
      <c r="O19" s="970" t="b">
        <v>0</v>
      </c>
      <c r="P19" s="970" t="b">
        <v>0</v>
      </c>
      <c r="Q19" s="978" t="s">
        <v>1507</v>
      </c>
    </row>
    <row r="20" spans="1:17" ht="27.75" customHeight="1">
      <c r="A20" s="993" t="s">
        <v>1505</v>
      </c>
      <c r="B20" s="976" t="s">
        <v>302</v>
      </c>
      <c r="C20" s="977">
        <v>51.744</v>
      </c>
      <c r="E20" s="970" t="b">
        <v>1</v>
      </c>
      <c r="F20" s="970" t="b">
        <v>0</v>
      </c>
      <c r="G20" s="970" t="b">
        <v>0</v>
      </c>
      <c r="H20" s="970" t="b">
        <v>0</v>
      </c>
      <c r="I20" s="970" t="b">
        <v>0</v>
      </c>
      <c r="J20" s="970" t="b">
        <v>0</v>
      </c>
      <c r="K20" s="970" t="b">
        <v>0</v>
      </c>
      <c r="L20" s="970" t="b">
        <v>0</v>
      </c>
      <c r="M20" s="970" t="b">
        <v>0</v>
      </c>
      <c r="N20" s="970" t="b">
        <v>0</v>
      </c>
      <c r="O20" s="970" t="b">
        <v>0</v>
      </c>
      <c r="P20" s="970" t="b">
        <v>0</v>
      </c>
      <c r="Q20" s="978" t="s">
        <v>1507</v>
      </c>
    </row>
    <row r="21" spans="1:17" ht="27.75" customHeight="1">
      <c r="A21" s="993" t="s">
        <v>1505</v>
      </c>
      <c r="B21" s="976" t="s">
        <v>303</v>
      </c>
      <c r="C21" s="977">
        <v>75.768000000000001</v>
      </c>
      <c r="E21" s="970" t="b">
        <v>1</v>
      </c>
      <c r="F21" s="970" t="b">
        <v>0</v>
      </c>
      <c r="G21" s="970" t="b">
        <v>0</v>
      </c>
      <c r="H21" s="970" t="b">
        <v>0</v>
      </c>
      <c r="I21" s="970" t="b">
        <v>0</v>
      </c>
      <c r="J21" s="970" t="b">
        <v>0</v>
      </c>
      <c r="K21" s="970" t="b">
        <v>0</v>
      </c>
      <c r="L21" s="970" t="b">
        <v>0</v>
      </c>
      <c r="M21" s="970" t="b">
        <v>0</v>
      </c>
      <c r="N21" s="970" t="b">
        <v>0</v>
      </c>
      <c r="O21" s="970" t="b">
        <v>0</v>
      </c>
      <c r="P21" s="970" t="b">
        <v>0</v>
      </c>
      <c r="Q21" s="978" t="s">
        <v>1507</v>
      </c>
    </row>
    <row r="22" spans="1:17" ht="27.75" customHeight="1">
      <c r="A22" s="993" t="s">
        <v>1505</v>
      </c>
      <c r="B22" s="976" t="s">
        <v>304</v>
      </c>
      <c r="C22" s="977">
        <v>140</v>
      </c>
      <c r="E22" s="970" t="b">
        <v>1</v>
      </c>
      <c r="F22" s="970" t="b">
        <v>0</v>
      </c>
      <c r="G22" s="970" t="b">
        <v>0</v>
      </c>
      <c r="H22" s="970" t="b">
        <v>0</v>
      </c>
      <c r="I22" s="970" t="b">
        <v>0</v>
      </c>
      <c r="J22" s="970" t="b">
        <v>0</v>
      </c>
      <c r="K22" s="970" t="b">
        <v>0</v>
      </c>
      <c r="L22" s="970" t="b">
        <v>0</v>
      </c>
      <c r="M22" s="970" t="b">
        <v>0</v>
      </c>
      <c r="N22" s="970" t="b">
        <v>0</v>
      </c>
      <c r="O22" s="970" t="b">
        <v>0</v>
      </c>
      <c r="P22" s="970" t="b">
        <v>0</v>
      </c>
      <c r="Q22" s="978" t="s">
        <v>1507</v>
      </c>
    </row>
    <row r="23" spans="1:17" ht="27.75" customHeight="1">
      <c r="A23" s="993" t="s">
        <v>1505</v>
      </c>
      <c r="B23" s="976" t="s">
        <v>305</v>
      </c>
      <c r="C23" s="977">
        <v>8.19</v>
      </c>
      <c r="E23" s="970" t="b">
        <v>1</v>
      </c>
      <c r="F23" s="970" t="b">
        <v>0</v>
      </c>
      <c r="G23" s="970" t="b">
        <v>0</v>
      </c>
      <c r="H23" s="970" t="b">
        <v>0</v>
      </c>
      <c r="I23" s="970" t="b">
        <v>0</v>
      </c>
      <c r="J23" s="970" t="b">
        <v>0</v>
      </c>
      <c r="K23" s="970" t="b">
        <v>0</v>
      </c>
      <c r="L23" s="970" t="b">
        <v>0</v>
      </c>
      <c r="M23" s="970" t="b">
        <v>0</v>
      </c>
      <c r="N23" s="970" t="b">
        <v>0</v>
      </c>
      <c r="O23" s="970" t="b">
        <v>0</v>
      </c>
      <c r="P23" s="970" t="b">
        <v>0</v>
      </c>
      <c r="Q23" s="978" t="s">
        <v>1507</v>
      </c>
    </row>
    <row r="24" spans="1:17" ht="27.75" customHeight="1">
      <c r="A24" s="993" t="s">
        <v>1505</v>
      </c>
      <c r="B24" s="976" t="s">
        <v>306</v>
      </c>
      <c r="C24" s="977">
        <v>5.8178400000000003</v>
      </c>
      <c r="E24" s="970" t="b">
        <v>1</v>
      </c>
      <c r="F24" s="970" t="b">
        <v>0</v>
      </c>
      <c r="G24" s="970" t="b">
        <v>0</v>
      </c>
      <c r="H24" s="970" t="b">
        <v>0</v>
      </c>
      <c r="I24" s="970" t="b">
        <v>0</v>
      </c>
      <c r="J24" s="970" t="b">
        <v>0</v>
      </c>
      <c r="K24" s="970" t="b">
        <v>0</v>
      </c>
      <c r="L24" s="970" t="b">
        <v>0</v>
      </c>
      <c r="M24" s="970" t="b">
        <v>0</v>
      </c>
      <c r="N24" s="970" t="b">
        <v>0</v>
      </c>
      <c r="O24" s="970" t="b">
        <v>0</v>
      </c>
      <c r="P24" s="970" t="b">
        <v>0</v>
      </c>
      <c r="Q24" s="978" t="s">
        <v>1507</v>
      </c>
    </row>
    <row r="25" spans="1:17" ht="27.75" customHeight="1">
      <c r="A25" s="993" t="s">
        <v>1505</v>
      </c>
      <c r="B25" s="976" t="s">
        <v>307</v>
      </c>
      <c r="C25" s="977">
        <v>2.35</v>
      </c>
      <c r="E25" s="970" t="b">
        <v>1</v>
      </c>
      <c r="F25" s="970" t="b">
        <v>0</v>
      </c>
      <c r="G25" s="970" t="b">
        <v>0</v>
      </c>
      <c r="H25" s="970" t="b">
        <v>0</v>
      </c>
      <c r="I25" s="970" t="b">
        <v>0</v>
      </c>
      <c r="J25" s="970" t="b">
        <v>0</v>
      </c>
      <c r="K25" s="970" t="b">
        <v>0</v>
      </c>
      <c r="L25" s="970" t="b">
        <v>0</v>
      </c>
      <c r="M25" s="970" t="b">
        <v>0</v>
      </c>
      <c r="N25" s="970" t="b">
        <v>0</v>
      </c>
      <c r="O25" s="970" t="b">
        <v>0</v>
      </c>
      <c r="P25" s="970" t="b">
        <v>0</v>
      </c>
      <c r="Q25" s="978" t="s">
        <v>1507</v>
      </c>
    </row>
    <row r="26" spans="1:17" ht="27.75" customHeight="1">
      <c r="A26" s="993" t="s">
        <v>1505</v>
      </c>
      <c r="B26" s="976" t="s">
        <v>308</v>
      </c>
      <c r="C26" s="977">
        <v>0.47906250000000006</v>
      </c>
      <c r="E26" s="970" t="b">
        <v>1</v>
      </c>
      <c r="F26" s="970" t="b">
        <v>0</v>
      </c>
      <c r="G26" s="970" t="b">
        <v>0</v>
      </c>
      <c r="H26" s="970" t="b">
        <v>0</v>
      </c>
      <c r="I26" s="970" t="b">
        <v>0</v>
      </c>
      <c r="J26" s="970" t="b">
        <v>0</v>
      </c>
      <c r="K26" s="970" t="b">
        <v>0</v>
      </c>
      <c r="L26" s="970" t="b">
        <v>0</v>
      </c>
      <c r="M26" s="970" t="b">
        <v>0</v>
      </c>
      <c r="N26" s="970" t="b">
        <v>0</v>
      </c>
      <c r="O26" s="970" t="b">
        <v>0</v>
      </c>
      <c r="P26" s="970" t="b">
        <v>0</v>
      </c>
      <c r="Q26" s="978" t="s">
        <v>1507</v>
      </c>
    </row>
    <row r="27" spans="1:17" ht="27.75" customHeight="1">
      <c r="A27" s="993" t="s">
        <v>1505</v>
      </c>
      <c r="B27" s="976" t="s">
        <v>309</v>
      </c>
      <c r="C27" s="977">
        <v>0.25093750000000004</v>
      </c>
      <c r="E27" s="970" t="b">
        <v>1</v>
      </c>
      <c r="F27" s="970" t="b">
        <v>0</v>
      </c>
      <c r="G27" s="970" t="b">
        <v>0</v>
      </c>
      <c r="H27" s="970" t="b">
        <v>0</v>
      </c>
      <c r="I27" s="970" t="b">
        <v>0</v>
      </c>
      <c r="J27" s="970" t="b">
        <v>0</v>
      </c>
      <c r="K27" s="970" t="b">
        <v>0</v>
      </c>
      <c r="L27" s="970" t="b">
        <v>0</v>
      </c>
      <c r="M27" s="970" t="b">
        <v>0</v>
      </c>
      <c r="N27" s="970" t="b">
        <v>0</v>
      </c>
      <c r="O27" s="970" t="b">
        <v>0</v>
      </c>
      <c r="P27" s="970" t="b">
        <v>0</v>
      </c>
      <c r="Q27" s="978" t="s">
        <v>1507</v>
      </c>
    </row>
    <row r="28" spans="1:17" ht="27.75" customHeight="1">
      <c r="A28" s="993" t="s">
        <v>1505</v>
      </c>
      <c r="B28" s="976" t="s">
        <v>310</v>
      </c>
      <c r="C28" s="977">
        <v>0.10721875</v>
      </c>
      <c r="E28" s="970" t="b">
        <v>1</v>
      </c>
      <c r="F28" s="970" t="b">
        <v>0</v>
      </c>
      <c r="G28" s="970" t="b">
        <v>0</v>
      </c>
      <c r="H28" s="970" t="b">
        <v>0</v>
      </c>
      <c r="I28" s="970" t="b">
        <v>0</v>
      </c>
      <c r="J28" s="970" t="b">
        <v>0</v>
      </c>
      <c r="K28" s="970" t="b">
        <v>0</v>
      </c>
      <c r="L28" s="970" t="b">
        <v>0</v>
      </c>
      <c r="M28" s="970" t="b">
        <v>0</v>
      </c>
      <c r="N28" s="970" t="b">
        <v>0</v>
      </c>
      <c r="O28" s="970" t="b">
        <v>0</v>
      </c>
      <c r="P28" s="970" t="b">
        <v>0</v>
      </c>
      <c r="Q28" s="978" t="s">
        <v>1507</v>
      </c>
    </row>
    <row r="29" spans="1:17" ht="27.75" customHeight="1">
      <c r="A29" s="993" t="s">
        <v>1505</v>
      </c>
      <c r="B29" s="976" t="s">
        <v>311</v>
      </c>
      <c r="C29" s="977">
        <v>1.1341800000000003E-2</v>
      </c>
      <c r="E29" s="970" t="b">
        <v>1</v>
      </c>
      <c r="F29" s="970" t="b">
        <v>0</v>
      </c>
      <c r="G29" s="970" t="b">
        <v>0</v>
      </c>
      <c r="H29" s="970" t="b">
        <v>0</v>
      </c>
      <c r="I29" s="970" t="b">
        <v>0</v>
      </c>
      <c r="J29" s="970" t="b">
        <v>0</v>
      </c>
      <c r="K29" s="970" t="b">
        <v>0</v>
      </c>
      <c r="L29" s="970" t="b">
        <v>0</v>
      </c>
      <c r="M29" s="970" t="b">
        <v>0</v>
      </c>
      <c r="N29" s="970" t="b">
        <v>0</v>
      </c>
      <c r="O29" s="970" t="b">
        <v>0</v>
      </c>
      <c r="P29" s="970" t="b">
        <v>0</v>
      </c>
      <c r="Q29" s="978" t="s">
        <v>1507</v>
      </c>
    </row>
    <row r="30" spans="1:17" ht="27.75" customHeight="1">
      <c r="A30" s="993" t="s">
        <v>1505</v>
      </c>
      <c r="B30" s="976" t="s">
        <v>321</v>
      </c>
      <c r="C30" s="977">
        <v>200</v>
      </c>
      <c r="E30" s="970" t="b">
        <v>1</v>
      </c>
      <c r="F30" s="970" t="b">
        <v>0</v>
      </c>
      <c r="G30" s="970" t="b">
        <v>0</v>
      </c>
      <c r="H30" s="970" t="b">
        <v>0</v>
      </c>
      <c r="I30" s="970" t="b">
        <v>0</v>
      </c>
      <c r="J30" s="970" t="b">
        <v>0</v>
      </c>
      <c r="K30" s="970" t="b">
        <v>0</v>
      </c>
      <c r="L30" s="970" t="b">
        <v>0</v>
      </c>
      <c r="M30" s="970" t="b">
        <v>0</v>
      </c>
      <c r="N30" s="970" t="b">
        <v>0</v>
      </c>
      <c r="O30" s="970" t="b">
        <v>0</v>
      </c>
      <c r="P30" s="970" t="b">
        <v>0</v>
      </c>
      <c r="Q30" s="978" t="s">
        <v>1507</v>
      </c>
    </row>
    <row r="31" spans="1:17" ht="27.75" customHeight="1">
      <c r="A31" s="993" t="s">
        <v>1505</v>
      </c>
      <c r="B31" s="976" t="s">
        <v>322</v>
      </c>
      <c r="C31" s="977">
        <v>43</v>
      </c>
      <c r="E31" s="970" t="b">
        <v>1</v>
      </c>
      <c r="F31" s="970" t="b">
        <v>0</v>
      </c>
      <c r="G31" s="970" t="b">
        <v>0</v>
      </c>
      <c r="H31" s="970" t="b">
        <v>0</v>
      </c>
      <c r="I31" s="970" t="b">
        <v>0</v>
      </c>
      <c r="J31" s="970" t="b">
        <v>0</v>
      </c>
      <c r="K31" s="970" t="b">
        <v>0</v>
      </c>
      <c r="L31" s="970" t="b">
        <v>0</v>
      </c>
      <c r="M31" s="970" t="b">
        <v>0</v>
      </c>
      <c r="N31" s="970" t="b">
        <v>0</v>
      </c>
      <c r="O31" s="970" t="b">
        <v>0</v>
      </c>
      <c r="P31" s="970" t="b">
        <v>0</v>
      </c>
      <c r="Q31" s="978" t="s">
        <v>1507</v>
      </c>
    </row>
    <row r="32" spans="1:17" ht="27.75" customHeight="1">
      <c r="A32" s="993" t="s">
        <v>1505</v>
      </c>
      <c r="B32" s="976" t="s">
        <v>1000</v>
      </c>
      <c r="C32" s="977">
        <v>39</v>
      </c>
      <c r="E32" s="970" t="b">
        <v>1</v>
      </c>
      <c r="F32" s="970" t="b">
        <v>0</v>
      </c>
      <c r="G32" s="970" t="b">
        <v>0</v>
      </c>
      <c r="H32" s="970" t="b">
        <v>0</v>
      </c>
      <c r="I32" s="970" t="b">
        <v>0</v>
      </c>
      <c r="J32" s="970" t="b">
        <v>0</v>
      </c>
      <c r="K32" s="970" t="b">
        <v>0</v>
      </c>
      <c r="L32" s="970" t="b">
        <v>0</v>
      </c>
      <c r="M32" s="970" t="b">
        <v>0</v>
      </c>
      <c r="N32" s="970" t="b">
        <v>0</v>
      </c>
      <c r="O32" s="970" t="b">
        <v>0</v>
      </c>
      <c r="P32" s="970" t="b">
        <v>0</v>
      </c>
      <c r="Q32" s="978" t="s">
        <v>1507</v>
      </c>
    </row>
    <row r="33" spans="1:17" ht="27.75" customHeight="1">
      <c r="A33" s="993" t="s">
        <v>1505</v>
      </c>
      <c r="B33" s="976" t="s">
        <v>1001</v>
      </c>
      <c r="C33" s="977">
        <v>13.14</v>
      </c>
      <c r="E33" s="970" t="b">
        <v>1</v>
      </c>
      <c r="F33" s="970" t="b">
        <v>0</v>
      </c>
      <c r="G33" s="970" t="b">
        <v>0</v>
      </c>
      <c r="H33" s="970" t="b">
        <v>0</v>
      </c>
      <c r="I33" s="970" t="b">
        <v>0</v>
      </c>
      <c r="J33" s="970" t="b">
        <v>0</v>
      </c>
      <c r="K33" s="970" t="b">
        <v>0</v>
      </c>
      <c r="L33" s="970" t="b">
        <v>0</v>
      </c>
      <c r="M33" s="970" t="b">
        <v>0</v>
      </c>
      <c r="N33" s="970" t="b">
        <v>0</v>
      </c>
      <c r="O33" s="970" t="b">
        <v>0</v>
      </c>
      <c r="P33" s="970" t="b">
        <v>0</v>
      </c>
      <c r="Q33" s="978" t="s">
        <v>1507</v>
      </c>
    </row>
    <row r="34" spans="1:17" ht="27.75" customHeight="1">
      <c r="A34" s="993" t="s">
        <v>1505</v>
      </c>
      <c r="B34" s="976" t="s">
        <v>1005</v>
      </c>
      <c r="C34" s="977">
        <v>56</v>
      </c>
      <c r="E34" s="970" t="b">
        <v>1</v>
      </c>
      <c r="F34" s="970" t="b">
        <v>0</v>
      </c>
      <c r="G34" s="970" t="b">
        <v>0</v>
      </c>
      <c r="H34" s="970" t="b">
        <v>0</v>
      </c>
      <c r="I34" s="970" t="b">
        <v>0</v>
      </c>
      <c r="J34" s="970" t="b">
        <v>0</v>
      </c>
      <c r="K34" s="970" t="b">
        <v>0</v>
      </c>
      <c r="L34" s="970" t="b">
        <v>0</v>
      </c>
      <c r="M34" s="970" t="b">
        <v>0</v>
      </c>
      <c r="N34" s="970" t="b">
        <v>0</v>
      </c>
      <c r="O34" s="970" t="b">
        <v>0</v>
      </c>
      <c r="P34" s="970" t="b">
        <v>0</v>
      </c>
      <c r="Q34" s="978" t="s">
        <v>1507</v>
      </c>
    </row>
    <row r="35" spans="1:17" ht="27.75" customHeight="1">
      <c r="A35" s="993" t="s">
        <v>1505</v>
      </c>
      <c r="B35" s="976" t="s">
        <v>1007</v>
      </c>
      <c r="C35" s="977">
        <v>8.2352941176470598</v>
      </c>
      <c r="E35" s="970" t="b">
        <v>1</v>
      </c>
      <c r="F35" s="970" t="b">
        <v>0</v>
      </c>
      <c r="G35" s="970" t="b">
        <v>0</v>
      </c>
      <c r="H35" s="970" t="b">
        <v>0</v>
      </c>
      <c r="I35" s="970" t="b">
        <v>0</v>
      </c>
      <c r="J35" s="970" t="b">
        <v>0</v>
      </c>
      <c r="K35" s="970" t="b">
        <v>0</v>
      </c>
      <c r="L35" s="970" t="b">
        <v>0</v>
      </c>
      <c r="M35" s="970" t="b">
        <v>0</v>
      </c>
      <c r="N35" s="970" t="b">
        <v>0</v>
      </c>
      <c r="O35" s="970" t="b">
        <v>0</v>
      </c>
      <c r="P35" s="970" t="b">
        <v>0</v>
      </c>
      <c r="Q35" s="978" t="s">
        <v>1507</v>
      </c>
    </row>
    <row r="36" spans="1:17" ht="27.75" customHeight="1">
      <c r="A36" s="993" t="s">
        <v>1505</v>
      </c>
      <c r="B36" s="976" t="s">
        <v>1008</v>
      </c>
      <c r="C36" s="977">
        <v>0.14000000000000001</v>
      </c>
      <c r="E36" s="970" t="b">
        <v>1</v>
      </c>
      <c r="F36" s="970" t="b">
        <v>0</v>
      </c>
      <c r="G36" s="970" t="b">
        <v>0</v>
      </c>
      <c r="H36" s="970" t="b">
        <v>0</v>
      </c>
      <c r="I36" s="970" t="b">
        <v>0</v>
      </c>
      <c r="J36" s="970" t="b">
        <v>0</v>
      </c>
      <c r="K36" s="970" t="b">
        <v>0</v>
      </c>
      <c r="L36" s="970" t="b">
        <v>0</v>
      </c>
      <c r="M36" s="970" t="b">
        <v>0</v>
      </c>
      <c r="N36" s="970" t="b">
        <v>0</v>
      </c>
      <c r="O36" s="970" t="b">
        <v>0</v>
      </c>
      <c r="P36" s="970" t="b">
        <v>0</v>
      </c>
      <c r="Q36" s="978" t="s">
        <v>1507</v>
      </c>
    </row>
    <row r="37" spans="1:17" ht="27.75" customHeight="1">
      <c r="A37" s="993" t="s">
        <v>1505</v>
      </c>
      <c r="B37" s="976" t="s">
        <v>1003</v>
      </c>
      <c r="C37" s="977">
        <v>0.95</v>
      </c>
      <c r="E37" s="970" t="b">
        <v>1</v>
      </c>
      <c r="F37" s="970" t="b">
        <v>0</v>
      </c>
      <c r="G37" s="970" t="b">
        <v>0</v>
      </c>
      <c r="H37" s="970" t="b">
        <v>0</v>
      </c>
      <c r="I37" s="970" t="b">
        <v>0</v>
      </c>
      <c r="J37" s="970" t="b">
        <v>0</v>
      </c>
      <c r="K37" s="970" t="b">
        <v>0</v>
      </c>
      <c r="L37" s="970" t="b">
        <v>0</v>
      </c>
      <c r="M37" s="970" t="b">
        <v>0</v>
      </c>
      <c r="N37" s="970" t="b">
        <v>0</v>
      </c>
      <c r="O37" s="970" t="b">
        <v>0</v>
      </c>
      <c r="P37" s="970" t="b">
        <v>0</v>
      </c>
      <c r="Q37" s="978" t="s">
        <v>1507</v>
      </c>
    </row>
    <row r="38" spans="1:17" ht="27.75" customHeight="1">
      <c r="A38" s="993" t="s">
        <v>1505</v>
      </c>
      <c r="B38" s="976" t="s">
        <v>1004</v>
      </c>
      <c r="C38" s="977">
        <v>9</v>
      </c>
      <c r="E38" s="970" t="b">
        <v>1</v>
      </c>
      <c r="F38" s="970" t="b">
        <v>0</v>
      </c>
      <c r="G38" s="970" t="b">
        <v>0</v>
      </c>
      <c r="H38" s="970" t="b">
        <v>0</v>
      </c>
      <c r="I38" s="970" t="b">
        <v>0</v>
      </c>
      <c r="J38" s="970" t="b">
        <v>0</v>
      </c>
      <c r="K38" s="970" t="b">
        <v>0</v>
      </c>
      <c r="L38" s="970" t="b">
        <v>0</v>
      </c>
      <c r="M38" s="970" t="b">
        <v>0</v>
      </c>
      <c r="N38" s="970" t="b">
        <v>0</v>
      </c>
      <c r="O38" s="970" t="b">
        <v>0</v>
      </c>
      <c r="P38" s="970" t="b">
        <v>0</v>
      </c>
      <c r="Q38" s="978" t="s">
        <v>1507</v>
      </c>
    </row>
    <row r="39" spans="1:17" ht="27.75" customHeight="1">
      <c r="A39" s="993" t="s">
        <v>1505</v>
      </c>
      <c r="B39" s="976" t="s">
        <v>517</v>
      </c>
      <c r="C39" s="977">
        <v>16.399999999999999</v>
      </c>
      <c r="E39" s="970" t="b">
        <v>1</v>
      </c>
      <c r="F39" s="970" t="b">
        <v>0</v>
      </c>
      <c r="G39" s="970" t="b">
        <v>0</v>
      </c>
      <c r="H39" s="970" t="b">
        <v>0</v>
      </c>
      <c r="I39" s="970" t="b">
        <v>0</v>
      </c>
      <c r="J39" s="970" t="b">
        <v>0</v>
      </c>
      <c r="K39" s="970" t="b">
        <v>0</v>
      </c>
      <c r="L39" s="970" t="b">
        <v>0</v>
      </c>
      <c r="M39" s="970" t="b">
        <v>0</v>
      </c>
      <c r="N39" s="970" t="b">
        <v>0</v>
      </c>
      <c r="O39" s="970" t="b">
        <v>0</v>
      </c>
      <c r="P39" s="970" t="b">
        <v>0</v>
      </c>
      <c r="Q39" s="978" t="s">
        <v>1507</v>
      </c>
    </row>
    <row r="40" spans="1:17" ht="27.75" customHeight="1">
      <c r="A40" s="993" t="s">
        <v>1505</v>
      </c>
      <c r="B40" s="976" t="s">
        <v>521</v>
      </c>
      <c r="C40" s="977">
        <v>67.496000000000009</v>
      </c>
      <c r="E40" s="970" t="b">
        <v>1</v>
      </c>
      <c r="F40" s="970" t="b">
        <v>0</v>
      </c>
      <c r="G40" s="970" t="b">
        <v>0</v>
      </c>
      <c r="H40" s="970" t="b">
        <v>0</v>
      </c>
      <c r="I40" s="970" t="b">
        <v>0</v>
      </c>
      <c r="J40" s="970" t="b">
        <v>0</v>
      </c>
      <c r="K40" s="970" t="b">
        <v>0</v>
      </c>
      <c r="L40" s="970" t="b">
        <v>0</v>
      </c>
      <c r="M40" s="970" t="b">
        <v>0</v>
      </c>
      <c r="N40" s="970" t="b">
        <v>0</v>
      </c>
      <c r="O40" s="970" t="b">
        <v>0</v>
      </c>
      <c r="P40" s="970" t="b">
        <v>0</v>
      </c>
      <c r="Q40" s="978" t="s">
        <v>1507</v>
      </c>
    </row>
    <row r="41" spans="1:17" ht="27.75" customHeight="1">
      <c r="A41" s="993" t="s">
        <v>1505</v>
      </c>
      <c r="B41" s="976" t="s">
        <v>523</v>
      </c>
      <c r="C41" s="977">
        <v>58.410000000000004</v>
      </c>
      <c r="E41" s="970" t="b">
        <v>1</v>
      </c>
      <c r="F41" s="970" t="b">
        <v>0</v>
      </c>
      <c r="G41" s="970" t="b">
        <v>0</v>
      </c>
      <c r="H41" s="970" t="b">
        <v>0</v>
      </c>
      <c r="I41" s="970" t="b">
        <v>0</v>
      </c>
      <c r="J41" s="970" t="b">
        <v>0</v>
      </c>
      <c r="K41" s="970" t="b">
        <v>0</v>
      </c>
      <c r="L41" s="970" t="b">
        <v>0</v>
      </c>
      <c r="M41" s="970" t="b">
        <v>0</v>
      </c>
      <c r="N41" s="970" t="b">
        <v>0</v>
      </c>
      <c r="O41" s="970" t="b">
        <v>0</v>
      </c>
      <c r="P41" s="970" t="b">
        <v>0</v>
      </c>
      <c r="Q41" s="978" t="s">
        <v>1507</v>
      </c>
    </row>
    <row r="42" spans="1:17" ht="27.75" customHeight="1">
      <c r="A42" s="993" t="s">
        <v>1505</v>
      </c>
      <c r="B42" s="976" t="s">
        <v>527</v>
      </c>
      <c r="C42" s="977">
        <v>0.48</v>
      </c>
      <c r="E42" s="970" t="b">
        <v>1</v>
      </c>
      <c r="F42" s="970" t="b">
        <v>0</v>
      </c>
      <c r="G42" s="970" t="b">
        <v>0</v>
      </c>
      <c r="H42" s="970" t="b">
        <v>0</v>
      </c>
      <c r="I42" s="970" t="b">
        <v>0</v>
      </c>
      <c r="J42" s="970" t="b">
        <v>0</v>
      </c>
      <c r="K42" s="970" t="b">
        <v>0</v>
      </c>
      <c r="L42" s="970" t="b">
        <v>0</v>
      </c>
      <c r="M42" s="970" t="b">
        <v>0</v>
      </c>
      <c r="N42" s="970" t="b">
        <v>0</v>
      </c>
      <c r="O42" s="970" t="b">
        <v>0</v>
      </c>
      <c r="P42" s="970" t="b">
        <v>0</v>
      </c>
      <c r="Q42" s="978" t="s">
        <v>1507</v>
      </c>
    </row>
    <row r="43" spans="1:17" ht="27.75" customHeight="1">
      <c r="A43" s="993" t="s">
        <v>1505</v>
      </c>
      <c r="B43" s="976" t="s">
        <v>530</v>
      </c>
      <c r="C43" s="977">
        <v>19.2</v>
      </c>
      <c r="E43" s="970" t="b">
        <v>1</v>
      </c>
      <c r="F43" s="970" t="b">
        <v>0</v>
      </c>
      <c r="G43" s="970" t="b">
        <v>0</v>
      </c>
      <c r="H43" s="970" t="b">
        <v>0</v>
      </c>
      <c r="I43" s="970" t="b">
        <v>0</v>
      </c>
      <c r="J43" s="970" t="b">
        <v>0</v>
      </c>
      <c r="K43" s="970" t="b">
        <v>0</v>
      </c>
      <c r="L43" s="970" t="b">
        <v>0</v>
      </c>
      <c r="M43" s="970" t="b">
        <v>0</v>
      </c>
      <c r="N43" s="970" t="b">
        <v>0</v>
      </c>
      <c r="O43" s="970" t="b">
        <v>0</v>
      </c>
      <c r="P43" s="970" t="b">
        <v>0</v>
      </c>
      <c r="Q43" s="978" t="s">
        <v>1507</v>
      </c>
    </row>
    <row r="44" spans="1:17" ht="27.75" customHeight="1">
      <c r="A44" s="993" t="s">
        <v>1505</v>
      </c>
      <c r="B44" s="976" t="s">
        <v>533</v>
      </c>
      <c r="C44" s="977">
        <v>8.3000000000000007</v>
      </c>
      <c r="E44" s="970" t="b">
        <v>1</v>
      </c>
      <c r="F44" s="970" t="b">
        <v>0</v>
      </c>
      <c r="G44" s="970" t="b">
        <v>0</v>
      </c>
      <c r="H44" s="970" t="b">
        <v>0</v>
      </c>
      <c r="I44" s="970" t="b">
        <v>0</v>
      </c>
      <c r="J44" s="970" t="b">
        <v>0</v>
      </c>
      <c r="K44" s="970" t="b">
        <v>0</v>
      </c>
      <c r="L44" s="970" t="b">
        <v>0</v>
      </c>
      <c r="M44" s="970" t="b">
        <v>0</v>
      </c>
      <c r="N44" s="970" t="b">
        <v>0</v>
      </c>
      <c r="O44" s="970" t="b">
        <v>0</v>
      </c>
      <c r="P44" s="970" t="b">
        <v>0</v>
      </c>
      <c r="Q44" s="978" t="s">
        <v>1507</v>
      </c>
    </row>
    <row r="45" spans="1:17" ht="27.75" customHeight="1">
      <c r="A45" s="993" t="s">
        <v>1505</v>
      </c>
      <c r="B45" s="976" t="s">
        <v>536</v>
      </c>
      <c r="C45" s="977">
        <v>8</v>
      </c>
      <c r="E45" s="970" t="b">
        <v>1</v>
      </c>
      <c r="F45" s="970" t="b">
        <v>0</v>
      </c>
      <c r="G45" s="970" t="b">
        <v>0</v>
      </c>
      <c r="H45" s="970" t="b">
        <v>0</v>
      </c>
      <c r="I45" s="970" t="b">
        <v>0</v>
      </c>
      <c r="J45" s="970" t="b">
        <v>0</v>
      </c>
      <c r="K45" s="970" t="b">
        <v>0</v>
      </c>
      <c r="L45" s="970" t="b">
        <v>0</v>
      </c>
      <c r="M45" s="970" t="b">
        <v>0</v>
      </c>
      <c r="N45" s="970" t="b">
        <v>0</v>
      </c>
      <c r="O45" s="970" t="b">
        <v>0</v>
      </c>
      <c r="P45" s="970" t="b">
        <v>0</v>
      </c>
      <c r="Q45" s="978" t="s">
        <v>1507</v>
      </c>
    </row>
    <row r="46" spans="1:17" ht="27.75" customHeight="1">
      <c r="A46" s="993" t="s">
        <v>1505</v>
      </c>
      <c r="B46" s="1001" t="s">
        <v>539</v>
      </c>
      <c r="C46" s="1002">
        <v>5.5</v>
      </c>
      <c r="D46" s="1003"/>
      <c r="E46" s="1003" t="b">
        <v>1</v>
      </c>
      <c r="F46" s="1003" t="b">
        <v>0</v>
      </c>
      <c r="G46" s="1003" t="b">
        <v>0</v>
      </c>
      <c r="H46" s="1003" t="b">
        <v>0</v>
      </c>
      <c r="I46" s="1003" t="b">
        <v>0</v>
      </c>
      <c r="J46" s="1003" t="b">
        <v>0</v>
      </c>
      <c r="K46" s="1003" t="b">
        <v>0</v>
      </c>
      <c r="L46" s="1003" t="b">
        <v>0</v>
      </c>
      <c r="M46" s="1003" t="b">
        <v>0</v>
      </c>
      <c r="N46" s="1003" t="b">
        <v>0</v>
      </c>
      <c r="O46" s="1003" t="b">
        <v>0</v>
      </c>
      <c r="P46" s="1003" t="b">
        <v>0</v>
      </c>
      <c r="Q46" s="1001" t="s">
        <v>1507</v>
      </c>
    </row>
    <row r="47" spans="1:17" ht="27.75" customHeight="1">
      <c r="A47" s="993" t="s">
        <v>1505</v>
      </c>
      <c r="B47" s="976" t="s">
        <v>571</v>
      </c>
      <c r="C47" s="977">
        <v>23.700000000000003</v>
      </c>
      <c r="E47" s="970" t="b">
        <v>1</v>
      </c>
      <c r="F47" s="970" t="b">
        <v>0</v>
      </c>
      <c r="G47" s="970" t="b">
        <v>0</v>
      </c>
      <c r="H47" s="970" t="b">
        <v>0</v>
      </c>
      <c r="I47" s="970" t="b">
        <v>0</v>
      </c>
      <c r="J47" s="970" t="b">
        <v>0</v>
      </c>
      <c r="K47" s="970" t="b">
        <v>0</v>
      </c>
      <c r="L47" s="970" t="b">
        <v>0</v>
      </c>
      <c r="M47" s="970" t="b">
        <v>0</v>
      </c>
      <c r="N47" s="970" t="b">
        <v>0</v>
      </c>
      <c r="O47" s="970" t="b">
        <v>0</v>
      </c>
      <c r="P47" s="970" t="b">
        <v>0</v>
      </c>
      <c r="Q47" s="978" t="s">
        <v>1507</v>
      </c>
    </row>
    <row r="48" spans="1:17" ht="27.75" customHeight="1">
      <c r="A48" s="993" t="s">
        <v>1505</v>
      </c>
      <c r="B48" s="976" t="s">
        <v>575</v>
      </c>
      <c r="C48" s="977">
        <v>22.12</v>
      </c>
      <c r="E48" s="970" t="b">
        <v>1</v>
      </c>
      <c r="F48" s="970" t="b">
        <v>0</v>
      </c>
      <c r="G48" s="970" t="b">
        <v>0</v>
      </c>
      <c r="H48" s="970" t="b">
        <v>0</v>
      </c>
      <c r="I48" s="970" t="b">
        <v>0</v>
      </c>
      <c r="J48" s="970" t="b">
        <v>0</v>
      </c>
      <c r="K48" s="970" t="b">
        <v>0</v>
      </c>
      <c r="L48" s="970" t="b">
        <v>0</v>
      </c>
      <c r="M48" s="970" t="b">
        <v>0</v>
      </c>
      <c r="N48" s="970" t="b">
        <v>0</v>
      </c>
      <c r="O48" s="970" t="b">
        <v>0</v>
      </c>
      <c r="P48" s="970" t="b">
        <v>0</v>
      </c>
      <c r="Q48" s="978" t="s">
        <v>1507</v>
      </c>
    </row>
    <row r="49" spans="1:17" ht="27.75" customHeight="1">
      <c r="A49" s="993" t="s">
        <v>1505</v>
      </c>
      <c r="B49" s="976" t="s">
        <v>577</v>
      </c>
      <c r="C49" s="977">
        <v>234.72000000000003</v>
      </c>
      <c r="E49" s="970" t="b">
        <v>1</v>
      </c>
      <c r="F49" s="970" t="b">
        <v>0</v>
      </c>
      <c r="G49" s="970" t="b">
        <v>0</v>
      </c>
      <c r="H49" s="970" t="b">
        <v>0</v>
      </c>
      <c r="I49" s="970" t="b">
        <v>0</v>
      </c>
      <c r="J49" s="970" t="b">
        <v>0</v>
      </c>
      <c r="K49" s="970" t="b">
        <v>0</v>
      </c>
      <c r="L49" s="970" t="b">
        <v>0</v>
      </c>
      <c r="M49" s="970" t="b">
        <v>0</v>
      </c>
      <c r="N49" s="970" t="b">
        <v>0</v>
      </c>
      <c r="O49" s="970" t="b">
        <v>0</v>
      </c>
      <c r="P49" s="970" t="b">
        <v>0</v>
      </c>
      <c r="Q49" s="978" t="s">
        <v>1507</v>
      </c>
    </row>
    <row r="50" spans="1:17" ht="27.75" customHeight="1">
      <c r="A50" s="993" t="s">
        <v>1505</v>
      </c>
      <c r="B50" s="976" t="s">
        <v>580</v>
      </c>
      <c r="C50" s="977">
        <v>137.5</v>
      </c>
      <c r="E50" s="970" t="b">
        <v>1</v>
      </c>
      <c r="F50" s="970" t="b">
        <v>0</v>
      </c>
      <c r="G50" s="970" t="b">
        <v>0</v>
      </c>
      <c r="H50" s="970" t="b">
        <v>0</v>
      </c>
      <c r="I50" s="970" t="b">
        <v>0</v>
      </c>
      <c r="J50" s="970" t="b">
        <v>0</v>
      </c>
      <c r="K50" s="970" t="b">
        <v>0</v>
      </c>
      <c r="L50" s="970" t="b">
        <v>0</v>
      </c>
      <c r="M50" s="970" t="b">
        <v>0</v>
      </c>
      <c r="N50" s="970" t="b">
        <v>0</v>
      </c>
      <c r="O50" s="970" t="b">
        <v>0</v>
      </c>
      <c r="P50" s="970" t="b">
        <v>0</v>
      </c>
      <c r="Q50" s="978" t="s">
        <v>1507</v>
      </c>
    </row>
    <row r="51" spans="1:17" ht="27.75" customHeight="1">
      <c r="A51" s="993" t="s">
        <v>1505</v>
      </c>
      <c r="B51" s="976" t="s">
        <v>582</v>
      </c>
      <c r="C51" s="977">
        <v>5.25</v>
      </c>
      <c r="E51" s="970" t="b">
        <v>1</v>
      </c>
      <c r="F51" s="970" t="b">
        <v>0</v>
      </c>
      <c r="G51" s="970" t="b">
        <v>0</v>
      </c>
      <c r="H51" s="970" t="b">
        <v>0</v>
      </c>
      <c r="I51" s="970" t="b">
        <v>0</v>
      </c>
      <c r="J51" s="970" t="b">
        <v>0</v>
      </c>
      <c r="K51" s="970" t="b">
        <v>0</v>
      </c>
      <c r="L51" s="970" t="b">
        <v>0</v>
      </c>
      <c r="M51" s="970" t="b">
        <v>0</v>
      </c>
      <c r="N51" s="970" t="b">
        <v>0</v>
      </c>
      <c r="O51" s="970" t="b">
        <v>0</v>
      </c>
      <c r="P51" s="970" t="b">
        <v>0</v>
      </c>
      <c r="Q51" s="978" t="s">
        <v>1507</v>
      </c>
    </row>
    <row r="52" spans="1:17" ht="27.75" customHeight="1">
      <c r="A52" s="993" t="s">
        <v>1505</v>
      </c>
      <c r="B52" s="976" t="s">
        <v>584</v>
      </c>
      <c r="C52" s="977">
        <v>150</v>
      </c>
      <c r="E52" s="970" t="b">
        <v>1</v>
      </c>
      <c r="F52" s="970" t="b">
        <v>0</v>
      </c>
      <c r="G52" s="970" t="b">
        <v>0</v>
      </c>
      <c r="H52" s="970" t="b">
        <v>0</v>
      </c>
      <c r="I52" s="970" t="b">
        <v>0</v>
      </c>
      <c r="J52" s="970" t="b">
        <v>0</v>
      </c>
      <c r="K52" s="970" t="b">
        <v>0</v>
      </c>
      <c r="L52" s="970" t="b">
        <v>0</v>
      </c>
      <c r="M52" s="970" t="b">
        <v>0</v>
      </c>
      <c r="N52" s="970" t="b">
        <v>0</v>
      </c>
      <c r="O52" s="970" t="b">
        <v>0</v>
      </c>
      <c r="P52" s="970" t="b">
        <v>0</v>
      </c>
      <c r="Q52" s="978" t="s">
        <v>1507</v>
      </c>
    </row>
    <row r="53" spans="1:17" ht="27.75" customHeight="1">
      <c r="A53" s="993" t="s">
        <v>1505</v>
      </c>
      <c r="B53" s="976" t="s">
        <v>585</v>
      </c>
      <c r="C53" s="977">
        <v>4.375</v>
      </c>
      <c r="E53" s="970" t="b">
        <v>1</v>
      </c>
      <c r="F53" s="970" t="b">
        <v>0</v>
      </c>
      <c r="G53" s="970" t="b">
        <v>0</v>
      </c>
      <c r="H53" s="970" t="b">
        <v>0</v>
      </c>
      <c r="I53" s="970" t="b">
        <v>0</v>
      </c>
      <c r="J53" s="970" t="b">
        <v>0</v>
      </c>
      <c r="K53" s="970" t="b">
        <v>0</v>
      </c>
      <c r="L53" s="970" t="b">
        <v>0</v>
      </c>
      <c r="M53" s="970" t="b">
        <v>0</v>
      </c>
      <c r="N53" s="970" t="b">
        <v>0</v>
      </c>
      <c r="O53" s="970" t="b">
        <v>0</v>
      </c>
      <c r="P53" s="970" t="b">
        <v>0</v>
      </c>
      <c r="Q53" s="978" t="s">
        <v>1507</v>
      </c>
    </row>
    <row r="54" spans="1:17" ht="27.75" customHeight="1">
      <c r="A54" s="993" t="s">
        <v>1505</v>
      </c>
      <c r="B54" s="976" t="s">
        <v>586</v>
      </c>
      <c r="C54" s="977">
        <v>146.25</v>
      </c>
      <c r="E54" s="970" t="b">
        <v>1</v>
      </c>
      <c r="F54" s="970" t="b">
        <v>0</v>
      </c>
      <c r="G54" s="970" t="b">
        <v>0</v>
      </c>
      <c r="H54" s="970" t="b">
        <v>0</v>
      </c>
      <c r="I54" s="970" t="b">
        <v>0</v>
      </c>
      <c r="J54" s="970" t="b">
        <v>0</v>
      </c>
      <c r="K54" s="970" t="b">
        <v>0</v>
      </c>
      <c r="L54" s="970" t="b">
        <v>0</v>
      </c>
      <c r="M54" s="970" t="b">
        <v>0</v>
      </c>
      <c r="N54" s="970" t="b">
        <v>0</v>
      </c>
      <c r="O54" s="970" t="b">
        <v>0</v>
      </c>
      <c r="P54" s="970" t="b">
        <v>0</v>
      </c>
      <c r="Q54" s="978" t="s">
        <v>1507</v>
      </c>
    </row>
    <row r="55" spans="1:17" ht="27.75" customHeight="1">
      <c r="A55" s="993" t="s">
        <v>1505</v>
      </c>
      <c r="B55" s="976" t="s">
        <v>587</v>
      </c>
      <c r="C55" s="977">
        <v>4.5</v>
      </c>
      <c r="E55" s="970" t="b">
        <v>1</v>
      </c>
      <c r="F55" s="970" t="b">
        <v>0</v>
      </c>
      <c r="G55" s="970" t="b">
        <v>0</v>
      </c>
      <c r="H55" s="970" t="b">
        <v>0</v>
      </c>
      <c r="I55" s="970" t="b">
        <v>0</v>
      </c>
      <c r="J55" s="970" t="b">
        <v>0</v>
      </c>
      <c r="K55" s="970" t="b">
        <v>0</v>
      </c>
      <c r="L55" s="970" t="b">
        <v>0</v>
      </c>
      <c r="M55" s="970" t="b">
        <v>0</v>
      </c>
      <c r="N55" s="970" t="b">
        <v>0</v>
      </c>
      <c r="O55" s="970" t="b">
        <v>0</v>
      </c>
      <c r="P55" s="970" t="b">
        <v>0</v>
      </c>
      <c r="Q55" s="978" t="s">
        <v>1507</v>
      </c>
    </row>
    <row r="56" spans="1:17" ht="27.75" customHeight="1">
      <c r="A56" s="993" t="s">
        <v>1505</v>
      </c>
      <c r="B56" s="976" t="s">
        <v>588</v>
      </c>
      <c r="C56" s="977">
        <v>10.816000000000001</v>
      </c>
      <c r="E56" s="970" t="b">
        <v>1</v>
      </c>
      <c r="F56" s="970" t="b">
        <v>0</v>
      </c>
      <c r="G56" s="970" t="b">
        <v>0</v>
      </c>
      <c r="H56" s="970" t="b">
        <v>0</v>
      </c>
      <c r="I56" s="970" t="b">
        <v>0</v>
      </c>
      <c r="J56" s="970" t="b">
        <v>0</v>
      </c>
      <c r="K56" s="970" t="b">
        <v>0</v>
      </c>
      <c r="L56" s="970" t="b">
        <v>0</v>
      </c>
      <c r="M56" s="970" t="b">
        <v>0</v>
      </c>
      <c r="N56" s="970" t="b">
        <v>0</v>
      </c>
      <c r="O56" s="970" t="b">
        <v>0</v>
      </c>
      <c r="P56" s="970" t="b">
        <v>0</v>
      </c>
      <c r="Q56" s="978" t="s">
        <v>1507</v>
      </c>
    </row>
    <row r="57" spans="1:17" ht="27.75" customHeight="1">
      <c r="A57" s="993" t="s">
        <v>1505</v>
      </c>
      <c r="B57" s="976" t="s">
        <v>591</v>
      </c>
      <c r="C57" s="977">
        <v>7</v>
      </c>
      <c r="E57" s="970" t="b">
        <v>1</v>
      </c>
      <c r="F57" s="970" t="b">
        <v>0</v>
      </c>
      <c r="G57" s="970" t="b">
        <v>0</v>
      </c>
      <c r="H57" s="970" t="b">
        <v>0</v>
      </c>
      <c r="I57" s="970" t="b">
        <v>0</v>
      </c>
      <c r="J57" s="970" t="b">
        <v>0</v>
      </c>
      <c r="K57" s="970" t="b">
        <v>0</v>
      </c>
      <c r="L57" s="970" t="b">
        <v>0</v>
      </c>
      <c r="M57" s="970" t="b">
        <v>0</v>
      </c>
      <c r="N57" s="970" t="b">
        <v>0</v>
      </c>
      <c r="O57" s="970" t="b">
        <v>0</v>
      </c>
      <c r="P57" s="970" t="b">
        <v>0</v>
      </c>
      <c r="Q57" s="978" t="s">
        <v>1507</v>
      </c>
    </row>
    <row r="58" spans="1:17" ht="27.75" customHeight="1">
      <c r="A58" s="993" t="s">
        <v>1505</v>
      </c>
      <c r="B58" s="976" t="s">
        <v>599</v>
      </c>
      <c r="C58" s="977">
        <v>5.62</v>
      </c>
      <c r="E58" s="970" t="b">
        <v>1</v>
      </c>
      <c r="F58" s="970" t="b">
        <v>0</v>
      </c>
      <c r="G58" s="970" t="b">
        <v>0</v>
      </c>
      <c r="H58" s="970" t="b">
        <v>0</v>
      </c>
      <c r="I58" s="970" t="b">
        <v>0</v>
      </c>
      <c r="J58" s="970" t="b">
        <v>0</v>
      </c>
      <c r="K58" s="970" t="b">
        <v>0</v>
      </c>
      <c r="L58" s="970" t="b">
        <v>0</v>
      </c>
      <c r="M58" s="970" t="b">
        <v>0</v>
      </c>
      <c r="N58" s="970" t="b">
        <v>0</v>
      </c>
      <c r="O58" s="970" t="b">
        <v>0</v>
      </c>
      <c r="P58" s="970" t="b">
        <v>0</v>
      </c>
      <c r="Q58" s="978" t="s">
        <v>1507</v>
      </c>
    </row>
  </sheetData>
  <phoneticPr fontId="6"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31"/>
  <sheetViews>
    <sheetView zoomScale="70" zoomScaleNormal="70" workbookViewId="0">
      <selection activeCell="A32" sqref="A32:XFD45"/>
    </sheetView>
  </sheetViews>
  <sheetFormatPr defaultRowHeight="24" customHeight="1"/>
  <cols>
    <col min="1" max="1" width="32.625" style="992" customWidth="1"/>
    <col min="2" max="2" width="24.375" style="982" customWidth="1"/>
    <col min="3" max="3" width="26.375" style="983" customWidth="1"/>
    <col min="4" max="4" width="9" style="970"/>
    <col min="5" max="16" width="9" style="970" hidden="1" customWidth="1"/>
    <col min="17" max="16384" width="9" style="970"/>
  </cols>
  <sheetData>
    <row r="1" spans="1:17" ht="65.25" customHeight="1">
      <c r="A1" s="988" t="s">
        <v>360</v>
      </c>
      <c r="B1" s="968"/>
      <c r="C1" s="969"/>
    </row>
    <row r="2" spans="1:17" s="973" customFormat="1" ht="24" customHeight="1">
      <c r="A2" s="991" t="s">
        <v>361</v>
      </c>
      <c r="B2" s="971" t="s">
        <v>362</v>
      </c>
      <c r="C2" s="972" t="s">
        <v>370</v>
      </c>
      <c r="E2" s="974">
        <v>1</v>
      </c>
      <c r="F2" s="974" t="s">
        <v>890</v>
      </c>
      <c r="G2" s="974">
        <v>2</v>
      </c>
      <c r="H2" s="974" t="s">
        <v>890</v>
      </c>
      <c r="I2" s="974">
        <v>3</v>
      </c>
      <c r="J2" s="974" t="s">
        <v>890</v>
      </c>
      <c r="K2" s="974">
        <v>4</v>
      </c>
      <c r="L2" s="974" t="s">
        <v>890</v>
      </c>
      <c r="M2" s="974">
        <v>5</v>
      </c>
      <c r="N2" s="974" t="s">
        <v>890</v>
      </c>
      <c r="O2" s="974">
        <v>6</v>
      </c>
      <c r="P2" s="974" t="s">
        <v>890</v>
      </c>
      <c r="Q2" s="975">
        <v>2</v>
      </c>
    </row>
    <row r="3" spans="1:17" s="973" customFormat="1" ht="24" customHeight="1">
      <c r="A3" s="991" t="s">
        <v>385</v>
      </c>
      <c r="B3" s="971" t="s">
        <v>386</v>
      </c>
      <c r="C3" s="972" t="s">
        <v>393</v>
      </c>
      <c r="Q3" s="985"/>
    </row>
    <row r="4" spans="1:17" ht="24" customHeight="1">
      <c r="A4" s="990" t="s">
        <v>1509</v>
      </c>
      <c r="B4" s="976" t="s">
        <v>277</v>
      </c>
      <c r="C4" s="977">
        <v>29.6</v>
      </c>
      <c r="E4" s="970" t="b">
        <v>0</v>
      </c>
      <c r="F4" s="970" t="b">
        <v>0</v>
      </c>
      <c r="G4" s="970" t="b">
        <v>1</v>
      </c>
      <c r="H4" s="970" t="b">
        <v>0</v>
      </c>
      <c r="I4" s="970" t="b">
        <v>0</v>
      </c>
      <c r="J4" s="970" t="b">
        <v>0</v>
      </c>
      <c r="K4" s="970" t="b">
        <v>0</v>
      </c>
      <c r="L4" s="970" t="b">
        <v>0</v>
      </c>
      <c r="M4" s="970" t="b">
        <v>0</v>
      </c>
      <c r="N4" s="970" t="b">
        <v>0</v>
      </c>
      <c r="O4" s="970" t="b">
        <v>0</v>
      </c>
      <c r="P4" s="970" t="b">
        <v>0</v>
      </c>
      <c r="Q4" s="978" t="s">
        <v>1507</v>
      </c>
    </row>
    <row r="5" spans="1:17" ht="24" customHeight="1">
      <c r="A5" s="993" t="s">
        <v>1508</v>
      </c>
      <c r="B5" s="976" t="s">
        <v>278</v>
      </c>
      <c r="C5" s="977">
        <v>30</v>
      </c>
      <c r="E5" s="970" t="b">
        <v>0</v>
      </c>
      <c r="F5" s="970" t="b">
        <v>0</v>
      </c>
      <c r="G5" s="970" t="b">
        <v>1</v>
      </c>
      <c r="H5" s="970" t="b">
        <v>0</v>
      </c>
      <c r="I5" s="970" t="b">
        <v>0</v>
      </c>
      <c r="J5" s="970" t="b">
        <v>0</v>
      </c>
      <c r="K5" s="970" t="b">
        <v>0</v>
      </c>
      <c r="L5" s="970" t="b">
        <v>0</v>
      </c>
      <c r="M5" s="970" t="b">
        <v>0</v>
      </c>
      <c r="N5" s="970" t="b">
        <v>0</v>
      </c>
      <c r="O5" s="970" t="b">
        <v>0</v>
      </c>
      <c r="P5" s="970" t="b">
        <v>0</v>
      </c>
      <c r="Q5" s="978" t="s">
        <v>1507</v>
      </c>
    </row>
    <row r="6" spans="1:17" ht="24" customHeight="1">
      <c r="A6" s="993" t="s">
        <v>1508</v>
      </c>
      <c r="B6" s="976" t="s">
        <v>279</v>
      </c>
      <c r="C6" s="977">
        <v>65.2</v>
      </c>
      <c r="E6" s="970" t="b">
        <v>0</v>
      </c>
      <c r="F6" s="970" t="b">
        <v>0</v>
      </c>
      <c r="G6" s="970" t="b">
        <v>1</v>
      </c>
      <c r="H6" s="970" t="b">
        <v>0</v>
      </c>
      <c r="I6" s="970" t="b">
        <v>0</v>
      </c>
      <c r="J6" s="970" t="b">
        <v>0</v>
      </c>
      <c r="K6" s="970" t="b">
        <v>0</v>
      </c>
      <c r="L6" s="970" t="b">
        <v>0</v>
      </c>
      <c r="M6" s="970" t="b">
        <v>0</v>
      </c>
      <c r="N6" s="970" t="b">
        <v>0</v>
      </c>
      <c r="O6" s="970" t="b">
        <v>0</v>
      </c>
      <c r="P6" s="970" t="b">
        <v>0</v>
      </c>
      <c r="Q6" s="978" t="s">
        <v>1507</v>
      </c>
    </row>
    <row r="7" spans="1:17" ht="24" customHeight="1">
      <c r="A7" s="993" t="s">
        <v>1508</v>
      </c>
      <c r="B7" s="976" t="s">
        <v>280</v>
      </c>
      <c r="C7" s="977">
        <v>71.2</v>
      </c>
      <c r="E7" s="970" t="b">
        <v>0</v>
      </c>
      <c r="F7" s="970" t="b">
        <v>0</v>
      </c>
      <c r="G7" s="970" t="b">
        <v>1</v>
      </c>
      <c r="H7" s="970" t="b">
        <v>0</v>
      </c>
      <c r="I7" s="970" t="b">
        <v>0</v>
      </c>
      <c r="J7" s="970" t="b">
        <v>0</v>
      </c>
      <c r="K7" s="970" t="b">
        <v>0</v>
      </c>
      <c r="L7" s="970" t="b">
        <v>0</v>
      </c>
      <c r="M7" s="970" t="b">
        <v>0</v>
      </c>
      <c r="N7" s="970" t="b">
        <v>0</v>
      </c>
      <c r="O7" s="970" t="b">
        <v>0</v>
      </c>
      <c r="P7" s="970" t="b">
        <v>0</v>
      </c>
      <c r="Q7" s="978" t="s">
        <v>1507</v>
      </c>
    </row>
    <row r="8" spans="1:17" ht="24" customHeight="1">
      <c r="A8" s="993" t="s">
        <v>1508</v>
      </c>
      <c r="B8" s="976" t="s">
        <v>281</v>
      </c>
      <c r="C8" s="977">
        <v>139.19999999999999</v>
      </c>
      <c r="E8" s="970" t="b">
        <v>0</v>
      </c>
      <c r="F8" s="970" t="b">
        <v>0</v>
      </c>
      <c r="G8" s="970" t="b">
        <v>1</v>
      </c>
      <c r="H8" s="970" t="b">
        <v>0</v>
      </c>
      <c r="I8" s="970" t="b">
        <v>0</v>
      </c>
      <c r="J8" s="970" t="b">
        <v>0</v>
      </c>
      <c r="K8" s="970" t="b">
        <v>0</v>
      </c>
      <c r="L8" s="970" t="b">
        <v>0</v>
      </c>
      <c r="M8" s="970" t="b">
        <v>0</v>
      </c>
      <c r="N8" s="970" t="b">
        <v>0</v>
      </c>
      <c r="O8" s="970" t="b">
        <v>0</v>
      </c>
      <c r="P8" s="970" t="b">
        <v>0</v>
      </c>
      <c r="Q8" s="978" t="s">
        <v>1507</v>
      </c>
    </row>
    <row r="9" spans="1:17" ht="24" customHeight="1">
      <c r="A9" s="993" t="s">
        <v>1508</v>
      </c>
      <c r="B9" s="976" t="s">
        <v>282</v>
      </c>
      <c r="C9" s="977">
        <v>10.01</v>
      </c>
      <c r="E9" s="970" t="b">
        <v>0</v>
      </c>
      <c r="F9" s="970" t="b">
        <v>0</v>
      </c>
      <c r="G9" s="970" t="b">
        <v>1</v>
      </c>
      <c r="H9" s="970" t="b">
        <v>0</v>
      </c>
      <c r="I9" s="970" t="b">
        <v>0</v>
      </c>
      <c r="J9" s="970" t="b">
        <v>0</v>
      </c>
      <c r="K9" s="970" t="b">
        <v>0</v>
      </c>
      <c r="L9" s="970" t="b">
        <v>0</v>
      </c>
      <c r="M9" s="970" t="b">
        <v>0</v>
      </c>
      <c r="N9" s="970" t="b">
        <v>0</v>
      </c>
      <c r="O9" s="970" t="b">
        <v>0</v>
      </c>
      <c r="P9" s="970" t="b">
        <v>0</v>
      </c>
      <c r="Q9" s="978" t="s">
        <v>1507</v>
      </c>
    </row>
    <row r="10" spans="1:17" ht="24" customHeight="1">
      <c r="A10" s="993" t="s">
        <v>1508</v>
      </c>
      <c r="B10" s="976" t="s">
        <v>288</v>
      </c>
      <c r="C10" s="977">
        <v>14.388489208633093</v>
      </c>
      <c r="E10" s="970" t="b">
        <v>0</v>
      </c>
      <c r="F10" s="970" t="b">
        <v>0</v>
      </c>
      <c r="G10" s="970" t="b">
        <v>1</v>
      </c>
      <c r="H10" s="970" t="b">
        <v>0</v>
      </c>
      <c r="I10" s="970" t="b">
        <v>0</v>
      </c>
      <c r="J10" s="970" t="b">
        <v>0</v>
      </c>
      <c r="K10" s="970" t="b">
        <v>0</v>
      </c>
      <c r="L10" s="970" t="b">
        <v>0</v>
      </c>
      <c r="M10" s="970" t="b">
        <v>0</v>
      </c>
      <c r="N10" s="970" t="b">
        <v>0</v>
      </c>
      <c r="O10" s="970" t="b">
        <v>0</v>
      </c>
      <c r="P10" s="970" t="b">
        <v>0</v>
      </c>
      <c r="Q10" s="978" t="s">
        <v>1507</v>
      </c>
    </row>
    <row r="11" spans="1:17" ht="24" customHeight="1">
      <c r="A11" s="993" t="s">
        <v>1508</v>
      </c>
      <c r="B11" s="976" t="s">
        <v>290</v>
      </c>
      <c r="C11" s="977">
        <v>1.75</v>
      </c>
      <c r="E11" s="970" t="b">
        <v>0</v>
      </c>
      <c r="F11" s="970" t="b">
        <v>0</v>
      </c>
      <c r="G11" s="970" t="b">
        <v>1</v>
      </c>
      <c r="H11" s="970" t="b">
        <v>0</v>
      </c>
      <c r="I11" s="970" t="b">
        <v>0</v>
      </c>
      <c r="J11" s="970" t="b">
        <v>0</v>
      </c>
      <c r="K11" s="970" t="b">
        <v>0</v>
      </c>
      <c r="L11" s="970" t="b">
        <v>0</v>
      </c>
      <c r="M11" s="970" t="b">
        <v>0</v>
      </c>
      <c r="N11" s="970" t="b">
        <v>0</v>
      </c>
      <c r="O11" s="970" t="b">
        <v>0</v>
      </c>
      <c r="P11" s="970" t="b">
        <v>0</v>
      </c>
      <c r="Q11" s="978" t="s">
        <v>1507</v>
      </c>
    </row>
    <row r="12" spans="1:17" ht="24" customHeight="1">
      <c r="A12" s="993" t="s">
        <v>1508</v>
      </c>
      <c r="B12" s="976" t="s">
        <v>283</v>
      </c>
      <c r="C12" s="977">
        <v>0.45624999999999999</v>
      </c>
      <c r="E12" s="970" t="b">
        <v>0</v>
      </c>
      <c r="F12" s="970" t="b">
        <v>0</v>
      </c>
      <c r="G12" s="970" t="b">
        <v>1</v>
      </c>
      <c r="H12" s="970" t="b">
        <v>0</v>
      </c>
      <c r="I12" s="970" t="b">
        <v>0</v>
      </c>
      <c r="J12" s="970" t="b">
        <v>0</v>
      </c>
      <c r="K12" s="970" t="b">
        <v>0</v>
      </c>
      <c r="L12" s="970" t="b">
        <v>0</v>
      </c>
      <c r="M12" s="970" t="b">
        <v>0</v>
      </c>
      <c r="N12" s="970" t="b">
        <v>0</v>
      </c>
      <c r="O12" s="970" t="b">
        <v>0</v>
      </c>
      <c r="P12" s="970" t="b">
        <v>0</v>
      </c>
      <c r="Q12" s="978" t="s">
        <v>1507</v>
      </c>
    </row>
    <row r="13" spans="1:17" ht="24" customHeight="1">
      <c r="A13" s="993" t="s">
        <v>1508</v>
      </c>
      <c r="B13" s="976" t="s">
        <v>284</v>
      </c>
      <c r="C13" s="977">
        <v>0.28515625</v>
      </c>
      <c r="E13" s="970" t="b">
        <v>0</v>
      </c>
      <c r="F13" s="970" t="b">
        <v>0</v>
      </c>
      <c r="G13" s="970" t="b">
        <v>1</v>
      </c>
      <c r="H13" s="970" t="b">
        <v>0</v>
      </c>
      <c r="I13" s="970" t="b">
        <v>0</v>
      </c>
      <c r="J13" s="970" t="b">
        <v>0</v>
      </c>
      <c r="K13" s="970" t="b">
        <v>0</v>
      </c>
      <c r="L13" s="970" t="b">
        <v>0</v>
      </c>
      <c r="M13" s="970" t="b">
        <v>0</v>
      </c>
      <c r="N13" s="970" t="b">
        <v>0</v>
      </c>
      <c r="O13" s="970" t="b">
        <v>0</v>
      </c>
      <c r="P13" s="970" t="b">
        <v>0</v>
      </c>
      <c r="Q13" s="978" t="s">
        <v>1507</v>
      </c>
    </row>
    <row r="14" spans="1:17" ht="24" customHeight="1">
      <c r="A14" s="993" t="s">
        <v>1508</v>
      </c>
      <c r="B14" s="976" t="s">
        <v>285</v>
      </c>
      <c r="C14" s="977">
        <v>0.10493749999999999</v>
      </c>
      <c r="E14" s="970" t="b">
        <v>0</v>
      </c>
      <c r="F14" s="970" t="b">
        <v>0</v>
      </c>
      <c r="G14" s="970" t="b">
        <v>1</v>
      </c>
      <c r="H14" s="970" t="b">
        <v>0</v>
      </c>
      <c r="I14" s="970" t="b">
        <v>0</v>
      </c>
      <c r="J14" s="970" t="b">
        <v>0</v>
      </c>
      <c r="K14" s="970" t="b">
        <v>0</v>
      </c>
      <c r="L14" s="970" t="b">
        <v>0</v>
      </c>
      <c r="M14" s="970" t="b">
        <v>0</v>
      </c>
      <c r="N14" s="970" t="b">
        <v>0</v>
      </c>
      <c r="O14" s="970" t="b">
        <v>0</v>
      </c>
      <c r="P14" s="970" t="b">
        <v>0</v>
      </c>
      <c r="Q14" s="978" t="s">
        <v>1507</v>
      </c>
    </row>
    <row r="15" spans="1:17" ht="24" customHeight="1">
      <c r="A15" s="993" t="s">
        <v>1508</v>
      </c>
      <c r="B15" s="976" t="s">
        <v>286</v>
      </c>
      <c r="C15" s="977">
        <v>1.0081600000000001E-2</v>
      </c>
      <c r="E15" s="970" t="b">
        <v>0</v>
      </c>
      <c r="F15" s="970" t="b">
        <v>0</v>
      </c>
      <c r="G15" s="970" t="b">
        <v>1</v>
      </c>
      <c r="H15" s="970" t="b">
        <v>0</v>
      </c>
      <c r="I15" s="970" t="b">
        <v>0</v>
      </c>
      <c r="J15" s="970" t="b">
        <v>0</v>
      </c>
      <c r="K15" s="970" t="b">
        <v>0</v>
      </c>
      <c r="L15" s="970" t="b">
        <v>0</v>
      </c>
      <c r="M15" s="970" t="b">
        <v>0</v>
      </c>
      <c r="N15" s="970" t="b">
        <v>0</v>
      </c>
      <c r="O15" s="970" t="b">
        <v>0</v>
      </c>
      <c r="P15" s="970" t="b">
        <v>0</v>
      </c>
      <c r="Q15" s="978" t="s">
        <v>1507</v>
      </c>
    </row>
    <row r="16" spans="1:17" ht="24" customHeight="1">
      <c r="A16" s="993" t="s">
        <v>1508</v>
      </c>
      <c r="B16" s="976" t="s">
        <v>298</v>
      </c>
      <c r="C16" s="977">
        <v>345</v>
      </c>
      <c r="E16" s="970" t="b">
        <v>0</v>
      </c>
      <c r="F16" s="970" t="b">
        <v>0</v>
      </c>
      <c r="G16" s="970" t="b">
        <v>1</v>
      </c>
      <c r="H16" s="970" t="b">
        <v>0</v>
      </c>
      <c r="I16" s="970" t="b">
        <v>0</v>
      </c>
      <c r="J16" s="970" t="b">
        <v>0</v>
      </c>
      <c r="K16" s="970" t="b">
        <v>0</v>
      </c>
      <c r="L16" s="970" t="b">
        <v>0</v>
      </c>
      <c r="M16" s="970" t="b">
        <v>0</v>
      </c>
      <c r="N16" s="970" t="b">
        <v>0</v>
      </c>
      <c r="O16" s="970" t="b">
        <v>0</v>
      </c>
      <c r="P16" s="970" t="b">
        <v>0</v>
      </c>
      <c r="Q16" s="978" t="s">
        <v>1507</v>
      </c>
    </row>
    <row r="17" spans="1:17" ht="24" customHeight="1">
      <c r="A17" s="993" t="s">
        <v>1508</v>
      </c>
      <c r="B17" s="976" t="s">
        <v>299</v>
      </c>
      <c r="C17" s="977">
        <v>42</v>
      </c>
      <c r="E17" s="970" t="b">
        <v>0</v>
      </c>
      <c r="F17" s="970" t="b">
        <v>0</v>
      </c>
      <c r="G17" s="970" t="b">
        <v>1</v>
      </c>
      <c r="H17" s="970" t="b">
        <v>0</v>
      </c>
      <c r="I17" s="970" t="b">
        <v>0</v>
      </c>
      <c r="J17" s="970" t="b">
        <v>0</v>
      </c>
      <c r="K17" s="970" t="b">
        <v>0</v>
      </c>
      <c r="L17" s="970" t="b">
        <v>0</v>
      </c>
      <c r="M17" s="970" t="b">
        <v>0</v>
      </c>
      <c r="N17" s="970" t="b">
        <v>0</v>
      </c>
      <c r="O17" s="970" t="b">
        <v>0</v>
      </c>
      <c r="P17" s="970" t="b">
        <v>0</v>
      </c>
      <c r="Q17" s="978" t="s">
        <v>1507</v>
      </c>
    </row>
    <row r="18" spans="1:17" ht="24" customHeight="1">
      <c r="A18" s="993" t="s">
        <v>1508</v>
      </c>
      <c r="B18" s="976" t="s">
        <v>300</v>
      </c>
      <c r="C18" s="977">
        <v>70.741</v>
      </c>
      <c r="E18" s="970" t="b">
        <v>0</v>
      </c>
      <c r="F18" s="970" t="b">
        <v>0</v>
      </c>
      <c r="G18" s="970" t="b">
        <v>1</v>
      </c>
      <c r="H18" s="970" t="b">
        <v>0</v>
      </c>
      <c r="I18" s="970" t="b">
        <v>0</v>
      </c>
      <c r="J18" s="970" t="b">
        <v>0</v>
      </c>
      <c r="K18" s="970" t="b">
        <v>0</v>
      </c>
      <c r="L18" s="970" t="b">
        <v>0</v>
      </c>
      <c r="M18" s="970" t="b">
        <v>0</v>
      </c>
      <c r="N18" s="970" t="b">
        <v>0</v>
      </c>
      <c r="O18" s="970" t="b">
        <v>0</v>
      </c>
      <c r="P18" s="970" t="b">
        <v>0</v>
      </c>
      <c r="Q18" s="978" t="s">
        <v>1507</v>
      </c>
    </row>
    <row r="19" spans="1:17" ht="24" customHeight="1">
      <c r="A19" s="993" t="s">
        <v>1508</v>
      </c>
      <c r="B19" s="976" t="s">
        <v>301</v>
      </c>
      <c r="C19" s="977">
        <v>79.177999999999997</v>
      </c>
      <c r="E19" s="970" t="b">
        <v>0</v>
      </c>
      <c r="F19" s="970" t="b">
        <v>0</v>
      </c>
      <c r="G19" s="970" t="b">
        <v>1</v>
      </c>
      <c r="H19" s="970" t="b">
        <v>0</v>
      </c>
      <c r="I19" s="970" t="b">
        <v>0</v>
      </c>
      <c r="J19" s="970" t="b">
        <v>0</v>
      </c>
      <c r="K19" s="970" t="b">
        <v>0</v>
      </c>
      <c r="L19" s="970" t="b">
        <v>0</v>
      </c>
      <c r="M19" s="970" t="b">
        <v>0</v>
      </c>
      <c r="N19" s="970" t="b">
        <v>0</v>
      </c>
      <c r="O19" s="970" t="b">
        <v>0</v>
      </c>
      <c r="P19" s="970" t="b">
        <v>0</v>
      </c>
      <c r="Q19" s="978" t="s">
        <v>1507</v>
      </c>
    </row>
    <row r="20" spans="1:17" ht="24" customHeight="1">
      <c r="A20" s="993" t="s">
        <v>1508</v>
      </c>
      <c r="B20" s="976" t="s">
        <v>302</v>
      </c>
      <c r="C20" s="977">
        <v>53.591999999999999</v>
      </c>
      <c r="E20" s="970" t="b">
        <v>0</v>
      </c>
      <c r="F20" s="970" t="b">
        <v>0</v>
      </c>
      <c r="G20" s="970" t="b">
        <v>1</v>
      </c>
      <c r="H20" s="970" t="b">
        <v>0</v>
      </c>
      <c r="I20" s="970" t="b">
        <v>0</v>
      </c>
      <c r="J20" s="970" t="b">
        <v>0</v>
      </c>
      <c r="K20" s="970" t="b">
        <v>0</v>
      </c>
      <c r="L20" s="970" t="b">
        <v>0</v>
      </c>
      <c r="M20" s="970" t="b">
        <v>0</v>
      </c>
      <c r="N20" s="970" t="b">
        <v>0</v>
      </c>
      <c r="O20" s="970" t="b">
        <v>0</v>
      </c>
      <c r="P20" s="970" t="b">
        <v>0</v>
      </c>
      <c r="Q20" s="978" t="s">
        <v>1507</v>
      </c>
    </row>
    <row r="21" spans="1:17" ht="24" customHeight="1">
      <c r="A21" s="993" t="s">
        <v>1508</v>
      </c>
      <c r="B21" s="976" t="s">
        <v>303</v>
      </c>
      <c r="C21" s="977">
        <v>42.503999999999998</v>
      </c>
      <c r="E21" s="970" t="b">
        <v>0</v>
      </c>
      <c r="F21" s="970" t="b">
        <v>0</v>
      </c>
      <c r="G21" s="970" t="b">
        <v>1</v>
      </c>
      <c r="H21" s="970" t="b">
        <v>0</v>
      </c>
      <c r="I21" s="970" t="b">
        <v>0</v>
      </c>
      <c r="J21" s="970" t="b">
        <v>0</v>
      </c>
      <c r="K21" s="970" t="b">
        <v>0</v>
      </c>
      <c r="L21" s="970" t="b">
        <v>0</v>
      </c>
      <c r="M21" s="970" t="b">
        <v>0</v>
      </c>
      <c r="N21" s="970" t="b">
        <v>0</v>
      </c>
      <c r="O21" s="970" t="b">
        <v>0</v>
      </c>
      <c r="P21" s="970" t="b">
        <v>0</v>
      </c>
      <c r="Q21" s="978" t="s">
        <v>1507</v>
      </c>
    </row>
    <row r="22" spans="1:17" ht="24" customHeight="1">
      <c r="A22" s="993" t="s">
        <v>1508</v>
      </c>
      <c r="B22" s="976" t="s">
        <v>304</v>
      </c>
      <c r="C22" s="977">
        <v>140</v>
      </c>
      <c r="E22" s="970" t="b">
        <v>0</v>
      </c>
      <c r="F22" s="970" t="b">
        <v>0</v>
      </c>
      <c r="G22" s="970" t="b">
        <v>1</v>
      </c>
      <c r="H22" s="970" t="b">
        <v>0</v>
      </c>
      <c r="I22" s="970" t="b">
        <v>0</v>
      </c>
      <c r="J22" s="970" t="b">
        <v>0</v>
      </c>
      <c r="K22" s="970" t="b">
        <v>0</v>
      </c>
      <c r="L22" s="970" t="b">
        <v>0</v>
      </c>
      <c r="M22" s="970" t="b">
        <v>0</v>
      </c>
      <c r="N22" s="970" t="b">
        <v>0</v>
      </c>
      <c r="O22" s="970" t="b">
        <v>0</v>
      </c>
      <c r="P22" s="970" t="b">
        <v>0</v>
      </c>
      <c r="Q22" s="978" t="s">
        <v>1507</v>
      </c>
    </row>
    <row r="23" spans="1:17" ht="24" customHeight="1">
      <c r="A23" s="993" t="s">
        <v>1508</v>
      </c>
      <c r="B23" s="976" t="s">
        <v>305</v>
      </c>
      <c r="C23" s="977">
        <v>8.19</v>
      </c>
      <c r="E23" s="970" t="b">
        <v>0</v>
      </c>
      <c r="F23" s="970" t="b">
        <v>0</v>
      </c>
      <c r="G23" s="970" t="b">
        <v>1</v>
      </c>
      <c r="H23" s="970" t="b">
        <v>0</v>
      </c>
      <c r="I23" s="970" t="b">
        <v>0</v>
      </c>
      <c r="J23" s="970" t="b">
        <v>0</v>
      </c>
      <c r="K23" s="970" t="b">
        <v>0</v>
      </c>
      <c r="L23" s="970" t="b">
        <v>0</v>
      </c>
      <c r="M23" s="970" t="b">
        <v>0</v>
      </c>
      <c r="N23" s="970" t="b">
        <v>0</v>
      </c>
      <c r="O23" s="970" t="b">
        <v>0</v>
      </c>
      <c r="P23" s="970" t="b">
        <v>0</v>
      </c>
      <c r="Q23" s="978" t="s">
        <v>1507</v>
      </c>
    </row>
    <row r="24" spans="1:17" ht="24" customHeight="1">
      <c r="A24" s="993" t="s">
        <v>1508</v>
      </c>
      <c r="B24" s="976" t="s">
        <v>306</v>
      </c>
      <c r="C24" s="977">
        <v>5.7331000000000003</v>
      </c>
      <c r="E24" s="970" t="b">
        <v>0</v>
      </c>
      <c r="F24" s="970" t="b">
        <v>0</v>
      </c>
      <c r="G24" s="970" t="b">
        <v>1</v>
      </c>
      <c r="H24" s="970" t="b">
        <v>0</v>
      </c>
      <c r="I24" s="970" t="b">
        <v>0</v>
      </c>
      <c r="J24" s="970" t="b">
        <v>0</v>
      </c>
      <c r="K24" s="970" t="b">
        <v>0</v>
      </c>
      <c r="L24" s="970" t="b">
        <v>0</v>
      </c>
      <c r="M24" s="970" t="b">
        <v>0</v>
      </c>
      <c r="N24" s="970" t="b">
        <v>0</v>
      </c>
      <c r="O24" s="970" t="b">
        <v>0</v>
      </c>
      <c r="P24" s="970" t="b">
        <v>0</v>
      </c>
      <c r="Q24" s="978" t="s">
        <v>1507</v>
      </c>
    </row>
    <row r="25" spans="1:17" ht="24" customHeight="1">
      <c r="A25" s="993" t="s">
        <v>1508</v>
      </c>
      <c r="B25" s="976" t="s">
        <v>307</v>
      </c>
      <c r="C25" s="977">
        <v>2.3199999999999998</v>
      </c>
      <c r="E25" s="970" t="b">
        <v>0</v>
      </c>
      <c r="F25" s="970" t="b">
        <v>0</v>
      </c>
      <c r="G25" s="970" t="b">
        <v>1</v>
      </c>
      <c r="H25" s="970" t="b">
        <v>0</v>
      </c>
      <c r="I25" s="970" t="b">
        <v>0</v>
      </c>
      <c r="J25" s="970" t="b">
        <v>0</v>
      </c>
      <c r="K25" s="970" t="b">
        <v>0</v>
      </c>
      <c r="L25" s="970" t="b">
        <v>0</v>
      </c>
      <c r="M25" s="970" t="b">
        <v>0</v>
      </c>
      <c r="N25" s="970" t="b">
        <v>0</v>
      </c>
      <c r="O25" s="970" t="b">
        <v>0</v>
      </c>
      <c r="P25" s="970" t="b">
        <v>0</v>
      </c>
      <c r="Q25" s="978" t="s">
        <v>1507</v>
      </c>
    </row>
    <row r="26" spans="1:17" ht="24" customHeight="1">
      <c r="A26" s="993" t="s">
        <v>1508</v>
      </c>
      <c r="B26" s="976" t="s">
        <v>308</v>
      </c>
      <c r="C26" s="977">
        <v>0.50187500000000007</v>
      </c>
      <c r="E26" s="970" t="b">
        <v>0</v>
      </c>
      <c r="F26" s="970" t="b">
        <v>0</v>
      </c>
      <c r="G26" s="970" t="b">
        <v>1</v>
      </c>
      <c r="H26" s="970" t="b">
        <v>0</v>
      </c>
      <c r="I26" s="970" t="b">
        <v>0</v>
      </c>
      <c r="J26" s="970" t="b">
        <v>0</v>
      </c>
      <c r="K26" s="970" t="b">
        <v>0</v>
      </c>
      <c r="L26" s="970" t="b">
        <v>0</v>
      </c>
      <c r="M26" s="970" t="b">
        <v>0</v>
      </c>
      <c r="N26" s="970" t="b">
        <v>0</v>
      </c>
      <c r="O26" s="970" t="b">
        <v>0</v>
      </c>
      <c r="P26" s="970" t="b">
        <v>0</v>
      </c>
      <c r="Q26" s="978" t="s">
        <v>1507</v>
      </c>
    </row>
    <row r="27" spans="1:17" ht="24" customHeight="1">
      <c r="A27" s="993" t="s">
        <v>1508</v>
      </c>
      <c r="B27" s="976" t="s">
        <v>309</v>
      </c>
      <c r="C27" s="977">
        <v>0.25093750000000004</v>
      </c>
      <c r="E27" s="970" t="b">
        <v>0</v>
      </c>
      <c r="F27" s="970" t="b">
        <v>0</v>
      </c>
      <c r="G27" s="970" t="b">
        <v>1</v>
      </c>
      <c r="H27" s="970" t="b">
        <v>0</v>
      </c>
      <c r="I27" s="970" t="b">
        <v>0</v>
      </c>
      <c r="J27" s="970" t="b">
        <v>0</v>
      </c>
      <c r="K27" s="970" t="b">
        <v>0</v>
      </c>
      <c r="L27" s="970" t="b">
        <v>0</v>
      </c>
      <c r="M27" s="970" t="b">
        <v>0</v>
      </c>
      <c r="N27" s="970" t="b">
        <v>0</v>
      </c>
      <c r="O27" s="970" t="b">
        <v>0</v>
      </c>
      <c r="P27" s="970" t="b">
        <v>0</v>
      </c>
      <c r="Q27" s="978" t="s">
        <v>1507</v>
      </c>
    </row>
    <row r="28" spans="1:17" ht="24" customHeight="1">
      <c r="A28" s="993" t="s">
        <v>1508</v>
      </c>
      <c r="B28" s="976" t="s">
        <v>310</v>
      </c>
      <c r="C28" s="977">
        <v>0.13915624999999998</v>
      </c>
      <c r="E28" s="970" t="b">
        <v>0</v>
      </c>
      <c r="F28" s="970" t="b">
        <v>0</v>
      </c>
      <c r="G28" s="970" t="b">
        <v>1</v>
      </c>
      <c r="H28" s="970" t="b">
        <v>0</v>
      </c>
      <c r="I28" s="970" t="b">
        <v>0</v>
      </c>
      <c r="J28" s="970" t="b">
        <v>0</v>
      </c>
      <c r="K28" s="970" t="b">
        <v>0</v>
      </c>
      <c r="L28" s="970" t="b">
        <v>0</v>
      </c>
      <c r="M28" s="970" t="b">
        <v>0</v>
      </c>
      <c r="N28" s="970" t="b">
        <v>0</v>
      </c>
      <c r="O28" s="970" t="b">
        <v>0</v>
      </c>
      <c r="P28" s="970" t="b">
        <v>0</v>
      </c>
      <c r="Q28" s="978" t="s">
        <v>1507</v>
      </c>
    </row>
    <row r="29" spans="1:17" ht="24" customHeight="1">
      <c r="A29" s="993" t="s">
        <v>1508</v>
      </c>
      <c r="B29" s="976" t="s">
        <v>311</v>
      </c>
      <c r="C29" s="977">
        <v>1.2602E-2</v>
      </c>
      <c r="E29" s="970" t="b">
        <v>0</v>
      </c>
      <c r="F29" s="970" t="b">
        <v>0</v>
      </c>
      <c r="G29" s="970" t="b">
        <v>1</v>
      </c>
      <c r="H29" s="970" t="b">
        <v>0</v>
      </c>
      <c r="I29" s="970" t="b">
        <v>0</v>
      </c>
      <c r="J29" s="970" t="b">
        <v>0</v>
      </c>
      <c r="K29" s="970" t="b">
        <v>0</v>
      </c>
      <c r="L29" s="970" t="b">
        <v>0</v>
      </c>
      <c r="M29" s="970" t="b">
        <v>0</v>
      </c>
      <c r="N29" s="970" t="b">
        <v>0</v>
      </c>
      <c r="O29" s="970" t="b">
        <v>0</v>
      </c>
      <c r="P29" s="970" t="b">
        <v>0</v>
      </c>
      <c r="Q29" s="978" t="s">
        <v>1507</v>
      </c>
    </row>
    <row r="30" spans="1:17" ht="24" customHeight="1">
      <c r="A30" s="993" t="s">
        <v>1508</v>
      </c>
      <c r="B30" s="976" t="s">
        <v>321</v>
      </c>
      <c r="C30" s="977">
        <v>195</v>
      </c>
      <c r="E30" s="970" t="b">
        <v>0</v>
      </c>
      <c r="F30" s="970" t="b">
        <v>0</v>
      </c>
      <c r="G30" s="970" t="b">
        <v>1</v>
      </c>
      <c r="H30" s="970" t="b">
        <v>0</v>
      </c>
      <c r="I30" s="970" t="b">
        <v>0</v>
      </c>
      <c r="J30" s="970" t="b">
        <v>0</v>
      </c>
      <c r="K30" s="970" t="b">
        <v>0</v>
      </c>
      <c r="L30" s="970" t="b">
        <v>0</v>
      </c>
      <c r="M30" s="970" t="b">
        <v>0</v>
      </c>
      <c r="N30" s="970" t="b">
        <v>0</v>
      </c>
      <c r="O30" s="970" t="b">
        <v>0</v>
      </c>
      <c r="P30" s="970" t="b">
        <v>0</v>
      </c>
      <c r="Q30" s="978" t="s">
        <v>1507</v>
      </c>
    </row>
    <row r="31" spans="1:17" ht="24" customHeight="1">
      <c r="A31" s="993" t="s">
        <v>1508</v>
      </c>
      <c r="B31" s="976" t="s">
        <v>322</v>
      </c>
      <c r="C31" s="977">
        <v>42</v>
      </c>
      <c r="E31" s="970" t="b">
        <v>0</v>
      </c>
      <c r="F31" s="970" t="b">
        <v>0</v>
      </c>
      <c r="G31" s="970" t="b">
        <v>1</v>
      </c>
      <c r="H31" s="970" t="b">
        <v>0</v>
      </c>
      <c r="I31" s="970" t="b">
        <v>0</v>
      </c>
      <c r="J31" s="970" t="b">
        <v>0</v>
      </c>
      <c r="K31" s="970" t="b">
        <v>0</v>
      </c>
      <c r="L31" s="970" t="b">
        <v>0</v>
      </c>
      <c r="M31" s="970" t="b">
        <v>0</v>
      </c>
      <c r="N31" s="970" t="b">
        <v>0</v>
      </c>
      <c r="O31" s="970" t="b">
        <v>0</v>
      </c>
      <c r="P31" s="970" t="b">
        <v>0</v>
      </c>
      <c r="Q31" s="978" t="s">
        <v>1507</v>
      </c>
    </row>
  </sheetData>
  <phoneticPr fontId="6"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38"/>
  <sheetViews>
    <sheetView zoomScale="70" zoomScaleNormal="70" workbookViewId="0">
      <selection activeCell="A39" sqref="A39:XFD61"/>
    </sheetView>
  </sheetViews>
  <sheetFormatPr defaultRowHeight="23.25" customHeight="1"/>
  <cols>
    <col min="1" max="1" width="34.75" style="992" customWidth="1"/>
    <col min="2" max="2" width="23.625" style="982" customWidth="1"/>
    <col min="3" max="3" width="29" style="983" customWidth="1"/>
    <col min="4" max="4" width="9" style="970"/>
    <col min="5" max="16" width="9" style="970" hidden="1" customWidth="1"/>
    <col min="17" max="16384" width="9" style="970"/>
  </cols>
  <sheetData>
    <row r="1" spans="1:17" ht="78" customHeight="1">
      <c r="A1" s="988" t="s">
        <v>360</v>
      </c>
      <c r="B1" s="968"/>
      <c r="C1" s="969"/>
    </row>
    <row r="2" spans="1:17" s="973" customFormat="1" ht="23.25" customHeight="1">
      <c r="A2" s="991" t="s">
        <v>361</v>
      </c>
      <c r="B2" s="971" t="s">
        <v>362</v>
      </c>
      <c r="C2" s="972" t="s">
        <v>373</v>
      </c>
      <c r="E2" s="974">
        <v>1</v>
      </c>
      <c r="F2" s="974" t="s">
        <v>890</v>
      </c>
      <c r="G2" s="974">
        <v>2</v>
      </c>
      <c r="H2" s="974" t="s">
        <v>890</v>
      </c>
      <c r="I2" s="974">
        <v>3</v>
      </c>
      <c r="J2" s="974" t="s">
        <v>890</v>
      </c>
      <c r="K2" s="974">
        <v>4</v>
      </c>
      <c r="L2" s="974" t="s">
        <v>890</v>
      </c>
      <c r="M2" s="974">
        <v>5</v>
      </c>
      <c r="N2" s="974" t="s">
        <v>890</v>
      </c>
      <c r="O2" s="974">
        <v>6</v>
      </c>
      <c r="P2" s="984" t="s">
        <v>890</v>
      </c>
      <c r="Q2" s="975">
        <v>3</v>
      </c>
    </row>
    <row r="3" spans="1:17" s="973" customFormat="1" ht="23.25" customHeight="1">
      <c r="A3" s="991" t="s">
        <v>385</v>
      </c>
      <c r="B3" s="971" t="s">
        <v>386</v>
      </c>
      <c r="C3" s="972" t="s">
        <v>394</v>
      </c>
      <c r="Q3" s="985"/>
    </row>
    <row r="4" spans="1:17" ht="23.25" customHeight="1">
      <c r="A4" s="990" t="s">
        <v>1511</v>
      </c>
      <c r="B4" s="976" t="s">
        <v>277</v>
      </c>
      <c r="C4" s="977">
        <v>29.6</v>
      </c>
      <c r="E4" s="970" t="b">
        <v>0</v>
      </c>
      <c r="F4" s="970" t="b">
        <v>0</v>
      </c>
      <c r="G4" s="970" t="b">
        <v>0</v>
      </c>
      <c r="H4" s="970" t="b">
        <v>0</v>
      </c>
      <c r="I4" s="970" t="b">
        <v>1</v>
      </c>
      <c r="J4" s="970" t="b">
        <v>0</v>
      </c>
      <c r="K4" s="970" t="b">
        <v>0</v>
      </c>
      <c r="L4" s="970" t="b">
        <v>0</v>
      </c>
      <c r="M4" s="970" t="b">
        <v>0</v>
      </c>
      <c r="N4" s="970" t="b">
        <v>0</v>
      </c>
      <c r="O4" s="970" t="b">
        <v>0</v>
      </c>
      <c r="P4" s="970" t="b">
        <v>0</v>
      </c>
      <c r="Q4" s="978" t="s">
        <v>1507</v>
      </c>
    </row>
    <row r="5" spans="1:17" ht="23.25" customHeight="1">
      <c r="A5" s="993" t="s">
        <v>1510</v>
      </c>
      <c r="B5" s="976" t="s">
        <v>278</v>
      </c>
      <c r="C5" s="977">
        <v>30.8</v>
      </c>
      <c r="E5" s="970" t="b">
        <v>0</v>
      </c>
      <c r="F5" s="970" t="b">
        <v>0</v>
      </c>
      <c r="G5" s="970" t="b">
        <v>0</v>
      </c>
      <c r="H5" s="970" t="b">
        <v>0</v>
      </c>
      <c r="I5" s="970" t="b">
        <v>1</v>
      </c>
      <c r="J5" s="970" t="b">
        <v>0</v>
      </c>
      <c r="K5" s="970" t="b">
        <v>0</v>
      </c>
      <c r="L5" s="970" t="b">
        <v>0</v>
      </c>
      <c r="M5" s="970" t="b">
        <v>0</v>
      </c>
      <c r="N5" s="970" t="b">
        <v>0</v>
      </c>
      <c r="O5" s="970" t="b">
        <v>0</v>
      </c>
      <c r="P5" s="970" t="b">
        <v>0</v>
      </c>
      <c r="Q5" s="978" t="s">
        <v>1507</v>
      </c>
    </row>
    <row r="6" spans="1:17" ht="23.25" customHeight="1">
      <c r="A6" s="993" t="s">
        <v>1510</v>
      </c>
      <c r="B6" s="976" t="s">
        <v>279</v>
      </c>
      <c r="C6" s="977">
        <v>66.8</v>
      </c>
      <c r="E6" s="970" t="b">
        <v>0</v>
      </c>
      <c r="F6" s="970" t="b">
        <v>0</v>
      </c>
      <c r="G6" s="970" t="b">
        <v>0</v>
      </c>
      <c r="H6" s="970" t="b">
        <v>0</v>
      </c>
      <c r="I6" s="970" t="b">
        <v>1</v>
      </c>
      <c r="J6" s="970" t="b">
        <v>0</v>
      </c>
      <c r="K6" s="970" t="b">
        <v>0</v>
      </c>
      <c r="L6" s="970" t="b">
        <v>0</v>
      </c>
      <c r="M6" s="970" t="b">
        <v>0</v>
      </c>
      <c r="N6" s="970" t="b">
        <v>0</v>
      </c>
      <c r="O6" s="970" t="b">
        <v>0</v>
      </c>
      <c r="P6" s="970" t="b">
        <v>0</v>
      </c>
      <c r="Q6" s="978" t="s">
        <v>1507</v>
      </c>
    </row>
    <row r="7" spans="1:17" ht="23.25" customHeight="1">
      <c r="A7" s="993" t="s">
        <v>1510</v>
      </c>
      <c r="B7" s="976" t="s">
        <v>280</v>
      </c>
      <c r="C7" s="977">
        <v>71.599999999999994</v>
      </c>
      <c r="E7" s="970" t="b">
        <v>0</v>
      </c>
      <c r="F7" s="970" t="b">
        <v>0</v>
      </c>
      <c r="G7" s="970" t="b">
        <v>0</v>
      </c>
      <c r="H7" s="970" t="b">
        <v>0</v>
      </c>
      <c r="I7" s="970" t="b">
        <v>1</v>
      </c>
      <c r="J7" s="970" t="b">
        <v>0</v>
      </c>
      <c r="K7" s="970" t="b">
        <v>0</v>
      </c>
      <c r="L7" s="970" t="b">
        <v>0</v>
      </c>
      <c r="M7" s="970" t="b">
        <v>0</v>
      </c>
      <c r="N7" s="970" t="b">
        <v>0</v>
      </c>
      <c r="O7" s="970" t="b">
        <v>0</v>
      </c>
      <c r="P7" s="970" t="b">
        <v>0</v>
      </c>
      <c r="Q7" s="978" t="s">
        <v>1507</v>
      </c>
    </row>
    <row r="8" spans="1:17" ht="23.25" customHeight="1">
      <c r="A8" s="993" t="s">
        <v>1510</v>
      </c>
      <c r="B8" s="976" t="s">
        <v>281</v>
      </c>
      <c r="C8" s="977">
        <v>140.80000000000001</v>
      </c>
      <c r="E8" s="970" t="b">
        <v>0</v>
      </c>
      <c r="F8" s="970" t="b">
        <v>0</v>
      </c>
      <c r="G8" s="970" t="b">
        <v>0</v>
      </c>
      <c r="H8" s="970" t="b">
        <v>0</v>
      </c>
      <c r="I8" s="970" t="b">
        <v>1</v>
      </c>
      <c r="J8" s="970" t="b">
        <v>0</v>
      </c>
      <c r="K8" s="970" t="b">
        <v>0</v>
      </c>
      <c r="L8" s="970" t="b">
        <v>0</v>
      </c>
      <c r="M8" s="970" t="b">
        <v>0</v>
      </c>
      <c r="N8" s="970" t="b">
        <v>0</v>
      </c>
      <c r="O8" s="970" t="b">
        <v>0</v>
      </c>
      <c r="P8" s="970" t="b">
        <v>0</v>
      </c>
      <c r="Q8" s="978" t="s">
        <v>1507</v>
      </c>
    </row>
    <row r="9" spans="1:17" ht="23.25" customHeight="1">
      <c r="A9" s="993" t="s">
        <v>1510</v>
      </c>
      <c r="B9" s="976" t="s">
        <v>282</v>
      </c>
      <c r="C9" s="977">
        <v>9.75</v>
      </c>
      <c r="E9" s="970" t="b">
        <v>0</v>
      </c>
      <c r="F9" s="970" t="b">
        <v>0</v>
      </c>
      <c r="G9" s="970" t="b">
        <v>0</v>
      </c>
      <c r="H9" s="970" t="b">
        <v>0</v>
      </c>
      <c r="I9" s="970" t="b">
        <v>1</v>
      </c>
      <c r="J9" s="970" t="b">
        <v>0</v>
      </c>
      <c r="K9" s="970" t="b">
        <v>0</v>
      </c>
      <c r="L9" s="970" t="b">
        <v>0</v>
      </c>
      <c r="M9" s="970" t="b">
        <v>0</v>
      </c>
      <c r="N9" s="970" t="b">
        <v>0</v>
      </c>
      <c r="O9" s="970" t="b">
        <v>0</v>
      </c>
      <c r="P9" s="970" t="b">
        <v>0</v>
      </c>
      <c r="Q9" s="978" t="s">
        <v>1507</v>
      </c>
    </row>
    <row r="10" spans="1:17" ht="23.25" customHeight="1">
      <c r="A10" s="993" t="s">
        <v>1510</v>
      </c>
      <c r="B10" s="976" t="s">
        <v>288</v>
      </c>
      <c r="C10" s="977">
        <v>15.25179856115108</v>
      </c>
      <c r="E10" s="970" t="b">
        <v>0</v>
      </c>
      <c r="F10" s="970" t="b">
        <v>0</v>
      </c>
      <c r="G10" s="970" t="b">
        <v>0</v>
      </c>
      <c r="H10" s="970" t="b">
        <v>0</v>
      </c>
      <c r="I10" s="970" t="b">
        <v>1</v>
      </c>
      <c r="J10" s="970" t="b">
        <v>0</v>
      </c>
      <c r="K10" s="970" t="b">
        <v>0</v>
      </c>
      <c r="L10" s="970" t="b">
        <v>0</v>
      </c>
      <c r="M10" s="970" t="b">
        <v>0</v>
      </c>
      <c r="N10" s="970" t="b">
        <v>0</v>
      </c>
      <c r="O10" s="970" t="b">
        <v>0</v>
      </c>
      <c r="P10" s="970" t="b">
        <v>0</v>
      </c>
      <c r="Q10" s="978" t="s">
        <v>1507</v>
      </c>
    </row>
    <row r="11" spans="1:17" ht="23.25" customHeight="1">
      <c r="A11" s="993" t="s">
        <v>1510</v>
      </c>
      <c r="B11" s="976" t="s">
        <v>290</v>
      </c>
      <c r="C11" s="977">
        <v>1.89</v>
      </c>
      <c r="E11" s="970" t="b">
        <v>0</v>
      </c>
      <c r="F11" s="970" t="b">
        <v>0</v>
      </c>
      <c r="G11" s="970" t="b">
        <v>0</v>
      </c>
      <c r="H11" s="970" t="b">
        <v>0</v>
      </c>
      <c r="I11" s="970" t="b">
        <v>1</v>
      </c>
      <c r="J11" s="970" t="b">
        <v>0</v>
      </c>
      <c r="K11" s="970" t="b">
        <v>0</v>
      </c>
      <c r="L11" s="970" t="b">
        <v>0</v>
      </c>
      <c r="M11" s="970" t="b">
        <v>0</v>
      </c>
      <c r="N11" s="970" t="b">
        <v>0</v>
      </c>
      <c r="O11" s="970" t="b">
        <v>0</v>
      </c>
      <c r="P11" s="970" t="b">
        <v>0</v>
      </c>
      <c r="Q11" s="978" t="s">
        <v>1507</v>
      </c>
    </row>
    <row r="12" spans="1:17" ht="23.25" customHeight="1">
      <c r="A12" s="993" t="s">
        <v>1510</v>
      </c>
      <c r="B12" s="976" t="s">
        <v>283</v>
      </c>
      <c r="C12" s="977">
        <v>0.46765624999999994</v>
      </c>
      <c r="E12" s="970" t="b">
        <v>0</v>
      </c>
      <c r="F12" s="970" t="b">
        <v>0</v>
      </c>
      <c r="G12" s="970" t="b">
        <v>0</v>
      </c>
      <c r="H12" s="970" t="b">
        <v>0</v>
      </c>
      <c r="I12" s="970" t="b">
        <v>1</v>
      </c>
      <c r="J12" s="970" t="b">
        <v>0</v>
      </c>
      <c r="K12" s="970" t="b">
        <v>0</v>
      </c>
      <c r="L12" s="970" t="b">
        <v>0</v>
      </c>
      <c r="M12" s="970" t="b">
        <v>0</v>
      </c>
      <c r="N12" s="970" t="b">
        <v>0</v>
      </c>
      <c r="O12" s="970" t="b">
        <v>0</v>
      </c>
      <c r="P12" s="970" t="b">
        <v>0</v>
      </c>
      <c r="Q12" s="978" t="s">
        <v>1507</v>
      </c>
    </row>
    <row r="13" spans="1:17" ht="23.25" customHeight="1">
      <c r="A13" s="993" t="s">
        <v>1510</v>
      </c>
      <c r="B13" s="976" t="s">
        <v>284</v>
      </c>
      <c r="C13" s="977">
        <v>0.29656250000000001</v>
      </c>
      <c r="E13" s="970" t="b">
        <v>0</v>
      </c>
      <c r="F13" s="970" t="b">
        <v>0</v>
      </c>
      <c r="G13" s="970" t="b">
        <v>0</v>
      </c>
      <c r="H13" s="970" t="b">
        <v>0</v>
      </c>
      <c r="I13" s="970" t="b">
        <v>1</v>
      </c>
      <c r="J13" s="970" t="b">
        <v>0</v>
      </c>
      <c r="K13" s="970" t="b">
        <v>0</v>
      </c>
      <c r="L13" s="970" t="b">
        <v>0</v>
      </c>
      <c r="M13" s="970" t="b">
        <v>0</v>
      </c>
      <c r="N13" s="970" t="b">
        <v>0</v>
      </c>
      <c r="O13" s="970" t="b">
        <v>0</v>
      </c>
      <c r="P13" s="970" t="b">
        <v>0</v>
      </c>
      <c r="Q13" s="978" t="s">
        <v>1507</v>
      </c>
    </row>
    <row r="14" spans="1:17" ht="23.25" customHeight="1">
      <c r="A14" s="993" t="s">
        <v>1510</v>
      </c>
      <c r="B14" s="976" t="s">
        <v>285</v>
      </c>
      <c r="C14" s="977">
        <v>9.3531249999999982E-2</v>
      </c>
      <c r="E14" s="970" t="b">
        <v>0</v>
      </c>
      <c r="F14" s="970" t="b">
        <v>0</v>
      </c>
      <c r="G14" s="970" t="b">
        <v>0</v>
      </c>
      <c r="H14" s="970" t="b">
        <v>0</v>
      </c>
      <c r="I14" s="970" t="b">
        <v>1</v>
      </c>
      <c r="J14" s="970" t="b">
        <v>0</v>
      </c>
      <c r="K14" s="970" t="b">
        <v>0</v>
      </c>
      <c r="L14" s="970" t="b">
        <v>0</v>
      </c>
      <c r="M14" s="970" t="b">
        <v>0</v>
      </c>
      <c r="N14" s="970" t="b">
        <v>0</v>
      </c>
      <c r="O14" s="970" t="b">
        <v>0</v>
      </c>
      <c r="P14" s="970" t="b">
        <v>0</v>
      </c>
      <c r="Q14" s="978" t="s">
        <v>1507</v>
      </c>
    </row>
    <row r="15" spans="1:17" ht="23.25" customHeight="1">
      <c r="A15" s="993" t="s">
        <v>1510</v>
      </c>
      <c r="B15" s="976" t="s">
        <v>286</v>
      </c>
      <c r="C15" s="977">
        <v>1.1341800000000003E-2</v>
      </c>
      <c r="E15" s="970" t="b">
        <v>0</v>
      </c>
      <c r="F15" s="970" t="b">
        <v>0</v>
      </c>
      <c r="G15" s="970" t="b">
        <v>0</v>
      </c>
      <c r="H15" s="970" t="b">
        <v>0</v>
      </c>
      <c r="I15" s="970" t="b">
        <v>1</v>
      </c>
      <c r="J15" s="970" t="b">
        <v>0</v>
      </c>
      <c r="K15" s="970" t="b">
        <v>0</v>
      </c>
      <c r="L15" s="970" t="b">
        <v>0</v>
      </c>
      <c r="M15" s="970" t="b">
        <v>0</v>
      </c>
      <c r="N15" s="970" t="b">
        <v>0</v>
      </c>
      <c r="O15" s="970" t="b">
        <v>0</v>
      </c>
      <c r="P15" s="970" t="b">
        <v>0</v>
      </c>
      <c r="Q15" s="978" t="s">
        <v>1507</v>
      </c>
    </row>
    <row r="16" spans="1:17" ht="23.25" customHeight="1">
      <c r="A16" s="993" t="s">
        <v>1510</v>
      </c>
      <c r="B16" s="976" t="s">
        <v>298</v>
      </c>
      <c r="C16" s="977">
        <v>330</v>
      </c>
      <c r="E16" s="970" t="b">
        <v>0</v>
      </c>
      <c r="F16" s="970" t="b">
        <v>0</v>
      </c>
      <c r="G16" s="970" t="b">
        <v>0</v>
      </c>
      <c r="H16" s="970" t="b">
        <v>0</v>
      </c>
      <c r="I16" s="970" t="b">
        <v>1</v>
      </c>
      <c r="J16" s="970" t="b">
        <v>0</v>
      </c>
      <c r="K16" s="970" t="b">
        <v>0</v>
      </c>
      <c r="L16" s="970" t="b">
        <v>0</v>
      </c>
      <c r="M16" s="970" t="b">
        <v>0</v>
      </c>
      <c r="N16" s="970" t="b">
        <v>0</v>
      </c>
      <c r="O16" s="970" t="b">
        <v>0</v>
      </c>
      <c r="P16" s="970" t="b">
        <v>0</v>
      </c>
      <c r="Q16" s="978" t="s">
        <v>1507</v>
      </c>
    </row>
    <row r="17" spans="1:17" ht="23.25" customHeight="1">
      <c r="A17" s="993" t="s">
        <v>1510</v>
      </c>
      <c r="B17" s="976" t="s">
        <v>299</v>
      </c>
      <c r="C17" s="977">
        <v>42</v>
      </c>
      <c r="E17" s="970" t="b">
        <v>0</v>
      </c>
      <c r="F17" s="970" t="b">
        <v>0</v>
      </c>
      <c r="G17" s="970" t="b">
        <v>0</v>
      </c>
      <c r="H17" s="970" t="b">
        <v>0</v>
      </c>
      <c r="I17" s="970" t="b">
        <v>1</v>
      </c>
      <c r="J17" s="970" t="b">
        <v>0</v>
      </c>
      <c r="K17" s="970" t="b">
        <v>0</v>
      </c>
      <c r="L17" s="970" t="b">
        <v>0</v>
      </c>
      <c r="M17" s="970" t="b">
        <v>0</v>
      </c>
      <c r="N17" s="970" t="b">
        <v>0</v>
      </c>
      <c r="O17" s="970" t="b">
        <v>0</v>
      </c>
      <c r="P17" s="970" t="b">
        <v>0</v>
      </c>
      <c r="Q17" s="978" t="s">
        <v>1507</v>
      </c>
    </row>
    <row r="18" spans="1:17" ht="23.25" customHeight="1">
      <c r="A18" s="993" t="s">
        <v>1510</v>
      </c>
      <c r="B18" s="976" t="s">
        <v>300</v>
      </c>
      <c r="C18" s="977">
        <v>73.337000000000003</v>
      </c>
      <c r="E18" s="970" t="b">
        <v>0</v>
      </c>
      <c r="F18" s="970" t="b">
        <v>0</v>
      </c>
      <c r="G18" s="970" t="b">
        <v>0</v>
      </c>
      <c r="H18" s="970" t="b">
        <v>0</v>
      </c>
      <c r="I18" s="970" t="b">
        <v>1</v>
      </c>
      <c r="J18" s="970" t="b">
        <v>0</v>
      </c>
      <c r="K18" s="970" t="b">
        <v>0</v>
      </c>
      <c r="L18" s="970" t="b">
        <v>0</v>
      </c>
      <c r="M18" s="970" t="b">
        <v>0</v>
      </c>
      <c r="N18" s="970" t="b">
        <v>0</v>
      </c>
      <c r="O18" s="970" t="b">
        <v>0</v>
      </c>
      <c r="P18" s="970" t="b">
        <v>0</v>
      </c>
      <c r="Q18" s="978" t="s">
        <v>1507</v>
      </c>
    </row>
    <row r="19" spans="1:17" ht="23.25" customHeight="1">
      <c r="A19" s="993" t="s">
        <v>1510</v>
      </c>
      <c r="B19" s="976" t="s">
        <v>301</v>
      </c>
      <c r="C19" s="977">
        <v>79.827000000000012</v>
      </c>
      <c r="E19" s="970" t="b">
        <v>0</v>
      </c>
      <c r="F19" s="970" t="b">
        <v>0</v>
      </c>
      <c r="G19" s="970" t="b">
        <v>0</v>
      </c>
      <c r="H19" s="970" t="b">
        <v>0</v>
      </c>
      <c r="I19" s="970" t="b">
        <v>1</v>
      </c>
      <c r="J19" s="970" t="b">
        <v>0</v>
      </c>
      <c r="K19" s="970" t="b">
        <v>0</v>
      </c>
      <c r="L19" s="970" t="b">
        <v>0</v>
      </c>
      <c r="M19" s="970" t="b">
        <v>0</v>
      </c>
      <c r="N19" s="970" t="b">
        <v>0</v>
      </c>
      <c r="O19" s="970" t="b">
        <v>0</v>
      </c>
      <c r="P19" s="970" t="b">
        <v>0</v>
      </c>
      <c r="Q19" s="978" t="s">
        <v>1507</v>
      </c>
    </row>
    <row r="20" spans="1:17" ht="23.25" customHeight="1">
      <c r="A20" s="993" t="s">
        <v>1510</v>
      </c>
      <c r="B20" s="976" t="s">
        <v>302</v>
      </c>
      <c r="C20" s="977">
        <v>55.902000000000001</v>
      </c>
      <c r="E20" s="970" t="b">
        <v>0</v>
      </c>
      <c r="F20" s="970" t="b">
        <v>0</v>
      </c>
      <c r="G20" s="970" t="b">
        <v>0</v>
      </c>
      <c r="H20" s="970" t="b">
        <v>0</v>
      </c>
      <c r="I20" s="970" t="b">
        <v>1</v>
      </c>
      <c r="J20" s="970" t="b">
        <v>0</v>
      </c>
      <c r="K20" s="970" t="b">
        <v>0</v>
      </c>
      <c r="L20" s="970" t="b">
        <v>0</v>
      </c>
      <c r="M20" s="970" t="b">
        <v>0</v>
      </c>
      <c r="N20" s="970" t="b">
        <v>0</v>
      </c>
      <c r="O20" s="970" t="b">
        <v>0</v>
      </c>
      <c r="P20" s="970" t="b">
        <v>0</v>
      </c>
      <c r="Q20" s="978" t="s">
        <v>1507</v>
      </c>
    </row>
    <row r="21" spans="1:17" ht="23.25" customHeight="1">
      <c r="A21" s="993" t="s">
        <v>1510</v>
      </c>
      <c r="B21" s="976" t="s">
        <v>303</v>
      </c>
      <c r="C21" s="977">
        <v>54.053999999999995</v>
      </c>
      <c r="E21" s="970" t="b">
        <v>0</v>
      </c>
      <c r="F21" s="970" t="b">
        <v>0</v>
      </c>
      <c r="G21" s="970" t="b">
        <v>0</v>
      </c>
      <c r="H21" s="970" t="b">
        <v>0</v>
      </c>
      <c r="I21" s="970" t="b">
        <v>1</v>
      </c>
      <c r="J21" s="970" t="b">
        <v>0</v>
      </c>
      <c r="K21" s="970" t="b">
        <v>0</v>
      </c>
      <c r="L21" s="970" t="b">
        <v>0</v>
      </c>
      <c r="M21" s="970" t="b">
        <v>0</v>
      </c>
      <c r="N21" s="970" t="b">
        <v>0</v>
      </c>
      <c r="O21" s="970" t="b">
        <v>0</v>
      </c>
      <c r="P21" s="970" t="b">
        <v>0</v>
      </c>
      <c r="Q21" s="978" t="s">
        <v>1507</v>
      </c>
    </row>
    <row r="22" spans="1:17" ht="23.25" customHeight="1">
      <c r="A22" s="993" t="s">
        <v>1510</v>
      </c>
      <c r="B22" s="976" t="s">
        <v>304</v>
      </c>
      <c r="C22" s="977">
        <v>140</v>
      </c>
      <c r="E22" s="970" t="b">
        <v>0</v>
      </c>
      <c r="F22" s="970" t="b">
        <v>0</v>
      </c>
      <c r="G22" s="970" t="b">
        <v>0</v>
      </c>
      <c r="H22" s="970" t="b">
        <v>0</v>
      </c>
      <c r="I22" s="970" t="b">
        <v>1</v>
      </c>
      <c r="J22" s="970" t="b">
        <v>0</v>
      </c>
      <c r="K22" s="970" t="b">
        <v>0</v>
      </c>
      <c r="L22" s="970" t="b">
        <v>0</v>
      </c>
      <c r="M22" s="970" t="b">
        <v>0</v>
      </c>
      <c r="N22" s="970" t="b">
        <v>0</v>
      </c>
      <c r="O22" s="970" t="b">
        <v>0</v>
      </c>
      <c r="P22" s="970" t="b">
        <v>0</v>
      </c>
      <c r="Q22" s="978" t="s">
        <v>1507</v>
      </c>
    </row>
    <row r="23" spans="1:17" ht="23.25" customHeight="1">
      <c r="A23" s="993" t="s">
        <v>1510</v>
      </c>
      <c r="B23" s="976" t="s">
        <v>305</v>
      </c>
      <c r="C23" s="977">
        <v>8.125</v>
      </c>
      <c r="E23" s="970" t="b">
        <v>0</v>
      </c>
      <c r="F23" s="970" t="b">
        <v>0</v>
      </c>
      <c r="G23" s="970" t="b">
        <v>0</v>
      </c>
      <c r="H23" s="970" t="b">
        <v>0</v>
      </c>
      <c r="I23" s="970" t="b">
        <v>1</v>
      </c>
      <c r="J23" s="970" t="b">
        <v>0</v>
      </c>
      <c r="K23" s="970" t="b">
        <v>0</v>
      </c>
      <c r="L23" s="970" t="b">
        <v>0</v>
      </c>
      <c r="M23" s="970" t="b">
        <v>0</v>
      </c>
      <c r="N23" s="970" t="b">
        <v>0</v>
      </c>
      <c r="O23" s="970" t="b">
        <v>0</v>
      </c>
      <c r="P23" s="970" t="b">
        <v>0</v>
      </c>
      <c r="Q23" s="978" t="s">
        <v>1507</v>
      </c>
    </row>
    <row r="24" spans="1:17" ht="23.25" customHeight="1">
      <c r="A24" s="993" t="s">
        <v>1510</v>
      </c>
      <c r="B24" s="976" t="s">
        <v>306</v>
      </c>
      <c r="C24" s="977">
        <v>5.2670300000000001</v>
      </c>
      <c r="E24" s="970" t="b">
        <v>0</v>
      </c>
      <c r="F24" s="970" t="b">
        <v>0</v>
      </c>
      <c r="G24" s="970" t="b">
        <v>0</v>
      </c>
      <c r="H24" s="970" t="b">
        <v>0</v>
      </c>
      <c r="I24" s="970" t="b">
        <v>1</v>
      </c>
      <c r="J24" s="970" t="b">
        <v>0</v>
      </c>
      <c r="K24" s="970" t="b">
        <v>0</v>
      </c>
      <c r="L24" s="970" t="b">
        <v>0</v>
      </c>
      <c r="M24" s="970" t="b">
        <v>0</v>
      </c>
      <c r="N24" s="970" t="b">
        <v>0</v>
      </c>
      <c r="O24" s="970" t="b">
        <v>0</v>
      </c>
      <c r="P24" s="970" t="b">
        <v>0</v>
      </c>
      <c r="Q24" s="978" t="s">
        <v>1507</v>
      </c>
    </row>
    <row r="25" spans="1:17" ht="23.25" customHeight="1">
      <c r="A25" s="993" t="s">
        <v>1510</v>
      </c>
      <c r="B25" s="976" t="s">
        <v>307</v>
      </c>
      <c r="C25" s="977">
        <v>2.4300000000000002</v>
      </c>
      <c r="E25" s="970" t="b">
        <v>0</v>
      </c>
      <c r="F25" s="970" t="b">
        <v>0</v>
      </c>
      <c r="G25" s="970" t="b">
        <v>0</v>
      </c>
      <c r="H25" s="970" t="b">
        <v>0</v>
      </c>
      <c r="I25" s="970" t="b">
        <v>1</v>
      </c>
      <c r="J25" s="970" t="b">
        <v>0</v>
      </c>
      <c r="K25" s="970" t="b">
        <v>0</v>
      </c>
      <c r="L25" s="970" t="b">
        <v>0</v>
      </c>
      <c r="M25" s="970" t="b">
        <v>0</v>
      </c>
      <c r="N25" s="970" t="b">
        <v>0</v>
      </c>
      <c r="O25" s="970" t="b">
        <v>0</v>
      </c>
      <c r="P25" s="970" t="b">
        <v>0</v>
      </c>
      <c r="Q25" s="978" t="s">
        <v>1507</v>
      </c>
    </row>
    <row r="26" spans="1:17" ht="23.25" customHeight="1">
      <c r="A26" s="993" t="s">
        <v>1510</v>
      </c>
      <c r="B26" s="976" t="s">
        <v>308</v>
      </c>
      <c r="C26" s="977">
        <v>0.50187500000000007</v>
      </c>
      <c r="E26" s="970" t="b">
        <v>0</v>
      </c>
      <c r="F26" s="970" t="b">
        <v>0</v>
      </c>
      <c r="G26" s="970" t="b">
        <v>0</v>
      </c>
      <c r="H26" s="970" t="b">
        <v>0</v>
      </c>
      <c r="I26" s="970" t="b">
        <v>1</v>
      </c>
      <c r="J26" s="970" t="b">
        <v>0</v>
      </c>
      <c r="K26" s="970" t="b">
        <v>0</v>
      </c>
      <c r="L26" s="970" t="b">
        <v>0</v>
      </c>
      <c r="M26" s="970" t="b">
        <v>0</v>
      </c>
      <c r="N26" s="970" t="b">
        <v>0</v>
      </c>
      <c r="O26" s="970" t="b">
        <v>0</v>
      </c>
      <c r="P26" s="970" t="b">
        <v>0</v>
      </c>
      <c r="Q26" s="978" t="s">
        <v>1507</v>
      </c>
    </row>
    <row r="27" spans="1:17" ht="23.25" customHeight="1">
      <c r="A27" s="993" t="s">
        <v>1510</v>
      </c>
      <c r="B27" s="976" t="s">
        <v>309</v>
      </c>
      <c r="C27" s="977">
        <v>0.25093750000000004</v>
      </c>
      <c r="E27" s="970" t="b">
        <v>0</v>
      </c>
      <c r="F27" s="970" t="b">
        <v>0</v>
      </c>
      <c r="G27" s="970" t="b">
        <v>0</v>
      </c>
      <c r="H27" s="970" t="b">
        <v>0</v>
      </c>
      <c r="I27" s="970" t="b">
        <v>1</v>
      </c>
      <c r="J27" s="970" t="b">
        <v>0</v>
      </c>
      <c r="K27" s="970" t="b">
        <v>0</v>
      </c>
      <c r="L27" s="970" t="b">
        <v>0</v>
      </c>
      <c r="M27" s="970" t="b">
        <v>0</v>
      </c>
      <c r="N27" s="970" t="b">
        <v>0</v>
      </c>
      <c r="O27" s="970" t="b">
        <v>0</v>
      </c>
      <c r="P27" s="970" t="b">
        <v>0</v>
      </c>
      <c r="Q27" s="978" t="s">
        <v>1507</v>
      </c>
    </row>
    <row r="28" spans="1:17" ht="23.25" customHeight="1">
      <c r="A28" s="993" t="s">
        <v>1510</v>
      </c>
      <c r="B28" s="976" t="s">
        <v>310</v>
      </c>
      <c r="C28" s="977">
        <v>0.12774999999999997</v>
      </c>
      <c r="E28" s="970" t="b">
        <v>0</v>
      </c>
      <c r="F28" s="970" t="b">
        <v>0</v>
      </c>
      <c r="G28" s="970" t="b">
        <v>0</v>
      </c>
      <c r="H28" s="970" t="b">
        <v>0</v>
      </c>
      <c r="I28" s="970" t="b">
        <v>1</v>
      </c>
      <c r="J28" s="970" t="b">
        <v>0</v>
      </c>
      <c r="K28" s="970" t="b">
        <v>0</v>
      </c>
      <c r="L28" s="970" t="b">
        <v>0</v>
      </c>
      <c r="M28" s="970" t="b">
        <v>0</v>
      </c>
      <c r="N28" s="970" t="b">
        <v>0</v>
      </c>
      <c r="O28" s="970" t="b">
        <v>0</v>
      </c>
      <c r="P28" s="970" t="b">
        <v>0</v>
      </c>
      <c r="Q28" s="978" t="s">
        <v>1507</v>
      </c>
    </row>
    <row r="29" spans="1:17" ht="23.25" customHeight="1">
      <c r="A29" s="993" t="s">
        <v>1510</v>
      </c>
      <c r="B29" s="976" t="s">
        <v>311</v>
      </c>
      <c r="C29" s="977">
        <v>1.1341800000000003E-2</v>
      </c>
      <c r="E29" s="970" t="b">
        <v>0</v>
      </c>
      <c r="F29" s="970" t="b">
        <v>0</v>
      </c>
      <c r="G29" s="970" t="b">
        <v>0</v>
      </c>
      <c r="H29" s="970" t="b">
        <v>0</v>
      </c>
      <c r="I29" s="970" t="b">
        <v>1</v>
      </c>
      <c r="J29" s="970" t="b">
        <v>0</v>
      </c>
      <c r="K29" s="970" t="b">
        <v>0</v>
      </c>
      <c r="L29" s="970" t="b">
        <v>0</v>
      </c>
      <c r="M29" s="970" t="b">
        <v>0</v>
      </c>
      <c r="N29" s="970" t="b">
        <v>0</v>
      </c>
      <c r="O29" s="970" t="b">
        <v>0</v>
      </c>
      <c r="P29" s="970" t="b">
        <v>0</v>
      </c>
      <c r="Q29" s="978" t="s">
        <v>1507</v>
      </c>
    </row>
    <row r="30" spans="1:17" ht="23.25" customHeight="1">
      <c r="A30" s="993" t="s">
        <v>1510</v>
      </c>
      <c r="B30" s="976" t="s">
        <v>321</v>
      </c>
      <c r="C30" s="977">
        <v>190</v>
      </c>
      <c r="E30" s="970" t="b">
        <v>0</v>
      </c>
      <c r="F30" s="970" t="b">
        <v>0</v>
      </c>
      <c r="G30" s="970" t="b">
        <v>0</v>
      </c>
      <c r="H30" s="970" t="b">
        <v>0</v>
      </c>
      <c r="I30" s="970" t="b">
        <v>1</v>
      </c>
      <c r="J30" s="970" t="b">
        <v>0</v>
      </c>
      <c r="K30" s="970" t="b">
        <v>0</v>
      </c>
      <c r="L30" s="970" t="b">
        <v>0</v>
      </c>
      <c r="M30" s="970" t="b">
        <v>0</v>
      </c>
      <c r="N30" s="970" t="b">
        <v>0</v>
      </c>
      <c r="O30" s="970" t="b">
        <v>0</v>
      </c>
      <c r="P30" s="970" t="b">
        <v>0</v>
      </c>
      <c r="Q30" s="978" t="s">
        <v>1507</v>
      </c>
    </row>
    <row r="31" spans="1:17" ht="23.25" customHeight="1">
      <c r="A31" s="993" t="s">
        <v>1510</v>
      </c>
      <c r="B31" s="976" t="s">
        <v>322</v>
      </c>
      <c r="C31" s="977">
        <v>43</v>
      </c>
      <c r="E31" s="970" t="b">
        <v>0</v>
      </c>
      <c r="F31" s="970" t="b">
        <v>0</v>
      </c>
      <c r="G31" s="970" t="b">
        <v>0</v>
      </c>
      <c r="H31" s="970" t="b">
        <v>0</v>
      </c>
      <c r="I31" s="970" t="b">
        <v>1</v>
      </c>
      <c r="J31" s="970" t="b">
        <v>0</v>
      </c>
      <c r="K31" s="970" t="b">
        <v>0</v>
      </c>
      <c r="L31" s="970" t="b">
        <v>0</v>
      </c>
      <c r="M31" s="970" t="b">
        <v>0</v>
      </c>
      <c r="N31" s="970" t="b">
        <v>0</v>
      </c>
      <c r="O31" s="970" t="b">
        <v>0</v>
      </c>
      <c r="P31" s="970" t="b">
        <v>0</v>
      </c>
      <c r="Q31" s="978" t="s">
        <v>1507</v>
      </c>
    </row>
    <row r="32" spans="1:17" ht="23.25" customHeight="1">
      <c r="A32" s="993" t="s">
        <v>1510</v>
      </c>
      <c r="B32" s="976" t="s">
        <v>1000</v>
      </c>
      <c r="C32" s="977">
        <v>48</v>
      </c>
      <c r="E32" s="970" t="b">
        <v>0</v>
      </c>
      <c r="F32" s="970" t="b">
        <v>0</v>
      </c>
      <c r="G32" s="970" t="b">
        <v>0</v>
      </c>
      <c r="H32" s="970" t="b">
        <v>0</v>
      </c>
      <c r="I32" s="970" t="b">
        <v>1</v>
      </c>
      <c r="J32" s="970" t="b">
        <v>0</v>
      </c>
      <c r="K32" s="970" t="b">
        <v>0</v>
      </c>
      <c r="L32" s="970" t="b">
        <v>0</v>
      </c>
      <c r="M32" s="970" t="b">
        <v>0</v>
      </c>
      <c r="N32" s="970" t="b">
        <v>0</v>
      </c>
      <c r="O32" s="970" t="b">
        <v>0</v>
      </c>
      <c r="P32" s="970" t="b">
        <v>0</v>
      </c>
      <c r="Q32" s="978" t="s">
        <v>1507</v>
      </c>
    </row>
    <row r="33" spans="1:17" ht="23.25" customHeight="1">
      <c r="A33" s="993" t="s">
        <v>1510</v>
      </c>
      <c r="B33" s="976" t="s">
        <v>1001</v>
      </c>
      <c r="C33" s="977">
        <v>11.315000000000001</v>
      </c>
      <c r="E33" s="970" t="b">
        <v>0</v>
      </c>
      <c r="F33" s="970" t="b">
        <v>0</v>
      </c>
      <c r="G33" s="970" t="b">
        <v>0</v>
      </c>
      <c r="H33" s="970" t="b">
        <v>0</v>
      </c>
      <c r="I33" s="970" t="b">
        <v>1</v>
      </c>
      <c r="J33" s="970" t="b">
        <v>0</v>
      </c>
      <c r="K33" s="970" t="b">
        <v>0</v>
      </c>
      <c r="L33" s="970" t="b">
        <v>0</v>
      </c>
      <c r="M33" s="970" t="b">
        <v>0</v>
      </c>
      <c r="N33" s="970" t="b">
        <v>0</v>
      </c>
      <c r="O33" s="970" t="b">
        <v>0</v>
      </c>
      <c r="P33" s="970" t="b">
        <v>0</v>
      </c>
      <c r="Q33" s="978" t="s">
        <v>1507</v>
      </c>
    </row>
    <row r="34" spans="1:17" ht="23.25" customHeight="1">
      <c r="A34" s="993" t="s">
        <v>1510</v>
      </c>
      <c r="B34" s="976" t="s">
        <v>1005</v>
      </c>
      <c r="C34" s="977">
        <v>54</v>
      </c>
      <c r="E34" s="970" t="b">
        <v>0</v>
      </c>
      <c r="F34" s="970" t="b">
        <v>0</v>
      </c>
      <c r="G34" s="970" t="b">
        <v>0</v>
      </c>
      <c r="H34" s="970" t="b">
        <v>0</v>
      </c>
      <c r="I34" s="970" t="b">
        <v>1</v>
      </c>
      <c r="J34" s="970" t="b">
        <v>0</v>
      </c>
      <c r="K34" s="970" t="b">
        <v>0</v>
      </c>
      <c r="L34" s="970" t="b">
        <v>0</v>
      </c>
      <c r="M34" s="970" t="b">
        <v>0</v>
      </c>
      <c r="N34" s="970" t="b">
        <v>0</v>
      </c>
      <c r="O34" s="970" t="b">
        <v>0</v>
      </c>
      <c r="P34" s="970" t="b">
        <v>0</v>
      </c>
      <c r="Q34" s="978" t="s">
        <v>1507</v>
      </c>
    </row>
    <row r="35" spans="1:17" ht="23.25" customHeight="1">
      <c r="A35" s="993" t="s">
        <v>1510</v>
      </c>
      <c r="B35" s="976" t="s">
        <v>1007</v>
      </c>
      <c r="C35" s="977">
        <v>9.3103448275862064</v>
      </c>
      <c r="E35" s="970" t="b">
        <v>0</v>
      </c>
      <c r="F35" s="970" t="b">
        <v>0</v>
      </c>
      <c r="G35" s="970" t="b">
        <v>0</v>
      </c>
      <c r="H35" s="970" t="b">
        <v>0</v>
      </c>
      <c r="I35" s="970" t="b">
        <v>1</v>
      </c>
      <c r="J35" s="970" t="b">
        <v>0</v>
      </c>
      <c r="K35" s="970" t="b">
        <v>0</v>
      </c>
      <c r="L35" s="970" t="b">
        <v>0</v>
      </c>
      <c r="M35" s="970" t="b">
        <v>0</v>
      </c>
      <c r="N35" s="970" t="b">
        <v>0</v>
      </c>
      <c r="O35" s="970" t="b">
        <v>0</v>
      </c>
      <c r="P35" s="970" t="b">
        <v>0</v>
      </c>
      <c r="Q35" s="978" t="s">
        <v>1507</v>
      </c>
    </row>
    <row r="36" spans="1:17" ht="23.25" customHeight="1">
      <c r="A36" s="993" t="s">
        <v>1510</v>
      </c>
      <c r="B36" s="976" t="s">
        <v>1008</v>
      </c>
      <c r="C36" s="977">
        <v>0.4</v>
      </c>
      <c r="E36" s="970" t="b">
        <v>0</v>
      </c>
      <c r="F36" s="970" t="b">
        <v>0</v>
      </c>
      <c r="G36" s="970" t="b">
        <v>0</v>
      </c>
      <c r="H36" s="970" t="b">
        <v>0</v>
      </c>
      <c r="I36" s="970" t="b">
        <v>1</v>
      </c>
      <c r="J36" s="970" t="b">
        <v>0</v>
      </c>
      <c r="K36" s="970" t="b">
        <v>0</v>
      </c>
      <c r="L36" s="970" t="b">
        <v>0</v>
      </c>
      <c r="M36" s="970" t="b">
        <v>0</v>
      </c>
      <c r="N36" s="970" t="b">
        <v>0</v>
      </c>
      <c r="O36" s="970" t="b">
        <v>0</v>
      </c>
      <c r="P36" s="970" t="b">
        <v>0</v>
      </c>
      <c r="Q36" s="978" t="s">
        <v>1507</v>
      </c>
    </row>
    <row r="37" spans="1:17" ht="23.25" customHeight="1">
      <c r="A37" s="993" t="s">
        <v>1510</v>
      </c>
      <c r="B37" s="976" t="s">
        <v>1003</v>
      </c>
      <c r="C37" s="977">
        <v>0.9</v>
      </c>
      <c r="E37" s="970" t="b">
        <v>0</v>
      </c>
      <c r="F37" s="970" t="b">
        <v>0</v>
      </c>
      <c r="G37" s="970" t="b">
        <v>0</v>
      </c>
      <c r="H37" s="970" t="b">
        <v>0</v>
      </c>
      <c r="I37" s="970" t="b">
        <v>1</v>
      </c>
      <c r="J37" s="970" t="b">
        <v>0</v>
      </c>
      <c r="K37" s="970" t="b">
        <v>0</v>
      </c>
      <c r="L37" s="970" t="b">
        <v>0</v>
      </c>
      <c r="M37" s="970" t="b">
        <v>0</v>
      </c>
      <c r="N37" s="970" t="b">
        <v>0</v>
      </c>
      <c r="O37" s="970" t="b">
        <v>0</v>
      </c>
      <c r="P37" s="970" t="b">
        <v>0</v>
      </c>
      <c r="Q37" s="978" t="s">
        <v>1507</v>
      </c>
    </row>
    <row r="38" spans="1:17" ht="23.25" customHeight="1">
      <c r="A38" s="993" t="s">
        <v>1510</v>
      </c>
      <c r="B38" s="976" t="s">
        <v>1004</v>
      </c>
      <c r="C38" s="977">
        <v>9</v>
      </c>
      <c r="E38" s="970" t="b">
        <v>0</v>
      </c>
      <c r="F38" s="970" t="b">
        <v>0</v>
      </c>
      <c r="G38" s="970" t="b">
        <v>0</v>
      </c>
      <c r="H38" s="970" t="b">
        <v>0</v>
      </c>
      <c r="I38" s="970" t="b">
        <v>1</v>
      </c>
      <c r="J38" s="970" t="b">
        <v>0</v>
      </c>
      <c r="K38" s="970" t="b">
        <v>0</v>
      </c>
      <c r="L38" s="970" t="b">
        <v>0</v>
      </c>
      <c r="M38" s="970" t="b">
        <v>0</v>
      </c>
      <c r="N38" s="970" t="b">
        <v>0</v>
      </c>
      <c r="O38" s="970" t="b">
        <v>0</v>
      </c>
      <c r="P38" s="970" t="b">
        <v>0</v>
      </c>
      <c r="Q38" s="978" t="s">
        <v>1507</v>
      </c>
    </row>
  </sheetData>
  <phoneticPr fontId="6"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33"/>
  <sheetViews>
    <sheetView zoomScale="55" zoomScaleNormal="55" workbookViewId="0"/>
  </sheetViews>
  <sheetFormatPr defaultRowHeight="23.25" customHeight="1"/>
  <cols>
    <col min="1" max="1" width="34.75" style="992" customWidth="1"/>
    <col min="2" max="2" width="23.625" style="982" customWidth="1"/>
    <col min="3" max="3" width="29" style="983" customWidth="1"/>
    <col min="4" max="4" width="9" style="970"/>
    <col min="5" max="16" width="9" style="970" hidden="1" customWidth="1"/>
    <col min="17" max="16384" width="9" style="970"/>
  </cols>
  <sheetData>
    <row r="1" spans="1:17" ht="78" customHeight="1">
      <c r="A1" s="988" t="s">
        <v>360</v>
      </c>
      <c r="B1" s="968"/>
      <c r="C1" s="969"/>
    </row>
    <row r="2" spans="1:17" s="973" customFormat="1" ht="23.25" customHeight="1">
      <c r="A2" s="991" t="s">
        <v>361</v>
      </c>
      <c r="B2" s="971" t="s">
        <v>362</v>
      </c>
      <c r="C2" s="972" t="s">
        <v>373</v>
      </c>
      <c r="E2" s="974">
        <v>1</v>
      </c>
      <c r="F2" s="974" t="s">
        <v>890</v>
      </c>
      <c r="G2" s="974">
        <v>2</v>
      </c>
      <c r="H2" s="974" t="s">
        <v>890</v>
      </c>
      <c r="I2" s="974">
        <v>3</v>
      </c>
      <c r="J2" s="974" t="s">
        <v>890</v>
      </c>
      <c r="K2" s="974">
        <v>4</v>
      </c>
      <c r="L2" s="974" t="s">
        <v>890</v>
      </c>
      <c r="M2" s="974">
        <v>5</v>
      </c>
      <c r="N2" s="974" t="s">
        <v>890</v>
      </c>
      <c r="O2" s="974">
        <v>6</v>
      </c>
      <c r="P2" s="984" t="s">
        <v>890</v>
      </c>
      <c r="Q2" s="975">
        <v>3</v>
      </c>
    </row>
    <row r="3" spans="1:17" s="973" customFormat="1" ht="23.25" customHeight="1">
      <c r="A3" s="991" t="s">
        <v>385</v>
      </c>
      <c r="B3" s="971" t="s">
        <v>386</v>
      </c>
      <c r="C3" s="972" t="s">
        <v>394</v>
      </c>
      <c r="Q3" s="985"/>
    </row>
    <row r="4" spans="1:17" ht="23.25" customHeight="1">
      <c r="A4" s="990">
        <f>MENU!Y15</f>
        <v>44898.708333333336</v>
      </c>
      <c r="B4" s="976" t="s">
        <v>277</v>
      </c>
      <c r="C4" s="977"/>
      <c r="E4" s="970" t="b">
        <f>ISNUMBER(#REF!)</f>
        <v>0</v>
      </c>
      <c r="F4" s="970" t="b">
        <f>ISNUMBER(#REF!)</f>
        <v>0</v>
      </c>
      <c r="G4" s="970" t="b">
        <f>ISNUMBER(#REF!)</f>
        <v>0</v>
      </c>
      <c r="H4" s="970" t="b">
        <f>ISNUMBER(#REF!)</f>
        <v>0</v>
      </c>
      <c r="I4" s="970" t="b">
        <f t="shared" ref="I4:I26" si="0">ISNUMBER(C4)</f>
        <v>0</v>
      </c>
      <c r="J4" s="970" t="b">
        <f>ISNUMBER(#REF!)</f>
        <v>0</v>
      </c>
      <c r="K4" s="970" t="b">
        <f>ISNUMBER(#REF!)</f>
        <v>0</v>
      </c>
      <c r="L4" s="970" t="b">
        <f>ISNUMBER(#REF!)</f>
        <v>0</v>
      </c>
      <c r="M4" s="970" t="b">
        <f>ISNUMBER(#REF!)</f>
        <v>0</v>
      </c>
      <c r="N4" s="970" t="b">
        <f>ISNUMBER(#REF!)</f>
        <v>0</v>
      </c>
      <c r="O4" s="970" t="b">
        <f>ISNUMBER(#REF!)</f>
        <v>0</v>
      </c>
      <c r="P4" s="970" t="b">
        <f>ISNUMBER(#REF!)</f>
        <v>0</v>
      </c>
      <c r="Q4" s="978">
        <f t="shared" ref="Q4:Q26" si="1">IF(I4=TRUE,"",1)</f>
        <v>1</v>
      </c>
    </row>
    <row r="5" spans="1:17" s="981" customFormat="1" ht="23.25" customHeight="1">
      <c r="A5" s="1005">
        <f t="shared" ref="A5:A28" si="2">IF(B5="","",$A$4)</f>
        <v>44898.708333333336</v>
      </c>
      <c r="B5" s="979" t="s">
        <v>468</v>
      </c>
      <c r="C5" s="980">
        <f t="shared" ref="C5:C33" si="3">IFERROR(VLOOKUP($B5,RLMLXD,20,0),"")</f>
        <v>0</v>
      </c>
      <c r="E5" s="981" t="b">
        <f>ISNUMBER(#REF!)</f>
        <v>0</v>
      </c>
      <c r="F5" s="981" t="b">
        <f>ISNUMBER(#REF!)</f>
        <v>0</v>
      </c>
      <c r="G5" s="981" t="b">
        <f>ISNUMBER(#REF!)</f>
        <v>0</v>
      </c>
      <c r="H5" s="981" t="b">
        <f>ISNUMBER(#REF!)</f>
        <v>0</v>
      </c>
      <c r="I5" s="981" t="b">
        <f t="shared" si="0"/>
        <v>1</v>
      </c>
      <c r="J5" s="981" t="b">
        <f>ISNUMBER(#REF!)</f>
        <v>0</v>
      </c>
      <c r="K5" s="981" t="b">
        <f>ISNUMBER(#REF!)</f>
        <v>0</v>
      </c>
      <c r="L5" s="981" t="b">
        <f>ISNUMBER(#REF!)</f>
        <v>0</v>
      </c>
      <c r="M5" s="981" t="b">
        <f>ISNUMBER(#REF!)</f>
        <v>0</v>
      </c>
      <c r="N5" s="981" t="b">
        <f>ISNUMBER(#REF!)</f>
        <v>0</v>
      </c>
      <c r="O5" s="981" t="b">
        <f>ISNUMBER(#REF!)</f>
        <v>0</v>
      </c>
      <c r="P5" s="981" t="b">
        <f>ISNUMBER(#REF!)</f>
        <v>0</v>
      </c>
      <c r="Q5" s="979" t="str">
        <f t="shared" si="1"/>
        <v/>
      </c>
    </row>
    <row r="6" spans="1:17" ht="23.25" customHeight="1">
      <c r="A6" s="993">
        <f t="shared" si="2"/>
        <v>44898.708333333336</v>
      </c>
      <c r="B6" s="976" t="s">
        <v>472</v>
      </c>
      <c r="C6" s="977">
        <f t="shared" si="3"/>
        <v>0</v>
      </c>
      <c r="E6" s="970" t="b">
        <f>ISNUMBER(#REF!)</f>
        <v>0</v>
      </c>
      <c r="F6" s="970" t="b">
        <f>ISNUMBER(#REF!)</f>
        <v>0</v>
      </c>
      <c r="G6" s="970" t="b">
        <f>ISNUMBER(#REF!)</f>
        <v>0</v>
      </c>
      <c r="H6" s="970" t="b">
        <f>ISNUMBER(#REF!)</f>
        <v>0</v>
      </c>
      <c r="I6" s="970" t="b">
        <f t="shared" si="0"/>
        <v>1</v>
      </c>
      <c r="J6" s="970" t="b">
        <f>ISNUMBER(#REF!)</f>
        <v>0</v>
      </c>
      <c r="K6" s="970" t="b">
        <f>ISNUMBER(#REF!)</f>
        <v>0</v>
      </c>
      <c r="L6" s="970" t="b">
        <f>ISNUMBER(#REF!)</f>
        <v>0</v>
      </c>
      <c r="M6" s="970" t="b">
        <f>ISNUMBER(#REF!)</f>
        <v>0</v>
      </c>
      <c r="N6" s="970" t="b">
        <f>ISNUMBER(#REF!)</f>
        <v>0</v>
      </c>
      <c r="O6" s="970" t="b">
        <f>ISNUMBER(#REF!)</f>
        <v>0</v>
      </c>
      <c r="P6" s="970" t="b">
        <f>ISNUMBER(#REF!)</f>
        <v>0</v>
      </c>
      <c r="Q6" s="978" t="str">
        <f t="shared" si="1"/>
        <v/>
      </c>
    </row>
    <row r="7" spans="1:17" ht="23.25" customHeight="1">
      <c r="A7" s="993">
        <f t="shared" si="2"/>
        <v>44898.708333333336</v>
      </c>
      <c r="B7" s="976" t="s">
        <v>473</v>
      </c>
      <c r="C7" s="977">
        <f t="shared" si="3"/>
        <v>0</v>
      </c>
      <c r="E7" s="970" t="b">
        <f>ISNUMBER(#REF!)</f>
        <v>0</v>
      </c>
      <c r="F7" s="970" t="b">
        <f>ISNUMBER(#REF!)</f>
        <v>0</v>
      </c>
      <c r="G7" s="970" t="b">
        <f>ISNUMBER(#REF!)</f>
        <v>0</v>
      </c>
      <c r="H7" s="970" t="b">
        <f>ISNUMBER(#REF!)</f>
        <v>0</v>
      </c>
      <c r="I7" s="970" t="b">
        <f t="shared" si="0"/>
        <v>1</v>
      </c>
      <c r="J7" s="970" t="b">
        <f>ISNUMBER(#REF!)</f>
        <v>0</v>
      </c>
      <c r="K7" s="970" t="b">
        <f>ISNUMBER(#REF!)</f>
        <v>0</v>
      </c>
      <c r="L7" s="970" t="b">
        <f>ISNUMBER(#REF!)</f>
        <v>0</v>
      </c>
      <c r="M7" s="970" t="b">
        <f>ISNUMBER(#REF!)</f>
        <v>0</v>
      </c>
      <c r="N7" s="970" t="b">
        <f>ISNUMBER(#REF!)</f>
        <v>0</v>
      </c>
      <c r="O7" s="970" t="b">
        <f>ISNUMBER(#REF!)</f>
        <v>0</v>
      </c>
      <c r="P7" s="970" t="b">
        <f>ISNUMBER(#REF!)</f>
        <v>0</v>
      </c>
      <c r="Q7" s="978" t="str">
        <f t="shared" si="1"/>
        <v/>
      </c>
    </row>
    <row r="8" spans="1:17" ht="23.25" customHeight="1">
      <c r="A8" s="993">
        <f t="shared" si="2"/>
        <v>44898.708333333336</v>
      </c>
      <c r="B8" s="976" t="s">
        <v>476</v>
      </c>
      <c r="C8" s="977">
        <f t="shared" si="3"/>
        <v>0</v>
      </c>
      <c r="E8" s="970" t="b">
        <f>ISNUMBER(#REF!)</f>
        <v>0</v>
      </c>
      <c r="F8" s="970" t="b">
        <f>ISNUMBER(#REF!)</f>
        <v>0</v>
      </c>
      <c r="G8" s="970" t="b">
        <f>ISNUMBER(#REF!)</f>
        <v>0</v>
      </c>
      <c r="H8" s="970" t="b">
        <f>ISNUMBER(#REF!)</f>
        <v>0</v>
      </c>
      <c r="I8" s="970" t="b">
        <f t="shared" si="0"/>
        <v>1</v>
      </c>
      <c r="J8" s="970" t="b">
        <f>ISNUMBER(#REF!)</f>
        <v>0</v>
      </c>
      <c r="K8" s="970" t="b">
        <f>ISNUMBER(#REF!)</f>
        <v>0</v>
      </c>
      <c r="L8" s="970" t="b">
        <f>ISNUMBER(#REF!)</f>
        <v>0</v>
      </c>
      <c r="M8" s="970" t="b">
        <f>ISNUMBER(#REF!)</f>
        <v>0</v>
      </c>
      <c r="N8" s="970" t="b">
        <f>ISNUMBER(#REF!)</f>
        <v>0</v>
      </c>
      <c r="O8" s="970" t="b">
        <f>ISNUMBER(#REF!)</f>
        <v>0</v>
      </c>
      <c r="P8" s="970" t="b">
        <f>ISNUMBER(#REF!)</f>
        <v>0</v>
      </c>
      <c r="Q8" s="978" t="str">
        <f t="shared" si="1"/>
        <v/>
      </c>
    </row>
    <row r="9" spans="1:17" ht="23.25" customHeight="1">
      <c r="A9" s="993">
        <f t="shared" si="2"/>
        <v>44898.708333333336</v>
      </c>
      <c r="B9" s="976" t="s">
        <v>477</v>
      </c>
      <c r="C9" s="977">
        <f t="shared" si="3"/>
        <v>0</v>
      </c>
      <c r="E9" s="970" t="b">
        <f>ISNUMBER(#REF!)</f>
        <v>0</v>
      </c>
      <c r="F9" s="970" t="b">
        <f>ISNUMBER(#REF!)</f>
        <v>0</v>
      </c>
      <c r="G9" s="970" t="b">
        <f>ISNUMBER(#REF!)</f>
        <v>0</v>
      </c>
      <c r="H9" s="970" t="b">
        <f>ISNUMBER(#REF!)</f>
        <v>0</v>
      </c>
      <c r="I9" s="970" t="b">
        <f t="shared" si="0"/>
        <v>1</v>
      </c>
      <c r="J9" s="970" t="b">
        <f>ISNUMBER(#REF!)</f>
        <v>0</v>
      </c>
      <c r="K9" s="970" t="b">
        <f>ISNUMBER(#REF!)</f>
        <v>0</v>
      </c>
      <c r="L9" s="970" t="b">
        <f>ISNUMBER(#REF!)</f>
        <v>0</v>
      </c>
      <c r="M9" s="970" t="b">
        <f>ISNUMBER(#REF!)</f>
        <v>0</v>
      </c>
      <c r="N9" s="970" t="b">
        <f>ISNUMBER(#REF!)</f>
        <v>0</v>
      </c>
      <c r="O9" s="970" t="b">
        <f>ISNUMBER(#REF!)</f>
        <v>0</v>
      </c>
      <c r="P9" s="970" t="b">
        <f>ISNUMBER(#REF!)</f>
        <v>0</v>
      </c>
      <c r="Q9" s="978" t="str">
        <f t="shared" si="1"/>
        <v/>
      </c>
    </row>
    <row r="10" spans="1:17" ht="23.25" customHeight="1">
      <c r="A10" s="993">
        <f t="shared" si="2"/>
        <v>44898.708333333336</v>
      </c>
      <c r="B10" s="976" t="s">
        <v>479</v>
      </c>
      <c r="C10" s="977">
        <f t="shared" si="3"/>
        <v>0</v>
      </c>
      <c r="E10" s="970" t="b">
        <f>ISNUMBER(#REF!)</f>
        <v>0</v>
      </c>
      <c r="F10" s="970" t="b">
        <f>ISNUMBER(#REF!)</f>
        <v>0</v>
      </c>
      <c r="G10" s="970" t="b">
        <f>ISNUMBER(#REF!)</f>
        <v>0</v>
      </c>
      <c r="H10" s="970" t="b">
        <f>ISNUMBER(#REF!)</f>
        <v>0</v>
      </c>
      <c r="I10" s="970" t="b">
        <f t="shared" si="0"/>
        <v>1</v>
      </c>
      <c r="J10" s="970" t="b">
        <f>ISNUMBER(#REF!)</f>
        <v>0</v>
      </c>
      <c r="K10" s="970" t="b">
        <f>ISNUMBER(#REF!)</f>
        <v>0</v>
      </c>
      <c r="L10" s="970" t="b">
        <f>ISNUMBER(#REF!)</f>
        <v>0</v>
      </c>
      <c r="M10" s="970" t="b">
        <f>ISNUMBER(#REF!)</f>
        <v>0</v>
      </c>
      <c r="N10" s="970" t="b">
        <f>ISNUMBER(#REF!)</f>
        <v>0</v>
      </c>
      <c r="O10" s="970" t="b">
        <f>ISNUMBER(#REF!)</f>
        <v>0</v>
      </c>
      <c r="P10" s="970" t="b">
        <f>ISNUMBER(#REF!)</f>
        <v>0</v>
      </c>
      <c r="Q10" s="978" t="str">
        <f t="shared" si="1"/>
        <v/>
      </c>
    </row>
    <row r="11" spans="1:17" ht="23.25" customHeight="1">
      <c r="A11" s="993">
        <f t="shared" si="2"/>
        <v>44898.708333333336</v>
      </c>
      <c r="B11" s="976" t="s">
        <v>481</v>
      </c>
      <c r="C11" s="977">
        <f t="shared" si="3"/>
        <v>0</v>
      </c>
      <c r="E11" s="970" t="b">
        <f>ISNUMBER(#REF!)</f>
        <v>0</v>
      </c>
      <c r="F11" s="970" t="b">
        <f>ISNUMBER(#REF!)</f>
        <v>0</v>
      </c>
      <c r="G11" s="970" t="b">
        <f>ISNUMBER(#REF!)</f>
        <v>0</v>
      </c>
      <c r="H11" s="970" t="b">
        <f>ISNUMBER(#REF!)</f>
        <v>0</v>
      </c>
      <c r="I11" s="970" t="b">
        <f t="shared" si="0"/>
        <v>1</v>
      </c>
      <c r="J11" s="970" t="b">
        <f>ISNUMBER(#REF!)</f>
        <v>0</v>
      </c>
      <c r="K11" s="970" t="b">
        <f>ISNUMBER(#REF!)</f>
        <v>0</v>
      </c>
      <c r="L11" s="970" t="b">
        <f>ISNUMBER(#REF!)</f>
        <v>0</v>
      </c>
      <c r="M11" s="970" t="b">
        <f>ISNUMBER(#REF!)</f>
        <v>0</v>
      </c>
      <c r="N11" s="970" t="b">
        <f>ISNUMBER(#REF!)</f>
        <v>0</v>
      </c>
      <c r="O11" s="970" t="b">
        <f>ISNUMBER(#REF!)</f>
        <v>0</v>
      </c>
      <c r="P11" s="970" t="b">
        <f>ISNUMBER(#REF!)</f>
        <v>0</v>
      </c>
      <c r="Q11" s="978" t="str">
        <f t="shared" si="1"/>
        <v/>
      </c>
    </row>
    <row r="12" spans="1:17" ht="23.25" customHeight="1">
      <c r="A12" s="993">
        <f t="shared" si="2"/>
        <v>44898.708333333336</v>
      </c>
      <c r="B12" s="976" t="s">
        <v>482</v>
      </c>
      <c r="C12" s="977">
        <f t="shared" si="3"/>
        <v>0</v>
      </c>
      <c r="E12" s="970" t="b">
        <f>ISNUMBER(#REF!)</f>
        <v>0</v>
      </c>
      <c r="F12" s="970" t="b">
        <f>ISNUMBER(#REF!)</f>
        <v>0</v>
      </c>
      <c r="G12" s="970" t="b">
        <f>ISNUMBER(#REF!)</f>
        <v>0</v>
      </c>
      <c r="H12" s="970" t="b">
        <f>ISNUMBER(#REF!)</f>
        <v>0</v>
      </c>
      <c r="I12" s="970" t="b">
        <f t="shared" si="0"/>
        <v>1</v>
      </c>
      <c r="J12" s="970" t="b">
        <f>ISNUMBER(#REF!)</f>
        <v>0</v>
      </c>
      <c r="K12" s="970" t="b">
        <f>ISNUMBER(#REF!)</f>
        <v>0</v>
      </c>
      <c r="L12" s="970" t="b">
        <f>ISNUMBER(#REF!)</f>
        <v>0</v>
      </c>
      <c r="M12" s="970" t="b">
        <f>ISNUMBER(#REF!)</f>
        <v>0</v>
      </c>
      <c r="N12" s="970" t="b">
        <f>ISNUMBER(#REF!)</f>
        <v>0</v>
      </c>
      <c r="O12" s="970" t="b">
        <f>ISNUMBER(#REF!)</f>
        <v>0</v>
      </c>
      <c r="P12" s="970" t="b">
        <f>ISNUMBER(#REF!)</f>
        <v>0</v>
      </c>
      <c r="Q12" s="978" t="str">
        <f t="shared" si="1"/>
        <v/>
      </c>
    </row>
    <row r="13" spans="1:17" ht="23.25" customHeight="1">
      <c r="A13" s="993">
        <f t="shared" si="2"/>
        <v>44898.708333333336</v>
      </c>
      <c r="B13" s="976" t="s">
        <v>483</v>
      </c>
      <c r="C13" s="977">
        <f t="shared" si="3"/>
        <v>0</v>
      </c>
      <c r="E13" s="970" t="b">
        <f>ISNUMBER(#REF!)</f>
        <v>0</v>
      </c>
      <c r="F13" s="970" t="b">
        <f>ISNUMBER(#REF!)</f>
        <v>0</v>
      </c>
      <c r="G13" s="970" t="b">
        <f>ISNUMBER(#REF!)</f>
        <v>0</v>
      </c>
      <c r="H13" s="970" t="b">
        <f>ISNUMBER(#REF!)</f>
        <v>0</v>
      </c>
      <c r="I13" s="970" t="b">
        <f t="shared" si="0"/>
        <v>1</v>
      </c>
      <c r="J13" s="970" t="b">
        <f>ISNUMBER(#REF!)</f>
        <v>0</v>
      </c>
      <c r="K13" s="970" t="b">
        <f>ISNUMBER(#REF!)</f>
        <v>0</v>
      </c>
      <c r="L13" s="970" t="b">
        <f>ISNUMBER(#REF!)</f>
        <v>0</v>
      </c>
      <c r="M13" s="970" t="b">
        <f>ISNUMBER(#REF!)</f>
        <v>0</v>
      </c>
      <c r="N13" s="970" t="b">
        <f>ISNUMBER(#REF!)</f>
        <v>0</v>
      </c>
      <c r="O13" s="970" t="b">
        <f>ISNUMBER(#REF!)</f>
        <v>0</v>
      </c>
      <c r="P13" s="970" t="b">
        <f>ISNUMBER(#REF!)</f>
        <v>0</v>
      </c>
      <c r="Q13" s="978" t="str">
        <f t="shared" si="1"/>
        <v/>
      </c>
    </row>
    <row r="14" spans="1:17" ht="23.25" customHeight="1">
      <c r="A14" s="993">
        <f t="shared" si="2"/>
        <v>44898.708333333336</v>
      </c>
      <c r="B14" s="976" t="s">
        <v>486</v>
      </c>
      <c r="C14" s="977">
        <f t="shared" si="3"/>
        <v>0</v>
      </c>
      <c r="E14" s="970" t="b">
        <f>ISNUMBER(#REF!)</f>
        <v>0</v>
      </c>
      <c r="F14" s="970" t="b">
        <f>ISNUMBER(#REF!)</f>
        <v>0</v>
      </c>
      <c r="G14" s="970" t="b">
        <f>ISNUMBER(#REF!)</f>
        <v>0</v>
      </c>
      <c r="H14" s="970" t="b">
        <f>ISNUMBER(#REF!)</f>
        <v>0</v>
      </c>
      <c r="I14" s="970" t="b">
        <f t="shared" si="0"/>
        <v>1</v>
      </c>
      <c r="J14" s="970" t="b">
        <f>ISNUMBER(#REF!)</f>
        <v>0</v>
      </c>
      <c r="K14" s="970" t="b">
        <f>ISNUMBER(#REF!)</f>
        <v>0</v>
      </c>
      <c r="L14" s="970" t="b">
        <f>ISNUMBER(#REF!)</f>
        <v>0</v>
      </c>
      <c r="M14" s="970" t="b">
        <f>ISNUMBER(#REF!)</f>
        <v>0</v>
      </c>
      <c r="N14" s="970" t="b">
        <f>ISNUMBER(#REF!)</f>
        <v>0</v>
      </c>
      <c r="O14" s="970" t="b">
        <f>ISNUMBER(#REF!)</f>
        <v>0</v>
      </c>
      <c r="P14" s="970" t="b">
        <f>ISNUMBER(#REF!)</f>
        <v>0</v>
      </c>
      <c r="Q14" s="978" t="str">
        <f t="shared" si="1"/>
        <v/>
      </c>
    </row>
    <row r="15" spans="1:17" ht="23.25" customHeight="1">
      <c r="A15" s="993">
        <f t="shared" si="2"/>
        <v>44898.708333333336</v>
      </c>
      <c r="B15" s="976" t="s">
        <v>1000</v>
      </c>
      <c r="C15" s="977">
        <f t="shared" si="3"/>
        <v>0</v>
      </c>
      <c r="E15" s="970" t="b">
        <f>ISNUMBER(#REF!)</f>
        <v>0</v>
      </c>
      <c r="F15" s="970" t="b">
        <f>ISNUMBER(#REF!)</f>
        <v>0</v>
      </c>
      <c r="G15" s="970" t="b">
        <f>ISNUMBER(#REF!)</f>
        <v>0</v>
      </c>
      <c r="H15" s="970" t="b">
        <f>ISNUMBER(#REF!)</f>
        <v>0</v>
      </c>
      <c r="I15" s="970" t="b">
        <f t="shared" si="0"/>
        <v>1</v>
      </c>
      <c r="J15" s="970" t="b">
        <f>ISNUMBER(#REF!)</f>
        <v>0</v>
      </c>
      <c r="K15" s="970" t="b">
        <f>ISNUMBER(#REF!)</f>
        <v>0</v>
      </c>
      <c r="L15" s="970" t="b">
        <f>ISNUMBER(#REF!)</f>
        <v>0</v>
      </c>
      <c r="M15" s="970" t="b">
        <f>ISNUMBER(#REF!)</f>
        <v>0</v>
      </c>
      <c r="N15" s="970" t="b">
        <f>ISNUMBER(#REF!)</f>
        <v>0</v>
      </c>
      <c r="O15" s="970" t="b">
        <f>ISNUMBER(#REF!)</f>
        <v>0</v>
      </c>
      <c r="P15" s="970" t="b">
        <f>ISNUMBER(#REF!)</f>
        <v>0</v>
      </c>
      <c r="Q15" s="978" t="str">
        <f t="shared" si="1"/>
        <v/>
      </c>
    </row>
    <row r="16" spans="1:17" ht="23.25" customHeight="1">
      <c r="A16" s="993">
        <f t="shared" si="2"/>
        <v>44898.708333333336</v>
      </c>
      <c r="B16" s="976" t="s">
        <v>1001</v>
      </c>
      <c r="C16" s="977">
        <f t="shared" si="3"/>
        <v>0</v>
      </c>
      <c r="E16" s="970" t="b">
        <f>ISNUMBER(#REF!)</f>
        <v>0</v>
      </c>
      <c r="F16" s="970" t="b">
        <f>ISNUMBER(#REF!)</f>
        <v>0</v>
      </c>
      <c r="G16" s="970" t="b">
        <f>ISNUMBER(#REF!)</f>
        <v>0</v>
      </c>
      <c r="H16" s="970" t="b">
        <f>ISNUMBER(#REF!)</f>
        <v>0</v>
      </c>
      <c r="I16" s="970" t="b">
        <f t="shared" si="0"/>
        <v>1</v>
      </c>
      <c r="J16" s="970" t="b">
        <f>ISNUMBER(#REF!)</f>
        <v>0</v>
      </c>
      <c r="K16" s="970" t="b">
        <f>ISNUMBER(#REF!)</f>
        <v>0</v>
      </c>
      <c r="L16" s="970" t="b">
        <f>ISNUMBER(#REF!)</f>
        <v>0</v>
      </c>
      <c r="M16" s="970" t="b">
        <f>ISNUMBER(#REF!)</f>
        <v>0</v>
      </c>
      <c r="N16" s="970" t="b">
        <f>ISNUMBER(#REF!)</f>
        <v>0</v>
      </c>
      <c r="O16" s="970" t="b">
        <f>ISNUMBER(#REF!)</f>
        <v>0</v>
      </c>
      <c r="P16" s="970" t="b">
        <f>ISNUMBER(#REF!)</f>
        <v>0</v>
      </c>
      <c r="Q16" s="978" t="str">
        <f t="shared" si="1"/>
        <v/>
      </c>
    </row>
    <row r="17" spans="1:17" ht="23.25" customHeight="1">
      <c r="A17" s="993">
        <f t="shared" si="2"/>
        <v>44898.708333333336</v>
      </c>
      <c r="B17" s="976" t="s">
        <v>1005</v>
      </c>
      <c r="C17" s="977">
        <f t="shared" si="3"/>
        <v>0</v>
      </c>
      <c r="E17" s="970" t="b">
        <f>ISNUMBER(#REF!)</f>
        <v>0</v>
      </c>
      <c r="F17" s="970" t="b">
        <f>ISNUMBER(#REF!)</f>
        <v>0</v>
      </c>
      <c r="G17" s="970" t="b">
        <f>ISNUMBER(#REF!)</f>
        <v>0</v>
      </c>
      <c r="H17" s="970" t="b">
        <f>ISNUMBER(#REF!)</f>
        <v>0</v>
      </c>
      <c r="I17" s="970" t="b">
        <f t="shared" si="0"/>
        <v>1</v>
      </c>
      <c r="J17" s="970" t="b">
        <f>ISNUMBER(#REF!)</f>
        <v>0</v>
      </c>
      <c r="K17" s="970" t="b">
        <f>ISNUMBER(#REF!)</f>
        <v>0</v>
      </c>
      <c r="L17" s="970" t="b">
        <f>ISNUMBER(#REF!)</f>
        <v>0</v>
      </c>
      <c r="M17" s="970" t="b">
        <f>ISNUMBER(#REF!)</f>
        <v>0</v>
      </c>
      <c r="N17" s="970" t="b">
        <f>ISNUMBER(#REF!)</f>
        <v>0</v>
      </c>
      <c r="O17" s="970" t="b">
        <f>ISNUMBER(#REF!)</f>
        <v>0</v>
      </c>
      <c r="P17" s="970" t="b">
        <f>ISNUMBER(#REF!)</f>
        <v>0</v>
      </c>
      <c r="Q17" s="978" t="str">
        <f t="shared" si="1"/>
        <v/>
      </c>
    </row>
    <row r="18" spans="1:17" ht="23.25" customHeight="1">
      <c r="A18" s="993">
        <f t="shared" si="2"/>
        <v>44898.708333333336</v>
      </c>
      <c r="B18" s="976" t="s">
        <v>1007</v>
      </c>
      <c r="C18" s="977">
        <f t="shared" si="3"/>
        <v>0</v>
      </c>
      <c r="E18" s="970" t="b">
        <f>ISNUMBER(#REF!)</f>
        <v>0</v>
      </c>
      <c r="F18" s="970" t="b">
        <f>ISNUMBER(#REF!)</f>
        <v>0</v>
      </c>
      <c r="G18" s="970" t="b">
        <f>ISNUMBER(#REF!)</f>
        <v>0</v>
      </c>
      <c r="H18" s="970" t="b">
        <f>ISNUMBER(#REF!)</f>
        <v>0</v>
      </c>
      <c r="I18" s="970" t="b">
        <f t="shared" si="0"/>
        <v>1</v>
      </c>
      <c r="J18" s="970" t="b">
        <f>ISNUMBER(#REF!)</f>
        <v>0</v>
      </c>
      <c r="K18" s="970" t="b">
        <f>ISNUMBER(#REF!)</f>
        <v>0</v>
      </c>
      <c r="L18" s="970" t="b">
        <f>ISNUMBER(#REF!)</f>
        <v>0</v>
      </c>
      <c r="M18" s="970" t="b">
        <f>ISNUMBER(#REF!)</f>
        <v>0</v>
      </c>
      <c r="N18" s="970" t="b">
        <f>ISNUMBER(#REF!)</f>
        <v>0</v>
      </c>
      <c r="O18" s="970" t="b">
        <f>ISNUMBER(#REF!)</f>
        <v>0</v>
      </c>
      <c r="P18" s="970" t="b">
        <f>ISNUMBER(#REF!)</f>
        <v>0</v>
      </c>
      <c r="Q18" s="978" t="str">
        <f t="shared" si="1"/>
        <v/>
      </c>
    </row>
    <row r="19" spans="1:17" ht="23.25" customHeight="1">
      <c r="A19" s="993">
        <f t="shared" si="2"/>
        <v>44898.708333333336</v>
      </c>
      <c r="B19" s="976" t="s">
        <v>1008</v>
      </c>
      <c r="C19" s="977">
        <f t="shared" si="3"/>
        <v>0</v>
      </c>
      <c r="E19" s="970" t="b">
        <f>ISNUMBER(#REF!)</f>
        <v>0</v>
      </c>
      <c r="F19" s="970" t="b">
        <f>ISNUMBER(#REF!)</f>
        <v>0</v>
      </c>
      <c r="G19" s="970" t="b">
        <f>ISNUMBER(#REF!)</f>
        <v>0</v>
      </c>
      <c r="H19" s="970" t="b">
        <f>ISNUMBER(#REF!)</f>
        <v>0</v>
      </c>
      <c r="I19" s="970" t="b">
        <f t="shared" si="0"/>
        <v>1</v>
      </c>
      <c r="J19" s="970" t="b">
        <f>ISNUMBER(#REF!)</f>
        <v>0</v>
      </c>
      <c r="K19" s="970" t="b">
        <f>ISNUMBER(#REF!)</f>
        <v>0</v>
      </c>
      <c r="L19" s="970" t="b">
        <f>ISNUMBER(#REF!)</f>
        <v>0</v>
      </c>
      <c r="M19" s="970" t="b">
        <f>ISNUMBER(#REF!)</f>
        <v>0</v>
      </c>
      <c r="N19" s="970" t="b">
        <f>ISNUMBER(#REF!)</f>
        <v>0</v>
      </c>
      <c r="O19" s="970" t="b">
        <f>ISNUMBER(#REF!)</f>
        <v>0</v>
      </c>
      <c r="P19" s="970" t="b">
        <f>ISNUMBER(#REF!)</f>
        <v>0</v>
      </c>
      <c r="Q19" s="978" t="str">
        <f t="shared" si="1"/>
        <v/>
      </c>
    </row>
    <row r="20" spans="1:17" ht="23.25" customHeight="1">
      <c r="A20" s="993">
        <f t="shared" si="2"/>
        <v>44898.708333333336</v>
      </c>
      <c r="B20" s="976" t="s">
        <v>1003</v>
      </c>
      <c r="C20" s="977">
        <f t="shared" si="3"/>
        <v>0</v>
      </c>
      <c r="E20" s="970" t="b">
        <f>ISNUMBER(#REF!)</f>
        <v>0</v>
      </c>
      <c r="F20" s="970" t="b">
        <f>ISNUMBER(#REF!)</f>
        <v>0</v>
      </c>
      <c r="G20" s="970" t="b">
        <f>ISNUMBER(#REF!)</f>
        <v>0</v>
      </c>
      <c r="H20" s="970" t="b">
        <f>ISNUMBER(#REF!)</f>
        <v>0</v>
      </c>
      <c r="I20" s="970" t="b">
        <f t="shared" si="0"/>
        <v>1</v>
      </c>
      <c r="J20" s="970" t="b">
        <f>ISNUMBER(#REF!)</f>
        <v>0</v>
      </c>
      <c r="K20" s="970" t="b">
        <f>ISNUMBER(#REF!)</f>
        <v>0</v>
      </c>
      <c r="L20" s="970" t="b">
        <f>ISNUMBER(#REF!)</f>
        <v>0</v>
      </c>
      <c r="M20" s="970" t="b">
        <f>ISNUMBER(#REF!)</f>
        <v>0</v>
      </c>
      <c r="N20" s="970" t="b">
        <f>ISNUMBER(#REF!)</f>
        <v>0</v>
      </c>
      <c r="O20" s="970" t="b">
        <f>ISNUMBER(#REF!)</f>
        <v>0</v>
      </c>
      <c r="P20" s="970" t="b">
        <f>ISNUMBER(#REF!)</f>
        <v>0</v>
      </c>
      <c r="Q20" s="978" t="str">
        <f t="shared" si="1"/>
        <v/>
      </c>
    </row>
    <row r="21" spans="1:17" ht="23.25" customHeight="1">
      <c r="A21" s="993">
        <f t="shared" si="2"/>
        <v>44898.708333333336</v>
      </c>
      <c r="B21" s="976" t="s">
        <v>1004</v>
      </c>
      <c r="C21" s="977">
        <f t="shared" si="3"/>
        <v>0</v>
      </c>
      <c r="E21" s="970" t="b">
        <f>ISNUMBER(#REF!)</f>
        <v>0</v>
      </c>
      <c r="F21" s="970" t="b">
        <f>ISNUMBER(#REF!)</f>
        <v>0</v>
      </c>
      <c r="G21" s="970" t="b">
        <f>ISNUMBER(#REF!)</f>
        <v>0</v>
      </c>
      <c r="H21" s="970" t="b">
        <f>ISNUMBER(#REF!)</f>
        <v>0</v>
      </c>
      <c r="I21" s="970" t="b">
        <f t="shared" si="0"/>
        <v>1</v>
      </c>
      <c r="J21" s="970" t="b">
        <f>ISNUMBER(#REF!)</f>
        <v>0</v>
      </c>
      <c r="K21" s="970" t="b">
        <f>ISNUMBER(#REF!)</f>
        <v>0</v>
      </c>
      <c r="L21" s="970" t="b">
        <f>ISNUMBER(#REF!)</f>
        <v>0</v>
      </c>
      <c r="M21" s="970" t="b">
        <f>ISNUMBER(#REF!)</f>
        <v>0</v>
      </c>
      <c r="N21" s="970" t="b">
        <f>ISNUMBER(#REF!)</f>
        <v>0</v>
      </c>
      <c r="O21" s="970" t="b">
        <f>ISNUMBER(#REF!)</f>
        <v>0</v>
      </c>
      <c r="P21" s="970" t="b">
        <f>ISNUMBER(#REF!)</f>
        <v>0</v>
      </c>
      <c r="Q21" s="978" t="str">
        <f t="shared" si="1"/>
        <v/>
      </c>
    </row>
    <row r="22" spans="1:17" ht="23.25" customHeight="1">
      <c r="A22" s="993">
        <f t="shared" si="2"/>
        <v>44898.708333333336</v>
      </c>
      <c r="B22" s="976" t="s">
        <v>932</v>
      </c>
      <c r="C22" s="977">
        <f t="shared" si="3"/>
        <v>0</v>
      </c>
      <c r="E22" s="970" t="b">
        <f>ISNUMBER(#REF!)</f>
        <v>0</v>
      </c>
      <c r="F22" s="970" t="b">
        <f>ISNUMBER(#REF!)</f>
        <v>0</v>
      </c>
      <c r="G22" s="970" t="b">
        <f>ISNUMBER(#REF!)</f>
        <v>0</v>
      </c>
      <c r="H22" s="970" t="b">
        <f>ISNUMBER(#REF!)</f>
        <v>0</v>
      </c>
      <c r="I22" s="970" t="b">
        <f t="shared" si="0"/>
        <v>1</v>
      </c>
      <c r="J22" s="970" t="b">
        <f>ISNUMBER(#REF!)</f>
        <v>0</v>
      </c>
      <c r="K22" s="970" t="b">
        <f>ISNUMBER(#REF!)</f>
        <v>0</v>
      </c>
      <c r="L22" s="970" t="b">
        <f>ISNUMBER(#REF!)</f>
        <v>0</v>
      </c>
      <c r="M22" s="970" t="b">
        <f>ISNUMBER(#REF!)</f>
        <v>0</v>
      </c>
      <c r="N22" s="970" t="b">
        <f>ISNUMBER(#REF!)</f>
        <v>0</v>
      </c>
      <c r="O22" s="970" t="b">
        <f>ISNUMBER(#REF!)</f>
        <v>0</v>
      </c>
      <c r="P22" s="970" t="b">
        <f>ISNUMBER(#REF!)</f>
        <v>0</v>
      </c>
      <c r="Q22" s="978" t="str">
        <f t="shared" si="1"/>
        <v/>
      </c>
    </row>
    <row r="23" spans="1:17" ht="23.25" customHeight="1">
      <c r="A23" s="993">
        <f t="shared" si="2"/>
        <v>44898.708333333336</v>
      </c>
      <c r="B23" s="976" t="s">
        <v>931</v>
      </c>
      <c r="C23" s="977">
        <f t="shared" si="3"/>
        <v>0</v>
      </c>
      <c r="E23" s="970" t="b">
        <f>ISNUMBER(#REF!)</f>
        <v>0</v>
      </c>
      <c r="F23" s="970" t="b">
        <f>ISNUMBER(#REF!)</f>
        <v>0</v>
      </c>
      <c r="G23" s="970" t="b">
        <f>ISNUMBER(#REF!)</f>
        <v>0</v>
      </c>
      <c r="H23" s="970" t="b">
        <f>ISNUMBER(#REF!)</f>
        <v>0</v>
      </c>
      <c r="I23" s="970" t="b">
        <f t="shared" si="0"/>
        <v>1</v>
      </c>
      <c r="J23" s="970" t="b">
        <f>ISNUMBER(#REF!)</f>
        <v>0</v>
      </c>
      <c r="K23" s="970" t="b">
        <f>ISNUMBER(#REF!)</f>
        <v>0</v>
      </c>
      <c r="L23" s="970" t="b">
        <f>ISNUMBER(#REF!)</f>
        <v>0</v>
      </c>
      <c r="M23" s="970" t="b">
        <f>ISNUMBER(#REF!)</f>
        <v>0</v>
      </c>
      <c r="N23" s="970" t="b">
        <f>ISNUMBER(#REF!)</f>
        <v>0</v>
      </c>
      <c r="O23" s="970" t="b">
        <f>ISNUMBER(#REF!)</f>
        <v>0</v>
      </c>
      <c r="P23" s="970" t="b">
        <f>ISNUMBER(#REF!)</f>
        <v>0</v>
      </c>
      <c r="Q23" s="978" t="str">
        <f t="shared" si="1"/>
        <v/>
      </c>
    </row>
    <row r="24" spans="1:17" ht="23.25" customHeight="1">
      <c r="A24" s="993">
        <f t="shared" si="2"/>
        <v>44898.708333333336</v>
      </c>
      <c r="B24" s="976" t="s">
        <v>933</v>
      </c>
      <c r="C24" s="977">
        <f t="shared" si="3"/>
        <v>0</v>
      </c>
      <c r="E24" s="970" t="b">
        <f>ISNUMBER(#REF!)</f>
        <v>0</v>
      </c>
      <c r="F24" s="970" t="b">
        <f>ISNUMBER(#REF!)</f>
        <v>0</v>
      </c>
      <c r="G24" s="970" t="b">
        <f>ISNUMBER(#REF!)</f>
        <v>0</v>
      </c>
      <c r="H24" s="970" t="b">
        <f>ISNUMBER(#REF!)</f>
        <v>0</v>
      </c>
      <c r="I24" s="970" t="b">
        <f t="shared" si="0"/>
        <v>1</v>
      </c>
      <c r="J24" s="970" t="b">
        <f>ISNUMBER(#REF!)</f>
        <v>0</v>
      </c>
      <c r="K24" s="970" t="b">
        <f>ISNUMBER(#REF!)</f>
        <v>0</v>
      </c>
      <c r="L24" s="970" t="b">
        <f>ISNUMBER(#REF!)</f>
        <v>0</v>
      </c>
      <c r="M24" s="970" t="b">
        <f>ISNUMBER(#REF!)</f>
        <v>0</v>
      </c>
      <c r="N24" s="970" t="b">
        <f>ISNUMBER(#REF!)</f>
        <v>0</v>
      </c>
      <c r="O24" s="970" t="b">
        <f>ISNUMBER(#REF!)</f>
        <v>0</v>
      </c>
      <c r="P24" s="970" t="b">
        <f>ISNUMBER(#REF!)</f>
        <v>0</v>
      </c>
      <c r="Q24" s="978" t="str">
        <f t="shared" si="1"/>
        <v/>
      </c>
    </row>
    <row r="25" spans="1:17" ht="23.25" customHeight="1">
      <c r="A25" s="993">
        <f t="shared" si="2"/>
        <v>44898.708333333336</v>
      </c>
      <c r="B25" s="976" t="s">
        <v>934</v>
      </c>
      <c r="C25" s="977">
        <f t="shared" si="3"/>
        <v>0</v>
      </c>
      <c r="E25" s="970" t="b">
        <f>ISNUMBER(#REF!)</f>
        <v>0</v>
      </c>
      <c r="F25" s="970" t="b">
        <f>ISNUMBER(#REF!)</f>
        <v>0</v>
      </c>
      <c r="G25" s="970" t="b">
        <f>ISNUMBER(#REF!)</f>
        <v>0</v>
      </c>
      <c r="H25" s="970" t="b">
        <f>ISNUMBER(#REF!)</f>
        <v>0</v>
      </c>
      <c r="I25" s="970" t="b">
        <f t="shared" si="0"/>
        <v>1</v>
      </c>
      <c r="J25" s="970" t="b">
        <f>ISNUMBER(#REF!)</f>
        <v>0</v>
      </c>
      <c r="K25" s="970" t="b">
        <f>ISNUMBER(#REF!)</f>
        <v>0</v>
      </c>
      <c r="L25" s="970" t="b">
        <f>ISNUMBER(#REF!)</f>
        <v>0</v>
      </c>
      <c r="M25" s="970" t="b">
        <f>ISNUMBER(#REF!)</f>
        <v>0</v>
      </c>
      <c r="N25" s="970" t="b">
        <f>ISNUMBER(#REF!)</f>
        <v>0</v>
      </c>
      <c r="O25" s="970" t="b">
        <f>ISNUMBER(#REF!)</f>
        <v>0</v>
      </c>
      <c r="P25" s="970" t="b">
        <f>ISNUMBER(#REF!)</f>
        <v>0</v>
      </c>
      <c r="Q25" s="978" t="str">
        <f t="shared" si="1"/>
        <v/>
      </c>
    </row>
    <row r="26" spans="1:17" ht="23.25" customHeight="1">
      <c r="A26" s="993">
        <f t="shared" si="2"/>
        <v>44898.708333333336</v>
      </c>
      <c r="B26" s="976" t="s">
        <v>935</v>
      </c>
      <c r="C26" s="977">
        <f t="shared" si="3"/>
        <v>0</v>
      </c>
      <c r="E26" s="970" t="b">
        <f>ISNUMBER(#REF!)</f>
        <v>0</v>
      </c>
      <c r="F26" s="970" t="b">
        <f>ISNUMBER(#REF!)</f>
        <v>0</v>
      </c>
      <c r="G26" s="970" t="b">
        <f>ISNUMBER(#REF!)</f>
        <v>0</v>
      </c>
      <c r="H26" s="970" t="b">
        <f>ISNUMBER(#REF!)</f>
        <v>0</v>
      </c>
      <c r="I26" s="970" t="b">
        <f t="shared" si="0"/>
        <v>1</v>
      </c>
      <c r="J26" s="970" t="b">
        <f>ISNUMBER(#REF!)</f>
        <v>0</v>
      </c>
      <c r="K26" s="970" t="b">
        <f>ISNUMBER(#REF!)</f>
        <v>0</v>
      </c>
      <c r="L26" s="970" t="b">
        <f>ISNUMBER(#REF!)</f>
        <v>0</v>
      </c>
      <c r="M26" s="970" t="b">
        <f>ISNUMBER(#REF!)</f>
        <v>0</v>
      </c>
      <c r="N26" s="970" t="b">
        <f>ISNUMBER(#REF!)</f>
        <v>0</v>
      </c>
      <c r="O26" s="970" t="b">
        <f>ISNUMBER(#REF!)</f>
        <v>0</v>
      </c>
      <c r="P26" s="970" t="b">
        <f>ISNUMBER(#REF!)</f>
        <v>0</v>
      </c>
      <c r="Q26" s="978" t="str">
        <f t="shared" si="1"/>
        <v/>
      </c>
    </row>
    <row r="27" spans="1:17" ht="23.25" customHeight="1">
      <c r="A27" s="993">
        <f t="shared" si="2"/>
        <v>44898.708333333336</v>
      </c>
      <c r="B27" s="976" t="s">
        <v>936</v>
      </c>
      <c r="C27" s="977">
        <f t="shared" si="3"/>
        <v>0</v>
      </c>
      <c r="E27" s="970" t="b">
        <f>ISNUMBER(#REF!)</f>
        <v>0</v>
      </c>
      <c r="F27" s="970" t="b">
        <f>ISNUMBER(#REF!)</f>
        <v>0</v>
      </c>
      <c r="G27" s="970" t="b">
        <f>ISNUMBER(#REF!)</f>
        <v>0</v>
      </c>
      <c r="H27" s="970" t="b">
        <f>ISNUMBER(#REF!)</f>
        <v>0</v>
      </c>
      <c r="I27" s="970" t="b">
        <f t="shared" ref="I27:I33" si="4">ISNUMBER(C27)</f>
        <v>1</v>
      </c>
      <c r="J27" s="970" t="b">
        <f>ISNUMBER(#REF!)</f>
        <v>0</v>
      </c>
      <c r="K27" s="970" t="b">
        <f>ISNUMBER(#REF!)</f>
        <v>0</v>
      </c>
      <c r="L27" s="970" t="b">
        <f>ISNUMBER(#REF!)</f>
        <v>0</v>
      </c>
      <c r="M27" s="970" t="b">
        <f>ISNUMBER(#REF!)</f>
        <v>0</v>
      </c>
      <c r="N27" s="970" t="b">
        <f>ISNUMBER(#REF!)</f>
        <v>0</v>
      </c>
      <c r="O27" s="970" t="b">
        <f>ISNUMBER(#REF!)</f>
        <v>0</v>
      </c>
      <c r="P27" s="970" t="b">
        <f>ISNUMBER(#REF!)</f>
        <v>0</v>
      </c>
      <c r="Q27" s="978" t="str">
        <f t="shared" ref="Q27:Q33" si="5">IF(I27=TRUE,"",1)</f>
        <v/>
      </c>
    </row>
    <row r="28" spans="1:17" ht="23.25" customHeight="1">
      <c r="A28" s="993">
        <f t="shared" si="2"/>
        <v>44898.708333333336</v>
      </c>
      <c r="B28" s="976" t="s">
        <v>937</v>
      </c>
      <c r="C28" s="977">
        <f t="shared" si="3"/>
        <v>0</v>
      </c>
      <c r="E28" s="970" t="b">
        <f>ISNUMBER(#REF!)</f>
        <v>0</v>
      </c>
      <c r="F28" s="970" t="b">
        <f>ISNUMBER(#REF!)</f>
        <v>0</v>
      </c>
      <c r="G28" s="970" t="b">
        <f>ISNUMBER(#REF!)</f>
        <v>0</v>
      </c>
      <c r="H28" s="970" t="b">
        <f>ISNUMBER(#REF!)</f>
        <v>0</v>
      </c>
      <c r="I28" s="970" t="b">
        <f t="shared" si="4"/>
        <v>1</v>
      </c>
      <c r="J28" s="970" t="b">
        <f>ISNUMBER(#REF!)</f>
        <v>0</v>
      </c>
      <c r="K28" s="970" t="b">
        <f>ISNUMBER(#REF!)</f>
        <v>0</v>
      </c>
      <c r="L28" s="970" t="b">
        <f>ISNUMBER(#REF!)</f>
        <v>0</v>
      </c>
      <c r="M28" s="970" t="b">
        <f>ISNUMBER(#REF!)</f>
        <v>0</v>
      </c>
      <c r="N28" s="970" t="b">
        <f>ISNUMBER(#REF!)</f>
        <v>0</v>
      </c>
      <c r="O28" s="970" t="b">
        <f>ISNUMBER(#REF!)</f>
        <v>0</v>
      </c>
      <c r="P28" s="970" t="b">
        <f>ISNUMBER(#REF!)</f>
        <v>0</v>
      </c>
      <c r="Q28" s="978" t="str">
        <f t="shared" si="5"/>
        <v/>
      </c>
    </row>
    <row r="29" spans="1:17" ht="23.25" customHeight="1">
      <c r="A29" s="1000">
        <f t="shared" ref="A29:A33" si="6">IF(B29="","",$A$4)</f>
        <v>44898.708333333336</v>
      </c>
      <c r="B29" s="1001" t="s">
        <v>539</v>
      </c>
      <c r="C29" s="977">
        <f t="shared" si="3"/>
        <v>5.5</v>
      </c>
      <c r="D29" s="1003"/>
      <c r="E29" s="1003" t="b">
        <f>ISNUMBER(#REF!)</f>
        <v>0</v>
      </c>
      <c r="F29" s="1003" t="b">
        <f>ISNUMBER(#REF!)</f>
        <v>0</v>
      </c>
      <c r="G29" s="1003" t="b">
        <f>ISNUMBER(#REF!)</f>
        <v>0</v>
      </c>
      <c r="H29" s="1003" t="b">
        <f>ISNUMBER(#REF!)</f>
        <v>0</v>
      </c>
      <c r="I29" s="1003" t="b">
        <f t="shared" si="4"/>
        <v>1</v>
      </c>
      <c r="J29" s="1003" t="b">
        <f>ISNUMBER(#REF!)</f>
        <v>0</v>
      </c>
      <c r="K29" s="1003" t="b">
        <f>ISNUMBER(#REF!)</f>
        <v>0</v>
      </c>
      <c r="L29" s="1003" t="b">
        <f>ISNUMBER(#REF!)</f>
        <v>0</v>
      </c>
      <c r="M29" s="1003" t="b">
        <f>ISNUMBER(#REF!)</f>
        <v>0</v>
      </c>
      <c r="N29" s="1003" t="b">
        <f>ISNUMBER(#REF!)</f>
        <v>0</v>
      </c>
      <c r="O29" s="1003" t="b">
        <f>ISNUMBER(#REF!)</f>
        <v>0</v>
      </c>
      <c r="P29" s="1003" t="b">
        <f>ISNUMBER(#REF!)</f>
        <v>0</v>
      </c>
      <c r="Q29" s="1001" t="str">
        <f t="shared" si="5"/>
        <v/>
      </c>
    </row>
    <row r="30" spans="1:17" ht="23.25" customHeight="1">
      <c r="A30" s="1000">
        <f t="shared" si="6"/>
        <v>44898.708333333336</v>
      </c>
      <c r="B30" s="1001" t="s">
        <v>544</v>
      </c>
      <c r="C30" s="977">
        <f t="shared" si="3"/>
        <v>7.8643278743037639</v>
      </c>
      <c r="D30" s="1003"/>
      <c r="E30" s="1003" t="b">
        <f>ISNUMBER(#REF!)</f>
        <v>0</v>
      </c>
      <c r="F30" s="1003" t="b">
        <f>ISNUMBER(#REF!)</f>
        <v>0</v>
      </c>
      <c r="G30" s="1003" t="b">
        <f>ISNUMBER(#REF!)</f>
        <v>0</v>
      </c>
      <c r="H30" s="1003" t="b">
        <f>ISNUMBER(#REF!)</f>
        <v>0</v>
      </c>
      <c r="I30" s="1003" t="b">
        <f t="shared" si="4"/>
        <v>1</v>
      </c>
      <c r="J30" s="1003" t="b">
        <f>ISNUMBER(#REF!)</f>
        <v>0</v>
      </c>
      <c r="K30" s="1003" t="b">
        <f>ISNUMBER(#REF!)</f>
        <v>0</v>
      </c>
      <c r="L30" s="1003" t="b">
        <f>ISNUMBER(#REF!)</f>
        <v>0</v>
      </c>
      <c r="M30" s="1003" t="b">
        <f>ISNUMBER(#REF!)</f>
        <v>0</v>
      </c>
      <c r="N30" s="1003" t="b">
        <f>ISNUMBER(#REF!)</f>
        <v>0</v>
      </c>
      <c r="O30" s="1003" t="b">
        <f>ISNUMBER(#REF!)</f>
        <v>0</v>
      </c>
      <c r="P30" s="1003" t="b">
        <f>ISNUMBER(#REF!)</f>
        <v>0</v>
      </c>
      <c r="Q30" s="1001" t="str">
        <f t="shared" si="5"/>
        <v/>
      </c>
    </row>
    <row r="31" spans="1:17" ht="23.25" customHeight="1">
      <c r="A31" s="1000">
        <f t="shared" si="6"/>
        <v>44898.708333333336</v>
      </c>
      <c r="B31" s="1001" t="s">
        <v>545</v>
      </c>
      <c r="C31" s="977">
        <f t="shared" si="3"/>
        <v>8.6380074844838344</v>
      </c>
      <c r="D31" s="1003"/>
      <c r="E31" s="1003" t="b">
        <f>ISNUMBER(#REF!)</f>
        <v>0</v>
      </c>
      <c r="F31" s="1003" t="b">
        <f>ISNUMBER(#REF!)</f>
        <v>0</v>
      </c>
      <c r="G31" s="1003" t="b">
        <f>ISNUMBER(#REF!)</f>
        <v>0</v>
      </c>
      <c r="H31" s="1003" t="b">
        <f>ISNUMBER(#REF!)</f>
        <v>0</v>
      </c>
      <c r="I31" s="1003" t="b">
        <f t="shared" si="4"/>
        <v>1</v>
      </c>
      <c r="J31" s="1003" t="b">
        <f>ISNUMBER(#REF!)</f>
        <v>0</v>
      </c>
      <c r="K31" s="1003" t="b">
        <f>ISNUMBER(#REF!)</f>
        <v>0</v>
      </c>
      <c r="L31" s="1003" t="b">
        <f>ISNUMBER(#REF!)</f>
        <v>0</v>
      </c>
      <c r="M31" s="1003" t="b">
        <f>ISNUMBER(#REF!)</f>
        <v>0</v>
      </c>
      <c r="N31" s="1003" t="b">
        <f>ISNUMBER(#REF!)</f>
        <v>0</v>
      </c>
      <c r="O31" s="1003" t="b">
        <f>ISNUMBER(#REF!)</f>
        <v>0</v>
      </c>
      <c r="P31" s="1003" t="b">
        <f>ISNUMBER(#REF!)</f>
        <v>0</v>
      </c>
      <c r="Q31" s="1001" t="str">
        <f t="shared" si="5"/>
        <v/>
      </c>
    </row>
    <row r="32" spans="1:17" ht="23.25" customHeight="1">
      <c r="A32" s="1000">
        <f t="shared" si="6"/>
        <v>44898.708333333336</v>
      </c>
      <c r="B32" s="1001" t="s">
        <v>548</v>
      </c>
      <c r="C32" s="977">
        <f t="shared" si="3"/>
        <v>6.8477270845408622</v>
      </c>
      <c r="D32" s="1003"/>
      <c r="E32" s="1003" t="b">
        <f>ISNUMBER(#REF!)</f>
        <v>0</v>
      </c>
      <c r="F32" s="1003" t="b">
        <f>ISNUMBER(#REF!)</f>
        <v>0</v>
      </c>
      <c r="G32" s="1003" t="b">
        <f>ISNUMBER(#REF!)</f>
        <v>0</v>
      </c>
      <c r="H32" s="1003" t="b">
        <f>ISNUMBER(#REF!)</f>
        <v>0</v>
      </c>
      <c r="I32" s="1003" t="b">
        <f t="shared" si="4"/>
        <v>1</v>
      </c>
      <c r="J32" s="1003" t="b">
        <f>ISNUMBER(#REF!)</f>
        <v>0</v>
      </c>
      <c r="K32" s="1003" t="b">
        <f>ISNUMBER(#REF!)</f>
        <v>0</v>
      </c>
      <c r="L32" s="1003" t="b">
        <f>ISNUMBER(#REF!)</f>
        <v>0</v>
      </c>
      <c r="M32" s="1003" t="b">
        <f>ISNUMBER(#REF!)</f>
        <v>0</v>
      </c>
      <c r="N32" s="1003" t="b">
        <f>ISNUMBER(#REF!)</f>
        <v>0</v>
      </c>
      <c r="O32" s="1003" t="b">
        <f>ISNUMBER(#REF!)</f>
        <v>0</v>
      </c>
      <c r="P32" s="1003" t="b">
        <f>ISNUMBER(#REF!)</f>
        <v>0</v>
      </c>
      <c r="Q32" s="1001" t="str">
        <f t="shared" si="5"/>
        <v/>
      </c>
    </row>
    <row r="33" spans="1:17" ht="23.25" customHeight="1">
      <c r="A33" s="1000">
        <f t="shared" si="6"/>
        <v>44898.708333333336</v>
      </c>
      <c r="B33" s="1001" t="s">
        <v>549</v>
      </c>
      <c r="C33" s="977">
        <f t="shared" si="3"/>
        <v>0.81368316174028488</v>
      </c>
      <c r="D33" s="1003"/>
      <c r="E33" s="1003" t="b">
        <f>ISNUMBER(#REF!)</f>
        <v>0</v>
      </c>
      <c r="F33" s="1003" t="b">
        <f>ISNUMBER(#REF!)</f>
        <v>0</v>
      </c>
      <c r="G33" s="1003" t="b">
        <f>ISNUMBER(#REF!)</f>
        <v>0</v>
      </c>
      <c r="H33" s="1003" t="b">
        <f>ISNUMBER(#REF!)</f>
        <v>0</v>
      </c>
      <c r="I33" s="1003" t="b">
        <f t="shared" si="4"/>
        <v>1</v>
      </c>
      <c r="J33" s="1003" t="b">
        <f>ISNUMBER(#REF!)</f>
        <v>0</v>
      </c>
      <c r="K33" s="1003" t="b">
        <f>ISNUMBER(#REF!)</f>
        <v>0</v>
      </c>
      <c r="L33" s="1003" t="b">
        <f>ISNUMBER(#REF!)</f>
        <v>0</v>
      </c>
      <c r="M33" s="1003" t="b">
        <f>ISNUMBER(#REF!)</f>
        <v>0</v>
      </c>
      <c r="N33" s="1003" t="b">
        <f>ISNUMBER(#REF!)</f>
        <v>0</v>
      </c>
      <c r="O33" s="1003" t="b">
        <f>ISNUMBER(#REF!)</f>
        <v>0</v>
      </c>
      <c r="P33" s="1003" t="b">
        <f>ISNUMBER(#REF!)</f>
        <v>0</v>
      </c>
      <c r="Q33" s="1001" t="str">
        <f t="shared" si="5"/>
        <v/>
      </c>
    </row>
  </sheetData>
  <phoneticPr fontId="6"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83"/>
  <sheetViews>
    <sheetView zoomScale="70" zoomScaleNormal="70" workbookViewId="0"/>
  </sheetViews>
  <sheetFormatPr defaultRowHeight="21" customHeight="1"/>
  <cols>
    <col min="1" max="1" width="24.75" style="995" customWidth="1"/>
    <col min="2" max="2" width="26.875" style="370" customWidth="1"/>
    <col min="3" max="3" width="27.125" style="900" customWidth="1"/>
    <col min="4" max="4" width="9" style="367"/>
    <col min="5" max="16" width="9" style="367" hidden="1" customWidth="1"/>
    <col min="17" max="16384" width="9" style="367"/>
  </cols>
  <sheetData>
    <row r="1" spans="1:17" ht="50.25" customHeight="1">
      <c r="A1" s="965" t="s">
        <v>360</v>
      </c>
      <c r="B1" s="878"/>
      <c r="C1" s="896"/>
    </row>
    <row r="2" spans="1:17" s="372" customFormat="1" ht="21" customHeight="1">
      <c r="A2" s="994" t="s">
        <v>361</v>
      </c>
      <c r="B2" s="369" t="s">
        <v>362</v>
      </c>
      <c r="C2" s="897" t="s">
        <v>376</v>
      </c>
      <c r="E2" s="891">
        <v>1</v>
      </c>
      <c r="F2" s="891" t="s">
        <v>890</v>
      </c>
      <c r="G2" s="891">
        <v>2</v>
      </c>
      <c r="H2" s="891" t="s">
        <v>890</v>
      </c>
      <c r="I2" s="891">
        <v>3</v>
      </c>
      <c r="J2" s="891" t="s">
        <v>890</v>
      </c>
      <c r="K2" s="891">
        <v>4</v>
      </c>
      <c r="L2" s="891" t="s">
        <v>890</v>
      </c>
      <c r="M2" s="891">
        <v>5</v>
      </c>
      <c r="N2" s="891" t="s">
        <v>890</v>
      </c>
      <c r="O2" s="891">
        <v>6</v>
      </c>
      <c r="P2" s="891" t="s">
        <v>890</v>
      </c>
      <c r="Q2" s="909">
        <v>4</v>
      </c>
    </row>
    <row r="3" spans="1:17" s="372" customFormat="1" ht="21" customHeight="1">
      <c r="A3" s="994" t="s">
        <v>385</v>
      </c>
      <c r="B3" s="369" t="s">
        <v>386</v>
      </c>
      <c r="C3" s="897" t="s">
        <v>395</v>
      </c>
      <c r="Q3" s="967"/>
    </row>
    <row r="4" spans="1:17" s="374" customFormat="1" ht="21" customHeight="1">
      <c r="A4" s="990">
        <f>MENU!Y18</f>
        <v>44898.864583333336</v>
      </c>
      <c r="B4" s="373" t="s">
        <v>277</v>
      </c>
      <c r="C4" s="894">
        <f t="shared" ref="C4:C45" si="0">IFERROR(VLOOKUP($B4,_XM_XT_THUCTE,26,0),"")</f>
        <v>30</v>
      </c>
      <c r="E4" s="374" t="b">
        <f>ISNUMBER(#REF!)</f>
        <v>0</v>
      </c>
      <c r="F4" s="374" t="b">
        <f>ISNUMBER(#REF!)</f>
        <v>0</v>
      </c>
      <c r="G4" s="374" t="b">
        <f>ISNUMBER(#REF!)</f>
        <v>0</v>
      </c>
      <c r="H4" s="374" t="b">
        <f>ISNUMBER(#REF!)</f>
        <v>0</v>
      </c>
      <c r="I4" s="374" t="b">
        <f>ISNUMBER(#REF!)</f>
        <v>0</v>
      </c>
      <c r="J4" s="374" t="b">
        <f>ISNUMBER(#REF!)</f>
        <v>0</v>
      </c>
      <c r="K4" s="374" t="b">
        <f t="shared" ref="K4:K35" si="1">ISNUMBER(C4)</f>
        <v>1</v>
      </c>
      <c r="L4" s="374" t="b">
        <f>ISNUMBER(#REF!)</f>
        <v>0</v>
      </c>
      <c r="M4" s="374" t="b">
        <f>ISNUMBER(#REF!)</f>
        <v>0</v>
      </c>
      <c r="N4" s="374" t="b">
        <f>ISNUMBER(#REF!)</f>
        <v>0</v>
      </c>
      <c r="O4" s="374" t="b">
        <f>ISNUMBER(#REF!)</f>
        <v>0</v>
      </c>
      <c r="P4" s="374" t="b">
        <f>ISNUMBER(#REF!)</f>
        <v>0</v>
      </c>
      <c r="Q4" s="966" t="str">
        <f t="shared" ref="Q4:Q35" si="2">IF(K4=TRUE,"",1)</f>
        <v/>
      </c>
    </row>
    <row r="5" spans="1:17" s="374" customFormat="1" ht="21" customHeight="1">
      <c r="A5" s="993">
        <f>$A$4</f>
        <v>44898.864583333336</v>
      </c>
      <c r="B5" s="373" t="s">
        <v>278</v>
      </c>
      <c r="C5" s="894">
        <f t="shared" si="0"/>
        <v>31.6</v>
      </c>
      <c r="E5" s="374" t="b">
        <f>ISNUMBER(#REF!)</f>
        <v>0</v>
      </c>
      <c r="F5" s="374" t="b">
        <f>ISNUMBER(#REF!)</f>
        <v>0</v>
      </c>
      <c r="G5" s="374" t="b">
        <f>ISNUMBER(#REF!)</f>
        <v>0</v>
      </c>
      <c r="H5" s="374" t="b">
        <f>ISNUMBER(#REF!)</f>
        <v>0</v>
      </c>
      <c r="I5" s="374" t="b">
        <f>ISNUMBER(#REF!)</f>
        <v>0</v>
      </c>
      <c r="J5" s="374" t="b">
        <f>ISNUMBER(#REF!)</f>
        <v>0</v>
      </c>
      <c r="K5" s="374" t="b">
        <f t="shared" si="1"/>
        <v>1</v>
      </c>
      <c r="L5" s="374" t="b">
        <f>ISNUMBER(#REF!)</f>
        <v>0</v>
      </c>
      <c r="M5" s="374" t="b">
        <f>ISNUMBER(#REF!)</f>
        <v>0</v>
      </c>
      <c r="N5" s="374" t="b">
        <f>ISNUMBER(#REF!)</f>
        <v>0</v>
      </c>
      <c r="O5" s="374" t="b">
        <f>ISNUMBER(#REF!)</f>
        <v>0</v>
      </c>
      <c r="P5" s="374" t="b">
        <f>ISNUMBER(#REF!)</f>
        <v>0</v>
      </c>
      <c r="Q5" s="966" t="str">
        <f t="shared" si="2"/>
        <v/>
      </c>
    </row>
    <row r="6" spans="1:17" s="374" customFormat="1" ht="21" customHeight="1">
      <c r="A6" s="993">
        <f t="shared" ref="A6:A69" si="3">$A$4</f>
        <v>44898.864583333336</v>
      </c>
      <c r="B6" s="373" t="s">
        <v>279</v>
      </c>
      <c r="C6" s="894">
        <f t="shared" si="0"/>
        <v>72.8</v>
      </c>
      <c r="E6" s="374" t="b">
        <f>ISNUMBER(#REF!)</f>
        <v>0</v>
      </c>
      <c r="F6" s="374" t="b">
        <f>ISNUMBER(#REF!)</f>
        <v>0</v>
      </c>
      <c r="G6" s="374" t="b">
        <f>ISNUMBER(#REF!)</f>
        <v>0</v>
      </c>
      <c r="H6" s="374" t="b">
        <f>ISNUMBER(#REF!)</f>
        <v>0</v>
      </c>
      <c r="I6" s="374" t="b">
        <f>ISNUMBER(#REF!)</f>
        <v>0</v>
      </c>
      <c r="J6" s="374" t="b">
        <f>ISNUMBER(#REF!)</f>
        <v>0</v>
      </c>
      <c r="K6" s="374" t="b">
        <f t="shared" si="1"/>
        <v>1</v>
      </c>
      <c r="L6" s="374" t="b">
        <f>ISNUMBER(#REF!)</f>
        <v>0</v>
      </c>
      <c r="M6" s="374" t="b">
        <f>ISNUMBER(#REF!)</f>
        <v>0</v>
      </c>
      <c r="N6" s="374" t="b">
        <f>ISNUMBER(#REF!)</f>
        <v>0</v>
      </c>
      <c r="O6" s="374" t="b">
        <f>ISNUMBER(#REF!)</f>
        <v>0</v>
      </c>
      <c r="P6" s="374" t="b">
        <f>ISNUMBER(#REF!)</f>
        <v>0</v>
      </c>
      <c r="Q6" s="966" t="str">
        <f t="shared" si="2"/>
        <v/>
      </c>
    </row>
    <row r="7" spans="1:17" s="374" customFormat="1" ht="21" customHeight="1">
      <c r="A7" s="993">
        <f t="shared" si="3"/>
        <v>44898.864583333336</v>
      </c>
      <c r="B7" s="373" t="s">
        <v>280</v>
      </c>
      <c r="C7" s="894">
        <f t="shared" si="0"/>
        <v>70.400000000000006</v>
      </c>
      <c r="E7" s="374" t="b">
        <f>ISNUMBER(#REF!)</f>
        <v>0</v>
      </c>
      <c r="F7" s="374" t="b">
        <f>ISNUMBER(#REF!)</f>
        <v>0</v>
      </c>
      <c r="G7" s="374" t="b">
        <f>ISNUMBER(#REF!)</f>
        <v>0</v>
      </c>
      <c r="H7" s="374" t="b">
        <f>ISNUMBER(#REF!)</f>
        <v>0</v>
      </c>
      <c r="I7" s="374" t="b">
        <f>ISNUMBER(#REF!)</f>
        <v>0</v>
      </c>
      <c r="J7" s="374" t="b">
        <f>ISNUMBER(#REF!)</f>
        <v>0</v>
      </c>
      <c r="K7" s="374" t="b">
        <f t="shared" si="1"/>
        <v>1</v>
      </c>
      <c r="L7" s="374" t="b">
        <f>ISNUMBER(#REF!)</f>
        <v>0</v>
      </c>
      <c r="M7" s="374" t="b">
        <f>ISNUMBER(#REF!)</f>
        <v>0</v>
      </c>
      <c r="N7" s="374" t="b">
        <f>ISNUMBER(#REF!)</f>
        <v>0</v>
      </c>
      <c r="O7" s="374" t="b">
        <f>ISNUMBER(#REF!)</f>
        <v>0</v>
      </c>
      <c r="P7" s="374" t="b">
        <f>ISNUMBER(#REF!)</f>
        <v>0</v>
      </c>
      <c r="Q7" s="966" t="str">
        <f t="shared" si="2"/>
        <v/>
      </c>
    </row>
    <row r="8" spans="1:17" s="374" customFormat="1" ht="21" customHeight="1">
      <c r="A8" s="993">
        <f t="shared" si="3"/>
        <v>44898.864583333336</v>
      </c>
      <c r="B8" s="373" t="s">
        <v>281</v>
      </c>
      <c r="C8" s="894">
        <f t="shared" si="0"/>
        <v>140.80000000000001</v>
      </c>
      <c r="E8" s="374" t="b">
        <f>ISNUMBER(#REF!)</f>
        <v>0</v>
      </c>
      <c r="F8" s="374" t="b">
        <f>ISNUMBER(#REF!)</f>
        <v>0</v>
      </c>
      <c r="G8" s="374" t="b">
        <f>ISNUMBER(#REF!)</f>
        <v>0</v>
      </c>
      <c r="H8" s="374" t="b">
        <f>ISNUMBER(#REF!)</f>
        <v>0</v>
      </c>
      <c r="I8" s="374" t="b">
        <f>ISNUMBER(#REF!)</f>
        <v>0</v>
      </c>
      <c r="J8" s="374" t="b">
        <f>ISNUMBER(#REF!)</f>
        <v>0</v>
      </c>
      <c r="K8" s="374" t="b">
        <f t="shared" si="1"/>
        <v>1</v>
      </c>
      <c r="L8" s="374" t="b">
        <f>ISNUMBER(#REF!)</f>
        <v>0</v>
      </c>
      <c r="M8" s="374" t="b">
        <f>ISNUMBER(#REF!)</f>
        <v>0</v>
      </c>
      <c r="N8" s="374" t="b">
        <f>ISNUMBER(#REF!)</f>
        <v>0</v>
      </c>
      <c r="O8" s="374" t="b">
        <f>ISNUMBER(#REF!)</f>
        <v>0</v>
      </c>
      <c r="P8" s="374" t="b">
        <f>ISNUMBER(#REF!)</f>
        <v>0</v>
      </c>
      <c r="Q8" s="966" t="str">
        <f t="shared" si="2"/>
        <v/>
      </c>
    </row>
    <row r="9" spans="1:17" s="374" customFormat="1" ht="21" customHeight="1">
      <c r="A9" s="993">
        <f t="shared" si="3"/>
        <v>44898.864583333336</v>
      </c>
      <c r="B9" s="373" t="s">
        <v>282</v>
      </c>
      <c r="C9" s="894">
        <f t="shared" si="0"/>
        <v>9.879999999999999</v>
      </c>
      <c r="E9" s="374" t="b">
        <f>ISNUMBER(#REF!)</f>
        <v>0</v>
      </c>
      <c r="F9" s="374" t="b">
        <f>ISNUMBER(#REF!)</f>
        <v>0</v>
      </c>
      <c r="G9" s="374" t="b">
        <f>ISNUMBER(#REF!)</f>
        <v>0</v>
      </c>
      <c r="H9" s="374" t="b">
        <f>ISNUMBER(#REF!)</f>
        <v>0</v>
      </c>
      <c r="I9" s="374" t="b">
        <f>ISNUMBER(#REF!)</f>
        <v>0</v>
      </c>
      <c r="J9" s="374" t="b">
        <f>ISNUMBER(#REF!)</f>
        <v>0</v>
      </c>
      <c r="K9" s="374" t="b">
        <f t="shared" si="1"/>
        <v>1</v>
      </c>
      <c r="L9" s="374" t="b">
        <f>ISNUMBER(#REF!)</f>
        <v>0</v>
      </c>
      <c r="M9" s="374" t="b">
        <f>ISNUMBER(#REF!)</f>
        <v>0</v>
      </c>
      <c r="N9" s="374" t="b">
        <f>ISNUMBER(#REF!)</f>
        <v>0</v>
      </c>
      <c r="O9" s="374" t="b">
        <f>ISNUMBER(#REF!)</f>
        <v>0</v>
      </c>
      <c r="P9" s="374" t="b">
        <f>ISNUMBER(#REF!)</f>
        <v>0</v>
      </c>
      <c r="Q9" s="966" t="str">
        <f t="shared" si="2"/>
        <v/>
      </c>
    </row>
    <row r="10" spans="1:17" s="374" customFormat="1" ht="21" customHeight="1">
      <c r="A10" s="993">
        <f t="shared" si="3"/>
        <v>44898.864583333336</v>
      </c>
      <c r="B10" s="373" t="s">
        <v>288</v>
      </c>
      <c r="C10" s="894">
        <f t="shared" si="0"/>
        <v>11.654676258992804</v>
      </c>
      <c r="E10" s="374" t="b">
        <f>ISNUMBER(#REF!)</f>
        <v>0</v>
      </c>
      <c r="F10" s="374" t="b">
        <f>ISNUMBER(#REF!)</f>
        <v>0</v>
      </c>
      <c r="G10" s="374" t="b">
        <f>ISNUMBER(#REF!)</f>
        <v>0</v>
      </c>
      <c r="H10" s="374" t="b">
        <f>ISNUMBER(#REF!)</f>
        <v>0</v>
      </c>
      <c r="I10" s="374" t="b">
        <f>ISNUMBER(#REF!)</f>
        <v>0</v>
      </c>
      <c r="J10" s="374" t="b">
        <f>ISNUMBER(#REF!)</f>
        <v>0</v>
      </c>
      <c r="K10" s="374" t="b">
        <f t="shared" si="1"/>
        <v>1</v>
      </c>
      <c r="L10" s="374" t="b">
        <f>ISNUMBER(#REF!)</f>
        <v>0</v>
      </c>
      <c r="M10" s="374" t="b">
        <f>ISNUMBER(#REF!)</f>
        <v>0</v>
      </c>
      <c r="N10" s="374" t="b">
        <f>ISNUMBER(#REF!)</f>
        <v>0</v>
      </c>
      <c r="O10" s="374" t="b">
        <f>ISNUMBER(#REF!)</f>
        <v>0</v>
      </c>
      <c r="P10" s="374" t="b">
        <f>ISNUMBER(#REF!)</f>
        <v>0</v>
      </c>
      <c r="Q10" s="966" t="str">
        <f t="shared" si="2"/>
        <v/>
      </c>
    </row>
    <row r="11" spans="1:17" s="374" customFormat="1" ht="21" customHeight="1">
      <c r="A11" s="993">
        <f t="shared" si="3"/>
        <v>44898.864583333336</v>
      </c>
      <c r="B11" s="373" t="s">
        <v>290</v>
      </c>
      <c r="C11" s="894">
        <f t="shared" si="0"/>
        <v>1.78</v>
      </c>
      <c r="E11" s="374" t="b">
        <f>ISNUMBER(#REF!)</f>
        <v>0</v>
      </c>
      <c r="F11" s="374" t="b">
        <f>ISNUMBER(#REF!)</f>
        <v>0</v>
      </c>
      <c r="G11" s="374" t="b">
        <f>ISNUMBER(#REF!)</f>
        <v>0</v>
      </c>
      <c r="H11" s="374" t="b">
        <f>ISNUMBER(#REF!)</f>
        <v>0</v>
      </c>
      <c r="I11" s="374" t="b">
        <f>ISNUMBER(#REF!)</f>
        <v>0</v>
      </c>
      <c r="J11" s="374" t="b">
        <f>ISNUMBER(#REF!)</f>
        <v>0</v>
      </c>
      <c r="K11" s="374" t="b">
        <f t="shared" si="1"/>
        <v>1</v>
      </c>
      <c r="L11" s="374" t="b">
        <f>ISNUMBER(#REF!)</f>
        <v>0</v>
      </c>
      <c r="M11" s="374" t="b">
        <f>ISNUMBER(#REF!)</f>
        <v>0</v>
      </c>
      <c r="N11" s="374" t="b">
        <f>ISNUMBER(#REF!)</f>
        <v>0</v>
      </c>
      <c r="O11" s="374" t="b">
        <f>ISNUMBER(#REF!)</f>
        <v>0</v>
      </c>
      <c r="P11" s="374" t="b">
        <f>ISNUMBER(#REF!)</f>
        <v>0</v>
      </c>
      <c r="Q11" s="966" t="str">
        <f t="shared" si="2"/>
        <v/>
      </c>
    </row>
    <row r="12" spans="1:17" s="374" customFormat="1" ht="21" customHeight="1">
      <c r="A12" s="993">
        <f t="shared" si="3"/>
        <v>44898.864583333336</v>
      </c>
      <c r="B12" s="373" t="s">
        <v>283</v>
      </c>
      <c r="C12" s="894">
        <f t="shared" si="0"/>
        <v>0.45624999999999999</v>
      </c>
      <c r="E12" s="374" t="b">
        <f>ISNUMBER(#REF!)</f>
        <v>0</v>
      </c>
      <c r="F12" s="374" t="b">
        <f>ISNUMBER(#REF!)</f>
        <v>0</v>
      </c>
      <c r="G12" s="374" t="b">
        <f>ISNUMBER(#REF!)</f>
        <v>0</v>
      </c>
      <c r="H12" s="374" t="b">
        <f>ISNUMBER(#REF!)</f>
        <v>0</v>
      </c>
      <c r="I12" s="374" t="b">
        <f>ISNUMBER(#REF!)</f>
        <v>0</v>
      </c>
      <c r="J12" s="374" t="b">
        <f>ISNUMBER(#REF!)</f>
        <v>0</v>
      </c>
      <c r="K12" s="374" t="b">
        <f t="shared" si="1"/>
        <v>1</v>
      </c>
      <c r="L12" s="374" t="b">
        <f>ISNUMBER(#REF!)</f>
        <v>0</v>
      </c>
      <c r="M12" s="374" t="b">
        <f>ISNUMBER(#REF!)</f>
        <v>0</v>
      </c>
      <c r="N12" s="374" t="b">
        <f>ISNUMBER(#REF!)</f>
        <v>0</v>
      </c>
      <c r="O12" s="374" t="b">
        <f>ISNUMBER(#REF!)</f>
        <v>0</v>
      </c>
      <c r="P12" s="374" t="b">
        <f>ISNUMBER(#REF!)</f>
        <v>0</v>
      </c>
      <c r="Q12" s="966" t="str">
        <f t="shared" si="2"/>
        <v/>
      </c>
    </row>
    <row r="13" spans="1:17" s="374" customFormat="1" ht="21" customHeight="1">
      <c r="A13" s="993">
        <f t="shared" si="3"/>
        <v>44898.864583333336</v>
      </c>
      <c r="B13" s="373" t="s">
        <v>284</v>
      </c>
      <c r="C13" s="894">
        <f t="shared" si="0"/>
        <v>0.25093750000000004</v>
      </c>
      <c r="E13" s="374" t="b">
        <f>ISNUMBER(#REF!)</f>
        <v>0</v>
      </c>
      <c r="F13" s="374" t="b">
        <f>ISNUMBER(#REF!)</f>
        <v>0</v>
      </c>
      <c r="G13" s="374" t="b">
        <f>ISNUMBER(#REF!)</f>
        <v>0</v>
      </c>
      <c r="H13" s="374" t="b">
        <f>ISNUMBER(#REF!)</f>
        <v>0</v>
      </c>
      <c r="I13" s="374" t="b">
        <f>ISNUMBER(#REF!)</f>
        <v>0</v>
      </c>
      <c r="J13" s="374" t="b">
        <f>ISNUMBER(#REF!)</f>
        <v>0</v>
      </c>
      <c r="K13" s="374" t="b">
        <f t="shared" si="1"/>
        <v>1</v>
      </c>
      <c r="L13" s="374" t="b">
        <f>ISNUMBER(#REF!)</f>
        <v>0</v>
      </c>
      <c r="M13" s="374" t="b">
        <f>ISNUMBER(#REF!)</f>
        <v>0</v>
      </c>
      <c r="N13" s="374" t="b">
        <f>ISNUMBER(#REF!)</f>
        <v>0</v>
      </c>
      <c r="O13" s="374" t="b">
        <f>ISNUMBER(#REF!)</f>
        <v>0</v>
      </c>
      <c r="P13" s="374" t="b">
        <f>ISNUMBER(#REF!)</f>
        <v>0</v>
      </c>
      <c r="Q13" s="966" t="str">
        <f t="shared" si="2"/>
        <v/>
      </c>
    </row>
    <row r="14" spans="1:17" s="374" customFormat="1" ht="21" customHeight="1">
      <c r="A14" s="993">
        <f t="shared" si="3"/>
        <v>44898.864583333336</v>
      </c>
      <c r="B14" s="373" t="s">
        <v>285</v>
      </c>
      <c r="C14" s="894">
        <f t="shared" si="0"/>
        <v>0.10265625</v>
      </c>
      <c r="E14" s="374" t="b">
        <f>ISNUMBER(#REF!)</f>
        <v>0</v>
      </c>
      <c r="F14" s="374" t="b">
        <f>ISNUMBER(#REF!)</f>
        <v>0</v>
      </c>
      <c r="G14" s="374" t="b">
        <f>ISNUMBER(#REF!)</f>
        <v>0</v>
      </c>
      <c r="H14" s="374" t="b">
        <f>ISNUMBER(#REF!)</f>
        <v>0</v>
      </c>
      <c r="I14" s="374" t="b">
        <f>ISNUMBER(#REF!)</f>
        <v>0</v>
      </c>
      <c r="J14" s="374" t="b">
        <f>ISNUMBER(#REF!)</f>
        <v>0</v>
      </c>
      <c r="K14" s="374" t="b">
        <f t="shared" si="1"/>
        <v>1</v>
      </c>
      <c r="L14" s="374" t="b">
        <f>ISNUMBER(#REF!)</f>
        <v>0</v>
      </c>
      <c r="M14" s="374" t="b">
        <f>ISNUMBER(#REF!)</f>
        <v>0</v>
      </c>
      <c r="N14" s="374" t="b">
        <f>ISNUMBER(#REF!)</f>
        <v>0</v>
      </c>
      <c r="O14" s="374" t="b">
        <f>ISNUMBER(#REF!)</f>
        <v>0</v>
      </c>
      <c r="P14" s="374" t="b">
        <f>ISNUMBER(#REF!)</f>
        <v>0</v>
      </c>
      <c r="Q14" s="966" t="str">
        <f t="shared" si="2"/>
        <v/>
      </c>
    </row>
    <row r="15" spans="1:17" s="374" customFormat="1" ht="21" customHeight="1">
      <c r="A15" s="993">
        <f t="shared" si="3"/>
        <v>44898.864583333336</v>
      </c>
      <c r="B15" s="373" t="s">
        <v>286</v>
      </c>
      <c r="C15" s="894">
        <f t="shared" si="0"/>
        <v>1.2602E-2</v>
      </c>
      <c r="E15" s="374" t="b">
        <f>ISNUMBER(#REF!)</f>
        <v>0</v>
      </c>
      <c r="F15" s="374" t="b">
        <f>ISNUMBER(#REF!)</f>
        <v>0</v>
      </c>
      <c r="G15" s="374" t="b">
        <f>ISNUMBER(#REF!)</f>
        <v>0</v>
      </c>
      <c r="H15" s="374" t="b">
        <f>ISNUMBER(#REF!)</f>
        <v>0</v>
      </c>
      <c r="I15" s="374" t="b">
        <f>ISNUMBER(#REF!)</f>
        <v>0</v>
      </c>
      <c r="J15" s="374" t="b">
        <f>ISNUMBER(#REF!)</f>
        <v>0</v>
      </c>
      <c r="K15" s="374" t="b">
        <f t="shared" si="1"/>
        <v>1</v>
      </c>
      <c r="L15" s="374" t="b">
        <f>ISNUMBER(#REF!)</f>
        <v>0</v>
      </c>
      <c r="M15" s="374" t="b">
        <f>ISNUMBER(#REF!)</f>
        <v>0</v>
      </c>
      <c r="N15" s="374" t="b">
        <f>ISNUMBER(#REF!)</f>
        <v>0</v>
      </c>
      <c r="O15" s="374" t="b">
        <f>ISNUMBER(#REF!)</f>
        <v>0</v>
      </c>
      <c r="P15" s="374" t="b">
        <f>ISNUMBER(#REF!)</f>
        <v>0</v>
      </c>
      <c r="Q15" s="966" t="str">
        <f t="shared" si="2"/>
        <v/>
      </c>
    </row>
    <row r="16" spans="1:17" s="374" customFormat="1" ht="21" customHeight="1">
      <c r="A16" s="993">
        <f t="shared" si="3"/>
        <v>44898.864583333336</v>
      </c>
      <c r="B16" s="373" t="s">
        <v>298</v>
      </c>
      <c r="C16" s="894">
        <f t="shared" si="0"/>
        <v>335</v>
      </c>
      <c r="E16" s="374" t="b">
        <f>ISNUMBER(#REF!)</f>
        <v>0</v>
      </c>
      <c r="F16" s="374" t="b">
        <f>ISNUMBER(#REF!)</f>
        <v>0</v>
      </c>
      <c r="G16" s="374" t="b">
        <f>ISNUMBER(#REF!)</f>
        <v>0</v>
      </c>
      <c r="H16" s="374" t="b">
        <f>ISNUMBER(#REF!)</f>
        <v>0</v>
      </c>
      <c r="I16" s="374" t="b">
        <f>ISNUMBER(#REF!)</f>
        <v>0</v>
      </c>
      <c r="J16" s="374" t="b">
        <f>ISNUMBER(#REF!)</f>
        <v>0</v>
      </c>
      <c r="K16" s="374" t="b">
        <f t="shared" si="1"/>
        <v>1</v>
      </c>
      <c r="L16" s="374" t="b">
        <f>ISNUMBER(#REF!)</f>
        <v>0</v>
      </c>
      <c r="M16" s="374" t="b">
        <f>ISNUMBER(#REF!)</f>
        <v>0</v>
      </c>
      <c r="N16" s="374" t="b">
        <f>ISNUMBER(#REF!)</f>
        <v>0</v>
      </c>
      <c r="O16" s="374" t="b">
        <f>ISNUMBER(#REF!)</f>
        <v>0</v>
      </c>
      <c r="P16" s="374" t="b">
        <f>ISNUMBER(#REF!)</f>
        <v>0</v>
      </c>
      <c r="Q16" s="966" t="str">
        <f t="shared" si="2"/>
        <v/>
      </c>
    </row>
    <row r="17" spans="1:17" s="374" customFormat="1" ht="21" customHeight="1">
      <c r="A17" s="993">
        <f t="shared" si="3"/>
        <v>44898.864583333336</v>
      </c>
      <c r="B17" s="373" t="s">
        <v>299</v>
      </c>
      <c r="C17" s="894">
        <f t="shared" si="0"/>
        <v>40</v>
      </c>
      <c r="E17" s="374" t="b">
        <f>ISNUMBER(#REF!)</f>
        <v>0</v>
      </c>
      <c r="F17" s="374" t="b">
        <f>ISNUMBER(#REF!)</f>
        <v>0</v>
      </c>
      <c r="G17" s="374" t="b">
        <f>ISNUMBER(#REF!)</f>
        <v>0</v>
      </c>
      <c r="H17" s="374" t="b">
        <f>ISNUMBER(#REF!)</f>
        <v>0</v>
      </c>
      <c r="I17" s="374" t="b">
        <f>ISNUMBER(#REF!)</f>
        <v>0</v>
      </c>
      <c r="J17" s="374" t="b">
        <f>ISNUMBER(#REF!)</f>
        <v>0</v>
      </c>
      <c r="K17" s="374" t="b">
        <f t="shared" si="1"/>
        <v>1</v>
      </c>
      <c r="L17" s="374" t="b">
        <f>ISNUMBER(#REF!)</f>
        <v>0</v>
      </c>
      <c r="M17" s="374" t="b">
        <f>ISNUMBER(#REF!)</f>
        <v>0</v>
      </c>
      <c r="N17" s="374" t="b">
        <f>ISNUMBER(#REF!)</f>
        <v>0</v>
      </c>
      <c r="O17" s="374" t="b">
        <f>ISNUMBER(#REF!)</f>
        <v>0</v>
      </c>
      <c r="P17" s="374" t="b">
        <f>ISNUMBER(#REF!)</f>
        <v>0</v>
      </c>
      <c r="Q17" s="966" t="str">
        <f t="shared" si="2"/>
        <v/>
      </c>
    </row>
    <row r="18" spans="1:17" s="374" customFormat="1" ht="21" customHeight="1">
      <c r="A18" s="993">
        <f t="shared" si="3"/>
        <v>44898.864583333336</v>
      </c>
      <c r="B18" s="373" t="s">
        <v>300</v>
      </c>
      <c r="C18" s="894">
        <f t="shared" si="0"/>
        <v>72.039000000000001</v>
      </c>
      <c r="E18" s="374" t="b">
        <f>ISNUMBER(#REF!)</f>
        <v>0</v>
      </c>
      <c r="F18" s="374" t="b">
        <f>ISNUMBER(#REF!)</f>
        <v>0</v>
      </c>
      <c r="G18" s="374" t="b">
        <f>ISNUMBER(#REF!)</f>
        <v>0</v>
      </c>
      <c r="H18" s="374" t="b">
        <f>ISNUMBER(#REF!)</f>
        <v>0</v>
      </c>
      <c r="I18" s="374" t="b">
        <f>ISNUMBER(#REF!)</f>
        <v>0</v>
      </c>
      <c r="J18" s="374" t="b">
        <f>ISNUMBER(#REF!)</f>
        <v>0</v>
      </c>
      <c r="K18" s="374" t="b">
        <f t="shared" si="1"/>
        <v>1</v>
      </c>
      <c r="L18" s="374" t="b">
        <f>ISNUMBER(#REF!)</f>
        <v>0</v>
      </c>
      <c r="M18" s="374" t="b">
        <f>ISNUMBER(#REF!)</f>
        <v>0</v>
      </c>
      <c r="N18" s="374" t="b">
        <f>ISNUMBER(#REF!)</f>
        <v>0</v>
      </c>
      <c r="O18" s="374" t="b">
        <f>ISNUMBER(#REF!)</f>
        <v>0</v>
      </c>
      <c r="P18" s="374" t="b">
        <f>ISNUMBER(#REF!)</f>
        <v>0</v>
      </c>
      <c r="Q18" s="966" t="str">
        <f t="shared" si="2"/>
        <v/>
      </c>
    </row>
    <row r="19" spans="1:17" s="374" customFormat="1" ht="21" customHeight="1">
      <c r="A19" s="993">
        <f t="shared" si="3"/>
        <v>44898.864583333336</v>
      </c>
      <c r="B19" s="373" t="s">
        <v>301</v>
      </c>
      <c r="C19" s="894">
        <f t="shared" si="0"/>
        <v>81.125</v>
      </c>
      <c r="E19" s="374" t="b">
        <f>ISNUMBER(#REF!)</f>
        <v>0</v>
      </c>
      <c r="F19" s="374" t="b">
        <f>ISNUMBER(#REF!)</f>
        <v>0</v>
      </c>
      <c r="G19" s="374" t="b">
        <f>ISNUMBER(#REF!)</f>
        <v>0</v>
      </c>
      <c r="H19" s="374" t="b">
        <f>ISNUMBER(#REF!)</f>
        <v>0</v>
      </c>
      <c r="I19" s="374" t="b">
        <f>ISNUMBER(#REF!)</f>
        <v>0</v>
      </c>
      <c r="J19" s="374" t="b">
        <f>ISNUMBER(#REF!)</f>
        <v>0</v>
      </c>
      <c r="K19" s="374" t="b">
        <f t="shared" si="1"/>
        <v>1</v>
      </c>
      <c r="L19" s="374" t="b">
        <f>ISNUMBER(#REF!)</f>
        <v>0</v>
      </c>
      <c r="M19" s="374" t="b">
        <f>ISNUMBER(#REF!)</f>
        <v>0</v>
      </c>
      <c r="N19" s="374" t="b">
        <f>ISNUMBER(#REF!)</f>
        <v>0</v>
      </c>
      <c r="O19" s="374" t="b">
        <f>ISNUMBER(#REF!)</f>
        <v>0</v>
      </c>
      <c r="P19" s="374" t="b">
        <f>ISNUMBER(#REF!)</f>
        <v>0</v>
      </c>
      <c r="Q19" s="966" t="str">
        <f t="shared" si="2"/>
        <v/>
      </c>
    </row>
    <row r="20" spans="1:17" s="374" customFormat="1" ht="21" customHeight="1">
      <c r="A20" s="993">
        <f t="shared" si="3"/>
        <v>44898.864583333336</v>
      </c>
      <c r="B20" s="373" t="s">
        <v>302</v>
      </c>
      <c r="C20" s="894">
        <f t="shared" si="0"/>
        <v>62.370000000000005</v>
      </c>
      <c r="E20" s="374" t="b">
        <f>ISNUMBER(#REF!)</f>
        <v>0</v>
      </c>
      <c r="F20" s="374" t="b">
        <f>ISNUMBER(#REF!)</f>
        <v>0</v>
      </c>
      <c r="G20" s="374" t="b">
        <f>ISNUMBER(#REF!)</f>
        <v>0</v>
      </c>
      <c r="H20" s="374" t="b">
        <f>ISNUMBER(#REF!)</f>
        <v>0</v>
      </c>
      <c r="I20" s="374" t="b">
        <f>ISNUMBER(#REF!)</f>
        <v>0</v>
      </c>
      <c r="J20" s="374" t="b">
        <f>ISNUMBER(#REF!)</f>
        <v>0</v>
      </c>
      <c r="K20" s="374" t="b">
        <f t="shared" si="1"/>
        <v>1</v>
      </c>
      <c r="L20" s="374" t="b">
        <f>ISNUMBER(#REF!)</f>
        <v>0</v>
      </c>
      <c r="M20" s="374" t="b">
        <f>ISNUMBER(#REF!)</f>
        <v>0</v>
      </c>
      <c r="N20" s="374" t="b">
        <f>ISNUMBER(#REF!)</f>
        <v>0</v>
      </c>
      <c r="O20" s="374" t="b">
        <f>ISNUMBER(#REF!)</f>
        <v>0</v>
      </c>
      <c r="P20" s="374" t="b">
        <f>ISNUMBER(#REF!)</f>
        <v>0</v>
      </c>
      <c r="Q20" s="966" t="str">
        <f t="shared" si="2"/>
        <v/>
      </c>
    </row>
    <row r="21" spans="1:17" s="374" customFormat="1" ht="21" customHeight="1">
      <c r="A21" s="993">
        <f t="shared" si="3"/>
        <v>44898.864583333336</v>
      </c>
      <c r="B21" s="373" t="s">
        <v>303</v>
      </c>
      <c r="C21" s="894">
        <f t="shared" si="0"/>
        <v>58.211999999999996</v>
      </c>
      <c r="E21" s="374" t="b">
        <f>ISNUMBER(#REF!)</f>
        <v>0</v>
      </c>
      <c r="F21" s="374" t="b">
        <f>ISNUMBER(#REF!)</f>
        <v>0</v>
      </c>
      <c r="G21" s="374" t="b">
        <f>ISNUMBER(#REF!)</f>
        <v>0</v>
      </c>
      <c r="H21" s="374" t="b">
        <f>ISNUMBER(#REF!)</f>
        <v>0</v>
      </c>
      <c r="I21" s="374" t="b">
        <f>ISNUMBER(#REF!)</f>
        <v>0</v>
      </c>
      <c r="J21" s="374" t="b">
        <f>ISNUMBER(#REF!)</f>
        <v>0</v>
      </c>
      <c r="K21" s="374" t="b">
        <f t="shared" si="1"/>
        <v>1</v>
      </c>
      <c r="L21" s="374" t="b">
        <f>ISNUMBER(#REF!)</f>
        <v>0</v>
      </c>
      <c r="M21" s="374" t="b">
        <f>ISNUMBER(#REF!)</f>
        <v>0</v>
      </c>
      <c r="N21" s="374" t="b">
        <f>ISNUMBER(#REF!)</f>
        <v>0</v>
      </c>
      <c r="O21" s="374" t="b">
        <f>ISNUMBER(#REF!)</f>
        <v>0</v>
      </c>
      <c r="P21" s="374" t="b">
        <f>ISNUMBER(#REF!)</f>
        <v>0</v>
      </c>
      <c r="Q21" s="966" t="str">
        <f t="shared" si="2"/>
        <v/>
      </c>
    </row>
    <row r="22" spans="1:17" s="374" customFormat="1" ht="21" customHeight="1">
      <c r="A22" s="993">
        <f t="shared" si="3"/>
        <v>44898.864583333336</v>
      </c>
      <c r="B22" s="373" t="s">
        <v>304</v>
      </c>
      <c r="C22" s="894">
        <f t="shared" si="0"/>
        <v>140</v>
      </c>
      <c r="E22" s="374" t="b">
        <f>ISNUMBER(#REF!)</f>
        <v>0</v>
      </c>
      <c r="F22" s="374" t="b">
        <f>ISNUMBER(#REF!)</f>
        <v>0</v>
      </c>
      <c r="G22" s="374" t="b">
        <f>ISNUMBER(#REF!)</f>
        <v>0</v>
      </c>
      <c r="H22" s="374" t="b">
        <f>ISNUMBER(#REF!)</f>
        <v>0</v>
      </c>
      <c r="I22" s="374" t="b">
        <f>ISNUMBER(#REF!)</f>
        <v>0</v>
      </c>
      <c r="J22" s="374" t="b">
        <f>ISNUMBER(#REF!)</f>
        <v>0</v>
      </c>
      <c r="K22" s="374" t="b">
        <f t="shared" si="1"/>
        <v>1</v>
      </c>
      <c r="L22" s="374" t="b">
        <f>ISNUMBER(#REF!)</f>
        <v>0</v>
      </c>
      <c r="M22" s="374" t="b">
        <f>ISNUMBER(#REF!)</f>
        <v>0</v>
      </c>
      <c r="N22" s="374" t="b">
        <f>ISNUMBER(#REF!)</f>
        <v>0</v>
      </c>
      <c r="O22" s="374" t="b">
        <f>ISNUMBER(#REF!)</f>
        <v>0</v>
      </c>
      <c r="P22" s="374" t="b">
        <f>ISNUMBER(#REF!)</f>
        <v>0</v>
      </c>
      <c r="Q22" s="966" t="str">
        <f t="shared" si="2"/>
        <v/>
      </c>
    </row>
    <row r="23" spans="1:17" s="374" customFormat="1" ht="21" customHeight="1">
      <c r="A23" s="993">
        <f t="shared" si="3"/>
        <v>44898.864583333336</v>
      </c>
      <c r="B23" s="373" t="s">
        <v>305</v>
      </c>
      <c r="C23" s="894">
        <f t="shared" si="0"/>
        <v>8.4500000000000011</v>
      </c>
      <c r="E23" s="374" t="b">
        <f>ISNUMBER(#REF!)</f>
        <v>0</v>
      </c>
      <c r="F23" s="374" t="b">
        <f>ISNUMBER(#REF!)</f>
        <v>0</v>
      </c>
      <c r="G23" s="374" t="b">
        <f>ISNUMBER(#REF!)</f>
        <v>0</v>
      </c>
      <c r="H23" s="374" t="b">
        <f>ISNUMBER(#REF!)</f>
        <v>0</v>
      </c>
      <c r="I23" s="374" t="b">
        <f>ISNUMBER(#REF!)</f>
        <v>0</v>
      </c>
      <c r="J23" s="374" t="b">
        <f>ISNUMBER(#REF!)</f>
        <v>0</v>
      </c>
      <c r="K23" s="374" t="b">
        <f t="shared" si="1"/>
        <v>1</v>
      </c>
      <c r="L23" s="374" t="b">
        <f>ISNUMBER(#REF!)</f>
        <v>0</v>
      </c>
      <c r="M23" s="374" t="b">
        <f>ISNUMBER(#REF!)</f>
        <v>0</v>
      </c>
      <c r="N23" s="374" t="b">
        <f>ISNUMBER(#REF!)</f>
        <v>0</v>
      </c>
      <c r="O23" s="374" t="b">
        <f>ISNUMBER(#REF!)</f>
        <v>0</v>
      </c>
      <c r="P23" s="374" t="b">
        <f>ISNUMBER(#REF!)</f>
        <v>0</v>
      </c>
      <c r="Q23" s="966" t="str">
        <f t="shared" si="2"/>
        <v/>
      </c>
    </row>
    <row r="24" spans="1:17" s="374" customFormat="1" ht="21" customHeight="1">
      <c r="A24" s="993">
        <f t="shared" si="3"/>
        <v>44898.864583333336</v>
      </c>
      <c r="B24" s="373" t="s">
        <v>306</v>
      </c>
      <c r="C24" s="894">
        <f t="shared" si="0"/>
        <v>4.1230399999999996</v>
      </c>
      <c r="E24" s="374" t="b">
        <f>ISNUMBER(#REF!)</f>
        <v>0</v>
      </c>
      <c r="F24" s="374" t="b">
        <f>ISNUMBER(#REF!)</f>
        <v>0</v>
      </c>
      <c r="G24" s="374" t="b">
        <f>ISNUMBER(#REF!)</f>
        <v>0</v>
      </c>
      <c r="H24" s="374" t="b">
        <f>ISNUMBER(#REF!)</f>
        <v>0</v>
      </c>
      <c r="I24" s="374" t="b">
        <f>ISNUMBER(#REF!)</f>
        <v>0</v>
      </c>
      <c r="J24" s="374" t="b">
        <f>ISNUMBER(#REF!)</f>
        <v>0</v>
      </c>
      <c r="K24" s="374" t="b">
        <f t="shared" si="1"/>
        <v>1</v>
      </c>
      <c r="L24" s="374" t="b">
        <f>ISNUMBER(#REF!)</f>
        <v>0</v>
      </c>
      <c r="M24" s="374" t="b">
        <f>ISNUMBER(#REF!)</f>
        <v>0</v>
      </c>
      <c r="N24" s="374" t="b">
        <f>ISNUMBER(#REF!)</f>
        <v>0</v>
      </c>
      <c r="O24" s="374" t="b">
        <f>ISNUMBER(#REF!)</f>
        <v>0</v>
      </c>
      <c r="P24" s="374" t="b">
        <f>ISNUMBER(#REF!)</f>
        <v>0</v>
      </c>
      <c r="Q24" s="966" t="str">
        <f t="shared" si="2"/>
        <v/>
      </c>
    </row>
    <row r="25" spans="1:17" s="374" customFormat="1" ht="21" customHeight="1">
      <c r="A25" s="993">
        <f t="shared" si="3"/>
        <v>44898.864583333336</v>
      </c>
      <c r="B25" s="373" t="s">
        <v>307</v>
      </c>
      <c r="C25" s="894">
        <f t="shared" si="0"/>
        <v>2.4</v>
      </c>
      <c r="E25" s="374" t="b">
        <f>ISNUMBER(#REF!)</f>
        <v>0</v>
      </c>
      <c r="F25" s="374" t="b">
        <f>ISNUMBER(#REF!)</f>
        <v>0</v>
      </c>
      <c r="G25" s="374" t="b">
        <f>ISNUMBER(#REF!)</f>
        <v>0</v>
      </c>
      <c r="H25" s="374" t="b">
        <f>ISNUMBER(#REF!)</f>
        <v>0</v>
      </c>
      <c r="I25" s="374" t="b">
        <f>ISNUMBER(#REF!)</f>
        <v>0</v>
      </c>
      <c r="J25" s="374" t="b">
        <f>ISNUMBER(#REF!)</f>
        <v>0</v>
      </c>
      <c r="K25" s="374" t="b">
        <f t="shared" si="1"/>
        <v>1</v>
      </c>
      <c r="L25" s="374" t="b">
        <f>ISNUMBER(#REF!)</f>
        <v>0</v>
      </c>
      <c r="M25" s="374" t="b">
        <f>ISNUMBER(#REF!)</f>
        <v>0</v>
      </c>
      <c r="N25" s="374" t="b">
        <f>ISNUMBER(#REF!)</f>
        <v>0</v>
      </c>
      <c r="O25" s="374" t="b">
        <f>ISNUMBER(#REF!)</f>
        <v>0</v>
      </c>
      <c r="P25" s="374" t="b">
        <f>ISNUMBER(#REF!)</f>
        <v>0</v>
      </c>
      <c r="Q25" s="966" t="str">
        <f t="shared" si="2"/>
        <v/>
      </c>
    </row>
    <row r="26" spans="1:17" s="374" customFormat="1" ht="21" customHeight="1">
      <c r="A26" s="993">
        <f t="shared" si="3"/>
        <v>44898.864583333336</v>
      </c>
      <c r="B26" s="373" t="s">
        <v>308</v>
      </c>
      <c r="C26" s="894">
        <f t="shared" si="0"/>
        <v>0.46765624999999994</v>
      </c>
      <c r="E26" s="374" t="b">
        <f>ISNUMBER(#REF!)</f>
        <v>0</v>
      </c>
      <c r="F26" s="374" t="b">
        <f>ISNUMBER(#REF!)</f>
        <v>0</v>
      </c>
      <c r="G26" s="374" t="b">
        <f>ISNUMBER(#REF!)</f>
        <v>0</v>
      </c>
      <c r="H26" s="374" t="b">
        <f>ISNUMBER(#REF!)</f>
        <v>0</v>
      </c>
      <c r="I26" s="374" t="b">
        <f>ISNUMBER(#REF!)</f>
        <v>0</v>
      </c>
      <c r="J26" s="374" t="b">
        <f>ISNUMBER(#REF!)</f>
        <v>0</v>
      </c>
      <c r="K26" s="374" t="b">
        <f t="shared" si="1"/>
        <v>1</v>
      </c>
      <c r="L26" s="374" t="b">
        <f>ISNUMBER(#REF!)</f>
        <v>0</v>
      </c>
      <c r="M26" s="374" t="b">
        <f>ISNUMBER(#REF!)</f>
        <v>0</v>
      </c>
      <c r="N26" s="374" t="b">
        <f>ISNUMBER(#REF!)</f>
        <v>0</v>
      </c>
      <c r="O26" s="374" t="b">
        <f>ISNUMBER(#REF!)</f>
        <v>0</v>
      </c>
      <c r="P26" s="374" t="b">
        <f>ISNUMBER(#REF!)</f>
        <v>0</v>
      </c>
      <c r="Q26" s="966" t="str">
        <f t="shared" si="2"/>
        <v/>
      </c>
    </row>
    <row r="27" spans="1:17" s="374" customFormat="1" ht="21" customHeight="1">
      <c r="A27" s="993">
        <f t="shared" si="3"/>
        <v>44898.864583333336</v>
      </c>
      <c r="B27" s="373" t="s">
        <v>309</v>
      </c>
      <c r="C27" s="894">
        <f t="shared" si="0"/>
        <v>0.26234374999999999</v>
      </c>
      <c r="E27" s="374" t="b">
        <f>ISNUMBER(#REF!)</f>
        <v>0</v>
      </c>
      <c r="F27" s="374" t="b">
        <f>ISNUMBER(#REF!)</f>
        <v>0</v>
      </c>
      <c r="G27" s="374" t="b">
        <f>ISNUMBER(#REF!)</f>
        <v>0</v>
      </c>
      <c r="H27" s="374" t="b">
        <f>ISNUMBER(#REF!)</f>
        <v>0</v>
      </c>
      <c r="I27" s="374" t="b">
        <f>ISNUMBER(#REF!)</f>
        <v>0</v>
      </c>
      <c r="J27" s="374" t="b">
        <f>ISNUMBER(#REF!)</f>
        <v>0</v>
      </c>
      <c r="K27" s="374" t="b">
        <f t="shared" si="1"/>
        <v>1</v>
      </c>
      <c r="L27" s="374" t="b">
        <f>ISNUMBER(#REF!)</f>
        <v>0</v>
      </c>
      <c r="M27" s="374" t="b">
        <f>ISNUMBER(#REF!)</f>
        <v>0</v>
      </c>
      <c r="N27" s="374" t="b">
        <f>ISNUMBER(#REF!)</f>
        <v>0</v>
      </c>
      <c r="O27" s="374" t="b">
        <f>ISNUMBER(#REF!)</f>
        <v>0</v>
      </c>
      <c r="P27" s="374" t="b">
        <f>ISNUMBER(#REF!)</f>
        <v>0</v>
      </c>
      <c r="Q27" s="966" t="str">
        <f t="shared" si="2"/>
        <v/>
      </c>
    </row>
    <row r="28" spans="1:17" s="374" customFormat="1" ht="21" customHeight="1">
      <c r="A28" s="993">
        <f t="shared" si="3"/>
        <v>44898.864583333336</v>
      </c>
      <c r="B28" s="373" t="s">
        <v>310</v>
      </c>
      <c r="C28" s="894">
        <f t="shared" si="0"/>
        <v>0.12090624999999999</v>
      </c>
      <c r="E28" s="374" t="b">
        <f>ISNUMBER(#REF!)</f>
        <v>0</v>
      </c>
      <c r="F28" s="374" t="b">
        <f>ISNUMBER(#REF!)</f>
        <v>0</v>
      </c>
      <c r="G28" s="374" t="b">
        <f>ISNUMBER(#REF!)</f>
        <v>0</v>
      </c>
      <c r="H28" s="374" t="b">
        <f>ISNUMBER(#REF!)</f>
        <v>0</v>
      </c>
      <c r="I28" s="374" t="b">
        <f>ISNUMBER(#REF!)</f>
        <v>0</v>
      </c>
      <c r="J28" s="374" t="b">
        <f>ISNUMBER(#REF!)</f>
        <v>0</v>
      </c>
      <c r="K28" s="374" t="b">
        <f t="shared" si="1"/>
        <v>1</v>
      </c>
      <c r="L28" s="374" t="b">
        <f>ISNUMBER(#REF!)</f>
        <v>0</v>
      </c>
      <c r="M28" s="374" t="b">
        <f>ISNUMBER(#REF!)</f>
        <v>0</v>
      </c>
      <c r="N28" s="374" t="b">
        <f>ISNUMBER(#REF!)</f>
        <v>0</v>
      </c>
      <c r="O28" s="374" t="b">
        <f>ISNUMBER(#REF!)</f>
        <v>0</v>
      </c>
      <c r="P28" s="374" t="b">
        <f>ISNUMBER(#REF!)</f>
        <v>0</v>
      </c>
      <c r="Q28" s="966" t="str">
        <f t="shared" si="2"/>
        <v/>
      </c>
    </row>
    <row r="29" spans="1:17" s="374" customFormat="1" ht="21" customHeight="1">
      <c r="A29" s="993">
        <f t="shared" si="3"/>
        <v>44898.864583333336</v>
      </c>
      <c r="B29" s="373" t="s">
        <v>311</v>
      </c>
      <c r="C29" s="894">
        <f t="shared" si="0"/>
        <v>1.1341800000000003E-2</v>
      </c>
      <c r="E29" s="374" t="b">
        <f>ISNUMBER(#REF!)</f>
        <v>0</v>
      </c>
      <c r="F29" s="374" t="b">
        <f>ISNUMBER(#REF!)</f>
        <v>0</v>
      </c>
      <c r="G29" s="374" t="b">
        <f>ISNUMBER(#REF!)</f>
        <v>0</v>
      </c>
      <c r="H29" s="374" t="b">
        <f>ISNUMBER(#REF!)</f>
        <v>0</v>
      </c>
      <c r="I29" s="374" t="b">
        <f>ISNUMBER(#REF!)</f>
        <v>0</v>
      </c>
      <c r="J29" s="374" t="b">
        <f>ISNUMBER(#REF!)</f>
        <v>0</v>
      </c>
      <c r="K29" s="374" t="b">
        <f t="shared" si="1"/>
        <v>1</v>
      </c>
      <c r="L29" s="374" t="b">
        <f>ISNUMBER(#REF!)</f>
        <v>0</v>
      </c>
      <c r="M29" s="374" t="b">
        <f>ISNUMBER(#REF!)</f>
        <v>0</v>
      </c>
      <c r="N29" s="374" t="b">
        <f>ISNUMBER(#REF!)</f>
        <v>0</v>
      </c>
      <c r="O29" s="374" t="b">
        <f>ISNUMBER(#REF!)</f>
        <v>0</v>
      </c>
      <c r="P29" s="374" t="b">
        <f>ISNUMBER(#REF!)</f>
        <v>0</v>
      </c>
      <c r="Q29" s="966" t="str">
        <f t="shared" si="2"/>
        <v/>
      </c>
    </row>
    <row r="30" spans="1:17" s="374" customFormat="1" ht="21" customHeight="1">
      <c r="A30" s="993">
        <f t="shared" si="3"/>
        <v>44898.864583333336</v>
      </c>
      <c r="B30" s="373" t="s">
        <v>321</v>
      </c>
      <c r="C30" s="894">
        <f t="shared" si="0"/>
        <v>195</v>
      </c>
      <c r="E30" s="374" t="b">
        <f>ISNUMBER(#REF!)</f>
        <v>0</v>
      </c>
      <c r="F30" s="374" t="b">
        <f>ISNUMBER(#REF!)</f>
        <v>0</v>
      </c>
      <c r="G30" s="374" t="b">
        <f>ISNUMBER(#REF!)</f>
        <v>0</v>
      </c>
      <c r="H30" s="374" t="b">
        <f>ISNUMBER(#REF!)</f>
        <v>0</v>
      </c>
      <c r="I30" s="374" t="b">
        <f>ISNUMBER(#REF!)</f>
        <v>0</v>
      </c>
      <c r="J30" s="374" t="b">
        <f>ISNUMBER(#REF!)</f>
        <v>0</v>
      </c>
      <c r="K30" s="374" t="b">
        <f t="shared" si="1"/>
        <v>1</v>
      </c>
      <c r="L30" s="374" t="b">
        <f>ISNUMBER(#REF!)</f>
        <v>0</v>
      </c>
      <c r="M30" s="374" t="b">
        <f>ISNUMBER(#REF!)</f>
        <v>0</v>
      </c>
      <c r="N30" s="374" t="b">
        <f>ISNUMBER(#REF!)</f>
        <v>0</v>
      </c>
      <c r="O30" s="374" t="b">
        <f>ISNUMBER(#REF!)</f>
        <v>0</v>
      </c>
      <c r="P30" s="374" t="b">
        <f>ISNUMBER(#REF!)</f>
        <v>0</v>
      </c>
      <c r="Q30" s="966" t="str">
        <f t="shared" si="2"/>
        <v/>
      </c>
    </row>
    <row r="31" spans="1:17" s="374" customFormat="1" ht="21" customHeight="1">
      <c r="A31" s="993">
        <f t="shared" si="3"/>
        <v>44898.864583333336</v>
      </c>
      <c r="B31" s="373" t="s">
        <v>322</v>
      </c>
      <c r="C31" s="894">
        <f t="shared" si="0"/>
        <v>42</v>
      </c>
      <c r="E31" s="374" t="b">
        <f>ISNUMBER(#REF!)</f>
        <v>0</v>
      </c>
      <c r="F31" s="374" t="b">
        <f>ISNUMBER(#REF!)</f>
        <v>0</v>
      </c>
      <c r="G31" s="374" t="b">
        <f>ISNUMBER(#REF!)</f>
        <v>0</v>
      </c>
      <c r="H31" s="374" t="b">
        <f>ISNUMBER(#REF!)</f>
        <v>0</v>
      </c>
      <c r="I31" s="374" t="b">
        <f>ISNUMBER(#REF!)</f>
        <v>0</v>
      </c>
      <c r="J31" s="374" t="b">
        <f>ISNUMBER(#REF!)</f>
        <v>0</v>
      </c>
      <c r="K31" s="374" t="b">
        <f t="shared" si="1"/>
        <v>1</v>
      </c>
      <c r="L31" s="374" t="b">
        <f>ISNUMBER(#REF!)</f>
        <v>0</v>
      </c>
      <c r="M31" s="374" t="b">
        <f>ISNUMBER(#REF!)</f>
        <v>0</v>
      </c>
      <c r="N31" s="374" t="b">
        <f>ISNUMBER(#REF!)</f>
        <v>0</v>
      </c>
      <c r="O31" s="374" t="b">
        <f>ISNUMBER(#REF!)</f>
        <v>0</v>
      </c>
      <c r="P31" s="374" t="b">
        <f>ISNUMBER(#REF!)</f>
        <v>0</v>
      </c>
      <c r="Q31" s="966" t="str">
        <f t="shared" si="2"/>
        <v/>
      </c>
    </row>
    <row r="32" spans="1:17" s="374" customFormat="1" ht="21" customHeight="1">
      <c r="A32" s="993">
        <f t="shared" si="3"/>
        <v>44898.864583333336</v>
      </c>
      <c r="B32" s="373" t="s">
        <v>323</v>
      </c>
      <c r="C32" s="894">
        <f t="shared" si="0"/>
        <v>0</v>
      </c>
      <c r="E32" s="374" t="b">
        <f>ISNUMBER(#REF!)</f>
        <v>0</v>
      </c>
      <c r="F32" s="374" t="b">
        <f>ISNUMBER(#REF!)</f>
        <v>0</v>
      </c>
      <c r="G32" s="374" t="b">
        <f>ISNUMBER(#REF!)</f>
        <v>0</v>
      </c>
      <c r="H32" s="374" t="b">
        <f>ISNUMBER(#REF!)</f>
        <v>0</v>
      </c>
      <c r="I32" s="374" t="b">
        <f>ISNUMBER(#REF!)</f>
        <v>0</v>
      </c>
      <c r="J32" s="374" t="b">
        <f>ISNUMBER(#REF!)</f>
        <v>0</v>
      </c>
      <c r="K32" s="374" t="b">
        <f t="shared" si="1"/>
        <v>1</v>
      </c>
      <c r="L32" s="374" t="b">
        <f>ISNUMBER(#REF!)</f>
        <v>0</v>
      </c>
      <c r="M32" s="374" t="b">
        <f>ISNUMBER(#REF!)</f>
        <v>0</v>
      </c>
      <c r="N32" s="374" t="b">
        <f>ISNUMBER(#REF!)</f>
        <v>0</v>
      </c>
      <c r="O32" s="374" t="b">
        <f>ISNUMBER(#REF!)</f>
        <v>0</v>
      </c>
      <c r="P32" s="374" t="b">
        <f>ISNUMBER(#REF!)</f>
        <v>0</v>
      </c>
      <c r="Q32" s="966" t="str">
        <f t="shared" si="2"/>
        <v/>
      </c>
    </row>
    <row r="33" spans="1:17" s="374" customFormat="1" ht="21" customHeight="1">
      <c r="A33" s="993">
        <f t="shared" si="3"/>
        <v>44898.864583333336</v>
      </c>
      <c r="B33" s="373" t="s">
        <v>324</v>
      </c>
      <c r="C33" s="894">
        <f t="shared" si="0"/>
        <v>0</v>
      </c>
      <c r="E33" s="374" t="b">
        <f>ISNUMBER(#REF!)</f>
        <v>0</v>
      </c>
      <c r="F33" s="374" t="b">
        <f>ISNUMBER(#REF!)</f>
        <v>0</v>
      </c>
      <c r="G33" s="374" t="b">
        <f>ISNUMBER(#REF!)</f>
        <v>0</v>
      </c>
      <c r="H33" s="374" t="b">
        <f>ISNUMBER(#REF!)</f>
        <v>0</v>
      </c>
      <c r="I33" s="374" t="b">
        <f>ISNUMBER(#REF!)</f>
        <v>0</v>
      </c>
      <c r="J33" s="374" t="b">
        <f>ISNUMBER(#REF!)</f>
        <v>0</v>
      </c>
      <c r="K33" s="374" t="b">
        <f t="shared" si="1"/>
        <v>1</v>
      </c>
      <c r="L33" s="374" t="b">
        <f>ISNUMBER(#REF!)</f>
        <v>0</v>
      </c>
      <c r="M33" s="374" t="b">
        <f>ISNUMBER(#REF!)</f>
        <v>0</v>
      </c>
      <c r="N33" s="374" t="b">
        <f>ISNUMBER(#REF!)</f>
        <v>0</v>
      </c>
      <c r="O33" s="374" t="b">
        <f>ISNUMBER(#REF!)</f>
        <v>0</v>
      </c>
      <c r="P33" s="374" t="b">
        <f>ISNUMBER(#REF!)</f>
        <v>0</v>
      </c>
      <c r="Q33" s="966" t="str">
        <f t="shared" si="2"/>
        <v/>
      </c>
    </row>
    <row r="34" spans="1:17" s="374" customFormat="1" ht="21" customHeight="1">
      <c r="A34" s="993">
        <f t="shared" si="3"/>
        <v>44898.864583333336</v>
      </c>
      <c r="B34" s="373" t="s">
        <v>325</v>
      </c>
      <c r="C34" s="894">
        <f t="shared" si="0"/>
        <v>0</v>
      </c>
      <c r="E34" s="374" t="b">
        <f>ISNUMBER(#REF!)</f>
        <v>0</v>
      </c>
      <c r="F34" s="374" t="b">
        <f>ISNUMBER(#REF!)</f>
        <v>0</v>
      </c>
      <c r="G34" s="374" t="b">
        <f>ISNUMBER(#REF!)</f>
        <v>0</v>
      </c>
      <c r="H34" s="374" t="b">
        <f>ISNUMBER(#REF!)</f>
        <v>0</v>
      </c>
      <c r="I34" s="374" t="b">
        <f>ISNUMBER(#REF!)</f>
        <v>0</v>
      </c>
      <c r="J34" s="374" t="b">
        <f>ISNUMBER(#REF!)</f>
        <v>0</v>
      </c>
      <c r="K34" s="374" t="b">
        <f t="shared" si="1"/>
        <v>1</v>
      </c>
      <c r="L34" s="374" t="b">
        <f>ISNUMBER(#REF!)</f>
        <v>0</v>
      </c>
      <c r="M34" s="374" t="b">
        <f>ISNUMBER(#REF!)</f>
        <v>0</v>
      </c>
      <c r="N34" s="374" t="b">
        <f>ISNUMBER(#REF!)</f>
        <v>0</v>
      </c>
      <c r="O34" s="374" t="b">
        <f>ISNUMBER(#REF!)</f>
        <v>0</v>
      </c>
      <c r="P34" s="374" t="b">
        <f>ISNUMBER(#REF!)</f>
        <v>0</v>
      </c>
      <c r="Q34" s="966" t="str">
        <f t="shared" si="2"/>
        <v/>
      </c>
    </row>
    <row r="35" spans="1:17" s="374" customFormat="1" ht="21" customHeight="1">
      <c r="A35" s="993">
        <f t="shared" si="3"/>
        <v>44898.864583333336</v>
      </c>
      <c r="B35" s="373" t="s">
        <v>326</v>
      </c>
      <c r="C35" s="894">
        <f t="shared" si="0"/>
        <v>0</v>
      </c>
      <c r="E35" s="374" t="b">
        <f>ISNUMBER(#REF!)</f>
        <v>0</v>
      </c>
      <c r="F35" s="374" t="b">
        <f>ISNUMBER(#REF!)</f>
        <v>0</v>
      </c>
      <c r="G35" s="374" t="b">
        <f>ISNUMBER(#REF!)</f>
        <v>0</v>
      </c>
      <c r="H35" s="374" t="b">
        <f>ISNUMBER(#REF!)</f>
        <v>0</v>
      </c>
      <c r="I35" s="374" t="b">
        <f>ISNUMBER(#REF!)</f>
        <v>0</v>
      </c>
      <c r="J35" s="374" t="b">
        <f>ISNUMBER(#REF!)</f>
        <v>0</v>
      </c>
      <c r="K35" s="374" t="b">
        <f t="shared" si="1"/>
        <v>1</v>
      </c>
      <c r="L35" s="374" t="b">
        <f>ISNUMBER(#REF!)</f>
        <v>0</v>
      </c>
      <c r="M35" s="374" t="b">
        <f>ISNUMBER(#REF!)</f>
        <v>0</v>
      </c>
      <c r="N35" s="374" t="b">
        <f>ISNUMBER(#REF!)</f>
        <v>0</v>
      </c>
      <c r="O35" s="374" t="b">
        <f>ISNUMBER(#REF!)</f>
        <v>0</v>
      </c>
      <c r="P35" s="374" t="b">
        <f>ISNUMBER(#REF!)</f>
        <v>0</v>
      </c>
      <c r="Q35" s="966" t="str">
        <f t="shared" si="2"/>
        <v/>
      </c>
    </row>
    <row r="36" spans="1:17" s="374" customFormat="1" ht="21" customHeight="1">
      <c r="A36" s="993">
        <f t="shared" si="3"/>
        <v>44898.864583333336</v>
      </c>
      <c r="B36" s="373" t="s">
        <v>327</v>
      </c>
      <c r="C36" s="894">
        <f t="shared" si="0"/>
        <v>0</v>
      </c>
      <c r="E36" s="374" t="b">
        <f>ISNUMBER(#REF!)</f>
        <v>0</v>
      </c>
      <c r="F36" s="374" t="b">
        <f>ISNUMBER(#REF!)</f>
        <v>0</v>
      </c>
      <c r="G36" s="374" t="b">
        <f>ISNUMBER(#REF!)</f>
        <v>0</v>
      </c>
      <c r="H36" s="374" t="b">
        <f>ISNUMBER(#REF!)</f>
        <v>0</v>
      </c>
      <c r="I36" s="374" t="b">
        <f>ISNUMBER(#REF!)</f>
        <v>0</v>
      </c>
      <c r="J36" s="374" t="b">
        <f>ISNUMBER(#REF!)</f>
        <v>0</v>
      </c>
      <c r="K36" s="374" t="b">
        <f t="shared" ref="K36:K67" si="4">ISNUMBER(C36)</f>
        <v>1</v>
      </c>
      <c r="L36" s="374" t="b">
        <f>ISNUMBER(#REF!)</f>
        <v>0</v>
      </c>
      <c r="M36" s="374" t="b">
        <f>ISNUMBER(#REF!)</f>
        <v>0</v>
      </c>
      <c r="N36" s="374" t="b">
        <f>ISNUMBER(#REF!)</f>
        <v>0</v>
      </c>
      <c r="O36" s="374" t="b">
        <f>ISNUMBER(#REF!)</f>
        <v>0</v>
      </c>
      <c r="P36" s="374" t="b">
        <f>ISNUMBER(#REF!)</f>
        <v>0</v>
      </c>
      <c r="Q36" s="966" t="str">
        <f t="shared" ref="Q36:Q68" si="5">IF(K36=TRUE,"",1)</f>
        <v/>
      </c>
    </row>
    <row r="37" spans="1:17" s="374" customFormat="1" ht="21" customHeight="1">
      <c r="A37" s="993">
        <f t="shared" si="3"/>
        <v>44898.864583333336</v>
      </c>
      <c r="B37" s="373" t="s">
        <v>328</v>
      </c>
      <c r="C37" s="894">
        <f t="shared" si="0"/>
        <v>0</v>
      </c>
      <c r="E37" s="374" t="b">
        <f>ISNUMBER(#REF!)</f>
        <v>0</v>
      </c>
      <c r="F37" s="374" t="b">
        <f>ISNUMBER(#REF!)</f>
        <v>0</v>
      </c>
      <c r="G37" s="374" t="b">
        <f>ISNUMBER(#REF!)</f>
        <v>0</v>
      </c>
      <c r="H37" s="374" t="b">
        <f>ISNUMBER(#REF!)</f>
        <v>0</v>
      </c>
      <c r="I37" s="374" t="b">
        <f>ISNUMBER(#REF!)</f>
        <v>0</v>
      </c>
      <c r="J37" s="374" t="b">
        <f>ISNUMBER(#REF!)</f>
        <v>0</v>
      </c>
      <c r="K37" s="374" t="b">
        <f t="shared" si="4"/>
        <v>1</v>
      </c>
      <c r="L37" s="374" t="b">
        <f>ISNUMBER(#REF!)</f>
        <v>0</v>
      </c>
      <c r="M37" s="374" t="b">
        <f>ISNUMBER(#REF!)</f>
        <v>0</v>
      </c>
      <c r="N37" s="374" t="b">
        <f>ISNUMBER(#REF!)</f>
        <v>0</v>
      </c>
      <c r="O37" s="374" t="b">
        <f>ISNUMBER(#REF!)</f>
        <v>0</v>
      </c>
      <c r="P37" s="374" t="b">
        <f>ISNUMBER(#REF!)</f>
        <v>0</v>
      </c>
      <c r="Q37" s="966" t="str">
        <f t="shared" si="5"/>
        <v/>
      </c>
    </row>
    <row r="38" spans="1:17" s="374" customFormat="1" ht="21" customHeight="1">
      <c r="A38" s="993">
        <f t="shared" si="3"/>
        <v>44898.864583333336</v>
      </c>
      <c r="B38" s="373" t="s">
        <v>329</v>
      </c>
      <c r="C38" s="894">
        <f t="shared" si="0"/>
        <v>-1.0461</v>
      </c>
      <c r="E38" s="374" t="b">
        <f>ISNUMBER(#REF!)</f>
        <v>0</v>
      </c>
      <c r="F38" s="374" t="b">
        <f>ISNUMBER(#REF!)</f>
        <v>0</v>
      </c>
      <c r="G38" s="374" t="b">
        <f>ISNUMBER(#REF!)</f>
        <v>0</v>
      </c>
      <c r="H38" s="374" t="b">
        <f>ISNUMBER(#REF!)</f>
        <v>0</v>
      </c>
      <c r="I38" s="374" t="b">
        <f>ISNUMBER(#REF!)</f>
        <v>0</v>
      </c>
      <c r="J38" s="374" t="b">
        <f>ISNUMBER(#REF!)</f>
        <v>0</v>
      </c>
      <c r="K38" s="374" t="b">
        <f t="shared" si="4"/>
        <v>1</v>
      </c>
      <c r="L38" s="374" t="b">
        <f>ISNUMBER(#REF!)</f>
        <v>0</v>
      </c>
      <c r="M38" s="374" t="b">
        <f>ISNUMBER(#REF!)</f>
        <v>0</v>
      </c>
      <c r="N38" s="374" t="b">
        <f>ISNUMBER(#REF!)</f>
        <v>0</v>
      </c>
      <c r="O38" s="374" t="b">
        <f>ISNUMBER(#REF!)</f>
        <v>0</v>
      </c>
      <c r="P38" s="374" t="b">
        <f>ISNUMBER(#REF!)</f>
        <v>0</v>
      </c>
      <c r="Q38" s="966" t="str">
        <f t="shared" si="5"/>
        <v/>
      </c>
    </row>
    <row r="39" spans="1:17" s="374" customFormat="1" ht="21" customHeight="1">
      <c r="A39" s="993">
        <f t="shared" si="3"/>
        <v>44898.864583333336</v>
      </c>
      <c r="B39" s="373" t="s">
        <v>330</v>
      </c>
      <c r="C39" s="894">
        <f t="shared" si="0"/>
        <v>0</v>
      </c>
      <c r="E39" s="374" t="b">
        <f>ISNUMBER(#REF!)</f>
        <v>0</v>
      </c>
      <c r="F39" s="374" t="b">
        <f>ISNUMBER(#REF!)</f>
        <v>0</v>
      </c>
      <c r="G39" s="374" t="b">
        <f>ISNUMBER(#REF!)</f>
        <v>0</v>
      </c>
      <c r="H39" s="374" t="b">
        <f>ISNUMBER(#REF!)</f>
        <v>0</v>
      </c>
      <c r="I39" s="374" t="b">
        <f>ISNUMBER(#REF!)</f>
        <v>0</v>
      </c>
      <c r="J39" s="374" t="b">
        <f>ISNUMBER(#REF!)</f>
        <v>0</v>
      </c>
      <c r="K39" s="374" t="b">
        <f t="shared" si="4"/>
        <v>1</v>
      </c>
      <c r="L39" s="374" t="b">
        <f>ISNUMBER(#REF!)</f>
        <v>0</v>
      </c>
      <c r="M39" s="374" t="b">
        <f>ISNUMBER(#REF!)</f>
        <v>0</v>
      </c>
      <c r="N39" s="374" t="b">
        <f>ISNUMBER(#REF!)</f>
        <v>0</v>
      </c>
      <c r="O39" s="374" t="b">
        <f>ISNUMBER(#REF!)</f>
        <v>0</v>
      </c>
      <c r="P39" s="374" t="b">
        <f>ISNUMBER(#REF!)</f>
        <v>0</v>
      </c>
      <c r="Q39" s="966" t="str">
        <f t="shared" si="5"/>
        <v/>
      </c>
    </row>
    <row r="40" spans="1:17" s="374" customFormat="1" ht="21" customHeight="1">
      <c r="A40" s="993">
        <f t="shared" si="3"/>
        <v>44898.864583333336</v>
      </c>
      <c r="B40" s="373" t="s">
        <v>331</v>
      </c>
      <c r="C40" s="894">
        <f t="shared" si="0"/>
        <v>0</v>
      </c>
      <c r="E40" s="374" t="b">
        <f>ISNUMBER(#REF!)</f>
        <v>0</v>
      </c>
      <c r="F40" s="374" t="b">
        <f>ISNUMBER(#REF!)</f>
        <v>0</v>
      </c>
      <c r="G40" s="374" t="b">
        <f>ISNUMBER(#REF!)</f>
        <v>0</v>
      </c>
      <c r="H40" s="374" t="b">
        <f>ISNUMBER(#REF!)</f>
        <v>0</v>
      </c>
      <c r="I40" s="374" t="b">
        <f>ISNUMBER(#REF!)</f>
        <v>0</v>
      </c>
      <c r="J40" s="374" t="b">
        <f>ISNUMBER(#REF!)</f>
        <v>0</v>
      </c>
      <c r="K40" s="374" t="b">
        <f t="shared" si="4"/>
        <v>1</v>
      </c>
      <c r="L40" s="374" t="b">
        <f>ISNUMBER(#REF!)</f>
        <v>0</v>
      </c>
      <c r="M40" s="374" t="b">
        <f>ISNUMBER(#REF!)</f>
        <v>0</v>
      </c>
      <c r="N40" s="374" t="b">
        <f>ISNUMBER(#REF!)</f>
        <v>0</v>
      </c>
      <c r="O40" s="374" t="b">
        <f>ISNUMBER(#REF!)</f>
        <v>0</v>
      </c>
      <c r="P40" s="374" t="b">
        <f>ISNUMBER(#REF!)</f>
        <v>0</v>
      </c>
      <c r="Q40" s="966" t="str">
        <f t="shared" si="5"/>
        <v/>
      </c>
    </row>
    <row r="41" spans="1:17" s="374" customFormat="1" ht="21" customHeight="1">
      <c r="A41" s="993">
        <f t="shared" si="3"/>
        <v>44898.864583333336</v>
      </c>
      <c r="B41" s="373" t="s">
        <v>332</v>
      </c>
      <c r="C41" s="894">
        <f t="shared" si="0"/>
        <v>0</v>
      </c>
      <c r="E41" s="374" t="b">
        <f>ISNUMBER(#REF!)</f>
        <v>0</v>
      </c>
      <c r="F41" s="374" t="b">
        <f>ISNUMBER(#REF!)</f>
        <v>0</v>
      </c>
      <c r="G41" s="374" t="b">
        <f>ISNUMBER(#REF!)</f>
        <v>0</v>
      </c>
      <c r="H41" s="374" t="b">
        <f>ISNUMBER(#REF!)</f>
        <v>0</v>
      </c>
      <c r="I41" s="374" t="b">
        <f>ISNUMBER(#REF!)</f>
        <v>0</v>
      </c>
      <c r="J41" s="374" t="b">
        <f>ISNUMBER(#REF!)</f>
        <v>0</v>
      </c>
      <c r="K41" s="374" t="b">
        <f t="shared" si="4"/>
        <v>1</v>
      </c>
      <c r="L41" s="374" t="b">
        <f>ISNUMBER(#REF!)</f>
        <v>0</v>
      </c>
      <c r="M41" s="374" t="b">
        <f>ISNUMBER(#REF!)</f>
        <v>0</v>
      </c>
      <c r="N41" s="374" t="b">
        <f>ISNUMBER(#REF!)</f>
        <v>0</v>
      </c>
      <c r="O41" s="374" t="b">
        <f>ISNUMBER(#REF!)</f>
        <v>0</v>
      </c>
      <c r="P41" s="374" t="b">
        <f>ISNUMBER(#REF!)</f>
        <v>0</v>
      </c>
      <c r="Q41" s="966" t="str">
        <f t="shared" si="5"/>
        <v/>
      </c>
    </row>
    <row r="42" spans="1:17" s="374" customFormat="1" ht="21" customHeight="1">
      <c r="A42" s="993">
        <f t="shared" si="3"/>
        <v>44898.864583333336</v>
      </c>
      <c r="B42" s="373" t="s">
        <v>333</v>
      </c>
      <c r="C42" s="894">
        <f t="shared" si="0"/>
        <v>0</v>
      </c>
      <c r="E42" s="374" t="b">
        <f>ISNUMBER(#REF!)</f>
        <v>0</v>
      </c>
      <c r="F42" s="374" t="b">
        <f>ISNUMBER(#REF!)</f>
        <v>0</v>
      </c>
      <c r="G42" s="374" t="b">
        <f>ISNUMBER(#REF!)</f>
        <v>0</v>
      </c>
      <c r="H42" s="374" t="b">
        <f>ISNUMBER(#REF!)</f>
        <v>0</v>
      </c>
      <c r="I42" s="374" t="b">
        <f>ISNUMBER(#REF!)</f>
        <v>0</v>
      </c>
      <c r="J42" s="374" t="b">
        <f>ISNUMBER(#REF!)</f>
        <v>0</v>
      </c>
      <c r="K42" s="374" t="b">
        <f t="shared" si="4"/>
        <v>1</v>
      </c>
      <c r="L42" s="374" t="b">
        <f>ISNUMBER(#REF!)</f>
        <v>0</v>
      </c>
      <c r="M42" s="374" t="b">
        <f>ISNUMBER(#REF!)</f>
        <v>0</v>
      </c>
      <c r="N42" s="374" t="b">
        <f>ISNUMBER(#REF!)</f>
        <v>0</v>
      </c>
      <c r="O42" s="374" t="b">
        <f>ISNUMBER(#REF!)</f>
        <v>0</v>
      </c>
      <c r="P42" s="374" t="b">
        <f>ISNUMBER(#REF!)</f>
        <v>0</v>
      </c>
      <c r="Q42" s="966" t="str">
        <f t="shared" si="5"/>
        <v/>
      </c>
    </row>
    <row r="43" spans="1:17" s="374" customFormat="1" ht="21" customHeight="1">
      <c r="A43" s="993">
        <f t="shared" si="3"/>
        <v>44898.864583333336</v>
      </c>
      <c r="B43" s="373" t="s">
        <v>334</v>
      </c>
      <c r="C43" s="894">
        <f t="shared" si="0"/>
        <v>0</v>
      </c>
      <c r="E43" s="374" t="b">
        <f>ISNUMBER(#REF!)</f>
        <v>0</v>
      </c>
      <c r="F43" s="374" t="b">
        <f>ISNUMBER(#REF!)</f>
        <v>0</v>
      </c>
      <c r="G43" s="374" t="b">
        <f>ISNUMBER(#REF!)</f>
        <v>0</v>
      </c>
      <c r="H43" s="374" t="b">
        <f>ISNUMBER(#REF!)</f>
        <v>0</v>
      </c>
      <c r="I43" s="374" t="b">
        <f>ISNUMBER(#REF!)</f>
        <v>0</v>
      </c>
      <c r="J43" s="374" t="b">
        <f>ISNUMBER(#REF!)</f>
        <v>0</v>
      </c>
      <c r="K43" s="374" t="b">
        <f t="shared" si="4"/>
        <v>1</v>
      </c>
      <c r="L43" s="374" t="b">
        <f>ISNUMBER(#REF!)</f>
        <v>0</v>
      </c>
      <c r="M43" s="374" t="b">
        <f>ISNUMBER(#REF!)</f>
        <v>0</v>
      </c>
      <c r="N43" s="374" t="b">
        <f>ISNUMBER(#REF!)</f>
        <v>0</v>
      </c>
      <c r="O43" s="374" t="b">
        <f>ISNUMBER(#REF!)</f>
        <v>0</v>
      </c>
      <c r="P43" s="374" t="b">
        <f>ISNUMBER(#REF!)</f>
        <v>0</v>
      </c>
      <c r="Q43" s="966" t="str">
        <f t="shared" si="5"/>
        <v/>
      </c>
    </row>
    <row r="44" spans="1:17" s="374" customFormat="1" ht="21" customHeight="1">
      <c r="A44" s="993">
        <f t="shared" si="3"/>
        <v>44898.864583333336</v>
      </c>
      <c r="B44" s="373" t="s">
        <v>344</v>
      </c>
      <c r="C44" s="894">
        <f t="shared" si="0"/>
        <v>0</v>
      </c>
      <c r="E44" s="374" t="b">
        <f>ISNUMBER(#REF!)</f>
        <v>0</v>
      </c>
      <c r="F44" s="374" t="b">
        <f>ISNUMBER(#REF!)</f>
        <v>0</v>
      </c>
      <c r="G44" s="374" t="b">
        <f>ISNUMBER(#REF!)</f>
        <v>0</v>
      </c>
      <c r="H44" s="374" t="b">
        <f>ISNUMBER(#REF!)</f>
        <v>0</v>
      </c>
      <c r="I44" s="374" t="b">
        <f>ISNUMBER(#REF!)</f>
        <v>0</v>
      </c>
      <c r="J44" s="374" t="b">
        <f>ISNUMBER(#REF!)</f>
        <v>0</v>
      </c>
      <c r="K44" s="374" t="b">
        <f t="shared" si="4"/>
        <v>1</v>
      </c>
      <c r="L44" s="374" t="b">
        <f>ISNUMBER(#REF!)</f>
        <v>0</v>
      </c>
      <c r="M44" s="374" t="b">
        <f>ISNUMBER(#REF!)</f>
        <v>0</v>
      </c>
      <c r="N44" s="374" t="b">
        <f>ISNUMBER(#REF!)</f>
        <v>0</v>
      </c>
      <c r="O44" s="374" t="b">
        <f>ISNUMBER(#REF!)</f>
        <v>0</v>
      </c>
      <c r="P44" s="374" t="b">
        <f>ISNUMBER(#REF!)</f>
        <v>0</v>
      </c>
      <c r="Q44" s="966" t="str">
        <f t="shared" si="5"/>
        <v/>
      </c>
    </row>
    <row r="45" spans="1:17" s="374" customFormat="1" ht="21" customHeight="1">
      <c r="A45" s="993">
        <f t="shared" si="3"/>
        <v>44898.864583333336</v>
      </c>
      <c r="B45" s="373" t="s">
        <v>345</v>
      </c>
      <c r="C45" s="894">
        <f t="shared" si="0"/>
        <v>0</v>
      </c>
      <c r="E45" s="374" t="b">
        <f>ISNUMBER(#REF!)</f>
        <v>0</v>
      </c>
      <c r="F45" s="374" t="b">
        <f>ISNUMBER(#REF!)</f>
        <v>0</v>
      </c>
      <c r="G45" s="374" t="b">
        <f>ISNUMBER(#REF!)</f>
        <v>0</v>
      </c>
      <c r="H45" s="374" t="b">
        <f>ISNUMBER(#REF!)</f>
        <v>0</v>
      </c>
      <c r="I45" s="374" t="b">
        <f>ISNUMBER(#REF!)</f>
        <v>0</v>
      </c>
      <c r="J45" s="374" t="b">
        <f>ISNUMBER(#REF!)</f>
        <v>0</v>
      </c>
      <c r="K45" s="374" t="b">
        <f t="shared" si="4"/>
        <v>1</v>
      </c>
      <c r="L45" s="374" t="b">
        <f>ISNUMBER(#REF!)</f>
        <v>0</v>
      </c>
      <c r="M45" s="374" t="b">
        <f>ISNUMBER(#REF!)</f>
        <v>0</v>
      </c>
      <c r="N45" s="374" t="b">
        <f>ISNUMBER(#REF!)</f>
        <v>0</v>
      </c>
      <c r="O45" s="374" t="b">
        <f>ISNUMBER(#REF!)</f>
        <v>0</v>
      </c>
      <c r="P45" s="374" t="b">
        <f>ISNUMBER(#REF!)</f>
        <v>0</v>
      </c>
      <c r="Q45" s="966" t="str">
        <f t="shared" si="5"/>
        <v/>
      </c>
    </row>
    <row r="46" spans="1:17" s="903" customFormat="1" ht="21" customHeight="1">
      <c r="A46" s="993">
        <f t="shared" si="3"/>
        <v>44898.864583333336</v>
      </c>
      <c r="B46" s="902" t="s">
        <v>468</v>
      </c>
      <c r="C46" s="889">
        <f t="shared" ref="C46:C83" si="6">IFERROR(VLOOKUP($B46,RLMLXD,26,0),"")</f>
        <v>0</v>
      </c>
      <c r="E46" s="904" t="b">
        <f>ISNUMBER(#REF!)</f>
        <v>0</v>
      </c>
      <c r="F46" s="904" t="b">
        <f>ISNUMBER(#REF!)</f>
        <v>0</v>
      </c>
      <c r="G46" s="904" t="b">
        <f>ISNUMBER(#REF!)</f>
        <v>0</v>
      </c>
      <c r="H46" s="904" t="b">
        <f>ISNUMBER(#REF!)</f>
        <v>0</v>
      </c>
      <c r="I46" s="904" t="b">
        <f>ISNUMBER(#REF!)</f>
        <v>0</v>
      </c>
      <c r="J46" s="904" t="b">
        <f>ISNUMBER(#REF!)</f>
        <v>0</v>
      </c>
      <c r="K46" s="904" t="b">
        <f t="shared" si="4"/>
        <v>1</v>
      </c>
      <c r="L46" s="904" t="b">
        <f>ISNUMBER(#REF!)</f>
        <v>0</v>
      </c>
      <c r="M46" s="904" t="b">
        <f>ISNUMBER(#REF!)</f>
        <v>0</v>
      </c>
      <c r="N46" s="904" t="b">
        <f>ISNUMBER(#REF!)</f>
        <v>0</v>
      </c>
      <c r="O46" s="904" t="b">
        <f>ISNUMBER(#REF!)</f>
        <v>0</v>
      </c>
      <c r="P46" s="904" t="b">
        <f>ISNUMBER(#REF!)</f>
        <v>0</v>
      </c>
      <c r="Q46" s="855" t="str">
        <f t="shared" si="5"/>
        <v/>
      </c>
    </row>
    <row r="47" spans="1:17" ht="21" customHeight="1">
      <c r="A47" s="993">
        <f t="shared" si="3"/>
        <v>44898.864583333336</v>
      </c>
      <c r="B47" s="373" t="s">
        <v>472</v>
      </c>
      <c r="C47" s="894">
        <f t="shared" si="6"/>
        <v>0</v>
      </c>
      <c r="E47" s="374" t="b">
        <f>ISNUMBER(#REF!)</f>
        <v>0</v>
      </c>
      <c r="F47" s="374" t="b">
        <f>ISNUMBER(#REF!)</f>
        <v>0</v>
      </c>
      <c r="G47" s="374" t="b">
        <f>ISNUMBER(#REF!)</f>
        <v>0</v>
      </c>
      <c r="H47" s="374" t="b">
        <f>ISNUMBER(#REF!)</f>
        <v>0</v>
      </c>
      <c r="I47" s="374" t="b">
        <f>ISNUMBER(#REF!)</f>
        <v>0</v>
      </c>
      <c r="J47" s="374" t="b">
        <f>ISNUMBER(#REF!)</f>
        <v>0</v>
      </c>
      <c r="K47" s="374" t="b">
        <f t="shared" si="4"/>
        <v>1</v>
      </c>
      <c r="L47" s="374" t="b">
        <f>ISNUMBER(#REF!)</f>
        <v>0</v>
      </c>
      <c r="M47" s="374" t="b">
        <f>ISNUMBER(#REF!)</f>
        <v>0</v>
      </c>
      <c r="N47" s="374" t="b">
        <f>ISNUMBER(#REF!)</f>
        <v>0</v>
      </c>
      <c r="O47" s="374" t="b">
        <f>ISNUMBER(#REF!)</f>
        <v>0</v>
      </c>
      <c r="P47" s="374" t="b">
        <f>ISNUMBER(#REF!)</f>
        <v>0</v>
      </c>
      <c r="Q47" s="966" t="str">
        <f t="shared" si="5"/>
        <v/>
      </c>
    </row>
    <row r="48" spans="1:17" ht="21" customHeight="1">
      <c r="A48" s="993">
        <f t="shared" si="3"/>
        <v>44898.864583333336</v>
      </c>
      <c r="B48" s="373" t="s">
        <v>473</v>
      </c>
      <c r="C48" s="894">
        <f t="shared" si="6"/>
        <v>0</v>
      </c>
      <c r="E48" s="374" t="b">
        <f>ISNUMBER(#REF!)</f>
        <v>0</v>
      </c>
      <c r="F48" s="374" t="b">
        <f>ISNUMBER(#REF!)</f>
        <v>0</v>
      </c>
      <c r="G48" s="374" t="b">
        <f>ISNUMBER(#REF!)</f>
        <v>0</v>
      </c>
      <c r="H48" s="374" t="b">
        <f>ISNUMBER(#REF!)</f>
        <v>0</v>
      </c>
      <c r="I48" s="374" t="b">
        <f>ISNUMBER(#REF!)</f>
        <v>0</v>
      </c>
      <c r="J48" s="374" t="b">
        <f>ISNUMBER(#REF!)</f>
        <v>0</v>
      </c>
      <c r="K48" s="374" t="b">
        <f t="shared" si="4"/>
        <v>1</v>
      </c>
      <c r="L48" s="374" t="b">
        <f>ISNUMBER(#REF!)</f>
        <v>0</v>
      </c>
      <c r="M48" s="374" t="b">
        <f>ISNUMBER(#REF!)</f>
        <v>0</v>
      </c>
      <c r="N48" s="374" t="b">
        <f>ISNUMBER(#REF!)</f>
        <v>0</v>
      </c>
      <c r="O48" s="374" t="b">
        <f>ISNUMBER(#REF!)</f>
        <v>0</v>
      </c>
      <c r="P48" s="374" t="b">
        <f>ISNUMBER(#REF!)</f>
        <v>0</v>
      </c>
      <c r="Q48" s="966" t="str">
        <f t="shared" si="5"/>
        <v/>
      </c>
    </row>
    <row r="49" spans="1:17" ht="21" customHeight="1">
      <c r="A49" s="993">
        <f t="shared" si="3"/>
        <v>44898.864583333336</v>
      </c>
      <c r="B49" s="373" t="s">
        <v>476</v>
      </c>
      <c r="C49" s="894">
        <f t="shared" si="6"/>
        <v>0</v>
      </c>
      <c r="E49" s="374" t="b">
        <f>ISNUMBER(#REF!)</f>
        <v>0</v>
      </c>
      <c r="F49" s="374" t="b">
        <f>ISNUMBER(#REF!)</f>
        <v>0</v>
      </c>
      <c r="G49" s="374" t="b">
        <f>ISNUMBER(#REF!)</f>
        <v>0</v>
      </c>
      <c r="H49" s="374" t="b">
        <f>ISNUMBER(#REF!)</f>
        <v>0</v>
      </c>
      <c r="I49" s="374" t="b">
        <f>ISNUMBER(#REF!)</f>
        <v>0</v>
      </c>
      <c r="J49" s="374" t="b">
        <f>ISNUMBER(#REF!)</f>
        <v>0</v>
      </c>
      <c r="K49" s="374" t="b">
        <f t="shared" si="4"/>
        <v>1</v>
      </c>
      <c r="L49" s="374" t="b">
        <f>ISNUMBER(#REF!)</f>
        <v>0</v>
      </c>
      <c r="M49" s="374" t="b">
        <f>ISNUMBER(#REF!)</f>
        <v>0</v>
      </c>
      <c r="N49" s="374" t="b">
        <f>ISNUMBER(#REF!)</f>
        <v>0</v>
      </c>
      <c r="O49" s="374" t="b">
        <f>ISNUMBER(#REF!)</f>
        <v>0</v>
      </c>
      <c r="P49" s="374" t="b">
        <f>ISNUMBER(#REF!)</f>
        <v>0</v>
      </c>
      <c r="Q49" s="966" t="str">
        <f t="shared" si="5"/>
        <v/>
      </c>
    </row>
    <row r="50" spans="1:17" ht="21" customHeight="1">
      <c r="A50" s="993">
        <f t="shared" si="3"/>
        <v>44898.864583333336</v>
      </c>
      <c r="B50" s="373" t="s">
        <v>477</v>
      </c>
      <c r="C50" s="894">
        <f t="shared" si="6"/>
        <v>0</v>
      </c>
      <c r="E50" s="374" t="b">
        <f>ISNUMBER(#REF!)</f>
        <v>0</v>
      </c>
      <c r="F50" s="374" t="b">
        <f>ISNUMBER(#REF!)</f>
        <v>0</v>
      </c>
      <c r="G50" s="374" t="b">
        <f>ISNUMBER(#REF!)</f>
        <v>0</v>
      </c>
      <c r="H50" s="374" t="b">
        <f>ISNUMBER(#REF!)</f>
        <v>0</v>
      </c>
      <c r="I50" s="374" t="b">
        <f>ISNUMBER(#REF!)</f>
        <v>0</v>
      </c>
      <c r="J50" s="374" t="b">
        <f>ISNUMBER(#REF!)</f>
        <v>0</v>
      </c>
      <c r="K50" s="374" t="b">
        <f t="shared" si="4"/>
        <v>1</v>
      </c>
      <c r="L50" s="374" t="b">
        <f>ISNUMBER(#REF!)</f>
        <v>0</v>
      </c>
      <c r="M50" s="374" t="b">
        <f>ISNUMBER(#REF!)</f>
        <v>0</v>
      </c>
      <c r="N50" s="374" t="b">
        <f>ISNUMBER(#REF!)</f>
        <v>0</v>
      </c>
      <c r="O50" s="374" t="b">
        <f>ISNUMBER(#REF!)</f>
        <v>0</v>
      </c>
      <c r="P50" s="374" t="b">
        <f>ISNUMBER(#REF!)</f>
        <v>0</v>
      </c>
      <c r="Q50" s="966" t="str">
        <f t="shared" si="5"/>
        <v/>
      </c>
    </row>
    <row r="51" spans="1:17" ht="21" customHeight="1">
      <c r="A51" s="993">
        <f t="shared" si="3"/>
        <v>44898.864583333336</v>
      </c>
      <c r="B51" s="373" t="s">
        <v>479</v>
      </c>
      <c r="C51" s="894">
        <f t="shared" si="6"/>
        <v>0</v>
      </c>
      <c r="E51" s="374" t="b">
        <f>ISNUMBER(#REF!)</f>
        <v>0</v>
      </c>
      <c r="F51" s="374" t="b">
        <f>ISNUMBER(#REF!)</f>
        <v>0</v>
      </c>
      <c r="G51" s="374" t="b">
        <f>ISNUMBER(#REF!)</f>
        <v>0</v>
      </c>
      <c r="H51" s="374" t="b">
        <f>ISNUMBER(#REF!)</f>
        <v>0</v>
      </c>
      <c r="I51" s="374" t="b">
        <f>ISNUMBER(#REF!)</f>
        <v>0</v>
      </c>
      <c r="J51" s="374" t="b">
        <f>ISNUMBER(#REF!)</f>
        <v>0</v>
      </c>
      <c r="K51" s="374" t="b">
        <f t="shared" si="4"/>
        <v>1</v>
      </c>
      <c r="L51" s="374" t="b">
        <f>ISNUMBER(#REF!)</f>
        <v>0</v>
      </c>
      <c r="M51" s="374" t="b">
        <f>ISNUMBER(#REF!)</f>
        <v>0</v>
      </c>
      <c r="N51" s="374" t="b">
        <f>ISNUMBER(#REF!)</f>
        <v>0</v>
      </c>
      <c r="O51" s="374" t="b">
        <f>ISNUMBER(#REF!)</f>
        <v>0</v>
      </c>
      <c r="P51" s="374" t="b">
        <f>ISNUMBER(#REF!)</f>
        <v>0</v>
      </c>
      <c r="Q51" s="966" t="str">
        <f t="shared" si="5"/>
        <v/>
      </c>
    </row>
    <row r="52" spans="1:17" ht="21" customHeight="1">
      <c r="A52" s="993">
        <f t="shared" si="3"/>
        <v>44898.864583333336</v>
      </c>
      <c r="B52" s="373" t="s">
        <v>481</v>
      </c>
      <c r="C52" s="894">
        <f t="shared" si="6"/>
        <v>0</v>
      </c>
      <c r="E52" s="374" t="b">
        <f>ISNUMBER(#REF!)</f>
        <v>0</v>
      </c>
      <c r="F52" s="374" t="b">
        <f>ISNUMBER(#REF!)</f>
        <v>0</v>
      </c>
      <c r="G52" s="374" t="b">
        <f>ISNUMBER(#REF!)</f>
        <v>0</v>
      </c>
      <c r="H52" s="374" t="b">
        <f>ISNUMBER(#REF!)</f>
        <v>0</v>
      </c>
      <c r="I52" s="374" t="b">
        <f>ISNUMBER(#REF!)</f>
        <v>0</v>
      </c>
      <c r="J52" s="374" t="b">
        <f>ISNUMBER(#REF!)</f>
        <v>0</v>
      </c>
      <c r="K52" s="374" t="b">
        <f t="shared" si="4"/>
        <v>1</v>
      </c>
      <c r="L52" s="374" t="b">
        <f>ISNUMBER(#REF!)</f>
        <v>0</v>
      </c>
      <c r="M52" s="374" t="b">
        <f>ISNUMBER(#REF!)</f>
        <v>0</v>
      </c>
      <c r="N52" s="374" t="b">
        <f>ISNUMBER(#REF!)</f>
        <v>0</v>
      </c>
      <c r="O52" s="374" t="b">
        <f>ISNUMBER(#REF!)</f>
        <v>0</v>
      </c>
      <c r="P52" s="374" t="b">
        <f>ISNUMBER(#REF!)</f>
        <v>0</v>
      </c>
      <c r="Q52" s="966" t="str">
        <f t="shared" si="5"/>
        <v/>
      </c>
    </row>
    <row r="53" spans="1:17" ht="21" customHeight="1">
      <c r="A53" s="993">
        <f t="shared" si="3"/>
        <v>44898.864583333336</v>
      </c>
      <c r="B53" s="373" t="s">
        <v>482</v>
      </c>
      <c r="C53" s="894">
        <f t="shared" si="6"/>
        <v>0</v>
      </c>
      <c r="E53" s="374" t="b">
        <f>ISNUMBER(#REF!)</f>
        <v>0</v>
      </c>
      <c r="F53" s="374" t="b">
        <f>ISNUMBER(#REF!)</f>
        <v>0</v>
      </c>
      <c r="G53" s="374" t="b">
        <f>ISNUMBER(#REF!)</f>
        <v>0</v>
      </c>
      <c r="H53" s="374" t="b">
        <f>ISNUMBER(#REF!)</f>
        <v>0</v>
      </c>
      <c r="I53" s="374" t="b">
        <f>ISNUMBER(#REF!)</f>
        <v>0</v>
      </c>
      <c r="J53" s="374" t="b">
        <f>ISNUMBER(#REF!)</f>
        <v>0</v>
      </c>
      <c r="K53" s="374" t="b">
        <f t="shared" si="4"/>
        <v>1</v>
      </c>
      <c r="L53" s="374" t="b">
        <f>ISNUMBER(#REF!)</f>
        <v>0</v>
      </c>
      <c r="M53" s="374" t="b">
        <f>ISNUMBER(#REF!)</f>
        <v>0</v>
      </c>
      <c r="N53" s="374" t="b">
        <f>ISNUMBER(#REF!)</f>
        <v>0</v>
      </c>
      <c r="O53" s="374" t="b">
        <f>ISNUMBER(#REF!)</f>
        <v>0</v>
      </c>
      <c r="P53" s="374" t="b">
        <f>ISNUMBER(#REF!)</f>
        <v>0</v>
      </c>
      <c r="Q53" s="966" t="str">
        <f t="shared" si="5"/>
        <v/>
      </c>
    </row>
    <row r="54" spans="1:17" ht="21" customHeight="1">
      <c r="A54" s="993">
        <f t="shared" si="3"/>
        <v>44898.864583333336</v>
      </c>
      <c r="B54" s="373" t="s">
        <v>483</v>
      </c>
      <c r="C54" s="894">
        <f t="shared" si="6"/>
        <v>0</v>
      </c>
      <c r="E54" s="374" t="b">
        <f>ISNUMBER(#REF!)</f>
        <v>0</v>
      </c>
      <c r="F54" s="374" t="b">
        <f>ISNUMBER(#REF!)</f>
        <v>0</v>
      </c>
      <c r="G54" s="374" t="b">
        <f>ISNUMBER(#REF!)</f>
        <v>0</v>
      </c>
      <c r="H54" s="374" t="b">
        <f>ISNUMBER(#REF!)</f>
        <v>0</v>
      </c>
      <c r="I54" s="374" t="b">
        <f>ISNUMBER(#REF!)</f>
        <v>0</v>
      </c>
      <c r="J54" s="374" t="b">
        <f>ISNUMBER(#REF!)</f>
        <v>0</v>
      </c>
      <c r="K54" s="374" t="b">
        <f t="shared" si="4"/>
        <v>1</v>
      </c>
      <c r="L54" s="374" t="b">
        <f>ISNUMBER(#REF!)</f>
        <v>0</v>
      </c>
      <c r="M54" s="374" t="b">
        <f>ISNUMBER(#REF!)</f>
        <v>0</v>
      </c>
      <c r="N54" s="374" t="b">
        <f>ISNUMBER(#REF!)</f>
        <v>0</v>
      </c>
      <c r="O54" s="374" t="b">
        <f>ISNUMBER(#REF!)</f>
        <v>0</v>
      </c>
      <c r="P54" s="374" t="b">
        <f>ISNUMBER(#REF!)</f>
        <v>0</v>
      </c>
      <c r="Q54" s="966" t="str">
        <f t="shared" si="5"/>
        <v/>
      </c>
    </row>
    <row r="55" spans="1:17" ht="21" customHeight="1">
      <c r="A55" s="993">
        <f t="shared" si="3"/>
        <v>44898.864583333336</v>
      </c>
      <c r="B55" s="373" t="s">
        <v>486</v>
      </c>
      <c r="C55" s="894">
        <f t="shared" si="6"/>
        <v>0</v>
      </c>
      <c r="E55" s="374" t="b">
        <f>ISNUMBER(#REF!)</f>
        <v>0</v>
      </c>
      <c r="F55" s="374" t="b">
        <f>ISNUMBER(#REF!)</f>
        <v>0</v>
      </c>
      <c r="G55" s="374" t="b">
        <f>ISNUMBER(#REF!)</f>
        <v>0</v>
      </c>
      <c r="H55" s="374" t="b">
        <f>ISNUMBER(#REF!)</f>
        <v>0</v>
      </c>
      <c r="I55" s="374" t="b">
        <f>ISNUMBER(#REF!)</f>
        <v>0</v>
      </c>
      <c r="J55" s="374" t="b">
        <f>ISNUMBER(#REF!)</f>
        <v>0</v>
      </c>
      <c r="K55" s="374" t="b">
        <f t="shared" si="4"/>
        <v>1</v>
      </c>
      <c r="L55" s="374" t="b">
        <f>ISNUMBER(#REF!)</f>
        <v>0</v>
      </c>
      <c r="M55" s="374" t="b">
        <f>ISNUMBER(#REF!)</f>
        <v>0</v>
      </c>
      <c r="N55" s="374" t="b">
        <f>ISNUMBER(#REF!)</f>
        <v>0</v>
      </c>
      <c r="O55" s="374" t="b">
        <f>ISNUMBER(#REF!)</f>
        <v>0</v>
      </c>
      <c r="P55" s="374" t="b">
        <f>ISNUMBER(#REF!)</f>
        <v>0</v>
      </c>
      <c r="Q55" s="966" t="str">
        <f t="shared" si="5"/>
        <v/>
      </c>
    </row>
    <row r="56" spans="1:17" ht="21" customHeight="1">
      <c r="A56" s="993">
        <f t="shared" si="3"/>
        <v>44898.864583333336</v>
      </c>
      <c r="B56" s="373" t="s">
        <v>1000</v>
      </c>
      <c r="C56" s="894">
        <f t="shared" si="6"/>
        <v>0</v>
      </c>
      <c r="E56" s="374" t="b">
        <f>ISNUMBER(#REF!)</f>
        <v>0</v>
      </c>
      <c r="F56" s="374" t="b">
        <f>ISNUMBER(#REF!)</f>
        <v>0</v>
      </c>
      <c r="G56" s="374" t="b">
        <f>ISNUMBER(#REF!)</f>
        <v>0</v>
      </c>
      <c r="H56" s="374" t="b">
        <f>ISNUMBER(#REF!)</f>
        <v>0</v>
      </c>
      <c r="I56" s="374" t="b">
        <f>ISNUMBER(#REF!)</f>
        <v>0</v>
      </c>
      <c r="J56" s="374" t="b">
        <f>ISNUMBER(#REF!)</f>
        <v>0</v>
      </c>
      <c r="K56" s="374" t="b">
        <f t="shared" si="4"/>
        <v>1</v>
      </c>
      <c r="L56" s="374" t="b">
        <f>ISNUMBER(#REF!)</f>
        <v>0</v>
      </c>
      <c r="M56" s="374" t="b">
        <f>ISNUMBER(#REF!)</f>
        <v>0</v>
      </c>
      <c r="N56" s="374" t="b">
        <f>ISNUMBER(#REF!)</f>
        <v>0</v>
      </c>
      <c r="O56" s="374" t="b">
        <f>ISNUMBER(#REF!)</f>
        <v>0</v>
      </c>
      <c r="P56" s="374" t="b">
        <f>ISNUMBER(#REF!)</f>
        <v>0</v>
      </c>
      <c r="Q56" s="966" t="str">
        <f t="shared" si="5"/>
        <v/>
      </c>
    </row>
    <row r="57" spans="1:17" ht="21" customHeight="1">
      <c r="A57" s="993">
        <f t="shared" si="3"/>
        <v>44898.864583333336</v>
      </c>
      <c r="B57" s="373" t="s">
        <v>1001</v>
      </c>
      <c r="C57" s="894">
        <f t="shared" si="6"/>
        <v>0</v>
      </c>
      <c r="E57" s="374" t="b">
        <f>ISNUMBER(#REF!)</f>
        <v>0</v>
      </c>
      <c r="F57" s="374" t="b">
        <f>ISNUMBER(#REF!)</f>
        <v>0</v>
      </c>
      <c r="G57" s="374" t="b">
        <f>ISNUMBER(#REF!)</f>
        <v>0</v>
      </c>
      <c r="H57" s="374" t="b">
        <f>ISNUMBER(#REF!)</f>
        <v>0</v>
      </c>
      <c r="I57" s="374" t="b">
        <f>ISNUMBER(#REF!)</f>
        <v>0</v>
      </c>
      <c r="J57" s="374" t="b">
        <f>ISNUMBER(#REF!)</f>
        <v>0</v>
      </c>
      <c r="K57" s="374" t="b">
        <f t="shared" si="4"/>
        <v>1</v>
      </c>
      <c r="L57" s="374" t="b">
        <f>ISNUMBER(#REF!)</f>
        <v>0</v>
      </c>
      <c r="M57" s="374" t="b">
        <f>ISNUMBER(#REF!)</f>
        <v>0</v>
      </c>
      <c r="N57" s="374" t="b">
        <f>ISNUMBER(#REF!)</f>
        <v>0</v>
      </c>
      <c r="O57" s="374" t="b">
        <f>ISNUMBER(#REF!)</f>
        <v>0</v>
      </c>
      <c r="P57" s="374" t="b">
        <f>ISNUMBER(#REF!)</f>
        <v>0</v>
      </c>
      <c r="Q57" s="966" t="str">
        <f t="shared" si="5"/>
        <v/>
      </c>
    </row>
    <row r="58" spans="1:17" ht="21" customHeight="1">
      <c r="A58" s="993">
        <f t="shared" si="3"/>
        <v>44898.864583333336</v>
      </c>
      <c r="B58" s="373" t="s">
        <v>1005</v>
      </c>
      <c r="C58" s="894">
        <f t="shared" si="6"/>
        <v>0</v>
      </c>
      <c r="E58" s="374" t="b">
        <f>ISNUMBER(#REF!)</f>
        <v>0</v>
      </c>
      <c r="F58" s="374" t="b">
        <f>ISNUMBER(#REF!)</f>
        <v>0</v>
      </c>
      <c r="G58" s="374" t="b">
        <f>ISNUMBER(#REF!)</f>
        <v>0</v>
      </c>
      <c r="H58" s="374" t="b">
        <f>ISNUMBER(#REF!)</f>
        <v>0</v>
      </c>
      <c r="I58" s="374" t="b">
        <f>ISNUMBER(#REF!)</f>
        <v>0</v>
      </c>
      <c r="J58" s="374" t="b">
        <f>ISNUMBER(#REF!)</f>
        <v>0</v>
      </c>
      <c r="K58" s="374" t="b">
        <f t="shared" si="4"/>
        <v>1</v>
      </c>
      <c r="L58" s="374" t="b">
        <f>ISNUMBER(#REF!)</f>
        <v>0</v>
      </c>
      <c r="M58" s="374" t="b">
        <f>ISNUMBER(#REF!)</f>
        <v>0</v>
      </c>
      <c r="N58" s="374" t="b">
        <f>ISNUMBER(#REF!)</f>
        <v>0</v>
      </c>
      <c r="O58" s="374" t="b">
        <f>ISNUMBER(#REF!)</f>
        <v>0</v>
      </c>
      <c r="P58" s="374" t="b">
        <f>ISNUMBER(#REF!)</f>
        <v>0</v>
      </c>
      <c r="Q58" s="966" t="str">
        <f t="shared" si="5"/>
        <v/>
      </c>
    </row>
    <row r="59" spans="1:17" ht="21" customHeight="1">
      <c r="A59" s="993">
        <f t="shared" si="3"/>
        <v>44898.864583333336</v>
      </c>
      <c r="B59" s="373" t="s">
        <v>1007</v>
      </c>
      <c r="C59" s="894">
        <f t="shared" si="6"/>
        <v>0</v>
      </c>
      <c r="E59" s="374" t="b">
        <f>ISNUMBER(#REF!)</f>
        <v>0</v>
      </c>
      <c r="F59" s="374" t="b">
        <f>ISNUMBER(#REF!)</f>
        <v>0</v>
      </c>
      <c r="G59" s="374" t="b">
        <f>ISNUMBER(#REF!)</f>
        <v>0</v>
      </c>
      <c r="H59" s="374" t="b">
        <f>ISNUMBER(#REF!)</f>
        <v>0</v>
      </c>
      <c r="I59" s="374" t="b">
        <f>ISNUMBER(#REF!)</f>
        <v>0</v>
      </c>
      <c r="J59" s="374" t="b">
        <f>ISNUMBER(#REF!)</f>
        <v>0</v>
      </c>
      <c r="K59" s="374" t="b">
        <f t="shared" si="4"/>
        <v>1</v>
      </c>
      <c r="L59" s="374" t="b">
        <f>ISNUMBER(#REF!)</f>
        <v>0</v>
      </c>
      <c r="M59" s="374" t="b">
        <f>ISNUMBER(#REF!)</f>
        <v>0</v>
      </c>
      <c r="N59" s="374" t="b">
        <f>ISNUMBER(#REF!)</f>
        <v>0</v>
      </c>
      <c r="O59" s="374" t="b">
        <f>ISNUMBER(#REF!)</f>
        <v>0</v>
      </c>
      <c r="P59" s="374" t="b">
        <f>ISNUMBER(#REF!)</f>
        <v>0</v>
      </c>
      <c r="Q59" s="966" t="str">
        <f t="shared" si="5"/>
        <v/>
      </c>
    </row>
    <row r="60" spans="1:17" ht="21" customHeight="1">
      <c r="A60" s="993">
        <f t="shared" si="3"/>
        <v>44898.864583333336</v>
      </c>
      <c r="B60" s="373" t="s">
        <v>1008</v>
      </c>
      <c r="C60" s="894">
        <f t="shared" si="6"/>
        <v>0</v>
      </c>
      <c r="E60" s="374" t="b">
        <f>ISNUMBER(#REF!)</f>
        <v>0</v>
      </c>
      <c r="F60" s="374" t="b">
        <f>ISNUMBER(#REF!)</f>
        <v>0</v>
      </c>
      <c r="G60" s="374" t="b">
        <f>ISNUMBER(#REF!)</f>
        <v>0</v>
      </c>
      <c r="H60" s="374" t="b">
        <f>ISNUMBER(#REF!)</f>
        <v>0</v>
      </c>
      <c r="I60" s="374" t="b">
        <f>ISNUMBER(#REF!)</f>
        <v>0</v>
      </c>
      <c r="J60" s="374" t="b">
        <f>ISNUMBER(#REF!)</f>
        <v>0</v>
      </c>
      <c r="K60" s="374" t="b">
        <f t="shared" si="4"/>
        <v>1</v>
      </c>
      <c r="L60" s="374" t="b">
        <f>ISNUMBER(#REF!)</f>
        <v>0</v>
      </c>
      <c r="M60" s="374" t="b">
        <f>ISNUMBER(#REF!)</f>
        <v>0</v>
      </c>
      <c r="N60" s="374" t="b">
        <f>ISNUMBER(#REF!)</f>
        <v>0</v>
      </c>
      <c r="O60" s="374" t="b">
        <f>ISNUMBER(#REF!)</f>
        <v>0</v>
      </c>
      <c r="P60" s="374" t="b">
        <f>ISNUMBER(#REF!)</f>
        <v>0</v>
      </c>
      <c r="Q60" s="966" t="str">
        <f t="shared" si="5"/>
        <v/>
      </c>
    </row>
    <row r="61" spans="1:17" ht="21" customHeight="1">
      <c r="A61" s="993">
        <f t="shared" si="3"/>
        <v>44898.864583333336</v>
      </c>
      <c r="B61" s="373" t="s">
        <v>1003</v>
      </c>
      <c r="C61" s="894">
        <f t="shared" si="6"/>
        <v>0</v>
      </c>
      <c r="E61" s="374" t="b">
        <f>ISNUMBER(#REF!)</f>
        <v>0</v>
      </c>
      <c r="F61" s="374" t="b">
        <f>ISNUMBER(#REF!)</f>
        <v>0</v>
      </c>
      <c r="G61" s="374" t="b">
        <f>ISNUMBER(#REF!)</f>
        <v>0</v>
      </c>
      <c r="H61" s="374" t="b">
        <f>ISNUMBER(#REF!)</f>
        <v>0</v>
      </c>
      <c r="I61" s="374" t="b">
        <f>ISNUMBER(#REF!)</f>
        <v>0</v>
      </c>
      <c r="J61" s="374" t="b">
        <f>ISNUMBER(#REF!)</f>
        <v>0</v>
      </c>
      <c r="K61" s="374" t="b">
        <f t="shared" si="4"/>
        <v>1</v>
      </c>
      <c r="L61" s="374" t="b">
        <f>ISNUMBER(#REF!)</f>
        <v>0</v>
      </c>
      <c r="M61" s="374" t="b">
        <f>ISNUMBER(#REF!)</f>
        <v>0</v>
      </c>
      <c r="N61" s="374" t="b">
        <f>ISNUMBER(#REF!)</f>
        <v>0</v>
      </c>
      <c r="O61" s="374" t="b">
        <f>ISNUMBER(#REF!)</f>
        <v>0</v>
      </c>
      <c r="P61" s="374" t="b">
        <f>ISNUMBER(#REF!)</f>
        <v>0</v>
      </c>
      <c r="Q61" s="966" t="str">
        <f t="shared" si="5"/>
        <v/>
      </c>
    </row>
    <row r="62" spans="1:17" ht="21" customHeight="1">
      <c r="A62" s="993">
        <f t="shared" si="3"/>
        <v>44898.864583333336</v>
      </c>
      <c r="B62" s="373" t="s">
        <v>1004</v>
      </c>
      <c r="C62" s="894">
        <f t="shared" si="6"/>
        <v>0</v>
      </c>
      <c r="E62" s="374" t="b">
        <f>ISNUMBER(#REF!)</f>
        <v>0</v>
      </c>
      <c r="F62" s="374" t="b">
        <f>ISNUMBER(#REF!)</f>
        <v>0</v>
      </c>
      <c r="G62" s="374" t="b">
        <f>ISNUMBER(#REF!)</f>
        <v>0</v>
      </c>
      <c r="H62" s="374" t="b">
        <f>ISNUMBER(#REF!)</f>
        <v>0</v>
      </c>
      <c r="I62" s="374" t="b">
        <f>ISNUMBER(#REF!)</f>
        <v>0</v>
      </c>
      <c r="J62" s="374" t="b">
        <f>ISNUMBER(#REF!)</f>
        <v>0</v>
      </c>
      <c r="K62" s="374" t="b">
        <f t="shared" si="4"/>
        <v>1</v>
      </c>
      <c r="L62" s="374" t="b">
        <f>ISNUMBER(#REF!)</f>
        <v>0</v>
      </c>
      <c r="M62" s="374" t="b">
        <f>ISNUMBER(#REF!)</f>
        <v>0</v>
      </c>
      <c r="N62" s="374" t="b">
        <f>ISNUMBER(#REF!)</f>
        <v>0</v>
      </c>
      <c r="O62" s="374" t="b">
        <f>ISNUMBER(#REF!)</f>
        <v>0</v>
      </c>
      <c r="P62" s="374" t="b">
        <f>ISNUMBER(#REF!)</f>
        <v>0</v>
      </c>
      <c r="Q62" s="966" t="str">
        <f t="shared" si="5"/>
        <v/>
      </c>
    </row>
    <row r="63" spans="1:17" ht="21" customHeight="1">
      <c r="A63" s="993">
        <f t="shared" si="3"/>
        <v>44898.864583333336</v>
      </c>
      <c r="B63" s="373" t="s">
        <v>932</v>
      </c>
      <c r="C63" s="894">
        <f t="shared" si="6"/>
        <v>0</v>
      </c>
      <c r="E63" s="374" t="b">
        <f>ISNUMBER(#REF!)</f>
        <v>0</v>
      </c>
      <c r="F63" s="374" t="b">
        <f>ISNUMBER(#REF!)</f>
        <v>0</v>
      </c>
      <c r="G63" s="374" t="b">
        <f>ISNUMBER(#REF!)</f>
        <v>0</v>
      </c>
      <c r="H63" s="374" t="b">
        <f>ISNUMBER(#REF!)</f>
        <v>0</v>
      </c>
      <c r="I63" s="374" t="b">
        <f>ISNUMBER(#REF!)</f>
        <v>0</v>
      </c>
      <c r="J63" s="374" t="b">
        <f>ISNUMBER(#REF!)</f>
        <v>0</v>
      </c>
      <c r="K63" s="374" t="b">
        <f t="shared" si="4"/>
        <v>1</v>
      </c>
      <c r="L63" s="374" t="b">
        <f>ISNUMBER(#REF!)</f>
        <v>0</v>
      </c>
      <c r="M63" s="374" t="b">
        <f>ISNUMBER(#REF!)</f>
        <v>0</v>
      </c>
      <c r="N63" s="374" t="b">
        <f>ISNUMBER(#REF!)</f>
        <v>0</v>
      </c>
      <c r="O63" s="374" t="b">
        <f>ISNUMBER(#REF!)</f>
        <v>0</v>
      </c>
      <c r="P63" s="374" t="b">
        <f>ISNUMBER(#REF!)</f>
        <v>0</v>
      </c>
      <c r="Q63" s="966" t="str">
        <f t="shared" si="5"/>
        <v/>
      </c>
    </row>
    <row r="64" spans="1:17" ht="21" customHeight="1">
      <c r="A64" s="993">
        <f t="shared" si="3"/>
        <v>44898.864583333336</v>
      </c>
      <c r="B64" s="373" t="s">
        <v>931</v>
      </c>
      <c r="C64" s="894">
        <f t="shared" si="6"/>
        <v>0</v>
      </c>
      <c r="E64" s="374" t="b">
        <f>ISNUMBER(#REF!)</f>
        <v>0</v>
      </c>
      <c r="F64" s="374" t="b">
        <f>ISNUMBER(#REF!)</f>
        <v>0</v>
      </c>
      <c r="G64" s="374" t="b">
        <f>ISNUMBER(#REF!)</f>
        <v>0</v>
      </c>
      <c r="H64" s="374" t="b">
        <f>ISNUMBER(#REF!)</f>
        <v>0</v>
      </c>
      <c r="I64" s="374" t="b">
        <f>ISNUMBER(#REF!)</f>
        <v>0</v>
      </c>
      <c r="J64" s="374" t="b">
        <f>ISNUMBER(#REF!)</f>
        <v>0</v>
      </c>
      <c r="K64" s="374" t="b">
        <f t="shared" si="4"/>
        <v>1</v>
      </c>
      <c r="L64" s="374" t="b">
        <f>ISNUMBER(#REF!)</f>
        <v>0</v>
      </c>
      <c r="M64" s="374" t="b">
        <f>ISNUMBER(#REF!)</f>
        <v>0</v>
      </c>
      <c r="N64" s="374" t="b">
        <f>ISNUMBER(#REF!)</f>
        <v>0</v>
      </c>
      <c r="O64" s="374" t="b">
        <f>ISNUMBER(#REF!)</f>
        <v>0</v>
      </c>
      <c r="P64" s="374" t="b">
        <f>ISNUMBER(#REF!)</f>
        <v>0</v>
      </c>
      <c r="Q64" s="966" t="str">
        <f t="shared" si="5"/>
        <v/>
      </c>
    </row>
    <row r="65" spans="1:17" ht="21" customHeight="1">
      <c r="A65" s="993">
        <f t="shared" si="3"/>
        <v>44898.864583333336</v>
      </c>
      <c r="B65" s="373" t="s">
        <v>933</v>
      </c>
      <c r="C65" s="894">
        <f t="shared" si="6"/>
        <v>0</v>
      </c>
      <c r="E65" s="374" t="b">
        <f>ISNUMBER(#REF!)</f>
        <v>0</v>
      </c>
      <c r="F65" s="374" t="b">
        <f>ISNUMBER(#REF!)</f>
        <v>0</v>
      </c>
      <c r="G65" s="374" t="b">
        <f>ISNUMBER(#REF!)</f>
        <v>0</v>
      </c>
      <c r="H65" s="374" t="b">
        <f>ISNUMBER(#REF!)</f>
        <v>0</v>
      </c>
      <c r="I65" s="374" t="b">
        <f>ISNUMBER(#REF!)</f>
        <v>0</v>
      </c>
      <c r="J65" s="374" t="b">
        <f>ISNUMBER(#REF!)</f>
        <v>0</v>
      </c>
      <c r="K65" s="374" t="b">
        <f t="shared" si="4"/>
        <v>1</v>
      </c>
      <c r="L65" s="374" t="b">
        <f>ISNUMBER(#REF!)</f>
        <v>0</v>
      </c>
      <c r="M65" s="374" t="b">
        <f>ISNUMBER(#REF!)</f>
        <v>0</v>
      </c>
      <c r="N65" s="374" t="b">
        <f>ISNUMBER(#REF!)</f>
        <v>0</v>
      </c>
      <c r="O65" s="374" t="b">
        <f>ISNUMBER(#REF!)</f>
        <v>0</v>
      </c>
      <c r="P65" s="374" t="b">
        <f>ISNUMBER(#REF!)</f>
        <v>0</v>
      </c>
      <c r="Q65" s="966" t="str">
        <f t="shared" si="5"/>
        <v/>
      </c>
    </row>
    <row r="66" spans="1:17" ht="21" customHeight="1">
      <c r="A66" s="993">
        <f t="shared" si="3"/>
        <v>44898.864583333336</v>
      </c>
      <c r="B66" s="373" t="s">
        <v>934</v>
      </c>
      <c r="C66" s="894">
        <f t="shared" si="6"/>
        <v>0</v>
      </c>
      <c r="E66" s="374" t="b">
        <f>ISNUMBER(#REF!)</f>
        <v>0</v>
      </c>
      <c r="F66" s="374" t="b">
        <f>ISNUMBER(#REF!)</f>
        <v>0</v>
      </c>
      <c r="G66" s="374" t="b">
        <f>ISNUMBER(#REF!)</f>
        <v>0</v>
      </c>
      <c r="H66" s="374" t="b">
        <f>ISNUMBER(#REF!)</f>
        <v>0</v>
      </c>
      <c r="I66" s="374" t="b">
        <f>ISNUMBER(#REF!)</f>
        <v>0</v>
      </c>
      <c r="J66" s="374" t="b">
        <f>ISNUMBER(#REF!)</f>
        <v>0</v>
      </c>
      <c r="K66" s="374" t="b">
        <f t="shared" si="4"/>
        <v>1</v>
      </c>
      <c r="L66" s="374" t="b">
        <f>ISNUMBER(#REF!)</f>
        <v>0</v>
      </c>
      <c r="M66" s="374" t="b">
        <f>ISNUMBER(#REF!)</f>
        <v>0</v>
      </c>
      <c r="N66" s="374" t="b">
        <f>ISNUMBER(#REF!)</f>
        <v>0</v>
      </c>
      <c r="O66" s="374" t="b">
        <f>ISNUMBER(#REF!)</f>
        <v>0</v>
      </c>
      <c r="P66" s="374" t="b">
        <f>ISNUMBER(#REF!)</f>
        <v>0</v>
      </c>
      <c r="Q66" s="966" t="str">
        <f t="shared" si="5"/>
        <v/>
      </c>
    </row>
    <row r="67" spans="1:17" ht="21" customHeight="1">
      <c r="A67" s="993">
        <f t="shared" si="3"/>
        <v>44898.864583333336</v>
      </c>
      <c r="B67" s="373" t="s">
        <v>935</v>
      </c>
      <c r="C67" s="894">
        <f t="shared" si="6"/>
        <v>0</v>
      </c>
      <c r="E67" s="374" t="b">
        <f>ISNUMBER(#REF!)</f>
        <v>0</v>
      </c>
      <c r="F67" s="374" t="b">
        <f>ISNUMBER(#REF!)</f>
        <v>0</v>
      </c>
      <c r="G67" s="374" t="b">
        <f>ISNUMBER(#REF!)</f>
        <v>0</v>
      </c>
      <c r="H67" s="374" t="b">
        <f>ISNUMBER(#REF!)</f>
        <v>0</v>
      </c>
      <c r="I67" s="374" t="b">
        <f>ISNUMBER(#REF!)</f>
        <v>0</v>
      </c>
      <c r="J67" s="374" t="b">
        <f>ISNUMBER(#REF!)</f>
        <v>0</v>
      </c>
      <c r="K67" s="374" t="b">
        <f t="shared" si="4"/>
        <v>1</v>
      </c>
      <c r="L67" s="374" t="b">
        <f>ISNUMBER(#REF!)</f>
        <v>0</v>
      </c>
      <c r="M67" s="374" t="b">
        <f>ISNUMBER(#REF!)</f>
        <v>0</v>
      </c>
      <c r="N67" s="374" t="b">
        <f>ISNUMBER(#REF!)</f>
        <v>0</v>
      </c>
      <c r="O67" s="374" t="b">
        <f>ISNUMBER(#REF!)</f>
        <v>0</v>
      </c>
      <c r="P67" s="374" t="b">
        <f>ISNUMBER(#REF!)</f>
        <v>0</v>
      </c>
      <c r="Q67" s="966" t="str">
        <f t="shared" si="5"/>
        <v/>
      </c>
    </row>
    <row r="68" spans="1:17" ht="21" customHeight="1">
      <c r="A68" s="993">
        <f t="shared" si="3"/>
        <v>44898.864583333336</v>
      </c>
      <c r="B68" s="373" t="s">
        <v>936</v>
      </c>
      <c r="C68" s="894">
        <f t="shared" si="6"/>
        <v>0</v>
      </c>
      <c r="E68" s="374" t="b">
        <f>ISNUMBER(#REF!)</f>
        <v>0</v>
      </c>
      <c r="F68" s="374" t="b">
        <f>ISNUMBER(#REF!)</f>
        <v>0</v>
      </c>
      <c r="G68" s="374" t="b">
        <f>ISNUMBER(#REF!)</f>
        <v>0</v>
      </c>
      <c r="H68" s="374" t="b">
        <f>ISNUMBER(#REF!)</f>
        <v>0</v>
      </c>
      <c r="I68" s="374" t="b">
        <f>ISNUMBER(#REF!)</f>
        <v>0</v>
      </c>
      <c r="J68" s="374" t="b">
        <f>ISNUMBER(#REF!)</f>
        <v>0</v>
      </c>
      <c r="K68" s="374" t="b">
        <f t="shared" ref="K68:K83" si="7">ISNUMBER(C68)</f>
        <v>1</v>
      </c>
      <c r="L68" s="374" t="b">
        <f>ISNUMBER(#REF!)</f>
        <v>0</v>
      </c>
      <c r="M68" s="374" t="b">
        <f>ISNUMBER(#REF!)</f>
        <v>0</v>
      </c>
      <c r="N68" s="374" t="b">
        <f>ISNUMBER(#REF!)</f>
        <v>0</v>
      </c>
      <c r="O68" s="374" t="b">
        <f>ISNUMBER(#REF!)</f>
        <v>0</v>
      </c>
      <c r="P68" s="374" t="b">
        <f>ISNUMBER(#REF!)</f>
        <v>0</v>
      </c>
      <c r="Q68" s="966" t="str">
        <f t="shared" si="5"/>
        <v/>
      </c>
    </row>
    <row r="69" spans="1:17" ht="21" customHeight="1">
      <c r="A69" s="993">
        <f t="shared" si="3"/>
        <v>44898.864583333336</v>
      </c>
      <c r="B69" s="373" t="s">
        <v>937</v>
      </c>
      <c r="C69" s="894">
        <f t="shared" si="6"/>
        <v>0</v>
      </c>
      <c r="E69" s="374" t="b">
        <f>ISNUMBER(#REF!)</f>
        <v>0</v>
      </c>
      <c r="F69" s="374" t="b">
        <f>ISNUMBER(#REF!)</f>
        <v>0</v>
      </c>
      <c r="G69" s="374" t="b">
        <f>ISNUMBER(#REF!)</f>
        <v>0</v>
      </c>
      <c r="H69" s="374" t="b">
        <f>ISNUMBER(#REF!)</f>
        <v>0</v>
      </c>
      <c r="I69" s="374" t="b">
        <f>ISNUMBER(#REF!)</f>
        <v>0</v>
      </c>
      <c r="J69" s="374" t="b">
        <f>ISNUMBER(#REF!)</f>
        <v>0</v>
      </c>
      <c r="K69" s="374" t="b">
        <f t="shared" si="7"/>
        <v>1</v>
      </c>
      <c r="L69" s="374" t="b">
        <f>ISNUMBER(#REF!)</f>
        <v>0</v>
      </c>
      <c r="M69" s="374" t="b">
        <f>ISNUMBER(#REF!)</f>
        <v>0</v>
      </c>
      <c r="N69" s="374" t="b">
        <f>ISNUMBER(#REF!)</f>
        <v>0</v>
      </c>
      <c r="O69" s="374" t="b">
        <f>ISNUMBER(#REF!)</f>
        <v>0</v>
      </c>
      <c r="P69" s="374" t="b">
        <f>ISNUMBER(#REF!)</f>
        <v>0</v>
      </c>
      <c r="Q69" s="966" t="str">
        <f t="shared" ref="Q69:Q83" si="8">IF(K69=TRUE,"",1)</f>
        <v/>
      </c>
    </row>
    <row r="70" spans="1:17" ht="21" customHeight="1">
      <c r="A70" s="993">
        <f t="shared" ref="A70:A83" si="9">$A$4</f>
        <v>44898.864583333336</v>
      </c>
      <c r="B70" s="373" t="s">
        <v>571</v>
      </c>
      <c r="C70" s="894">
        <f t="shared" si="6"/>
        <v>0</v>
      </c>
      <c r="E70" s="892" t="b">
        <f>ISNUMBER(#REF!)</f>
        <v>0</v>
      </c>
      <c r="F70" s="892" t="b">
        <f>ISNUMBER(#REF!)</f>
        <v>0</v>
      </c>
      <c r="G70" s="892" t="b">
        <f>ISNUMBER(#REF!)</f>
        <v>0</v>
      </c>
      <c r="H70" s="892" t="b">
        <f>ISNUMBER(#REF!)</f>
        <v>0</v>
      </c>
      <c r="I70" s="374" t="b">
        <f>ISNUMBER(#REF!)</f>
        <v>0</v>
      </c>
      <c r="J70" s="374" t="b">
        <f>ISNUMBER(#REF!)</f>
        <v>0</v>
      </c>
      <c r="K70" s="374" t="b">
        <f t="shared" si="7"/>
        <v>1</v>
      </c>
      <c r="L70" s="374" t="b">
        <f>ISNUMBER(#REF!)</f>
        <v>0</v>
      </c>
      <c r="M70" s="374" t="b">
        <f>ISNUMBER(#REF!)</f>
        <v>0</v>
      </c>
      <c r="N70" s="374" t="b">
        <f>ISNUMBER(#REF!)</f>
        <v>0</v>
      </c>
      <c r="O70" s="374" t="b">
        <f>ISNUMBER(#REF!)</f>
        <v>0</v>
      </c>
      <c r="P70" s="374" t="b">
        <f>ISNUMBER(#REF!)</f>
        <v>0</v>
      </c>
      <c r="Q70" s="966" t="str">
        <f t="shared" si="8"/>
        <v/>
      </c>
    </row>
    <row r="71" spans="1:17" ht="21" customHeight="1">
      <c r="A71" s="993">
        <f t="shared" si="9"/>
        <v>44898.864583333336</v>
      </c>
      <c r="B71" s="373" t="s">
        <v>575</v>
      </c>
      <c r="C71" s="894">
        <f t="shared" si="6"/>
        <v>0</v>
      </c>
      <c r="E71" s="892" t="b">
        <f>ISNUMBER(#REF!)</f>
        <v>0</v>
      </c>
      <c r="F71" s="893" t="b">
        <f>ISNUMBER(#REF!)</f>
        <v>0</v>
      </c>
      <c r="G71" s="892" t="b">
        <f>ISNUMBER(#REF!)</f>
        <v>0</v>
      </c>
      <c r="H71" s="374" t="b">
        <f>ISNUMBER(#REF!)</f>
        <v>0</v>
      </c>
      <c r="I71" s="374" t="b">
        <f>ISNUMBER(#REF!)</f>
        <v>0</v>
      </c>
      <c r="J71" s="374" t="b">
        <f>ISNUMBER(#REF!)</f>
        <v>0</v>
      </c>
      <c r="K71" s="374" t="b">
        <f t="shared" si="7"/>
        <v>1</v>
      </c>
      <c r="L71" s="374" t="b">
        <f>ISNUMBER(#REF!)</f>
        <v>0</v>
      </c>
      <c r="M71" s="374" t="b">
        <f>ISNUMBER(#REF!)</f>
        <v>0</v>
      </c>
      <c r="N71" s="374" t="b">
        <f>ISNUMBER(#REF!)</f>
        <v>0</v>
      </c>
      <c r="O71" s="374" t="b">
        <f>ISNUMBER(#REF!)</f>
        <v>0</v>
      </c>
      <c r="P71" s="374" t="b">
        <f>ISNUMBER(#REF!)</f>
        <v>0</v>
      </c>
      <c r="Q71" s="966" t="str">
        <f t="shared" si="8"/>
        <v/>
      </c>
    </row>
    <row r="72" spans="1:17" ht="21" customHeight="1">
      <c r="A72" s="993">
        <f t="shared" si="9"/>
        <v>44898.864583333336</v>
      </c>
      <c r="B72" s="373" t="s">
        <v>577</v>
      </c>
      <c r="C72" s="894">
        <f t="shared" si="6"/>
        <v>0</v>
      </c>
      <c r="E72" s="892" t="b">
        <f>ISNUMBER(#REF!)</f>
        <v>0</v>
      </c>
      <c r="F72" s="893" t="b">
        <f>ISNUMBER(#REF!)</f>
        <v>0</v>
      </c>
      <c r="G72" s="892" t="b">
        <f>ISNUMBER(#REF!)</f>
        <v>0</v>
      </c>
      <c r="H72" s="374" t="b">
        <f>ISNUMBER(#REF!)</f>
        <v>0</v>
      </c>
      <c r="I72" s="374" t="b">
        <f>ISNUMBER(#REF!)</f>
        <v>0</v>
      </c>
      <c r="J72" s="374" t="b">
        <f>ISNUMBER(#REF!)</f>
        <v>0</v>
      </c>
      <c r="K72" s="374" t="b">
        <f t="shared" si="7"/>
        <v>1</v>
      </c>
      <c r="L72" s="374" t="b">
        <f>ISNUMBER(#REF!)</f>
        <v>0</v>
      </c>
      <c r="M72" s="374" t="b">
        <f>ISNUMBER(#REF!)</f>
        <v>0</v>
      </c>
      <c r="N72" s="374" t="b">
        <f>ISNUMBER(#REF!)</f>
        <v>0</v>
      </c>
      <c r="O72" s="374" t="b">
        <f>ISNUMBER(#REF!)</f>
        <v>0</v>
      </c>
      <c r="P72" s="374" t="b">
        <f>ISNUMBER(#REF!)</f>
        <v>0</v>
      </c>
      <c r="Q72" s="966" t="str">
        <f t="shared" si="8"/>
        <v/>
      </c>
    </row>
    <row r="73" spans="1:17" ht="21" customHeight="1">
      <c r="A73" s="993">
        <f t="shared" si="9"/>
        <v>44898.864583333336</v>
      </c>
      <c r="B73" s="373" t="s">
        <v>580</v>
      </c>
      <c r="C73" s="894">
        <f t="shared" si="6"/>
        <v>0</v>
      </c>
      <c r="E73" s="374" t="b">
        <f>ISNUMBER(#REF!)</f>
        <v>0</v>
      </c>
      <c r="F73" s="374" t="b">
        <f>ISNUMBER(#REF!)</f>
        <v>0</v>
      </c>
      <c r="G73" s="374" t="b">
        <f>ISNUMBER(#REF!)</f>
        <v>0</v>
      </c>
      <c r="H73" s="374" t="b">
        <f>ISNUMBER(#REF!)</f>
        <v>0</v>
      </c>
      <c r="I73" s="374" t="b">
        <f>ISNUMBER(#REF!)</f>
        <v>0</v>
      </c>
      <c r="J73" s="374" t="b">
        <f>ISNUMBER(#REF!)</f>
        <v>0</v>
      </c>
      <c r="K73" s="374" t="b">
        <f t="shared" si="7"/>
        <v>1</v>
      </c>
      <c r="L73" s="374" t="b">
        <f>ISNUMBER(#REF!)</f>
        <v>0</v>
      </c>
      <c r="M73" s="374" t="b">
        <f>ISNUMBER(#REF!)</f>
        <v>0</v>
      </c>
      <c r="N73" s="374" t="b">
        <f>ISNUMBER(#REF!)</f>
        <v>0</v>
      </c>
      <c r="O73" s="374" t="b">
        <f>ISNUMBER(#REF!)</f>
        <v>0</v>
      </c>
      <c r="P73" s="374" t="b">
        <f>ISNUMBER(#REF!)</f>
        <v>0</v>
      </c>
      <c r="Q73" s="966" t="str">
        <f t="shared" si="8"/>
        <v/>
      </c>
    </row>
    <row r="74" spans="1:17" ht="21" customHeight="1">
      <c r="A74" s="993">
        <f t="shared" si="9"/>
        <v>44898.864583333336</v>
      </c>
      <c r="B74" s="373" t="s">
        <v>582</v>
      </c>
      <c r="C74" s="894">
        <f t="shared" si="6"/>
        <v>0</v>
      </c>
      <c r="E74" s="374" t="b">
        <f>ISNUMBER(#REF!)</f>
        <v>0</v>
      </c>
      <c r="F74" s="374" t="b">
        <f>ISNUMBER(#REF!)</f>
        <v>0</v>
      </c>
      <c r="G74" s="374" t="b">
        <f>ISNUMBER(#REF!)</f>
        <v>0</v>
      </c>
      <c r="H74" s="374" t="b">
        <f>ISNUMBER(#REF!)</f>
        <v>0</v>
      </c>
      <c r="I74" s="374" t="b">
        <f>ISNUMBER(#REF!)</f>
        <v>0</v>
      </c>
      <c r="J74" s="374" t="b">
        <f>ISNUMBER(#REF!)</f>
        <v>0</v>
      </c>
      <c r="K74" s="374" t="b">
        <f t="shared" si="7"/>
        <v>1</v>
      </c>
      <c r="L74" s="374" t="b">
        <f>ISNUMBER(#REF!)</f>
        <v>0</v>
      </c>
      <c r="M74" s="374" t="b">
        <f>ISNUMBER(#REF!)</f>
        <v>0</v>
      </c>
      <c r="N74" s="374" t="b">
        <f>ISNUMBER(#REF!)</f>
        <v>0</v>
      </c>
      <c r="O74" s="374" t="b">
        <f>ISNUMBER(#REF!)</f>
        <v>0</v>
      </c>
      <c r="P74" s="374" t="b">
        <f>ISNUMBER(#REF!)</f>
        <v>0</v>
      </c>
      <c r="Q74" s="966" t="str">
        <f t="shared" si="8"/>
        <v/>
      </c>
    </row>
    <row r="75" spans="1:17" ht="21" customHeight="1">
      <c r="A75" s="993">
        <f t="shared" si="9"/>
        <v>44898.864583333336</v>
      </c>
      <c r="B75" s="373" t="s">
        <v>584</v>
      </c>
      <c r="C75" s="894">
        <f t="shared" si="6"/>
        <v>0</v>
      </c>
      <c r="E75" s="374" t="b">
        <f>ISNUMBER(#REF!)</f>
        <v>0</v>
      </c>
      <c r="F75" s="374" t="b">
        <f>ISNUMBER(#REF!)</f>
        <v>0</v>
      </c>
      <c r="G75" s="374" t="b">
        <f>ISNUMBER(#REF!)</f>
        <v>0</v>
      </c>
      <c r="H75" s="374" t="b">
        <f>ISNUMBER(#REF!)</f>
        <v>0</v>
      </c>
      <c r="I75" s="374" t="b">
        <f>ISNUMBER(#REF!)</f>
        <v>0</v>
      </c>
      <c r="J75" s="374" t="b">
        <f>ISNUMBER(#REF!)</f>
        <v>0</v>
      </c>
      <c r="K75" s="374" t="b">
        <f t="shared" si="7"/>
        <v>1</v>
      </c>
      <c r="L75" s="374" t="b">
        <f>ISNUMBER(#REF!)</f>
        <v>0</v>
      </c>
      <c r="M75" s="374" t="b">
        <f>ISNUMBER(#REF!)</f>
        <v>0</v>
      </c>
      <c r="N75" s="374" t="b">
        <f>ISNUMBER(#REF!)</f>
        <v>0</v>
      </c>
      <c r="O75" s="374" t="b">
        <f>ISNUMBER(#REF!)</f>
        <v>0</v>
      </c>
      <c r="P75" s="374" t="b">
        <f>ISNUMBER(#REF!)</f>
        <v>0</v>
      </c>
      <c r="Q75" s="966" t="str">
        <f t="shared" si="8"/>
        <v/>
      </c>
    </row>
    <row r="76" spans="1:17" ht="21" customHeight="1">
      <c r="A76" s="993">
        <f t="shared" si="9"/>
        <v>44898.864583333336</v>
      </c>
      <c r="B76" s="373" t="s">
        <v>585</v>
      </c>
      <c r="C76" s="894">
        <f t="shared" si="6"/>
        <v>0</v>
      </c>
      <c r="E76" s="374" t="b">
        <f>ISNUMBER(#REF!)</f>
        <v>0</v>
      </c>
      <c r="F76" s="374" t="b">
        <f>ISNUMBER(#REF!)</f>
        <v>0</v>
      </c>
      <c r="G76" s="374" t="b">
        <f>ISNUMBER(#REF!)</f>
        <v>0</v>
      </c>
      <c r="H76" s="374" t="b">
        <f>ISNUMBER(#REF!)</f>
        <v>0</v>
      </c>
      <c r="I76" s="374" t="b">
        <f>ISNUMBER(#REF!)</f>
        <v>0</v>
      </c>
      <c r="J76" s="374" t="b">
        <f>ISNUMBER(#REF!)</f>
        <v>0</v>
      </c>
      <c r="K76" s="374" t="b">
        <f t="shared" si="7"/>
        <v>1</v>
      </c>
      <c r="L76" s="374" t="b">
        <f>ISNUMBER(#REF!)</f>
        <v>0</v>
      </c>
      <c r="M76" s="374" t="b">
        <f>ISNUMBER(#REF!)</f>
        <v>0</v>
      </c>
      <c r="N76" s="374" t="b">
        <f>ISNUMBER(#REF!)</f>
        <v>0</v>
      </c>
      <c r="O76" s="374" t="b">
        <f>ISNUMBER(#REF!)</f>
        <v>0</v>
      </c>
      <c r="P76" s="374" t="b">
        <f>ISNUMBER(#REF!)</f>
        <v>0</v>
      </c>
      <c r="Q76" s="966" t="str">
        <f t="shared" si="8"/>
        <v/>
      </c>
    </row>
    <row r="77" spans="1:17" ht="21" customHeight="1">
      <c r="A77" s="993">
        <f t="shared" si="9"/>
        <v>44898.864583333336</v>
      </c>
      <c r="B77" s="373" t="s">
        <v>586</v>
      </c>
      <c r="C77" s="894">
        <f t="shared" si="6"/>
        <v>0</v>
      </c>
      <c r="E77" s="374" t="b">
        <f>ISNUMBER(#REF!)</f>
        <v>0</v>
      </c>
      <c r="F77" s="374" t="b">
        <f>ISNUMBER(#REF!)</f>
        <v>0</v>
      </c>
      <c r="G77" s="374" t="b">
        <f>ISNUMBER(#REF!)</f>
        <v>0</v>
      </c>
      <c r="H77" s="374" t="b">
        <f>ISNUMBER(#REF!)</f>
        <v>0</v>
      </c>
      <c r="I77" s="374" t="b">
        <f>ISNUMBER(#REF!)</f>
        <v>0</v>
      </c>
      <c r="J77" s="374" t="b">
        <f>ISNUMBER(#REF!)</f>
        <v>0</v>
      </c>
      <c r="K77" s="374" t="b">
        <f t="shared" si="7"/>
        <v>1</v>
      </c>
      <c r="L77" s="374" t="b">
        <f>ISNUMBER(#REF!)</f>
        <v>0</v>
      </c>
      <c r="M77" s="374" t="b">
        <f>ISNUMBER(#REF!)</f>
        <v>0</v>
      </c>
      <c r="N77" s="374" t="b">
        <f>ISNUMBER(#REF!)</f>
        <v>0</v>
      </c>
      <c r="O77" s="374" t="b">
        <f>ISNUMBER(#REF!)</f>
        <v>0</v>
      </c>
      <c r="P77" s="374" t="b">
        <f>ISNUMBER(#REF!)</f>
        <v>0</v>
      </c>
      <c r="Q77" s="966" t="str">
        <f t="shared" si="8"/>
        <v/>
      </c>
    </row>
    <row r="78" spans="1:17" ht="21" customHeight="1">
      <c r="A78" s="993">
        <f t="shared" si="9"/>
        <v>44898.864583333336</v>
      </c>
      <c r="B78" s="373" t="s">
        <v>587</v>
      </c>
      <c r="C78" s="894">
        <f t="shared" si="6"/>
        <v>0</v>
      </c>
      <c r="E78" s="374" t="b">
        <f>ISNUMBER(#REF!)</f>
        <v>0</v>
      </c>
      <c r="F78" s="374" t="b">
        <f>ISNUMBER(#REF!)</f>
        <v>0</v>
      </c>
      <c r="G78" s="374" t="b">
        <f>ISNUMBER(#REF!)</f>
        <v>0</v>
      </c>
      <c r="H78" s="374" t="b">
        <f>ISNUMBER(#REF!)</f>
        <v>0</v>
      </c>
      <c r="I78" s="374" t="b">
        <f>ISNUMBER(#REF!)</f>
        <v>0</v>
      </c>
      <c r="J78" s="374" t="b">
        <f>ISNUMBER(#REF!)</f>
        <v>0</v>
      </c>
      <c r="K78" s="374" t="b">
        <f t="shared" si="7"/>
        <v>1</v>
      </c>
      <c r="L78" s="374" t="b">
        <f>ISNUMBER(#REF!)</f>
        <v>0</v>
      </c>
      <c r="M78" s="374" t="b">
        <f>ISNUMBER(#REF!)</f>
        <v>0</v>
      </c>
      <c r="N78" s="374" t="b">
        <f>ISNUMBER(#REF!)</f>
        <v>0</v>
      </c>
      <c r="O78" s="374" t="b">
        <f>ISNUMBER(#REF!)</f>
        <v>0</v>
      </c>
      <c r="P78" s="374" t="b">
        <f>ISNUMBER(#REF!)</f>
        <v>0</v>
      </c>
      <c r="Q78" s="966" t="str">
        <f t="shared" si="8"/>
        <v/>
      </c>
    </row>
    <row r="79" spans="1:17" ht="21" customHeight="1">
      <c r="A79" s="993">
        <f t="shared" si="9"/>
        <v>44898.864583333336</v>
      </c>
      <c r="B79" s="373" t="s">
        <v>588</v>
      </c>
      <c r="C79" s="894">
        <f t="shared" si="6"/>
        <v>0</v>
      </c>
      <c r="E79" s="374" t="b">
        <f>ISNUMBER(#REF!)</f>
        <v>0</v>
      </c>
      <c r="F79" s="374" t="b">
        <f>ISNUMBER(#REF!)</f>
        <v>0</v>
      </c>
      <c r="G79" s="374" t="b">
        <f>ISNUMBER(#REF!)</f>
        <v>0</v>
      </c>
      <c r="H79" s="374" t="b">
        <f>ISNUMBER(#REF!)</f>
        <v>0</v>
      </c>
      <c r="I79" s="374" t="b">
        <f>ISNUMBER(#REF!)</f>
        <v>0</v>
      </c>
      <c r="J79" s="374" t="b">
        <f>ISNUMBER(#REF!)</f>
        <v>0</v>
      </c>
      <c r="K79" s="374" t="b">
        <f t="shared" si="7"/>
        <v>1</v>
      </c>
      <c r="L79" s="374" t="b">
        <f>ISNUMBER(#REF!)</f>
        <v>0</v>
      </c>
      <c r="M79" s="374" t="b">
        <f>ISNUMBER(#REF!)</f>
        <v>0</v>
      </c>
      <c r="N79" s="374" t="b">
        <f>ISNUMBER(#REF!)</f>
        <v>0</v>
      </c>
      <c r="O79" s="374" t="b">
        <f>ISNUMBER(#REF!)</f>
        <v>0</v>
      </c>
      <c r="P79" s="374" t="b">
        <f>ISNUMBER(#REF!)</f>
        <v>0</v>
      </c>
      <c r="Q79" s="966" t="str">
        <f t="shared" si="8"/>
        <v/>
      </c>
    </row>
    <row r="80" spans="1:17" ht="21" customHeight="1">
      <c r="A80" s="993">
        <f t="shared" si="9"/>
        <v>44898.864583333336</v>
      </c>
      <c r="B80" s="373" t="s">
        <v>591</v>
      </c>
      <c r="C80" s="894">
        <f t="shared" si="6"/>
        <v>0</v>
      </c>
      <c r="E80" s="374" t="b">
        <f>ISNUMBER(#REF!)</f>
        <v>0</v>
      </c>
      <c r="F80" s="374" t="b">
        <f>ISNUMBER(#REF!)</f>
        <v>0</v>
      </c>
      <c r="G80" s="374" t="b">
        <f>ISNUMBER(#REF!)</f>
        <v>0</v>
      </c>
      <c r="H80" s="374" t="b">
        <f>ISNUMBER(#REF!)</f>
        <v>0</v>
      </c>
      <c r="I80" s="374" t="b">
        <f>ISNUMBER(#REF!)</f>
        <v>0</v>
      </c>
      <c r="J80" s="374" t="b">
        <f>ISNUMBER(#REF!)</f>
        <v>0</v>
      </c>
      <c r="K80" s="374" t="b">
        <f t="shared" si="7"/>
        <v>1</v>
      </c>
      <c r="L80" s="374" t="b">
        <f>ISNUMBER(#REF!)</f>
        <v>0</v>
      </c>
      <c r="M80" s="374" t="b">
        <f>ISNUMBER(#REF!)</f>
        <v>0</v>
      </c>
      <c r="N80" s="374" t="b">
        <f>ISNUMBER(#REF!)</f>
        <v>0</v>
      </c>
      <c r="O80" s="374" t="b">
        <f>ISNUMBER(#REF!)</f>
        <v>0</v>
      </c>
      <c r="P80" s="374" t="b">
        <f>ISNUMBER(#REF!)</f>
        <v>0</v>
      </c>
      <c r="Q80" s="966" t="str">
        <f t="shared" si="8"/>
        <v/>
      </c>
    </row>
    <row r="81" spans="1:17" ht="21" customHeight="1">
      <c r="A81" s="993">
        <f t="shared" si="9"/>
        <v>44898.864583333336</v>
      </c>
      <c r="B81" s="373" t="s">
        <v>593</v>
      </c>
      <c r="C81" s="894">
        <f t="shared" si="6"/>
        <v>0</v>
      </c>
      <c r="E81" s="374" t="b">
        <f>ISNUMBER(#REF!)</f>
        <v>0</v>
      </c>
      <c r="F81" s="374" t="b">
        <f>ISNUMBER(#REF!)</f>
        <v>0</v>
      </c>
      <c r="G81" s="374" t="b">
        <f>ISNUMBER(#REF!)</f>
        <v>0</v>
      </c>
      <c r="H81" s="374" t="b">
        <f>ISNUMBER(#REF!)</f>
        <v>0</v>
      </c>
      <c r="I81" s="374" t="b">
        <f>ISNUMBER(#REF!)</f>
        <v>0</v>
      </c>
      <c r="J81" s="374" t="b">
        <f>ISNUMBER(#REF!)</f>
        <v>0</v>
      </c>
      <c r="K81" s="374" t="b">
        <f t="shared" si="7"/>
        <v>1</v>
      </c>
      <c r="L81" s="374" t="b">
        <f>ISNUMBER(#REF!)</f>
        <v>0</v>
      </c>
      <c r="M81" s="374" t="b">
        <f>ISNUMBER(#REF!)</f>
        <v>0</v>
      </c>
      <c r="N81" s="374" t="b">
        <f>ISNUMBER(#REF!)</f>
        <v>0</v>
      </c>
      <c r="O81" s="374" t="b">
        <f>ISNUMBER(#REF!)</f>
        <v>0</v>
      </c>
      <c r="P81" s="374" t="b">
        <f>ISNUMBER(#REF!)</f>
        <v>0</v>
      </c>
      <c r="Q81" s="966" t="str">
        <f t="shared" si="8"/>
        <v/>
      </c>
    </row>
    <row r="82" spans="1:17" ht="21" customHeight="1">
      <c r="A82" s="993">
        <f t="shared" si="9"/>
        <v>44898.864583333336</v>
      </c>
      <c r="B82" s="373" t="s">
        <v>596</v>
      </c>
      <c r="C82" s="894">
        <f t="shared" si="6"/>
        <v>0</v>
      </c>
      <c r="E82" s="374" t="b">
        <f>ISNUMBER(#REF!)</f>
        <v>0</v>
      </c>
      <c r="F82" s="374" t="b">
        <f>ISNUMBER(#REF!)</f>
        <v>0</v>
      </c>
      <c r="G82" s="374" t="b">
        <f>ISNUMBER(#REF!)</f>
        <v>0</v>
      </c>
      <c r="H82" s="374" t="b">
        <f>ISNUMBER(#REF!)</f>
        <v>0</v>
      </c>
      <c r="I82" s="374" t="b">
        <f>ISNUMBER(#REF!)</f>
        <v>0</v>
      </c>
      <c r="J82" s="374" t="b">
        <f>ISNUMBER(#REF!)</f>
        <v>0</v>
      </c>
      <c r="K82" s="374" t="b">
        <f t="shared" si="7"/>
        <v>1</v>
      </c>
      <c r="L82" s="374" t="b">
        <f>ISNUMBER(#REF!)</f>
        <v>0</v>
      </c>
      <c r="M82" s="374" t="b">
        <f>ISNUMBER(#REF!)</f>
        <v>0</v>
      </c>
      <c r="N82" s="374" t="b">
        <f>ISNUMBER(#REF!)</f>
        <v>0</v>
      </c>
      <c r="O82" s="374" t="b">
        <f>ISNUMBER(#REF!)</f>
        <v>0</v>
      </c>
      <c r="P82" s="374" t="b">
        <f>ISNUMBER(#REF!)</f>
        <v>0</v>
      </c>
      <c r="Q82" s="966" t="str">
        <f t="shared" si="8"/>
        <v/>
      </c>
    </row>
    <row r="83" spans="1:17" ht="21" customHeight="1">
      <c r="A83" s="993">
        <f t="shared" si="9"/>
        <v>44898.864583333336</v>
      </c>
      <c r="B83" s="373" t="s">
        <v>599</v>
      </c>
      <c r="C83" s="894">
        <f t="shared" si="6"/>
        <v>0</v>
      </c>
      <c r="E83" s="374" t="b">
        <f>ISNUMBER(#REF!)</f>
        <v>0</v>
      </c>
      <c r="F83" s="374" t="b">
        <f>ISNUMBER(#REF!)</f>
        <v>0</v>
      </c>
      <c r="G83" s="374" t="b">
        <f>ISNUMBER(#REF!)</f>
        <v>0</v>
      </c>
      <c r="H83" s="374" t="b">
        <f>ISNUMBER(#REF!)</f>
        <v>0</v>
      </c>
      <c r="I83" s="374" t="b">
        <f>ISNUMBER(#REF!)</f>
        <v>0</v>
      </c>
      <c r="J83" s="374" t="b">
        <f>ISNUMBER(#REF!)</f>
        <v>0</v>
      </c>
      <c r="K83" s="374" t="b">
        <f t="shared" si="7"/>
        <v>1</v>
      </c>
      <c r="L83" s="374" t="b">
        <f>ISNUMBER(#REF!)</f>
        <v>0</v>
      </c>
      <c r="M83" s="374" t="b">
        <f>ISNUMBER(#REF!)</f>
        <v>0</v>
      </c>
      <c r="N83" s="374" t="b">
        <f>ISNUMBER(#REF!)</f>
        <v>0</v>
      </c>
      <c r="O83" s="374" t="b">
        <f>ISNUMBER(#REF!)</f>
        <v>0</v>
      </c>
      <c r="P83" s="374" t="b">
        <f>ISNUMBER(#REF!)</f>
        <v>0</v>
      </c>
      <c r="Q83" s="966" t="str">
        <f t="shared" si="8"/>
        <v/>
      </c>
    </row>
  </sheetData>
  <phoneticPr fontId="6"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45"/>
  <sheetViews>
    <sheetView topLeftCell="A13" zoomScale="55" zoomScaleNormal="55" workbookViewId="0">
      <selection activeCell="A46" sqref="A46:XFD46"/>
    </sheetView>
  </sheetViews>
  <sheetFormatPr defaultRowHeight="27" customHeight="1"/>
  <cols>
    <col min="1" max="1" width="27.5" style="992" customWidth="1"/>
    <col min="2" max="2" width="21.625" style="982" customWidth="1"/>
    <col min="3" max="3" width="25.125" style="983" customWidth="1"/>
    <col min="4" max="4" width="9" style="970"/>
    <col min="5" max="16" width="9" style="970" hidden="1" customWidth="1"/>
    <col min="17" max="16384" width="9" style="970"/>
  </cols>
  <sheetData>
    <row r="1" spans="1:17" ht="57" customHeight="1">
      <c r="A1" s="988" t="s">
        <v>360</v>
      </c>
      <c r="B1" s="968"/>
      <c r="C1" s="969"/>
    </row>
    <row r="2" spans="1:17" s="973" customFormat="1" ht="27" customHeight="1">
      <c r="A2" s="991" t="s">
        <v>361</v>
      </c>
      <c r="B2" s="971" t="s">
        <v>362</v>
      </c>
      <c r="C2" s="972" t="s">
        <v>379</v>
      </c>
      <c r="E2" s="974">
        <v>1</v>
      </c>
      <c r="F2" s="974" t="s">
        <v>890</v>
      </c>
      <c r="G2" s="974">
        <v>2</v>
      </c>
      <c r="H2" s="974" t="s">
        <v>890</v>
      </c>
      <c r="I2" s="974">
        <v>3</v>
      </c>
      <c r="J2" s="974" t="s">
        <v>890</v>
      </c>
      <c r="K2" s="974">
        <v>4</v>
      </c>
      <c r="L2" s="974" t="s">
        <v>890</v>
      </c>
      <c r="M2" s="974">
        <v>5</v>
      </c>
      <c r="N2" s="974" t="s">
        <v>890</v>
      </c>
      <c r="O2" s="974">
        <v>6</v>
      </c>
      <c r="P2" s="974" t="s">
        <v>890</v>
      </c>
      <c r="Q2" s="975">
        <v>5</v>
      </c>
    </row>
    <row r="3" spans="1:17" s="973" customFormat="1" ht="27" customHeight="1">
      <c r="A3" s="991" t="s">
        <v>385</v>
      </c>
      <c r="B3" s="971" t="s">
        <v>386</v>
      </c>
      <c r="C3" s="972" t="s">
        <v>396</v>
      </c>
      <c r="Q3" s="985"/>
    </row>
    <row r="4" spans="1:17" ht="27" customHeight="1">
      <c r="A4" s="990">
        <f>MENU!Y21</f>
        <v>44898.947916666664</v>
      </c>
      <c r="B4" s="976" t="s">
        <v>277</v>
      </c>
      <c r="C4" s="977">
        <f t="shared" ref="C4:C45" si="0">IFERROR(VLOOKUP($B4,_XM_XT_THUCTE,32,0),"")</f>
        <v>0</v>
      </c>
      <c r="E4" s="970" t="b">
        <f>ISNUMBER(#REF!)</f>
        <v>0</v>
      </c>
      <c r="F4" s="970" t="b">
        <f>ISNUMBER(#REF!)</f>
        <v>0</v>
      </c>
      <c r="G4" s="970" t="b">
        <f>ISNUMBER(#REF!)</f>
        <v>0</v>
      </c>
      <c r="H4" s="970" t="b">
        <f>ISNUMBER(#REF!)</f>
        <v>0</v>
      </c>
      <c r="I4" s="970" t="b">
        <f>ISNUMBER(#REF!)</f>
        <v>0</v>
      </c>
      <c r="J4" s="970" t="b">
        <f>ISNUMBER(#REF!)</f>
        <v>0</v>
      </c>
      <c r="K4" s="970" t="b">
        <f>ISNUMBER(#REF!)</f>
        <v>0</v>
      </c>
      <c r="L4" s="970" t="b">
        <f>ISNUMBER(#REF!)</f>
        <v>0</v>
      </c>
      <c r="M4" s="970" t="b">
        <f t="shared" ref="M4:M35" si="1">ISNUMBER(C4)</f>
        <v>1</v>
      </c>
      <c r="N4" s="970" t="b">
        <f>ISNUMBER(#REF!)</f>
        <v>0</v>
      </c>
      <c r="O4" s="970" t="b">
        <f>ISNUMBER(#REF!)</f>
        <v>0</v>
      </c>
      <c r="P4" s="970" t="b">
        <f>ISNUMBER(#REF!)</f>
        <v>0</v>
      </c>
      <c r="Q4" s="978" t="str">
        <f t="shared" ref="Q4:Q35" si="2">IF(M4=TRUE,"",1)</f>
        <v/>
      </c>
    </row>
    <row r="5" spans="1:17" ht="27" customHeight="1">
      <c r="A5" s="993">
        <f>IF(B5="","",$A$4)</f>
        <v>44898.947916666664</v>
      </c>
      <c r="B5" s="976" t="s">
        <v>278</v>
      </c>
      <c r="C5" s="977">
        <f t="shared" si="0"/>
        <v>0</v>
      </c>
      <c r="E5" s="970" t="b">
        <f>ISNUMBER(#REF!)</f>
        <v>0</v>
      </c>
      <c r="F5" s="970" t="b">
        <f>ISNUMBER(#REF!)</f>
        <v>0</v>
      </c>
      <c r="G5" s="970" t="b">
        <f>ISNUMBER(#REF!)</f>
        <v>0</v>
      </c>
      <c r="H5" s="970" t="b">
        <f>ISNUMBER(#REF!)</f>
        <v>0</v>
      </c>
      <c r="I5" s="970" t="b">
        <f>ISNUMBER(#REF!)</f>
        <v>0</v>
      </c>
      <c r="J5" s="970" t="b">
        <f>ISNUMBER(#REF!)</f>
        <v>0</v>
      </c>
      <c r="K5" s="970" t="b">
        <f>ISNUMBER(#REF!)</f>
        <v>0</v>
      </c>
      <c r="L5" s="970" t="b">
        <f>ISNUMBER(#REF!)</f>
        <v>0</v>
      </c>
      <c r="M5" s="970" t="b">
        <f t="shared" si="1"/>
        <v>1</v>
      </c>
      <c r="N5" s="970" t="b">
        <f>ISNUMBER(#REF!)</f>
        <v>0</v>
      </c>
      <c r="O5" s="970" t="b">
        <f>ISNUMBER(#REF!)</f>
        <v>0</v>
      </c>
      <c r="P5" s="970" t="b">
        <f>ISNUMBER(#REF!)</f>
        <v>0</v>
      </c>
      <c r="Q5" s="978" t="str">
        <f t="shared" si="2"/>
        <v/>
      </c>
    </row>
    <row r="6" spans="1:17" ht="27" customHeight="1">
      <c r="A6" s="993">
        <f t="shared" ref="A6:A45" si="3">IF(B6="","",$A$4)</f>
        <v>44898.947916666664</v>
      </c>
      <c r="B6" s="976" t="s">
        <v>279</v>
      </c>
      <c r="C6" s="977">
        <f t="shared" si="0"/>
        <v>0</v>
      </c>
      <c r="E6" s="970" t="b">
        <f>ISNUMBER(#REF!)</f>
        <v>0</v>
      </c>
      <c r="F6" s="970" t="b">
        <f>ISNUMBER(#REF!)</f>
        <v>0</v>
      </c>
      <c r="G6" s="970" t="b">
        <f>ISNUMBER(#REF!)</f>
        <v>0</v>
      </c>
      <c r="H6" s="970" t="b">
        <f>ISNUMBER(#REF!)</f>
        <v>0</v>
      </c>
      <c r="I6" s="970" t="b">
        <f>ISNUMBER(#REF!)</f>
        <v>0</v>
      </c>
      <c r="J6" s="970" t="b">
        <f>ISNUMBER(#REF!)</f>
        <v>0</v>
      </c>
      <c r="K6" s="970" t="b">
        <f>ISNUMBER(#REF!)</f>
        <v>0</v>
      </c>
      <c r="L6" s="970" t="b">
        <f>ISNUMBER(#REF!)</f>
        <v>0</v>
      </c>
      <c r="M6" s="970" t="b">
        <f t="shared" si="1"/>
        <v>1</v>
      </c>
      <c r="N6" s="970" t="b">
        <f>ISNUMBER(#REF!)</f>
        <v>0</v>
      </c>
      <c r="O6" s="970" t="b">
        <f>ISNUMBER(#REF!)</f>
        <v>0</v>
      </c>
      <c r="P6" s="970" t="b">
        <f>ISNUMBER(#REF!)</f>
        <v>0</v>
      </c>
      <c r="Q6" s="978" t="str">
        <f t="shared" si="2"/>
        <v/>
      </c>
    </row>
    <row r="7" spans="1:17" ht="27" customHeight="1">
      <c r="A7" s="993">
        <f t="shared" si="3"/>
        <v>44898.947916666664</v>
      </c>
      <c r="B7" s="976" t="s">
        <v>280</v>
      </c>
      <c r="C7" s="977">
        <f t="shared" si="0"/>
        <v>0</v>
      </c>
      <c r="E7" s="970" t="b">
        <f>ISNUMBER(#REF!)</f>
        <v>0</v>
      </c>
      <c r="F7" s="970" t="b">
        <f>ISNUMBER(#REF!)</f>
        <v>0</v>
      </c>
      <c r="G7" s="970" t="b">
        <f>ISNUMBER(#REF!)</f>
        <v>0</v>
      </c>
      <c r="H7" s="970" t="b">
        <f>ISNUMBER(#REF!)</f>
        <v>0</v>
      </c>
      <c r="I7" s="970" t="b">
        <f>ISNUMBER(#REF!)</f>
        <v>0</v>
      </c>
      <c r="J7" s="970" t="b">
        <f>ISNUMBER(#REF!)</f>
        <v>0</v>
      </c>
      <c r="K7" s="970" t="b">
        <f>ISNUMBER(#REF!)</f>
        <v>0</v>
      </c>
      <c r="L7" s="970" t="b">
        <f>ISNUMBER(#REF!)</f>
        <v>0</v>
      </c>
      <c r="M7" s="970" t="b">
        <f t="shared" si="1"/>
        <v>1</v>
      </c>
      <c r="N7" s="970" t="b">
        <f>ISNUMBER(#REF!)</f>
        <v>0</v>
      </c>
      <c r="O7" s="970" t="b">
        <f>ISNUMBER(#REF!)</f>
        <v>0</v>
      </c>
      <c r="P7" s="970" t="b">
        <f>ISNUMBER(#REF!)</f>
        <v>0</v>
      </c>
      <c r="Q7" s="978" t="str">
        <f t="shared" si="2"/>
        <v/>
      </c>
    </row>
    <row r="8" spans="1:17" ht="27" customHeight="1">
      <c r="A8" s="993">
        <f t="shared" si="3"/>
        <v>44898.947916666664</v>
      </c>
      <c r="B8" s="976" t="s">
        <v>281</v>
      </c>
      <c r="C8" s="977">
        <f t="shared" si="0"/>
        <v>0</v>
      </c>
      <c r="E8" s="970" t="b">
        <f>ISNUMBER(#REF!)</f>
        <v>0</v>
      </c>
      <c r="F8" s="970" t="b">
        <f>ISNUMBER(#REF!)</f>
        <v>0</v>
      </c>
      <c r="G8" s="970" t="b">
        <f>ISNUMBER(#REF!)</f>
        <v>0</v>
      </c>
      <c r="H8" s="970" t="b">
        <f>ISNUMBER(#REF!)</f>
        <v>0</v>
      </c>
      <c r="I8" s="970" t="b">
        <f>ISNUMBER(#REF!)</f>
        <v>0</v>
      </c>
      <c r="J8" s="970" t="b">
        <f>ISNUMBER(#REF!)</f>
        <v>0</v>
      </c>
      <c r="K8" s="970" t="b">
        <f>ISNUMBER(#REF!)</f>
        <v>0</v>
      </c>
      <c r="L8" s="970" t="b">
        <f>ISNUMBER(#REF!)</f>
        <v>0</v>
      </c>
      <c r="M8" s="970" t="b">
        <f t="shared" si="1"/>
        <v>1</v>
      </c>
      <c r="N8" s="970" t="b">
        <f>ISNUMBER(#REF!)</f>
        <v>0</v>
      </c>
      <c r="O8" s="970" t="b">
        <f>ISNUMBER(#REF!)</f>
        <v>0</v>
      </c>
      <c r="P8" s="970" t="b">
        <f>ISNUMBER(#REF!)</f>
        <v>0</v>
      </c>
      <c r="Q8" s="978" t="str">
        <f t="shared" si="2"/>
        <v/>
      </c>
    </row>
    <row r="9" spans="1:17" ht="27" customHeight="1">
      <c r="A9" s="993">
        <f t="shared" si="3"/>
        <v>44898.947916666664</v>
      </c>
      <c r="B9" s="976" t="s">
        <v>282</v>
      </c>
      <c r="C9" s="977">
        <f t="shared" si="0"/>
        <v>0</v>
      </c>
      <c r="E9" s="970" t="b">
        <f>ISNUMBER(#REF!)</f>
        <v>0</v>
      </c>
      <c r="F9" s="970" t="b">
        <f>ISNUMBER(#REF!)</f>
        <v>0</v>
      </c>
      <c r="G9" s="970" t="b">
        <f>ISNUMBER(#REF!)</f>
        <v>0</v>
      </c>
      <c r="H9" s="970" t="b">
        <f>ISNUMBER(#REF!)</f>
        <v>0</v>
      </c>
      <c r="I9" s="970" t="b">
        <f>ISNUMBER(#REF!)</f>
        <v>0</v>
      </c>
      <c r="J9" s="970" t="b">
        <f>ISNUMBER(#REF!)</f>
        <v>0</v>
      </c>
      <c r="K9" s="970" t="b">
        <f>ISNUMBER(#REF!)</f>
        <v>0</v>
      </c>
      <c r="L9" s="970" t="b">
        <f>ISNUMBER(#REF!)</f>
        <v>0</v>
      </c>
      <c r="M9" s="970" t="b">
        <f t="shared" si="1"/>
        <v>1</v>
      </c>
      <c r="N9" s="970" t="b">
        <f>ISNUMBER(#REF!)</f>
        <v>0</v>
      </c>
      <c r="O9" s="970" t="b">
        <f>ISNUMBER(#REF!)</f>
        <v>0</v>
      </c>
      <c r="P9" s="970" t="b">
        <f>ISNUMBER(#REF!)</f>
        <v>0</v>
      </c>
      <c r="Q9" s="978" t="str">
        <f t="shared" si="2"/>
        <v/>
      </c>
    </row>
    <row r="10" spans="1:17" ht="27" customHeight="1">
      <c r="A10" s="993">
        <f t="shared" si="3"/>
        <v>44898.947916666664</v>
      </c>
      <c r="B10" s="976" t="s">
        <v>288</v>
      </c>
      <c r="C10" s="977">
        <f t="shared" si="0"/>
        <v>0</v>
      </c>
      <c r="E10" s="970" t="b">
        <f>ISNUMBER(#REF!)</f>
        <v>0</v>
      </c>
      <c r="F10" s="970" t="b">
        <f>ISNUMBER(#REF!)</f>
        <v>0</v>
      </c>
      <c r="G10" s="970" t="b">
        <f>ISNUMBER(#REF!)</f>
        <v>0</v>
      </c>
      <c r="H10" s="970" t="b">
        <f>ISNUMBER(#REF!)</f>
        <v>0</v>
      </c>
      <c r="I10" s="970" t="b">
        <f>ISNUMBER(#REF!)</f>
        <v>0</v>
      </c>
      <c r="J10" s="970" t="b">
        <f>ISNUMBER(#REF!)</f>
        <v>0</v>
      </c>
      <c r="K10" s="970" t="b">
        <f>ISNUMBER(#REF!)</f>
        <v>0</v>
      </c>
      <c r="L10" s="970" t="b">
        <f>ISNUMBER(#REF!)</f>
        <v>0</v>
      </c>
      <c r="M10" s="970" t="b">
        <f t="shared" si="1"/>
        <v>1</v>
      </c>
      <c r="N10" s="970" t="b">
        <f>ISNUMBER(#REF!)</f>
        <v>0</v>
      </c>
      <c r="O10" s="970" t="b">
        <f>ISNUMBER(#REF!)</f>
        <v>0</v>
      </c>
      <c r="P10" s="970" t="b">
        <f>ISNUMBER(#REF!)</f>
        <v>0</v>
      </c>
      <c r="Q10" s="978" t="str">
        <f t="shared" si="2"/>
        <v/>
      </c>
    </row>
    <row r="11" spans="1:17" ht="27" customHeight="1">
      <c r="A11" s="993">
        <f t="shared" si="3"/>
        <v>44898.947916666664</v>
      </c>
      <c r="B11" s="976" t="s">
        <v>290</v>
      </c>
      <c r="C11" s="977">
        <f t="shared" si="0"/>
        <v>0</v>
      </c>
      <c r="E11" s="970" t="b">
        <f>ISNUMBER(#REF!)</f>
        <v>0</v>
      </c>
      <c r="F11" s="970" t="b">
        <f>ISNUMBER(#REF!)</f>
        <v>0</v>
      </c>
      <c r="G11" s="970" t="b">
        <f>ISNUMBER(#REF!)</f>
        <v>0</v>
      </c>
      <c r="H11" s="970" t="b">
        <f>ISNUMBER(#REF!)</f>
        <v>0</v>
      </c>
      <c r="I11" s="970" t="b">
        <f>ISNUMBER(#REF!)</f>
        <v>0</v>
      </c>
      <c r="J11" s="970" t="b">
        <f>ISNUMBER(#REF!)</f>
        <v>0</v>
      </c>
      <c r="K11" s="970" t="b">
        <f>ISNUMBER(#REF!)</f>
        <v>0</v>
      </c>
      <c r="L11" s="970" t="b">
        <f>ISNUMBER(#REF!)</f>
        <v>0</v>
      </c>
      <c r="M11" s="970" t="b">
        <f t="shared" si="1"/>
        <v>1</v>
      </c>
      <c r="N11" s="970" t="b">
        <f>ISNUMBER(#REF!)</f>
        <v>0</v>
      </c>
      <c r="O11" s="970" t="b">
        <f>ISNUMBER(#REF!)</f>
        <v>0</v>
      </c>
      <c r="P11" s="970" t="b">
        <f>ISNUMBER(#REF!)</f>
        <v>0</v>
      </c>
      <c r="Q11" s="978" t="str">
        <f t="shared" si="2"/>
        <v/>
      </c>
    </row>
    <row r="12" spans="1:17" ht="27" customHeight="1">
      <c r="A12" s="993">
        <f t="shared" si="3"/>
        <v>44898.947916666664</v>
      </c>
      <c r="B12" s="976" t="s">
        <v>283</v>
      </c>
      <c r="C12" s="977">
        <f t="shared" si="0"/>
        <v>0</v>
      </c>
      <c r="E12" s="970" t="b">
        <f>ISNUMBER(#REF!)</f>
        <v>0</v>
      </c>
      <c r="F12" s="970" t="b">
        <f>ISNUMBER(#REF!)</f>
        <v>0</v>
      </c>
      <c r="G12" s="970" t="b">
        <f>ISNUMBER(#REF!)</f>
        <v>0</v>
      </c>
      <c r="H12" s="970" t="b">
        <f>ISNUMBER(#REF!)</f>
        <v>0</v>
      </c>
      <c r="I12" s="970" t="b">
        <f>ISNUMBER(#REF!)</f>
        <v>0</v>
      </c>
      <c r="J12" s="970" t="b">
        <f>ISNUMBER(#REF!)</f>
        <v>0</v>
      </c>
      <c r="K12" s="970" t="b">
        <f>ISNUMBER(#REF!)</f>
        <v>0</v>
      </c>
      <c r="L12" s="970" t="b">
        <f>ISNUMBER(#REF!)</f>
        <v>0</v>
      </c>
      <c r="M12" s="970" t="b">
        <f t="shared" si="1"/>
        <v>1</v>
      </c>
      <c r="N12" s="970" t="b">
        <f>ISNUMBER(#REF!)</f>
        <v>0</v>
      </c>
      <c r="O12" s="970" t="b">
        <f>ISNUMBER(#REF!)</f>
        <v>0</v>
      </c>
      <c r="P12" s="970" t="b">
        <f>ISNUMBER(#REF!)</f>
        <v>0</v>
      </c>
      <c r="Q12" s="978" t="str">
        <f t="shared" si="2"/>
        <v/>
      </c>
    </row>
    <row r="13" spans="1:17" ht="27" customHeight="1">
      <c r="A13" s="993">
        <f t="shared" si="3"/>
        <v>44898.947916666664</v>
      </c>
      <c r="B13" s="976" t="s">
        <v>284</v>
      </c>
      <c r="C13" s="977">
        <f t="shared" si="0"/>
        <v>0</v>
      </c>
      <c r="E13" s="970" t="b">
        <f>ISNUMBER(#REF!)</f>
        <v>0</v>
      </c>
      <c r="F13" s="970" t="b">
        <f>ISNUMBER(#REF!)</f>
        <v>0</v>
      </c>
      <c r="G13" s="970" t="b">
        <f>ISNUMBER(#REF!)</f>
        <v>0</v>
      </c>
      <c r="H13" s="970" t="b">
        <f>ISNUMBER(#REF!)</f>
        <v>0</v>
      </c>
      <c r="I13" s="970" t="b">
        <f>ISNUMBER(#REF!)</f>
        <v>0</v>
      </c>
      <c r="J13" s="970" t="b">
        <f>ISNUMBER(#REF!)</f>
        <v>0</v>
      </c>
      <c r="K13" s="970" t="b">
        <f>ISNUMBER(#REF!)</f>
        <v>0</v>
      </c>
      <c r="L13" s="970" t="b">
        <f>ISNUMBER(#REF!)</f>
        <v>0</v>
      </c>
      <c r="M13" s="970" t="b">
        <f t="shared" si="1"/>
        <v>1</v>
      </c>
      <c r="N13" s="970" t="b">
        <f>ISNUMBER(#REF!)</f>
        <v>0</v>
      </c>
      <c r="O13" s="970" t="b">
        <f>ISNUMBER(#REF!)</f>
        <v>0</v>
      </c>
      <c r="P13" s="970" t="b">
        <f>ISNUMBER(#REF!)</f>
        <v>0</v>
      </c>
      <c r="Q13" s="978" t="str">
        <f t="shared" si="2"/>
        <v/>
      </c>
    </row>
    <row r="14" spans="1:17" ht="27" customHeight="1">
      <c r="A14" s="993">
        <f t="shared" si="3"/>
        <v>44898.947916666664</v>
      </c>
      <c r="B14" s="976" t="s">
        <v>285</v>
      </c>
      <c r="C14" s="977">
        <f t="shared" si="0"/>
        <v>0</v>
      </c>
      <c r="E14" s="970" t="b">
        <f>ISNUMBER(#REF!)</f>
        <v>0</v>
      </c>
      <c r="F14" s="970" t="b">
        <f>ISNUMBER(#REF!)</f>
        <v>0</v>
      </c>
      <c r="G14" s="970" t="b">
        <f>ISNUMBER(#REF!)</f>
        <v>0</v>
      </c>
      <c r="H14" s="970" t="b">
        <f>ISNUMBER(#REF!)</f>
        <v>0</v>
      </c>
      <c r="I14" s="970" t="b">
        <f>ISNUMBER(#REF!)</f>
        <v>0</v>
      </c>
      <c r="J14" s="970" t="b">
        <f>ISNUMBER(#REF!)</f>
        <v>0</v>
      </c>
      <c r="K14" s="970" t="b">
        <f>ISNUMBER(#REF!)</f>
        <v>0</v>
      </c>
      <c r="L14" s="970" t="b">
        <f>ISNUMBER(#REF!)</f>
        <v>0</v>
      </c>
      <c r="M14" s="970" t="b">
        <f t="shared" si="1"/>
        <v>1</v>
      </c>
      <c r="N14" s="970" t="b">
        <f>ISNUMBER(#REF!)</f>
        <v>0</v>
      </c>
      <c r="O14" s="970" t="b">
        <f>ISNUMBER(#REF!)</f>
        <v>0</v>
      </c>
      <c r="P14" s="970" t="b">
        <f>ISNUMBER(#REF!)</f>
        <v>0</v>
      </c>
      <c r="Q14" s="978" t="str">
        <f t="shared" si="2"/>
        <v/>
      </c>
    </row>
    <row r="15" spans="1:17" ht="27" customHeight="1">
      <c r="A15" s="993">
        <f t="shared" si="3"/>
        <v>44898.947916666664</v>
      </c>
      <c r="B15" s="976" t="s">
        <v>286</v>
      </c>
      <c r="C15" s="977">
        <f t="shared" si="0"/>
        <v>0</v>
      </c>
      <c r="E15" s="970" t="b">
        <f>ISNUMBER(#REF!)</f>
        <v>0</v>
      </c>
      <c r="F15" s="970" t="b">
        <f>ISNUMBER(#REF!)</f>
        <v>0</v>
      </c>
      <c r="G15" s="970" t="b">
        <f>ISNUMBER(#REF!)</f>
        <v>0</v>
      </c>
      <c r="H15" s="970" t="b">
        <f>ISNUMBER(#REF!)</f>
        <v>0</v>
      </c>
      <c r="I15" s="970" t="b">
        <f>ISNUMBER(#REF!)</f>
        <v>0</v>
      </c>
      <c r="J15" s="970" t="b">
        <f>ISNUMBER(#REF!)</f>
        <v>0</v>
      </c>
      <c r="K15" s="970" t="b">
        <f>ISNUMBER(#REF!)</f>
        <v>0</v>
      </c>
      <c r="L15" s="970" t="b">
        <f>ISNUMBER(#REF!)</f>
        <v>0</v>
      </c>
      <c r="M15" s="970" t="b">
        <f t="shared" si="1"/>
        <v>1</v>
      </c>
      <c r="N15" s="970" t="b">
        <f>ISNUMBER(#REF!)</f>
        <v>0</v>
      </c>
      <c r="O15" s="970" t="b">
        <f>ISNUMBER(#REF!)</f>
        <v>0</v>
      </c>
      <c r="P15" s="970" t="b">
        <f>ISNUMBER(#REF!)</f>
        <v>0</v>
      </c>
      <c r="Q15" s="978" t="str">
        <f t="shared" si="2"/>
        <v/>
      </c>
    </row>
    <row r="16" spans="1:17" ht="27" customHeight="1">
      <c r="A16" s="993">
        <f t="shared" si="3"/>
        <v>44898.947916666664</v>
      </c>
      <c r="B16" s="976" t="s">
        <v>298</v>
      </c>
      <c r="C16" s="977">
        <f t="shared" si="0"/>
        <v>0</v>
      </c>
      <c r="E16" s="970" t="b">
        <f>ISNUMBER(#REF!)</f>
        <v>0</v>
      </c>
      <c r="F16" s="970" t="b">
        <f>ISNUMBER(#REF!)</f>
        <v>0</v>
      </c>
      <c r="G16" s="970" t="b">
        <f>ISNUMBER(#REF!)</f>
        <v>0</v>
      </c>
      <c r="H16" s="970" t="b">
        <f>ISNUMBER(#REF!)</f>
        <v>0</v>
      </c>
      <c r="I16" s="970" t="b">
        <f>ISNUMBER(#REF!)</f>
        <v>0</v>
      </c>
      <c r="J16" s="970" t="b">
        <f>ISNUMBER(#REF!)</f>
        <v>0</v>
      </c>
      <c r="K16" s="970" t="b">
        <f>ISNUMBER(#REF!)</f>
        <v>0</v>
      </c>
      <c r="L16" s="970" t="b">
        <f>ISNUMBER(#REF!)</f>
        <v>0</v>
      </c>
      <c r="M16" s="970" t="b">
        <f t="shared" si="1"/>
        <v>1</v>
      </c>
      <c r="N16" s="970" t="b">
        <f>ISNUMBER(#REF!)</f>
        <v>0</v>
      </c>
      <c r="O16" s="970" t="b">
        <f>ISNUMBER(#REF!)</f>
        <v>0</v>
      </c>
      <c r="P16" s="970" t="b">
        <f>ISNUMBER(#REF!)</f>
        <v>0</v>
      </c>
      <c r="Q16" s="978" t="str">
        <f t="shared" si="2"/>
        <v/>
      </c>
    </row>
    <row r="17" spans="1:17" ht="27" customHeight="1">
      <c r="A17" s="993">
        <f t="shared" si="3"/>
        <v>44898.947916666664</v>
      </c>
      <c r="B17" s="976" t="s">
        <v>299</v>
      </c>
      <c r="C17" s="977">
        <f t="shared" si="0"/>
        <v>0</v>
      </c>
      <c r="E17" s="970" t="b">
        <f>ISNUMBER(#REF!)</f>
        <v>0</v>
      </c>
      <c r="F17" s="970" t="b">
        <f>ISNUMBER(#REF!)</f>
        <v>0</v>
      </c>
      <c r="G17" s="970" t="b">
        <f>ISNUMBER(#REF!)</f>
        <v>0</v>
      </c>
      <c r="H17" s="970" t="b">
        <f>ISNUMBER(#REF!)</f>
        <v>0</v>
      </c>
      <c r="I17" s="970" t="b">
        <f>ISNUMBER(#REF!)</f>
        <v>0</v>
      </c>
      <c r="J17" s="970" t="b">
        <f>ISNUMBER(#REF!)</f>
        <v>0</v>
      </c>
      <c r="K17" s="970" t="b">
        <f>ISNUMBER(#REF!)</f>
        <v>0</v>
      </c>
      <c r="L17" s="970" t="b">
        <f>ISNUMBER(#REF!)</f>
        <v>0</v>
      </c>
      <c r="M17" s="970" t="b">
        <f t="shared" si="1"/>
        <v>1</v>
      </c>
      <c r="N17" s="970" t="b">
        <f>ISNUMBER(#REF!)</f>
        <v>0</v>
      </c>
      <c r="O17" s="970" t="b">
        <f>ISNUMBER(#REF!)</f>
        <v>0</v>
      </c>
      <c r="P17" s="970" t="b">
        <f>ISNUMBER(#REF!)</f>
        <v>0</v>
      </c>
      <c r="Q17" s="978" t="str">
        <f t="shared" si="2"/>
        <v/>
      </c>
    </row>
    <row r="18" spans="1:17" ht="27" customHeight="1">
      <c r="A18" s="993">
        <f t="shared" si="3"/>
        <v>44898.947916666664</v>
      </c>
      <c r="B18" s="976" t="s">
        <v>300</v>
      </c>
      <c r="C18" s="977">
        <f t="shared" si="0"/>
        <v>0</v>
      </c>
      <c r="E18" s="970" t="b">
        <f>ISNUMBER(#REF!)</f>
        <v>0</v>
      </c>
      <c r="F18" s="970" t="b">
        <f>ISNUMBER(#REF!)</f>
        <v>0</v>
      </c>
      <c r="G18" s="970" t="b">
        <f>ISNUMBER(#REF!)</f>
        <v>0</v>
      </c>
      <c r="H18" s="970" t="b">
        <f>ISNUMBER(#REF!)</f>
        <v>0</v>
      </c>
      <c r="I18" s="970" t="b">
        <f>ISNUMBER(#REF!)</f>
        <v>0</v>
      </c>
      <c r="J18" s="970" t="b">
        <f>ISNUMBER(#REF!)</f>
        <v>0</v>
      </c>
      <c r="K18" s="970" t="b">
        <f>ISNUMBER(#REF!)</f>
        <v>0</v>
      </c>
      <c r="L18" s="970" t="b">
        <f>ISNUMBER(#REF!)</f>
        <v>0</v>
      </c>
      <c r="M18" s="970" t="b">
        <f t="shared" si="1"/>
        <v>1</v>
      </c>
      <c r="N18" s="970" t="b">
        <f>ISNUMBER(#REF!)</f>
        <v>0</v>
      </c>
      <c r="O18" s="970" t="b">
        <f>ISNUMBER(#REF!)</f>
        <v>0</v>
      </c>
      <c r="P18" s="970" t="b">
        <f>ISNUMBER(#REF!)</f>
        <v>0</v>
      </c>
      <c r="Q18" s="978" t="str">
        <f t="shared" si="2"/>
        <v/>
      </c>
    </row>
    <row r="19" spans="1:17" ht="27" customHeight="1">
      <c r="A19" s="993">
        <f t="shared" si="3"/>
        <v>44898.947916666664</v>
      </c>
      <c r="B19" s="976" t="s">
        <v>301</v>
      </c>
      <c r="C19" s="977">
        <f t="shared" si="0"/>
        <v>0</v>
      </c>
      <c r="E19" s="970" t="b">
        <f>ISNUMBER(#REF!)</f>
        <v>0</v>
      </c>
      <c r="F19" s="970" t="b">
        <f>ISNUMBER(#REF!)</f>
        <v>0</v>
      </c>
      <c r="G19" s="970" t="b">
        <f>ISNUMBER(#REF!)</f>
        <v>0</v>
      </c>
      <c r="H19" s="970" t="b">
        <f>ISNUMBER(#REF!)</f>
        <v>0</v>
      </c>
      <c r="I19" s="970" t="b">
        <f>ISNUMBER(#REF!)</f>
        <v>0</v>
      </c>
      <c r="J19" s="970" t="b">
        <f>ISNUMBER(#REF!)</f>
        <v>0</v>
      </c>
      <c r="K19" s="970" t="b">
        <f>ISNUMBER(#REF!)</f>
        <v>0</v>
      </c>
      <c r="L19" s="970" t="b">
        <f>ISNUMBER(#REF!)</f>
        <v>0</v>
      </c>
      <c r="M19" s="970" t="b">
        <f t="shared" si="1"/>
        <v>1</v>
      </c>
      <c r="N19" s="970" t="b">
        <f>ISNUMBER(#REF!)</f>
        <v>0</v>
      </c>
      <c r="O19" s="970" t="b">
        <f>ISNUMBER(#REF!)</f>
        <v>0</v>
      </c>
      <c r="P19" s="970" t="b">
        <f>ISNUMBER(#REF!)</f>
        <v>0</v>
      </c>
      <c r="Q19" s="978" t="str">
        <f t="shared" si="2"/>
        <v/>
      </c>
    </row>
    <row r="20" spans="1:17" ht="27" customHeight="1">
      <c r="A20" s="993">
        <f t="shared" si="3"/>
        <v>44898.947916666664</v>
      </c>
      <c r="B20" s="976" t="s">
        <v>302</v>
      </c>
      <c r="C20" s="977">
        <f t="shared" si="0"/>
        <v>0</v>
      </c>
      <c r="E20" s="970" t="b">
        <f>ISNUMBER(#REF!)</f>
        <v>0</v>
      </c>
      <c r="F20" s="970" t="b">
        <f>ISNUMBER(#REF!)</f>
        <v>0</v>
      </c>
      <c r="G20" s="970" t="b">
        <f>ISNUMBER(#REF!)</f>
        <v>0</v>
      </c>
      <c r="H20" s="970" t="b">
        <f>ISNUMBER(#REF!)</f>
        <v>0</v>
      </c>
      <c r="I20" s="970" t="b">
        <f>ISNUMBER(#REF!)</f>
        <v>0</v>
      </c>
      <c r="J20" s="970" t="b">
        <f>ISNUMBER(#REF!)</f>
        <v>0</v>
      </c>
      <c r="K20" s="970" t="b">
        <f>ISNUMBER(#REF!)</f>
        <v>0</v>
      </c>
      <c r="L20" s="970" t="b">
        <f>ISNUMBER(#REF!)</f>
        <v>0</v>
      </c>
      <c r="M20" s="970" t="b">
        <f t="shared" si="1"/>
        <v>1</v>
      </c>
      <c r="N20" s="970" t="b">
        <f>ISNUMBER(#REF!)</f>
        <v>0</v>
      </c>
      <c r="O20" s="970" t="b">
        <f>ISNUMBER(#REF!)</f>
        <v>0</v>
      </c>
      <c r="P20" s="970" t="b">
        <f>ISNUMBER(#REF!)</f>
        <v>0</v>
      </c>
      <c r="Q20" s="978" t="str">
        <f t="shared" si="2"/>
        <v/>
      </c>
    </row>
    <row r="21" spans="1:17" ht="27" customHeight="1">
      <c r="A21" s="993">
        <f t="shared" si="3"/>
        <v>44898.947916666664</v>
      </c>
      <c r="B21" s="976" t="s">
        <v>303</v>
      </c>
      <c r="C21" s="977">
        <f t="shared" si="0"/>
        <v>0</v>
      </c>
      <c r="E21" s="970" t="b">
        <f>ISNUMBER(#REF!)</f>
        <v>0</v>
      </c>
      <c r="F21" s="970" t="b">
        <f>ISNUMBER(#REF!)</f>
        <v>0</v>
      </c>
      <c r="G21" s="970" t="b">
        <f>ISNUMBER(#REF!)</f>
        <v>0</v>
      </c>
      <c r="H21" s="970" t="b">
        <f>ISNUMBER(#REF!)</f>
        <v>0</v>
      </c>
      <c r="I21" s="970" t="b">
        <f>ISNUMBER(#REF!)</f>
        <v>0</v>
      </c>
      <c r="J21" s="970" t="b">
        <f>ISNUMBER(#REF!)</f>
        <v>0</v>
      </c>
      <c r="K21" s="970" t="b">
        <f>ISNUMBER(#REF!)</f>
        <v>0</v>
      </c>
      <c r="L21" s="970" t="b">
        <f>ISNUMBER(#REF!)</f>
        <v>0</v>
      </c>
      <c r="M21" s="970" t="b">
        <f t="shared" si="1"/>
        <v>1</v>
      </c>
      <c r="N21" s="970" t="b">
        <f>ISNUMBER(#REF!)</f>
        <v>0</v>
      </c>
      <c r="O21" s="970" t="b">
        <f>ISNUMBER(#REF!)</f>
        <v>0</v>
      </c>
      <c r="P21" s="970" t="b">
        <f>ISNUMBER(#REF!)</f>
        <v>0</v>
      </c>
      <c r="Q21" s="978" t="str">
        <f t="shared" si="2"/>
        <v/>
      </c>
    </row>
    <row r="22" spans="1:17" ht="27" customHeight="1">
      <c r="A22" s="993">
        <f t="shared" si="3"/>
        <v>44898.947916666664</v>
      </c>
      <c r="B22" s="976" t="s">
        <v>304</v>
      </c>
      <c r="C22" s="977">
        <f t="shared" si="0"/>
        <v>0</v>
      </c>
      <c r="E22" s="970" t="b">
        <f>ISNUMBER(#REF!)</f>
        <v>0</v>
      </c>
      <c r="F22" s="970" t="b">
        <f>ISNUMBER(#REF!)</f>
        <v>0</v>
      </c>
      <c r="G22" s="970" t="b">
        <f>ISNUMBER(#REF!)</f>
        <v>0</v>
      </c>
      <c r="H22" s="970" t="b">
        <f>ISNUMBER(#REF!)</f>
        <v>0</v>
      </c>
      <c r="I22" s="970" t="b">
        <f>ISNUMBER(#REF!)</f>
        <v>0</v>
      </c>
      <c r="J22" s="970" t="b">
        <f>ISNUMBER(#REF!)</f>
        <v>0</v>
      </c>
      <c r="K22" s="970" t="b">
        <f>ISNUMBER(#REF!)</f>
        <v>0</v>
      </c>
      <c r="L22" s="970" t="b">
        <f>ISNUMBER(#REF!)</f>
        <v>0</v>
      </c>
      <c r="M22" s="970" t="b">
        <f t="shared" si="1"/>
        <v>1</v>
      </c>
      <c r="N22" s="970" t="b">
        <f>ISNUMBER(#REF!)</f>
        <v>0</v>
      </c>
      <c r="O22" s="970" t="b">
        <f>ISNUMBER(#REF!)</f>
        <v>0</v>
      </c>
      <c r="P22" s="970" t="b">
        <f>ISNUMBER(#REF!)</f>
        <v>0</v>
      </c>
      <c r="Q22" s="978" t="str">
        <f t="shared" si="2"/>
        <v/>
      </c>
    </row>
    <row r="23" spans="1:17" ht="27" customHeight="1">
      <c r="A23" s="993">
        <f t="shared" si="3"/>
        <v>44898.947916666664</v>
      </c>
      <c r="B23" s="976" t="s">
        <v>305</v>
      </c>
      <c r="C23" s="977">
        <f t="shared" si="0"/>
        <v>0</v>
      </c>
      <c r="E23" s="970" t="b">
        <f>ISNUMBER(#REF!)</f>
        <v>0</v>
      </c>
      <c r="F23" s="970" t="b">
        <f>ISNUMBER(#REF!)</f>
        <v>0</v>
      </c>
      <c r="G23" s="970" t="b">
        <f>ISNUMBER(#REF!)</f>
        <v>0</v>
      </c>
      <c r="H23" s="970" t="b">
        <f>ISNUMBER(#REF!)</f>
        <v>0</v>
      </c>
      <c r="I23" s="970" t="b">
        <f>ISNUMBER(#REF!)</f>
        <v>0</v>
      </c>
      <c r="J23" s="970" t="b">
        <f>ISNUMBER(#REF!)</f>
        <v>0</v>
      </c>
      <c r="K23" s="970" t="b">
        <f>ISNUMBER(#REF!)</f>
        <v>0</v>
      </c>
      <c r="L23" s="970" t="b">
        <f>ISNUMBER(#REF!)</f>
        <v>0</v>
      </c>
      <c r="M23" s="970" t="b">
        <f t="shared" si="1"/>
        <v>1</v>
      </c>
      <c r="N23" s="970" t="b">
        <f>ISNUMBER(#REF!)</f>
        <v>0</v>
      </c>
      <c r="O23" s="970" t="b">
        <f>ISNUMBER(#REF!)</f>
        <v>0</v>
      </c>
      <c r="P23" s="970" t="b">
        <f>ISNUMBER(#REF!)</f>
        <v>0</v>
      </c>
      <c r="Q23" s="978" t="str">
        <f t="shared" si="2"/>
        <v/>
      </c>
    </row>
    <row r="24" spans="1:17" ht="27" customHeight="1">
      <c r="A24" s="993">
        <f t="shared" si="3"/>
        <v>44898.947916666664</v>
      </c>
      <c r="B24" s="976" t="s">
        <v>306</v>
      </c>
      <c r="C24" s="977">
        <f t="shared" si="0"/>
        <v>-1.0461</v>
      </c>
      <c r="E24" s="970" t="b">
        <f>ISNUMBER(#REF!)</f>
        <v>0</v>
      </c>
      <c r="F24" s="970" t="b">
        <f>ISNUMBER(#REF!)</f>
        <v>0</v>
      </c>
      <c r="G24" s="970" t="b">
        <f>ISNUMBER(#REF!)</f>
        <v>0</v>
      </c>
      <c r="H24" s="970" t="b">
        <f>ISNUMBER(#REF!)</f>
        <v>0</v>
      </c>
      <c r="I24" s="970" t="b">
        <f>ISNUMBER(#REF!)</f>
        <v>0</v>
      </c>
      <c r="J24" s="970" t="b">
        <f>ISNUMBER(#REF!)</f>
        <v>0</v>
      </c>
      <c r="K24" s="970" t="b">
        <f>ISNUMBER(#REF!)</f>
        <v>0</v>
      </c>
      <c r="L24" s="970" t="b">
        <f>ISNUMBER(#REF!)</f>
        <v>0</v>
      </c>
      <c r="M24" s="970" t="b">
        <f t="shared" si="1"/>
        <v>1</v>
      </c>
      <c r="N24" s="970" t="b">
        <f>ISNUMBER(#REF!)</f>
        <v>0</v>
      </c>
      <c r="O24" s="970" t="b">
        <f>ISNUMBER(#REF!)</f>
        <v>0</v>
      </c>
      <c r="P24" s="970" t="b">
        <f>ISNUMBER(#REF!)</f>
        <v>0</v>
      </c>
      <c r="Q24" s="978" t="str">
        <f t="shared" si="2"/>
        <v/>
      </c>
    </row>
    <row r="25" spans="1:17" ht="27" customHeight="1">
      <c r="A25" s="993">
        <f t="shared" si="3"/>
        <v>44898.947916666664</v>
      </c>
      <c r="B25" s="976" t="s">
        <v>307</v>
      </c>
      <c r="C25" s="977">
        <f t="shared" si="0"/>
        <v>0</v>
      </c>
      <c r="E25" s="970" t="b">
        <f>ISNUMBER(#REF!)</f>
        <v>0</v>
      </c>
      <c r="F25" s="970" t="b">
        <f>ISNUMBER(#REF!)</f>
        <v>0</v>
      </c>
      <c r="G25" s="970" t="b">
        <f>ISNUMBER(#REF!)</f>
        <v>0</v>
      </c>
      <c r="H25" s="970" t="b">
        <f>ISNUMBER(#REF!)</f>
        <v>0</v>
      </c>
      <c r="I25" s="970" t="b">
        <f>ISNUMBER(#REF!)</f>
        <v>0</v>
      </c>
      <c r="J25" s="970" t="b">
        <f>ISNUMBER(#REF!)</f>
        <v>0</v>
      </c>
      <c r="K25" s="970" t="b">
        <f>ISNUMBER(#REF!)</f>
        <v>0</v>
      </c>
      <c r="L25" s="970" t="b">
        <f>ISNUMBER(#REF!)</f>
        <v>0</v>
      </c>
      <c r="M25" s="970" t="b">
        <f t="shared" si="1"/>
        <v>1</v>
      </c>
      <c r="N25" s="970" t="b">
        <f>ISNUMBER(#REF!)</f>
        <v>0</v>
      </c>
      <c r="O25" s="970" t="b">
        <f>ISNUMBER(#REF!)</f>
        <v>0</v>
      </c>
      <c r="P25" s="970" t="b">
        <f>ISNUMBER(#REF!)</f>
        <v>0</v>
      </c>
      <c r="Q25" s="978" t="str">
        <f t="shared" si="2"/>
        <v/>
      </c>
    </row>
    <row r="26" spans="1:17" ht="27" customHeight="1">
      <c r="A26" s="993">
        <f t="shared" si="3"/>
        <v>44898.947916666664</v>
      </c>
      <c r="B26" s="976" t="s">
        <v>308</v>
      </c>
      <c r="C26" s="977">
        <f t="shared" si="0"/>
        <v>0</v>
      </c>
      <c r="E26" s="970" t="b">
        <f>ISNUMBER(#REF!)</f>
        <v>0</v>
      </c>
      <c r="F26" s="970" t="b">
        <f>ISNUMBER(#REF!)</f>
        <v>0</v>
      </c>
      <c r="G26" s="970" t="b">
        <f>ISNUMBER(#REF!)</f>
        <v>0</v>
      </c>
      <c r="H26" s="970" t="b">
        <f>ISNUMBER(#REF!)</f>
        <v>0</v>
      </c>
      <c r="I26" s="970" t="b">
        <f>ISNUMBER(#REF!)</f>
        <v>0</v>
      </c>
      <c r="J26" s="970" t="b">
        <f>ISNUMBER(#REF!)</f>
        <v>0</v>
      </c>
      <c r="K26" s="970" t="b">
        <f>ISNUMBER(#REF!)</f>
        <v>0</v>
      </c>
      <c r="L26" s="970" t="b">
        <f>ISNUMBER(#REF!)</f>
        <v>0</v>
      </c>
      <c r="M26" s="970" t="b">
        <f t="shared" si="1"/>
        <v>1</v>
      </c>
      <c r="N26" s="970" t="b">
        <f>ISNUMBER(#REF!)</f>
        <v>0</v>
      </c>
      <c r="O26" s="970" t="b">
        <f>ISNUMBER(#REF!)</f>
        <v>0</v>
      </c>
      <c r="P26" s="970" t="b">
        <f>ISNUMBER(#REF!)</f>
        <v>0</v>
      </c>
      <c r="Q26" s="978" t="str">
        <f t="shared" si="2"/>
        <v/>
      </c>
    </row>
    <row r="27" spans="1:17" ht="27" customHeight="1">
      <c r="A27" s="993">
        <f t="shared" si="3"/>
        <v>44898.947916666664</v>
      </c>
      <c r="B27" s="976" t="s">
        <v>309</v>
      </c>
      <c r="C27" s="977">
        <f t="shared" si="0"/>
        <v>0</v>
      </c>
      <c r="E27" s="970" t="b">
        <f>ISNUMBER(#REF!)</f>
        <v>0</v>
      </c>
      <c r="F27" s="970" t="b">
        <f>ISNUMBER(#REF!)</f>
        <v>0</v>
      </c>
      <c r="G27" s="970" t="b">
        <f>ISNUMBER(#REF!)</f>
        <v>0</v>
      </c>
      <c r="H27" s="970" t="b">
        <f>ISNUMBER(#REF!)</f>
        <v>0</v>
      </c>
      <c r="I27" s="970" t="b">
        <f>ISNUMBER(#REF!)</f>
        <v>0</v>
      </c>
      <c r="J27" s="970" t="b">
        <f>ISNUMBER(#REF!)</f>
        <v>0</v>
      </c>
      <c r="K27" s="970" t="b">
        <f>ISNUMBER(#REF!)</f>
        <v>0</v>
      </c>
      <c r="L27" s="970" t="b">
        <f>ISNUMBER(#REF!)</f>
        <v>0</v>
      </c>
      <c r="M27" s="970" t="b">
        <f t="shared" si="1"/>
        <v>1</v>
      </c>
      <c r="N27" s="970" t="b">
        <f>ISNUMBER(#REF!)</f>
        <v>0</v>
      </c>
      <c r="O27" s="970" t="b">
        <f>ISNUMBER(#REF!)</f>
        <v>0</v>
      </c>
      <c r="P27" s="970" t="b">
        <f>ISNUMBER(#REF!)</f>
        <v>0</v>
      </c>
      <c r="Q27" s="978" t="str">
        <f t="shared" si="2"/>
        <v/>
      </c>
    </row>
    <row r="28" spans="1:17" ht="27" customHeight="1">
      <c r="A28" s="993">
        <f t="shared" si="3"/>
        <v>44898.947916666664</v>
      </c>
      <c r="B28" s="976" t="s">
        <v>310</v>
      </c>
      <c r="C28" s="977">
        <f t="shared" si="0"/>
        <v>0</v>
      </c>
      <c r="E28" s="970" t="b">
        <f>ISNUMBER(#REF!)</f>
        <v>0</v>
      </c>
      <c r="F28" s="970" t="b">
        <f>ISNUMBER(#REF!)</f>
        <v>0</v>
      </c>
      <c r="G28" s="970" t="b">
        <f>ISNUMBER(#REF!)</f>
        <v>0</v>
      </c>
      <c r="H28" s="970" t="b">
        <f>ISNUMBER(#REF!)</f>
        <v>0</v>
      </c>
      <c r="I28" s="970" t="b">
        <f>ISNUMBER(#REF!)</f>
        <v>0</v>
      </c>
      <c r="J28" s="970" t="b">
        <f>ISNUMBER(#REF!)</f>
        <v>0</v>
      </c>
      <c r="K28" s="970" t="b">
        <f>ISNUMBER(#REF!)</f>
        <v>0</v>
      </c>
      <c r="L28" s="970" t="b">
        <f>ISNUMBER(#REF!)</f>
        <v>0</v>
      </c>
      <c r="M28" s="970" t="b">
        <f t="shared" si="1"/>
        <v>1</v>
      </c>
      <c r="N28" s="970" t="b">
        <f>ISNUMBER(#REF!)</f>
        <v>0</v>
      </c>
      <c r="O28" s="970" t="b">
        <f>ISNUMBER(#REF!)</f>
        <v>0</v>
      </c>
      <c r="P28" s="970" t="b">
        <f>ISNUMBER(#REF!)</f>
        <v>0</v>
      </c>
      <c r="Q28" s="978" t="str">
        <f t="shared" si="2"/>
        <v/>
      </c>
    </row>
    <row r="29" spans="1:17" ht="27" customHeight="1">
      <c r="A29" s="993">
        <f t="shared" si="3"/>
        <v>44898.947916666664</v>
      </c>
      <c r="B29" s="976" t="s">
        <v>311</v>
      </c>
      <c r="C29" s="977">
        <f t="shared" si="0"/>
        <v>0</v>
      </c>
      <c r="E29" s="970" t="b">
        <f>ISNUMBER(#REF!)</f>
        <v>0</v>
      </c>
      <c r="F29" s="970" t="b">
        <f>ISNUMBER(#REF!)</f>
        <v>0</v>
      </c>
      <c r="G29" s="970" t="b">
        <f>ISNUMBER(#REF!)</f>
        <v>0</v>
      </c>
      <c r="H29" s="970" t="b">
        <f>ISNUMBER(#REF!)</f>
        <v>0</v>
      </c>
      <c r="I29" s="970" t="b">
        <f>ISNUMBER(#REF!)</f>
        <v>0</v>
      </c>
      <c r="J29" s="970" t="b">
        <f>ISNUMBER(#REF!)</f>
        <v>0</v>
      </c>
      <c r="K29" s="970" t="b">
        <f>ISNUMBER(#REF!)</f>
        <v>0</v>
      </c>
      <c r="L29" s="970" t="b">
        <f>ISNUMBER(#REF!)</f>
        <v>0</v>
      </c>
      <c r="M29" s="970" t="b">
        <f t="shared" si="1"/>
        <v>1</v>
      </c>
      <c r="N29" s="970" t="b">
        <f>ISNUMBER(#REF!)</f>
        <v>0</v>
      </c>
      <c r="O29" s="970" t="b">
        <f>ISNUMBER(#REF!)</f>
        <v>0</v>
      </c>
      <c r="P29" s="970" t="b">
        <f>ISNUMBER(#REF!)</f>
        <v>0</v>
      </c>
      <c r="Q29" s="978" t="str">
        <f t="shared" si="2"/>
        <v/>
      </c>
    </row>
    <row r="30" spans="1:17" ht="27" customHeight="1">
      <c r="A30" s="993">
        <f t="shared" si="3"/>
        <v>44898.947916666664</v>
      </c>
      <c r="B30" s="976" t="s">
        <v>321</v>
      </c>
      <c r="C30" s="977">
        <f t="shared" si="0"/>
        <v>0</v>
      </c>
      <c r="E30" s="970" t="b">
        <f>ISNUMBER(#REF!)</f>
        <v>0</v>
      </c>
      <c r="F30" s="970" t="b">
        <f>ISNUMBER(#REF!)</f>
        <v>0</v>
      </c>
      <c r="G30" s="970" t="b">
        <f>ISNUMBER(#REF!)</f>
        <v>0</v>
      </c>
      <c r="H30" s="970" t="b">
        <f>ISNUMBER(#REF!)</f>
        <v>0</v>
      </c>
      <c r="I30" s="970" t="b">
        <f>ISNUMBER(#REF!)</f>
        <v>0</v>
      </c>
      <c r="J30" s="970" t="b">
        <f>ISNUMBER(#REF!)</f>
        <v>0</v>
      </c>
      <c r="K30" s="970" t="b">
        <f>ISNUMBER(#REF!)</f>
        <v>0</v>
      </c>
      <c r="L30" s="970" t="b">
        <f>ISNUMBER(#REF!)</f>
        <v>0</v>
      </c>
      <c r="M30" s="970" t="b">
        <f t="shared" si="1"/>
        <v>1</v>
      </c>
      <c r="N30" s="970" t="b">
        <f>ISNUMBER(#REF!)</f>
        <v>0</v>
      </c>
      <c r="O30" s="970" t="b">
        <f>ISNUMBER(#REF!)</f>
        <v>0</v>
      </c>
      <c r="P30" s="970" t="b">
        <f>ISNUMBER(#REF!)</f>
        <v>0</v>
      </c>
      <c r="Q30" s="978" t="str">
        <f t="shared" si="2"/>
        <v/>
      </c>
    </row>
    <row r="31" spans="1:17" ht="27" customHeight="1">
      <c r="A31" s="993">
        <f t="shared" si="3"/>
        <v>44898.947916666664</v>
      </c>
      <c r="B31" s="976" t="s">
        <v>322</v>
      </c>
      <c r="C31" s="977">
        <f t="shared" si="0"/>
        <v>0</v>
      </c>
      <c r="E31" s="970" t="b">
        <f>ISNUMBER(#REF!)</f>
        <v>0</v>
      </c>
      <c r="F31" s="970" t="b">
        <f>ISNUMBER(#REF!)</f>
        <v>0</v>
      </c>
      <c r="G31" s="970" t="b">
        <f>ISNUMBER(#REF!)</f>
        <v>0</v>
      </c>
      <c r="H31" s="970" t="b">
        <f>ISNUMBER(#REF!)</f>
        <v>0</v>
      </c>
      <c r="I31" s="970" t="b">
        <f>ISNUMBER(#REF!)</f>
        <v>0</v>
      </c>
      <c r="J31" s="970" t="b">
        <f>ISNUMBER(#REF!)</f>
        <v>0</v>
      </c>
      <c r="K31" s="970" t="b">
        <f>ISNUMBER(#REF!)</f>
        <v>0</v>
      </c>
      <c r="L31" s="970" t="b">
        <f>ISNUMBER(#REF!)</f>
        <v>0</v>
      </c>
      <c r="M31" s="970" t="b">
        <f t="shared" si="1"/>
        <v>1</v>
      </c>
      <c r="N31" s="970" t="b">
        <f>ISNUMBER(#REF!)</f>
        <v>0</v>
      </c>
      <c r="O31" s="970" t="b">
        <f>ISNUMBER(#REF!)</f>
        <v>0</v>
      </c>
      <c r="P31" s="970" t="b">
        <f>ISNUMBER(#REF!)</f>
        <v>0</v>
      </c>
      <c r="Q31" s="978" t="str">
        <f t="shared" si="2"/>
        <v/>
      </c>
    </row>
    <row r="32" spans="1:17" ht="27" customHeight="1">
      <c r="A32" s="993">
        <f t="shared" si="3"/>
        <v>44898.947916666664</v>
      </c>
      <c r="B32" s="976" t="s">
        <v>323</v>
      </c>
      <c r="C32" s="977">
        <f t="shared" si="0"/>
        <v>0</v>
      </c>
      <c r="E32" s="970" t="b">
        <f>ISNUMBER(#REF!)</f>
        <v>0</v>
      </c>
      <c r="F32" s="970" t="b">
        <f>ISNUMBER(#REF!)</f>
        <v>0</v>
      </c>
      <c r="G32" s="970" t="b">
        <f>ISNUMBER(#REF!)</f>
        <v>0</v>
      </c>
      <c r="H32" s="970" t="b">
        <f>ISNUMBER(#REF!)</f>
        <v>0</v>
      </c>
      <c r="I32" s="970" t="b">
        <f>ISNUMBER(#REF!)</f>
        <v>0</v>
      </c>
      <c r="J32" s="970" t="b">
        <f>ISNUMBER(#REF!)</f>
        <v>0</v>
      </c>
      <c r="K32" s="970" t="b">
        <f>ISNUMBER(#REF!)</f>
        <v>0</v>
      </c>
      <c r="L32" s="970" t="b">
        <f>ISNUMBER(#REF!)</f>
        <v>0</v>
      </c>
      <c r="M32" s="970" t="b">
        <f t="shared" si="1"/>
        <v>1</v>
      </c>
      <c r="N32" s="970" t="b">
        <f>ISNUMBER(#REF!)</f>
        <v>0</v>
      </c>
      <c r="O32" s="970" t="b">
        <f>ISNUMBER(#REF!)</f>
        <v>0</v>
      </c>
      <c r="P32" s="970" t="b">
        <f>ISNUMBER(#REF!)</f>
        <v>0</v>
      </c>
      <c r="Q32" s="978" t="str">
        <f t="shared" si="2"/>
        <v/>
      </c>
    </row>
    <row r="33" spans="1:17" ht="27" customHeight="1">
      <c r="A33" s="993">
        <f t="shared" si="3"/>
        <v>44898.947916666664</v>
      </c>
      <c r="B33" s="976" t="s">
        <v>324</v>
      </c>
      <c r="C33" s="977">
        <f t="shared" si="0"/>
        <v>0</v>
      </c>
      <c r="E33" s="970" t="b">
        <f>ISNUMBER(#REF!)</f>
        <v>0</v>
      </c>
      <c r="F33" s="970" t="b">
        <f>ISNUMBER(#REF!)</f>
        <v>0</v>
      </c>
      <c r="G33" s="970" t="b">
        <f>ISNUMBER(#REF!)</f>
        <v>0</v>
      </c>
      <c r="H33" s="970" t="b">
        <f>ISNUMBER(#REF!)</f>
        <v>0</v>
      </c>
      <c r="I33" s="970" t="b">
        <f>ISNUMBER(#REF!)</f>
        <v>0</v>
      </c>
      <c r="J33" s="970" t="b">
        <f>ISNUMBER(#REF!)</f>
        <v>0</v>
      </c>
      <c r="K33" s="970" t="b">
        <f>ISNUMBER(#REF!)</f>
        <v>0</v>
      </c>
      <c r="L33" s="970" t="b">
        <f>ISNUMBER(#REF!)</f>
        <v>0</v>
      </c>
      <c r="M33" s="970" t="b">
        <f t="shared" si="1"/>
        <v>1</v>
      </c>
      <c r="N33" s="970" t="b">
        <f>ISNUMBER(#REF!)</f>
        <v>0</v>
      </c>
      <c r="O33" s="970" t="b">
        <f>ISNUMBER(#REF!)</f>
        <v>0</v>
      </c>
      <c r="P33" s="970" t="b">
        <f>ISNUMBER(#REF!)</f>
        <v>0</v>
      </c>
      <c r="Q33" s="978" t="str">
        <f t="shared" si="2"/>
        <v/>
      </c>
    </row>
    <row r="34" spans="1:17" ht="27" customHeight="1">
      <c r="A34" s="993">
        <f t="shared" si="3"/>
        <v>44898.947916666664</v>
      </c>
      <c r="B34" s="976" t="s">
        <v>325</v>
      </c>
      <c r="C34" s="977">
        <f t="shared" si="0"/>
        <v>0</v>
      </c>
      <c r="E34" s="970" t="b">
        <f>ISNUMBER(#REF!)</f>
        <v>0</v>
      </c>
      <c r="F34" s="970" t="b">
        <f>ISNUMBER(#REF!)</f>
        <v>0</v>
      </c>
      <c r="G34" s="970" t="b">
        <f>ISNUMBER(#REF!)</f>
        <v>0</v>
      </c>
      <c r="H34" s="970" t="b">
        <f>ISNUMBER(#REF!)</f>
        <v>0</v>
      </c>
      <c r="I34" s="970" t="b">
        <f>ISNUMBER(#REF!)</f>
        <v>0</v>
      </c>
      <c r="J34" s="970" t="b">
        <f>ISNUMBER(#REF!)</f>
        <v>0</v>
      </c>
      <c r="K34" s="970" t="b">
        <f>ISNUMBER(#REF!)</f>
        <v>0</v>
      </c>
      <c r="L34" s="970" t="b">
        <f>ISNUMBER(#REF!)</f>
        <v>0</v>
      </c>
      <c r="M34" s="970" t="b">
        <f t="shared" si="1"/>
        <v>1</v>
      </c>
      <c r="N34" s="970" t="b">
        <f>ISNUMBER(#REF!)</f>
        <v>0</v>
      </c>
      <c r="O34" s="970" t="b">
        <f>ISNUMBER(#REF!)</f>
        <v>0</v>
      </c>
      <c r="P34" s="970" t="b">
        <f>ISNUMBER(#REF!)</f>
        <v>0</v>
      </c>
      <c r="Q34" s="978" t="str">
        <f t="shared" si="2"/>
        <v/>
      </c>
    </row>
    <row r="35" spans="1:17" ht="27" customHeight="1">
      <c r="A35" s="993">
        <f t="shared" si="3"/>
        <v>44898.947916666664</v>
      </c>
      <c r="B35" s="976" t="s">
        <v>326</v>
      </c>
      <c r="C35" s="977">
        <f t="shared" si="0"/>
        <v>0</v>
      </c>
      <c r="E35" s="970" t="b">
        <f>ISNUMBER(#REF!)</f>
        <v>0</v>
      </c>
      <c r="F35" s="970" t="b">
        <f>ISNUMBER(#REF!)</f>
        <v>0</v>
      </c>
      <c r="G35" s="970" t="b">
        <f>ISNUMBER(#REF!)</f>
        <v>0</v>
      </c>
      <c r="H35" s="970" t="b">
        <f>ISNUMBER(#REF!)</f>
        <v>0</v>
      </c>
      <c r="I35" s="970" t="b">
        <f>ISNUMBER(#REF!)</f>
        <v>0</v>
      </c>
      <c r="J35" s="970" t="b">
        <f>ISNUMBER(#REF!)</f>
        <v>0</v>
      </c>
      <c r="K35" s="970" t="b">
        <f>ISNUMBER(#REF!)</f>
        <v>0</v>
      </c>
      <c r="L35" s="970" t="b">
        <f>ISNUMBER(#REF!)</f>
        <v>0</v>
      </c>
      <c r="M35" s="970" t="b">
        <f t="shared" si="1"/>
        <v>1</v>
      </c>
      <c r="N35" s="970" t="b">
        <f>ISNUMBER(#REF!)</f>
        <v>0</v>
      </c>
      <c r="O35" s="970" t="b">
        <f>ISNUMBER(#REF!)</f>
        <v>0</v>
      </c>
      <c r="P35" s="970" t="b">
        <f>ISNUMBER(#REF!)</f>
        <v>0</v>
      </c>
      <c r="Q35" s="978" t="str">
        <f t="shared" si="2"/>
        <v/>
      </c>
    </row>
    <row r="36" spans="1:17" ht="27" customHeight="1">
      <c r="A36" s="993">
        <f t="shared" si="3"/>
        <v>44898.947916666664</v>
      </c>
      <c r="B36" s="976" t="s">
        <v>327</v>
      </c>
      <c r="C36" s="977">
        <f t="shared" si="0"/>
        <v>0</v>
      </c>
      <c r="E36" s="970" t="b">
        <f>ISNUMBER(#REF!)</f>
        <v>0</v>
      </c>
      <c r="F36" s="970" t="b">
        <f>ISNUMBER(#REF!)</f>
        <v>0</v>
      </c>
      <c r="G36" s="970" t="b">
        <f>ISNUMBER(#REF!)</f>
        <v>0</v>
      </c>
      <c r="H36" s="970" t="b">
        <f>ISNUMBER(#REF!)</f>
        <v>0</v>
      </c>
      <c r="I36" s="970" t="b">
        <f>ISNUMBER(#REF!)</f>
        <v>0</v>
      </c>
      <c r="J36" s="970" t="b">
        <f>ISNUMBER(#REF!)</f>
        <v>0</v>
      </c>
      <c r="K36" s="970" t="b">
        <f>ISNUMBER(#REF!)</f>
        <v>0</v>
      </c>
      <c r="L36" s="970" t="b">
        <f>ISNUMBER(#REF!)</f>
        <v>0</v>
      </c>
      <c r="M36" s="970" t="b">
        <f t="shared" ref="M36:M45" si="4">ISNUMBER(C36)</f>
        <v>1</v>
      </c>
      <c r="N36" s="970" t="b">
        <f>ISNUMBER(#REF!)</f>
        <v>0</v>
      </c>
      <c r="O36" s="970" t="b">
        <f>ISNUMBER(#REF!)</f>
        <v>0</v>
      </c>
      <c r="P36" s="970" t="b">
        <f>ISNUMBER(#REF!)</f>
        <v>0</v>
      </c>
      <c r="Q36" s="978" t="str">
        <f t="shared" ref="Q36:Q45" si="5">IF(M36=TRUE,"",1)</f>
        <v/>
      </c>
    </row>
    <row r="37" spans="1:17" ht="27" customHeight="1">
      <c r="A37" s="993">
        <f t="shared" si="3"/>
        <v>44898.947916666664</v>
      </c>
      <c r="B37" s="976" t="s">
        <v>328</v>
      </c>
      <c r="C37" s="977">
        <f t="shared" si="0"/>
        <v>0</v>
      </c>
      <c r="E37" s="970" t="b">
        <f>ISNUMBER(#REF!)</f>
        <v>0</v>
      </c>
      <c r="F37" s="970" t="b">
        <f>ISNUMBER(#REF!)</f>
        <v>0</v>
      </c>
      <c r="G37" s="970" t="b">
        <f>ISNUMBER(#REF!)</f>
        <v>0</v>
      </c>
      <c r="H37" s="970" t="b">
        <f>ISNUMBER(#REF!)</f>
        <v>0</v>
      </c>
      <c r="I37" s="970" t="b">
        <f>ISNUMBER(#REF!)</f>
        <v>0</v>
      </c>
      <c r="J37" s="970" t="b">
        <f>ISNUMBER(#REF!)</f>
        <v>0</v>
      </c>
      <c r="K37" s="970" t="b">
        <f>ISNUMBER(#REF!)</f>
        <v>0</v>
      </c>
      <c r="L37" s="970" t="b">
        <f>ISNUMBER(#REF!)</f>
        <v>0</v>
      </c>
      <c r="M37" s="970" t="b">
        <f t="shared" si="4"/>
        <v>1</v>
      </c>
      <c r="N37" s="970" t="b">
        <f>ISNUMBER(#REF!)</f>
        <v>0</v>
      </c>
      <c r="O37" s="970" t="b">
        <f>ISNUMBER(#REF!)</f>
        <v>0</v>
      </c>
      <c r="P37" s="970" t="b">
        <f>ISNUMBER(#REF!)</f>
        <v>0</v>
      </c>
      <c r="Q37" s="978" t="str">
        <f t="shared" si="5"/>
        <v/>
      </c>
    </row>
    <row r="38" spans="1:17" ht="27" customHeight="1">
      <c r="A38" s="993">
        <f t="shared" si="3"/>
        <v>44898.947916666664</v>
      </c>
      <c r="B38" s="976" t="s">
        <v>329</v>
      </c>
      <c r="C38" s="977">
        <f t="shared" si="0"/>
        <v>-1.0461</v>
      </c>
      <c r="E38" s="970" t="b">
        <f>ISNUMBER(#REF!)</f>
        <v>0</v>
      </c>
      <c r="F38" s="970" t="b">
        <f>ISNUMBER(#REF!)</f>
        <v>0</v>
      </c>
      <c r="G38" s="970" t="b">
        <f>ISNUMBER(#REF!)</f>
        <v>0</v>
      </c>
      <c r="H38" s="970" t="b">
        <f>ISNUMBER(#REF!)</f>
        <v>0</v>
      </c>
      <c r="I38" s="970" t="b">
        <f>ISNUMBER(#REF!)</f>
        <v>0</v>
      </c>
      <c r="J38" s="970" t="b">
        <f>ISNUMBER(#REF!)</f>
        <v>0</v>
      </c>
      <c r="K38" s="970" t="b">
        <f>ISNUMBER(#REF!)</f>
        <v>0</v>
      </c>
      <c r="L38" s="970" t="b">
        <f>ISNUMBER(#REF!)</f>
        <v>0</v>
      </c>
      <c r="M38" s="970" t="b">
        <f t="shared" si="4"/>
        <v>1</v>
      </c>
      <c r="N38" s="970" t="b">
        <f>ISNUMBER(#REF!)</f>
        <v>0</v>
      </c>
      <c r="O38" s="970" t="b">
        <f>ISNUMBER(#REF!)</f>
        <v>0</v>
      </c>
      <c r="P38" s="970" t="b">
        <f>ISNUMBER(#REF!)</f>
        <v>0</v>
      </c>
      <c r="Q38" s="978" t="str">
        <f t="shared" si="5"/>
        <v/>
      </c>
    </row>
    <row r="39" spans="1:17" ht="27" customHeight="1">
      <c r="A39" s="993">
        <f t="shared" si="3"/>
        <v>44898.947916666664</v>
      </c>
      <c r="B39" s="976" t="s">
        <v>330</v>
      </c>
      <c r="C39" s="977">
        <f t="shared" si="0"/>
        <v>0</v>
      </c>
      <c r="E39" s="970" t="b">
        <f>ISNUMBER(#REF!)</f>
        <v>0</v>
      </c>
      <c r="F39" s="970" t="b">
        <f>ISNUMBER(#REF!)</f>
        <v>0</v>
      </c>
      <c r="G39" s="970" t="b">
        <f>ISNUMBER(#REF!)</f>
        <v>0</v>
      </c>
      <c r="H39" s="970" t="b">
        <f>ISNUMBER(#REF!)</f>
        <v>0</v>
      </c>
      <c r="I39" s="970" t="b">
        <f>ISNUMBER(#REF!)</f>
        <v>0</v>
      </c>
      <c r="J39" s="970" t="b">
        <f>ISNUMBER(#REF!)</f>
        <v>0</v>
      </c>
      <c r="K39" s="970" t="b">
        <f>ISNUMBER(#REF!)</f>
        <v>0</v>
      </c>
      <c r="L39" s="970" t="b">
        <f>ISNUMBER(#REF!)</f>
        <v>0</v>
      </c>
      <c r="M39" s="970" t="b">
        <f t="shared" si="4"/>
        <v>1</v>
      </c>
      <c r="N39" s="970" t="b">
        <f>ISNUMBER(#REF!)</f>
        <v>0</v>
      </c>
      <c r="O39" s="970" t="b">
        <f>ISNUMBER(#REF!)</f>
        <v>0</v>
      </c>
      <c r="P39" s="970" t="b">
        <f>ISNUMBER(#REF!)</f>
        <v>0</v>
      </c>
      <c r="Q39" s="978" t="str">
        <f t="shared" si="5"/>
        <v/>
      </c>
    </row>
    <row r="40" spans="1:17" ht="27" customHeight="1">
      <c r="A40" s="993">
        <f t="shared" si="3"/>
        <v>44898.947916666664</v>
      </c>
      <c r="B40" s="976" t="s">
        <v>331</v>
      </c>
      <c r="C40" s="977">
        <f t="shared" si="0"/>
        <v>0</v>
      </c>
      <c r="E40" s="970" t="b">
        <f>ISNUMBER(#REF!)</f>
        <v>0</v>
      </c>
      <c r="F40" s="970" t="b">
        <f>ISNUMBER(#REF!)</f>
        <v>0</v>
      </c>
      <c r="G40" s="970" t="b">
        <f>ISNUMBER(#REF!)</f>
        <v>0</v>
      </c>
      <c r="H40" s="970" t="b">
        <f>ISNUMBER(#REF!)</f>
        <v>0</v>
      </c>
      <c r="I40" s="970" t="b">
        <f>ISNUMBER(#REF!)</f>
        <v>0</v>
      </c>
      <c r="J40" s="970" t="b">
        <f>ISNUMBER(#REF!)</f>
        <v>0</v>
      </c>
      <c r="K40" s="970" t="b">
        <f>ISNUMBER(#REF!)</f>
        <v>0</v>
      </c>
      <c r="L40" s="970" t="b">
        <f>ISNUMBER(#REF!)</f>
        <v>0</v>
      </c>
      <c r="M40" s="970" t="b">
        <f t="shared" si="4"/>
        <v>1</v>
      </c>
      <c r="N40" s="970" t="b">
        <f>ISNUMBER(#REF!)</f>
        <v>0</v>
      </c>
      <c r="O40" s="970" t="b">
        <f>ISNUMBER(#REF!)</f>
        <v>0</v>
      </c>
      <c r="P40" s="970" t="b">
        <f>ISNUMBER(#REF!)</f>
        <v>0</v>
      </c>
      <c r="Q40" s="978" t="str">
        <f t="shared" si="5"/>
        <v/>
      </c>
    </row>
    <row r="41" spans="1:17" ht="27" customHeight="1">
      <c r="A41" s="993">
        <f t="shared" si="3"/>
        <v>44898.947916666664</v>
      </c>
      <c r="B41" s="976" t="s">
        <v>332</v>
      </c>
      <c r="C41" s="977">
        <f t="shared" si="0"/>
        <v>0</v>
      </c>
      <c r="E41" s="970" t="b">
        <f>ISNUMBER(#REF!)</f>
        <v>0</v>
      </c>
      <c r="F41" s="970" t="b">
        <f>ISNUMBER(#REF!)</f>
        <v>0</v>
      </c>
      <c r="G41" s="970" t="b">
        <f>ISNUMBER(#REF!)</f>
        <v>0</v>
      </c>
      <c r="H41" s="970" t="b">
        <f>ISNUMBER(#REF!)</f>
        <v>0</v>
      </c>
      <c r="I41" s="970" t="b">
        <f>ISNUMBER(#REF!)</f>
        <v>0</v>
      </c>
      <c r="J41" s="970" t="b">
        <f>ISNUMBER(#REF!)</f>
        <v>0</v>
      </c>
      <c r="K41" s="970" t="b">
        <f>ISNUMBER(#REF!)</f>
        <v>0</v>
      </c>
      <c r="L41" s="970" t="b">
        <f>ISNUMBER(#REF!)</f>
        <v>0</v>
      </c>
      <c r="M41" s="970" t="b">
        <f t="shared" si="4"/>
        <v>1</v>
      </c>
      <c r="N41" s="970" t="b">
        <f>ISNUMBER(#REF!)</f>
        <v>0</v>
      </c>
      <c r="O41" s="970" t="b">
        <f>ISNUMBER(#REF!)</f>
        <v>0</v>
      </c>
      <c r="P41" s="970" t="b">
        <f>ISNUMBER(#REF!)</f>
        <v>0</v>
      </c>
      <c r="Q41" s="978" t="str">
        <f t="shared" si="5"/>
        <v/>
      </c>
    </row>
    <row r="42" spans="1:17" ht="27" customHeight="1">
      <c r="A42" s="993">
        <f t="shared" si="3"/>
        <v>44898.947916666664</v>
      </c>
      <c r="B42" s="976" t="s">
        <v>333</v>
      </c>
      <c r="C42" s="977">
        <f t="shared" si="0"/>
        <v>0</v>
      </c>
      <c r="E42" s="970" t="b">
        <f>ISNUMBER(#REF!)</f>
        <v>0</v>
      </c>
      <c r="F42" s="970" t="b">
        <f>ISNUMBER(#REF!)</f>
        <v>0</v>
      </c>
      <c r="G42" s="970" t="b">
        <f>ISNUMBER(#REF!)</f>
        <v>0</v>
      </c>
      <c r="H42" s="970" t="b">
        <f>ISNUMBER(#REF!)</f>
        <v>0</v>
      </c>
      <c r="I42" s="970" t="b">
        <f>ISNUMBER(#REF!)</f>
        <v>0</v>
      </c>
      <c r="J42" s="970" t="b">
        <f>ISNUMBER(#REF!)</f>
        <v>0</v>
      </c>
      <c r="K42" s="970" t="b">
        <f>ISNUMBER(#REF!)</f>
        <v>0</v>
      </c>
      <c r="L42" s="970" t="b">
        <f>ISNUMBER(#REF!)</f>
        <v>0</v>
      </c>
      <c r="M42" s="970" t="b">
        <f t="shared" si="4"/>
        <v>1</v>
      </c>
      <c r="N42" s="970" t="b">
        <f>ISNUMBER(#REF!)</f>
        <v>0</v>
      </c>
      <c r="O42" s="970" t="b">
        <f>ISNUMBER(#REF!)</f>
        <v>0</v>
      </c>
      <c r="P42" s="970" t="b">
        <f>ISNUMBER(#REF!)</f>
        <v>0</v>
      </c>
      <c r="Q42" s="978" t="str">
        <f t="shared" si="5"/>
        <v/>
      </c>
    </row>
    <row r="43" spans="1:17" ht="27" customHeight="1">
      <c r="A43" s="993">
        <f t="shared" si="3"/>
        <v>44898.947916666664</v>
      </c>
      <c r="B43" s="976" t="s">
        <v>334</v>
      </c>
      <c r="C43" s="977">
        <f t="shared" si="0"/>
        <v>0</v>
      </c>
      <c r="E43" s="970" t="b">
        <f>ISNUMBER(#REF!)</f>
        <v>0</v>
      </c>
      <c r="F43" s="970" t="b">
        <f>ISNUMBER(#REF!)</f>
        <v>0</v>
      </c>
      <c r="G43" s="970" t="b">
        <f>ISNUMBER(#REF!)</f>
        <v>0</v>
      </c>
      <c r="H43" s="970" t="b">
        <f>ISNUMBER(#REF!)</f>
        <v>0</v>
      </c>
      <c r="I43" s="970" t="b">
        <f>ISNUMBER(#REF!)</f>
        <v>0</v>
      </c>
      <c r="J43" s="970" t="b">
        <f>ISNUMBER(#REF!)</f>
        <v>0</v>
      </c>
      <c r="K43" s="970" t="b">
        <f>ISNUMBER(#REF!)</f>
        <v>0</v>
      </c>
      <c r="L43" s="970" t="b">
        <f>ISNUMBER(#REF!)</f>
        <v>0</v>
      </c>
      <c r="M43" s="970" t="b">
        <f t="shared" si="4"/>
        <v>1</v>
      </c>
      <c r="N43" s="970" t="b">
        <f>ISNUMBER(#REF!)</f>
        <v>0</v>
      </c>
      <c r="O43" s="970" t="b">
        <f>ISNUMBER(#REF!)</f>
        <v>0</v>
      </c>
      <c r="P43" s="970" t="b">
        <f>ISNUMBER(#REF!)</f>
        <v>0</v>
      </c>
      <c r="Q43" s="978" t="str">
        <f t="shared" si="5"/>
        <v/>
      </c>
    </row>
    <row r="44" spans="1:17" ht="27" customHeight="1">
      <c r="A44" s="993">
        <f t="shared" si="3"/>
        <v>44898.947916666664</v>
      </c>
      <c r="B44" s="976" t="s">
        <v>344</v>
      </c>
      <c r="C44" s="977">
        <f t="shared" si="0"/>
        <v>0</v>
      </c>
      <c r="E44" s="970" t="b">
        <f>ISNUMBER(#REF!)</f>
        <v>0</v>
      </c>
      <c r="F44" s="970" t="b">
        <f>ISNUMBER(#REF!)</f>
        <v>0</v>
      </c>
      <c r="G44" s="970" t="b">
        <f>ISNUMBER(#REF!)</f>
        <v>0</v>
      </c>
      <c r="H44" s="970" t="b">
        <f>ISNUMBER(#REF!)</f>
        <v>0</v>
      </c>
      <c r="I44" s="970" t="b">
        <f>ISNUMBER(#REF!)</f>
        <v>0</v>
      </c>
      <c r="J44" s="970" t="b">
        <f>ISNUMBER(#REF!)</f>
        <v>0</v>
      </c>
      <c r="K44" s="970" t="b">
        <f>ISNUMBER(#REF!)</f>
        <v>0</v>
      </c>
      <c r="L44" s="970" t="b">
        <f>ISNUMBER(#REF!)</f>
        <v>0</v>
      </c>
      <c r="M44" s="970" t="b">
        <f t="shared" si="4"/>
        <v>1</v>
      </c>
      <c r="N44" s="970" t="b">
        <f>ISNUMBER(#REF!)</f>
        <v>0</v>
      </c>
      <c r="O44" s="970" t="b">
        <f>ISNUMBER(#REF!)</f>
        <v>0</v>
      </c>
      <c r="P44" s="970" t="b">
        <f>ISNUMBER(#REF!)</f>
        <v>0</v>
      </c>
      <c r="Q44" s="978" t="str">
        <f t="shared" si="5"/>
        <v/>
      </c>
    </row>
    <row r="45" spans="1:17" ht="27" customHeight="1">
      <c r="A45" s="993">
        <f t="shared" si="3"/>
        <v>44898.947916666664</v>
      </c>
      <c r="B45" s="976" t="s">
        <v>345</v>
      </c>
      <c r="C45" s="977">
        <f t="shared" si="0"/>
        <v>0</v>
      </c>
      <c r="E45" s="970" t="b">
        <f>ISNUMBER(#REF!)</f>
        <v>0</v>
      </c>
      <c r="F45" s="970" t="b">
        <f>ISNUMBER(#REF!)</f>
        <v>0</v>
      </c>
      <c r="G45" s="970" t="b">
        <f>ISNUMBER(#REF!)</f>
        <v>0</v>
      </c>
      <c r="H45" s="970" t="b">
        <f>ISNUMBER(#REF!)</f>
        <v>0</v>
      </c>
      <c r="I45" s="970" t="b">
        <f>ISNUMBER(#REF!)</f>
        <v>0</v>
      </c>
      <c r="J45" s="970" t="b">
        <f>ISNUMBER(#REF!)</f>
        <v>0</v>
      </c>
      <c r="K45" s="970" t="b">
        <f>ISNUMBER(#REF!)</f>
        <v>0</v>
      </c>
      <c r="L45" s="970" t="b">
        <f>ISNUMBER(#REF!)</f>
        <v>0</v>
      </c>
      <c r="M45" s="970" t="b">
        <f t="shared" si="4"/>
        <v>1</v>
      </c>
      <c r="N45" s="970" t="b">
        <f>ISNUMBER(#REF!)</f>
        <v>0</v>
      </c>
      <c r="O45" s="970" t="b">
        <f>ISNUMBER(#REF!)</f>
        <v>0</v>
      </c>
      <c r="P45" s="970" t="b">
        <f>ISNUMBER(#REF!)</f>
        <v>0</v>
      </c>
      <c r="Q45" s="978" t="str">
        <f t="shared" si="5"/>
        <v/>
      </c>
    </row>
  </sheetData>
  <phoneticPr fontId="6"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tabColor theme="8" tint="0.39997558519241921"/>
  </sheetPr>
  <dimension ref="A1:Q69"/>
  <sheetViews>
    <sheetView zoomScale="70" zoomScaleNormal="70" workbookViewId="0"/>
  </sheetViews>
  <sheetFormatPr defaultRowHeight="19.5"/>
  <cols>
    <col min="1" max="1" width="24.5" style="992" customWidth="1"/>
    <col min="2" max="2" width="23" style="982" customWidth="1"/>
    <col min="3" max="3" width="20.125" style="983" customWidth="1"/>
    <col min="4" max="4" width="9" style="970"/>
    <col min="5" max="16" width="9" style="970" hidden="1" customWidth="1"/>
    <col min="17" max="16384" width="9" style="970"/>
  </cols>
  <sheetData>
    <row r="1" spans="1:17" ht="71.45" customHeight="1">
      <c r="A1" s="988" t="s">
        <v>360</v>
      </c>
      <c r="B1" s="968"/>
      <c r="C1" s="969"/>
    </row>
    <row r="2" spans="1:17" s="973" customFormat="1">
      <c r="A2" s="991" t="s">
        <v>361</v>
      </c>
      <c r="B2" s="971" t="s">
        <v>362</v>
      </c>
      <c r="C2" s="972" t="s">
        <v>382</v>
      </c>
      <c r="E2" s="974">
        <v>1</v>
      </c>
      <c r="F2" s="974" t="s">
        <v>890</v>
      </c>
      <c r="G2" s="974">
        <v>2</v>
      </c>
      <c r="H2" s="974" t="s">
        <v>890</v>
      </c>
      <c r="I2" s="974">
        <v>3</v>
      </c>
      <c r="J2" s="974" t="s">
        <v>890</v>
      </c>
      <c r="K2" s="974">
        <v>4</v>
      </c>
      <c r="L2" s="974" t="s">
        <v>890</v>
      </c>
      <c r="M2" s="974">
        <v>5</v>
      </c>
      <c r="N2" s="974" t="s">
        <v>890</v>
      </c>
      <c r="O2" s="974">
        <v>6</v>
      </c>
      <c r="P2" s="974" t="s">
        <v>890</v>
      </c>
      <c r="Q2" s="975">
        <v>6</v>
      </c>
    </row>
    <row r="3" spans="1:17" s="973" customFormat="1">
      <c r="A3" s="991" t="s">
        <v>385</v>
      </c>
      <c r="B3" s="971" t="s">
        <v>386</v>
      </c>
      <c r="C3" s="972" t="s">
        <v>397</v>
      </c>
      <c r="Q3" s="985"/>
    </row>
    <row r="4" spans="1:17">
      <c r="A4" s="996">
        <f>MENU!Y24</f>
        <v>44898.125</v>
      </c>
      <c r="B4" s="373" t="s">
        <v>277</v>
      </c>
      <c r="C4" s="977">
        <f t="shared" ref="C4:C45" si="0">IFERROR(VLOOKUP($B4,_XM_XT_THUCTE,38,0),"")</f>
        <v>29.2</v>
      </c>
      <c r="E4" s="970" t="b">
        <f>ISNUMBER(#REF!)</f>
        <v>0</v>
      </c>
      <c r="F4" s="970" t="b">
        <f>ISNUMBER(#REF!)</f>
        <v>0</v>
      </c>
      <c r="G4" s="970" t="b">
        <f>ISNUMBER(#REF!)</f>
        <v>0</v>
      </c>
      <c r="H4" s="970" t="b">
        <f>ISNUMBER(#REF!)</f>
        <v>0</v>
      </c>
      <c r="I4" s="970" t="b">
        <f>ISNUMBER(#REF!)</f>
        <v>0</v>
      </c>
      <c r="J4" s="970" t="b">
        <f>ISNUMBER(#REF!)</f>
        <v>0</v>
      </c>
      <c r="K4" s="970" t="b">
        <f>ISNUMBER(#REF!)</f>
        <v>0</v>
      </c>
      <c r="L4" s="970" t="b">
        <f>ISNUMBER(#REF!)</f>
        <v>0</v>
      </c>
      <c r="M4" s="970" t="b">
        <f>ISNUMBER(#REF!)</f>
        <v>0</v>
      </c>
      <c r="N4" s="970" t="b">
        <f>ISNUMBER(#REF!)</f>
        <v>0</v>
      </c>
      <c r="O4" s="970" t="b">
        <f t="shared" ref="O4:O35" si="1">ISNUMBER(C4)</f>
        <v>1</v>
      </c>
      <c r="P4" s="970" t="b">
        <f>ISNUMBER(#REF!)</f>
        <v>0</v>
      </c>
      <c r="Q4" s="978" t="str">
        <f t="shared" ref="Q4:Q35" si="2">IF(O4=TRUE,"",1)</f>
        <v/>
      </c>
    </row>
    <row r="5" spans="1:17">
      <c r="A5" s="997">
        <f>IF(B5="","",$A$4)</f>
        <v>44898.125</v>
      </c>
      <c r="B5" s="373" t="s">
        <v>278</v>
      </c>
      <c r="C5" s="977">
        <f t="shared" si="0"/>
        <v>30.8</v>
      </c>
      <c r="E5" s="970" t="b">
        <f>ISNUMBER(#REF!)</f>
        <v>0</v>
      </c>
      <c r="F5" s="970" t="b">
        <f>ISNUMBER(#REF!)</f>
        <v>0</v>
      </c>
      <c r="G5" s="970" t="b">
        <f>ISNUMBER(#REF!)</f>
        <v>0</v>
      </c>
      <c r="H5" s="970" t="b">
        <f>ISNUMBER(#REF!)</f>
        <v>0</v>
      </c>
      <c r="I5" s="970" t="b">
        <f>ISNUMBER(#REF!)</f>
        <v>0</v>
      </c>
      <c r="J5" s="970" t="b">
        <f>ISNUMBER(#REF!)</f>
        <v>0</v>
      </c>
      <c r="K5" s="970" t="b">
        <f>ISNUMBER(#REF!)</f>
        <v>0</v>
      </c>
      <c r="L5" s="970" t="b">
        <f>ISNUMBER(#REF!)</f>
        <v>0</v>
      </c>
      <c r="M5" s="970" t="b">
        <f>ISNUMBER(#REF!)</f>
        <v>0</v>
      </c>
      <c r="N5" s="970" t="b">
        <f>ISNUMBER(#REF!)</f>
        <v>0</v>
      </c>
      <c r="O5" s="970" t="b">
        <f t="shared" si="1"/>
        <v>1</v>
      </c>
      <c r="P5" s="970" t="b">
        <f>ISNUMBER(#REF!)</f>
        <v>0</v>
      </c>
      <c r="Q5" s="978" t="str">
        <f t="shared" si="2"/>
        <v/>
      </c>
    </row>
    <row r="6" spans="1:17">
      <c r="A6" s="997">
        <f t="shared" ref="A6:A69" si="3">IF(B6="","",$A$4)</f>
        <v>44898.125</v>
      </c>
      <c r="B6" s="373" t="s">
        <v>279</v>
      </c>
      <c r="C6" s="977">
        <f t="shared" si="0"/>
        <v>72</v>
      </c>
      <c r="E6" s="970" t="b">
        <f>ISNUMBER(#REF!)</f>
        <v>0</v>
      </c>
      <c r="F6" s="970" t="b">
        <f>ISNUMBER(#REF!)</f>
        <v>0</v>
      </c>
      <c r="G6" s="970" t="b">
        <f>ISNUMBER(#REF!)</f>
        <v>0</v>
      </c>
      <c r="H6" s="970" t="b">
        <f>ISNUMBER(#REF!)</f>
        <v>0</v>
      </c>
      <c r="I6" s="970" t="b">
        <f>ISNUMBER(#REF!)</f>
        <v>0</v>
      </c>
      <c r="J6" s="970" t="b">
        <f>ISNUMBER(#REF!)</f>
        <v>0</v>
      </c>
      <c r="K6" s="970" t="b">
        <f>ISNUMBER(#REF!)</f>
        <v>0</v>
      </c>
      <c r="L6" s="970" t="b">
        <f>ISNUMBER(#REF!)</f>
        <v>0</v>
      </c>
      <c r="M6" s="970" t="b">
        <f>ISNUMBER(#REF!)</f>
        <v>0</v>
      </c>
      <c r="N6" s="970" t="b">
        <f>ISNUMBER(#REF!)</f>
        <v>0</v>
      </c>
      <c r="O6" s="970" t="b">
        <f t="shared" si="1"/>
        <v>1</v>
      </c>
      <c r="P6" s="970" t="b">
        <f>ISNUMBER(#REF!)</f>
        <v>0</v>
      </c>
      <c r="Q6" s="978" t="str">
        <f t="shared" si="2"/>
        <v/>
      </c>
    </row>
    <row r="7" spans="1:17">
      <c r="A7" s="997">
        <f t="shared" si="3"/>
        <v>44898.125</v>
      </c>
      <c r="B7" s="373" t="s">
        <v>280</v>
      </c>
      <c r="C7" s="977">
        <f t="shared" si="0"/>
        <v>70</v>
      </c>
      <c r="E7" s="970" t="b">
        <f>ISNUMBER(#REF!)</f>
        <v>0</v>
      </c>
      <c r="F7" s="970" t="b">
        <f>ISNUMBER(#REF!)</f>
        <v>0</v>
      </c>
      <c r="G7" s="970" t="b">
        <f>ISNUMBER(#REF!)</f>
        <v>0</v>
      </c>
      <c r="H7" s="970" t="b">
        <f>ISNUMBER(#REF!)</f>
        <v>0</v>
      </c>
      <c r="I7" s="970" t="b">
        <f>ISNUMBER(#REF!)</f>
        <v>0</v>
      </c>
      <c r="J7" s="970" t="b">
        <f>ISNUMBER(#REF!)</f>
        <v>0</v>
      </c>
      <c r="K7" s="970" t="b">
        <f>ISNUMBER(#REF!)</f>
        <v>0</v>
      </c>
      <c r="L7" s="970" t="b">
        <f>ISNUMBER(#REF!)</f>
        <v>0</v>
      </c>
      <c r="M7" s="970" t="b">
        <f>ISNUMBER(#REF!)</f>
        <v>0</v>
      </c>
      <c r="N7" s="970" t="b">
        <f>ISNUMBER(#REF!)</f>
        <v>0</v>
      </c>
      <c r="O7" s="970" t="b">
        <f t="shared" si="1"/>
        <v>1</v>
      </c>
      <c r="P7" s="970" t="b">
        <f>ISNUMBER(#REF!)</f>
        <v>0</v>
      </c>
      <c r="Q7" s="978" t="str">
        <f t="shared" si="2"/>
        <v/>
      </c>
    </row>
    <row r="8" spans="1:17">
      <c r="A8" s="997">
        <f t="shared" si="3"/>
        <v>44898.125</v>
      </c>
      <c r="B8" s="373" t="s">
        <v>281</v>
      </c>
      <c r="C8" s="977">
        <f t="shared" si="0"/>
        <v>138.4</v>
      </c>
      <c r="E8" s="970" t="b">
        <f>ISNUMBER(#REF!)</f>
        <v>0</v>
      </c>
      <c r="F8" s="970" t="b">
        <f>ISNUMBER(#REF!)</f>
        <v>0</v>
      </c>
      <c r="G8" s="970" t="b">
        <f>ISNUMBER(#REF!)</f>
        <v>0</v>
      </c>
      <c r="H8" s="970" t="b">
        <f>ISNUMBER(#REF!)</f>
        <v>0</v>
      </c>
      <c r="I8" s="970" t="b">
        <f>ISNUMBER(#REF!)</f>
        <v>0</v>
      </c>
      <c r="J8" s="970" t="b">
        <f>ISNUMBER(#REF!)</f>
        <v>0</v>
      </c>
      <c r="K8" s="970" t="b">
        <f>ISNUMBER(#REF!)</f>
        <v>0</v>
      </c>
      <c r="L8" s="970" t="b">
        <f>ISNUMBER(#REF!)</f>
        <v>0</v>
      </c>
      <c r="M8" s="970" t="b">
        <f>ISNUMBER(#REF!)</f>
        <v>0</v>
      </c>
      <c r="N8" s="970" t="b">
        <f>ISNUMBER(#REF!)</f>
        <v>0</v>
      </c>
      <c r="O8" s="970" t="b">
        <f t="shared" si="1"/>
        <v>1</v>
      </c>
      <c r="P8" s="970" t="b">
        <f>ISNUMBER(#REF!)</f>
        <v>0</v>
      </c>
      <c r="Q8" s="978" t="str">
        <f t="shared" si="2"/>
        <v/>
      </c>
    </row>
    <row r="9" spans="1:17">
      <c r="A9" s="997">
        <f t="shared" si="3"/>
        <v>44898.125</v>
      </c>
      <c r="B9" s="373" t="s">
        <v>282</v>
      </c>
      <c r="C9" s="977">
        <f t="shared" si="0"/>
        <v>9.75</v>
      </c>
      <c r="E9" s="970" t="b">
        <f>ISNUMBER(#REF!)</f>
        <v>0</v>
      </c>
      <c r="F9" s="970" t="b">
        <f>ISNUMBER(#REF!)</f>
        <v>0</v>
      </c>
      <c r="G9" s="970" t="b">
        <f>ISNUMBER(#REF!)</f>
        <v>0</v>
      </c>
      <c r="H9" s="970" t="b">
        <f>ISNUMBER(#REF!)</f>
        <v>0</v>
      </c>
      <c r="I9" s="970" t="b">
        <f>ISNUMBER(#REF!)</f>
        <v>0</v>
      </c>
      <c r="J9" s="970" t="b">
        <f>ISNUMBER(#REF!)</f>
        <v>0</v>
      </c>
      <c r="K9" s="970" t="b">
        <f>ISNUMBER(#REF!)</f>
        <v>0</v>
      </c>
      <c r="L9" s="970" t="b">
        <f>ISNUMBER(#REF!)</f>
        <v>0</v>
      </c>
      <c r="M9" s="970" t="b">
        <f>ISNUMBER(#REF!)</f>
        <v>0</v>
      </c>
      <c r="N9" s="970" t="b">
        <f>ISNUMBER(#REF!)</f>
        <v>0</v>
      </c>
      <c r="O9" s="970" t="b">
        <f t="shared" si="1"/>
        <v>1</v>
      </c>
      <c r="P9" s="970" t="b">
        <f>ISNUMBER(#REF!)</f>
        <v>0</v>
      </c>
      <c r="Q9" s="978" t="str">
        <f t="shared" si="2"/>
        <v/>
      </c>
    </row>
    <row r="10" spans="1:17">
      <c r="A10" s="997">
        <f t="shared" si="3"/>
        <v>44898.125</v>
      </c>
      <c r="B10" s="373" t="s">
        <v>288</v>
      </c>
      <c r="C10" s="977">
        <f t="shared" si="0"/>
        <v>13.381294964028777</v>
      </c>
      <c r="E10" s="970" t="b">
        <f>ISNUMBER(#REF!)</f>
        <v>0</v>
      </c>
      <c r="F10" s="970" t="b">
        <f>ISNUMBER(#REF!)</f>
        <v>0</v>
      </c>
      <c r="G10" s="970" t="b">
        <f>ISNUMBER(#REF!)</f>
        <v>0</v>
      </c>
      <c r="H10" s="970" t="b">
        <f>ISNUMBER(#REF!)</f>
        <v>0</v>
      </c>
      <c r="I10" s="970" t="b">
        <f>ISNUMBER(#REF!)</f>
        <v>0</v>
      </c>
      <c r="J10" s="970" t="b">
        <f>ISNUMBER(#REF!)</f>
        <v>0</v>
      </c>
      <c r="K10" s="970" t="b">
        <f>ISNUMBER(#REF!)</f>
        <v>0</v>
      </c>
      <c r="L10" s="970" t="b">
        <f>ISNUMBER(#REF!)</f>
        <v>0</v>
      </c>
      <c r="M10" s="970" t="b">
        <f>ISNUMBER(#REF!)</f>
        <v>0</v>
      </c>
      <c r="N10" s="970" t="b">
        <f>ISNUMBER(#REF!)</f>
        <v>0</v>
      </c>
      <c r="O10" s="970" t="b">
        <f t="shared" si="1"/>
        <v>1</v>
      </c>
      <c r="P10" s="970" t="b">
        <f>ISNUMBER(#REF!)</f>
        <v>0</v>
      </c>
      <c r="Q10" s="978" t="str">
        <f t="shared" si="2"/>
        <v/>
      </c>
    </row>
    <row r="11" spans="1:17">
      <c r="A11" s="997">
        <f t="shared" si="3"/>
        <v>44898.125</v>
      </c>
      <c r="B11" s="373" t="s">
        <v>290</v>
      </c>
      <c r="C11" s="977">
        <f t="shared" si="0"/>
        <v>1.8</v>
      </c>
      <c r="E11" s="970" t="b">
        <f>ISNUMBER(#REF!)</f>
        <v>0</v>
      </c>
      <c r="F11" s="970" t="b">
        <f>ISNUMBER(#REF!)</f>
        <v>0</v>
      </c>
      <c r="G11" s="970" t="b">
        <f>ISNUMBER(#REF!)</f>
        <v>0</v>
      </c>
      <c r="H11" s="970" t="b">
        <f>ISNUMBER(#REF!)</f>
        <v>0</v>
      </c>
      <c r="I11" s="970" t="b">
        <f>ISNUMBER(#REF!)</f>
        <v>0</v>
      </c>
      <c r="J11" s="970" t="b">
        <f>ISNUMBER(#REF!)</f>
        <v>0</v>
      </c>
      <c r="K11" s="970" t="b">
        <f>ISNUMBER(#REF!)</f>
        <v>0</v>
      </c>
      <c r="L11" s="970" t="b">
        <f>ISNUMBER(#REF!)</f>
        <v>0</v>
      </c>
      <c r="M11" s="970" t="b">
        <f>ISNUMBER(#REF!)</f>
        <v>0</v>
      </c>
      <c r="N11" s="970" t="b">
        <f>ISNUMBER(#REF!)</f>
        <v>0</v>
      </c>
      <c r="O11" s="970" t="b">
        <f t="shared" si="1"/>
        <v>1</v>
      </c>
      <c r="P11" s="970" t="b">
        <f>ISNUMBER(#REF!)</f>
        <v>0</v>
      </c>
      <c r="Q11" s="978" t="str">
        <f t="shared" si="2"/>
        <v/>
      </c>
    </row>
    <row r="12" spans="1:17">
      <c r="A12" s="997">
        <f t="shared" si="3"/>
        <v>44898.125</v>
      </c>
      <c r="B12" s="373" t="s">
        <v>283</v>
      </c>
      <c r="C12" s="977">
        <f t="shared" si="0"/>
        <v>0.44484374999999998</v>
      </c>
      <c r="E12" s="970" t="b">
        <f>ISNUMBER(#REF!)</f>
        <v>0</v>
      </c>
      <c r="F12" s="970" t="b">
        <f>ISNUMBER(#REF!)</f>
        <v>0</v>
      </c>
      <c r="G12" s="970" t="b">
        <f>ISNUMBER(#REF!)</f>
        <v>0</v>
      </c>
      <c r="H12" s="970" t="b">
        <f>ISNUMBER(#REF!)</f>
        <v>0</v>
      </c>
      <c r="I12" s="970" t="b">
        <f>ISNUMBER(#REF!)</f>
        <v>0</v>
      </c>
      <c r="J12" s="970" t="b">
        <f>ISNUMBER(#REF!)</f>
        <v>0</v>
      </c>
      <c r="K12" s="970" t="b">
        <f>ISNUMBER(#REF!)</f>
        <v>0</v>
      </c>
      <c r="L12" s="970" t="b">
        <f>ISNUMBER(#REF!)</f>
        <v>0</v>
      </c>
      <c r="M12" s="970" t="b">
        <f>ISNUMBER(#REF!)</f>
        <v>0</v>
      </c>
      <c r="N12" s="970" t="b">
        <f>ISNUMBER(#REF!)</f>
        <v>0</v>
      </c>
      <c r="O12" s="970" t="b">
        <f t="shared" si="1"/>
        <v>1</v>
      </c>
      <c r="P12" s="970" t="b">
        <f>ISNUMBER(#REF!)</f>
        <v>0</v>
      </c>
      <c r="Q12" s="978" t="str">
        <f t="shared" si="2"/>
        <v/>
      </c>
    </row>
    <row r="13" spans="1:17">
      <c r="A13" s="997">
        <f t="shared" si="3"/>
        <v>44898.125</v>
      </c>
      <c r="B13" s="373" t="s">
        <v>284</v>
      </c>
      <c r="C13" s="977">
        <f t="shared" si="0"/>
        <v>0.23953125000000003</v>
      </c>
      <c r="E13" s="970" t="b">
        <f>ISNUMBER(#REF!)</f>
        <v>0</v>
      </c>
      <c r="F13" s="970" t="b">
        <f>ISNUMBER(#REF!)</f>
        <v>0</v>
      </c>
      <c r="G13" s="970" t="b">
        <f>ISNUMBER(#REF!)</f>
        <v>0</v>
      </c>
      <c r="H13" s="970" t="b">
        <f>ISNUMBER(#REF!)</f>
        <v>0</v>
      </c>
      <c r="I13" s="970" t="b">
        <f>ISNUMBER(#REF!)</f>
        <v>0</v>
      </c>
      <c r="J13" s="970" t="b">
        <f>ISNUMBER(#REF!)</f>
        <v>0</v>
      </c>
      <c r="K13" s="970" t="b">
        <f>ISNUMBER(#REF!)</f>
        <v>0</v>
      </c>
      <c r="L13" s="970" t="b">
        <f>ISNUMBER(#REF!)</f>
        <v>0</v>
      </c>
      <c r="M13" s="970" t="b">
        <f>ISNUMBER(#REF!)</f>
        <v>0</v>
      </c>
      <c r="N13" s="970" t="b">
        <f>ISNUMBER(#REF!)</f>
        <v>0</v>
      </c>
      <c r="O13" s="970" t="b">
        <f t="shared" si="1"/>
        <v>1</v>
      </c>
      <c r="P13" s="970" t="b">
        <f>ISNUMBER(#REF!)</f>
        <v>0</v>
      </c>
      <c r="Q13" s="978" t="str">
        <f t="shared" si="2"/>
        <v/>
      </c>
    </row>
    <row r="14" spans="1:17">
      <c r="A14" s="997">
        <f t="shared" si="3"/>
        <v>44898.125</v>
      </c>
      <c r="B14" s="373" t="s">
        <v>285</v>
      </c>
      <c r="C14" s="977">
        <f t="shared" si="0"/>
        <v>9.5812500000000009E-2</v>
      </c>
      <c r="E14" s="970" t="b">
        <f>ISNUMBER(#REF!)</f>
        <v>0</v>
      </c>
      <c r="F14" s="970" t="b">
        <f>ISNUMBER(#REF!)</f>
        <v>0</v>
      </c>
      <c r="G14" s="970" t="b">
        <f>ISNUMBER(#REF!)</f>
        <v>0</v>
      </c>
      <c r="H14" s="970" t="b">
        <f>ISNUMBER(#REF!)</f>
        <v>0</v>
      </c>
      <c r="I14" s="970" t="b">
        <f>ISNUMBER(#REF!)</f>
        <v>0</v>
      </c>
      <c r="J14" s="970" t="b">
        <f>ISNUMBER(#REF!)</f>
        <v>0</v>
      </c>
      <c r="K14" s="970" t="b">
        <f>ISNUMBER(#REF!)</f>
        <v>0</v>
      </c>
      <c r="L14" s="970" t="b">
        <f>ISNUMBER(#REF!)</f>
        <v>0</v>
      </c>
      <c r="M14" s="970" t="b">
        <f>ISNUMBER(#REF!)</f>
        <v>0</v>
      </c>
      <c r="N14" s="970" t="b">
        <f>ISNUMBER(#REF!)</f>
        <v>0</v>
      </c>
      <c r="O14" s="970" t="b">
        <f t="shared" si="1"/>
        <v>1</v>
      </c>
      <c r="P14" s="970" t="b">
        <f>ISNUMBER(#REF!)</f>
        <v>0</v>
      </c>
      <c r="Q14" s="978" t="str">
        <f t="shared" si="2"/>
        <v/>
      </c>
    </row>
    <row r="15" spans="1:17">
      <c r="A15" s="997">
        <f t="shared" si="3"/>
        <v>44898.125</v>
      </c>
      <c r="B15" s="373" t="s">
        <v>286</v>
      </c>
      <c r="C15" s="977">
        <f t="shared" si="0"/>
        <v>1.234996E-2</v>
      </c>
      <c r="E15" s="970" t="b">
        <f>ISNUMBER(#REF!)</f>
        <v>0</v>
      </c>
      <c r="F15" s="970" t="b">
        <f>ISNUMBER(#REF!)</f>
        <v>0</v>
      </c>
      <c r="G15" s="970" t="b">
        <f>ISNUMBER(#REF!)</f>
        <v>0</v>
      </c>
      <c r="H15" s="970" t="b">
        <f>ISNUMBER(#REF!)</f>
        <v>0</v>
      </c>
      <c r="I15" s="970" t="b">
        <f>ISNUMBER(#REF!)</f>
        <v>0</v>
      </c>
      <c r="J15" s="970" t="b">
        <f>ISNUMBER(#REF!)</f>
        <v>0</v>
      </c>
      <c r="K15" s="970" t="b">
        <f>ISNUMBER(#REF!)</f>
        <v>0</v>
      </c>
      <c r="L15" s="970" t="b">
        <f>ISNUMBER(#REF!)</f>
        <v>0</v>
      </c>
      <c r="M15" s="970" t="b">
        <f>ISNUMBER(#REF!)</f>
        <v>0</v>
      </c>
      <c r="N15" s="970" t="b">
        <f>ISNUMBER(#REF!)</f>
        <v>0</v>
      </c>
      <c r="O15" s="970" t="b">
        <f t="shared" si="1"/>
        <v>1</v>
      </c>
      <c r="P15" s="970" t="b">
        <f>ISNUMBER(#REF!)</f>
        <v>0</v>
      </c>
      <c r="Q15" s="978" t="str">
        <f t="shared" si="2"/>
        <v/>
      </c>
    </row>
    <row r="16" spans="1:17">
      <c r="A16" s="997">
        <f t="shared" si="3"/>
        <v>44898.125</v>
      </c>
      <c r="B16" s="373" t="s">
        <v>298</v>
      </c>
      <c r="C16" s="977">
        <f t="shared" si="0"/>
        <v>340</v>
      </c>
      <c r="E16" s="970" t="b">
        <f>ISNUMBER(#REF!)</f>
        <v>0</v>
      </c>
      <c r="F16" s="970" t="b">
        <f>ISNUMBER(#REF!)</f>
        <v>0</v>
      </c>
      <c r="G16" s="970" t="b">
        <f>ISNUMBER(#REF!)</f>
        <v>0</v>
      </c>
      <c r="H16" s="970" t="b">
        <f>ISNUMBER(#REF!)</f>
        <v>0</v>
      </c>
      <c r="I16" s="970" t="b">
        <f>ISNUMBER(#REF!)</f>
        <v>0</v>
      </c>
      <c r="J16" s="970" t="b">
        <f>ISNUMBER(#REF!)</f>
        <v>0</v>
      </c>
      <c r="K16" s="970" t="b">
        <f>ISNUMBER(#REF!)</f>
        <v>0</v>
      </c>
      <c r="L16" s="970" t="b">
        <f>ISNUMBER(#REF!)</f>
        <v>0</v>
      </c>
      <c r="M16" s="970" t="b">
        <f>ISNUMBER(#REF!)</f>
        <v>0</v>
      </c>
      <c r="N16" s="970" t="b">
        <f>ISNUMBER(#REF!)</f>
        <v>0</v>
      </c>
      <c r="O16" s="970" t="b">
        <f t="shared" si="1"/>
        <v>1</v>
      </c>
      <c r="P16" s="970" t="b">
        <f>ISNUMBER(#REF!)</f>
        <v>0</v>
      </c>
      <c r="Q16" s="978" t="str">
        <f t="shared" si="2"/>
        <v/>
      </c>
    </row>
    <row r="17" spans="1:17">
      <c r="A17" s="997">
        <f t="shared" si="3"/>
        <v>44898.125</v>
      </c>
      <c r="B17" s="373" t="s">
        <v>299</v>
      </c>
      <c r="C17" s="977">
        <f t="shared" si="0"/>
        <v>42</v>
      </c>
      <c r="E17" s="970" t="b">
        <f>ISNUMBER(#REF!)</f>
        <v>0</v>
      </c>
      <c r="F17" s="970" t="b">
        <f>ISNUMBER(#REF!)</f>
        <v>0</v>
      </c>
      <c r="G17" s="970" t="b">
        <f>ISNUMBER(#REF!)</f>
        <v>0</v>
      </c>
      <c r="H17" s="970" t="b">
        <f>ISNUMBER(#REF!)</f>
        <v>0</v>
      </c>
      <c r="I17" s="970" t="b">
        <f>ISNUMBER(#REF!)</f>
        <v>0</v>
      </c>
      <c r="J17" s="970" t="b">
        <f>ISNUMBER(#REF!)</f>
        <v>0</v>
      </c>
      <c r="K17" s="970" t="b">
        <f>ISNUMBER(#REF!)</f>
        <v>0</v>
      </c>
      <c r="L17" s="970" t="b">
        <f>ISNUMBER(#REF!)</f>
        <v>0</v>
      </c>
      <c r="M17" s="970" t="b">
        <f>ISNUMBER(#REF!)</f>
        <v>0</v>
      </c>
      <c r="N17" s="970" t="b">
        <f>ISNUMBER(#REF!)</f>
        <v>0</v>
      </c>
      <c r="O17" s="970" t="b">
        <f t="shared" si="1"/>
        <v>1</v>
      </c>
      <c r="P17" s="970" t="b">
        <f>ISNUMBER(#REF!)</f>
        <v>0</v>
      </c>
      <c r="Q17" s="978" t="str">
        <f t="shared" si="2"/>
        <v/>
      </c>
    </row>
    <row r="18" spans="1:17">
      <c r="A18" s="997">
        <f t="shared" si="3"/>
        <v>44898.125</v>
      </c>
      <c r="B18" s="373" t="s">
        <v>300</v>
      </c>
      <c r="C18" s="977">
        <f t="shared" si="0"/>
        <v>71.39</v>
      </c>
      <c r="E18" s="970" t="b">
        <f>ISNUMBER(#REF!)</f>
        <v>0</v>
      </c>
      <c r="F18" s="970" t="b">
        <f>ISNUMBER(#REF!)</f>
        <v>0</v>
      </c>
      <c r="G18" s="970" t="b">
        <f>ISNUMBER(#REF!)</f>
        <v>0</v>
      </c>
      <c r="H18" s="970" t="b">
        <f>ISNUMBER(#REF!)</f>
        <v>0</v>
      </c>
      <c r="I18" s="970" t="b">
        <f>ISNUMBER(#REF!)</f>
        <v>0</v>
      </c>
      <c r="J18" s="970" t="b">
        <f>ISNUMBER(#REF!)</f>
        <v>0</v>
      </c>
      <c r="K18" s="970" t="b">
        <f>ISNUMBER(#REF!)</f>
        <v>0</v>
      </c>
      <c r="L18" s="970" t="b">
        <f>ISNUMBER(#REF!)</f>
        <v>0</v>
      </c>
      <c r="M18" s="970" t="b">
        <f>ISNUMBER(#REF!)</f>
        <v>0</v>
      </c>
      <c r="N18" s="970" t="b">
        <f>ISNUMBER(#REF!)</f>
        <v>0</v>
      </c>
      <c r="O18" s="970" t="b">
        <f t="shared" si="1"/>
        <v>1</v>
      </c>
      <c r="P18" s="970" t="b">
        <f>ISNUMBER(#REF!)</f>
        <v>0</v>
      </c>
      <c r="Q18" s="978" t="str">
        <f t="shared" si="2"/>
        <v/>
      </c>
    </row>
    <row r="19" spans="1:17">
      <c r="A19" s="997">
        <f t="shared" si="3"/>
        <v>44898.125</v>
      </c>
      <c r="B19" s="373" t="s">
        <v>301</v>
      </c>
      <c r="C19" s="977">
        <f t="shared" si="0"/>
        <v>80.475999999999999</v>
      </c>
      <c r="E19" s="970" t="b">
        <f>ISNUMBER(#REF!)</f>
        <v>0</v>
      </c>
      <c r="F19" s="970" t="b">
        <f>ISNUMBER(#REF!)</f>
        <v>0</v>
      </c>
      <c r="G19" s="970" t="b">
        <f>ISNUMBER(#REF!)</f>
        <v>0</v>
      </c>
      <c r="H19" s="970" t="b">
        <f>ISNUMBER(#REF!)</f>
        <v>0</v>
      </c>
      <c r="I19" s="970" t="b">
        <f>ISNUMBER(#REF!)</f>
        <v>0</v>
      </c>
      <c r="J19" s="970" t="b">
        <f>ISNUMBER(#REF!)</f>
        <v>0</v>
      </c>
      <c r="K19" s="970" t="b">
        <f>ISNUMBER(#REF!)</f>
        <v>0</v>
      </c>
      <c r="L19" s="970" t="b">
        <f>ISNUMBER(#REF!)</f>
        <v>0</v>
      </c>
      <c r="M19" s="970" t="b">
        <f>ISNUMBER(#REF!)</f>
        <v>0</v>
      </c>
      <c r="N19" s="970" t="b">
        <f>ISNUMBER(#REF!)</f>
        <v>0</v>
      </c>
      <c r="O19" s="970" t="b">
        <f t="shared" si="1"/>
        <v>1</v>
      </c>
      <c r="P19" s="970" t="b">
        <f>ISNUMBER(#REF!)</f>
        <v>0</v>
      </c>
      <c r="Q19" s="978" t="str">
        <f t="shared" si="2"/>
        <v/>
      </c>
    </row>
    <row r="20" spans="1:17">
      <c r="A20" s="997">
        <f t="shared" si="3"/>
        <v>44898.125</v>
      </c>
      <c r="B20" s="373" t="s">
        <v>302</v>
      </c>
      <c r="C20" s="977">
        <f t="shared" si="0"/>
        <v>60.983999999999995</v>
      </c>
      <c r="E20" s="970" t="b">
        <f>ISNUMBER(#REF!)</f>
        <v>0</v>
      </c>
      <c r="F20" s="970" t="b">
        <f>ISNUMBER(#REF!)</f>
        <v>0</v>
      </c>
      <c r="G20" s="970" t="b">
        <f>ISNUMBER(#REF!)</f>
        <v>0</v>
      </c>
      <c r="H20" s="970" t="b">
        <f>ISNUMBER(#REF!)</f>
        <v>0</v>
      </c>
      <c r="I20" s="970" t="b">
        <f>ISNUMBER(#REF!)</f>
        <v>0</v>
      </c>
      <c r="J20" s="970" t="b">
        <f>ISNUMBER(#REF!)</f>
        <v>0</v>
      </c>
      <c r="K20" s="970" t="b">
        <f>ISNUMBER(#REF!)</f>
        <v>0</v>
      </c>
      <c r="L20" s="970" t="b">
        <f>ISNUMBER(#REF!)</f>
        <v>0</v>
      </c>
      <c r="M20" s="970" t="b">
        <f>ISNUMBER(#REF!)</f>
        <v>0</v>
      </c>
      <c r="N20" s="970" t="b">
        <f>ISNUMBER(#REF!)</f>
        <v>0</v>
      </c>
      <c r="O20" s="970" t="b">
        <f t="shared" si="1"/>
        <v>1</v>
      </c>
      <c r="P20" s="970" t="b">
        <f>ISNUMBER(#REF!)</f>
        <v>0</v>
      </c>
      <c r="Q20" s="978" t="str">
        <f t="shared" si="2"/>
        <v/>
      </c>
    </row>
    <row r="21" spans="1:17">
      <c r="A21" s="997">
        <f t="shared" si="3"/>
        <v>44898.125</v>
      </c>
      <c r="B21" s="373" t="s">
        <v>303</v>
      </c>
      <c r="C21" s="977">
        <f t="shared" si="0"/>
        <v>57.75</v>
      </c>
      <c r="E21" s="970" t="b">
        <f>ISNUMBER(#REF!)</f>
        <v>0</v>
      </c>
      <c r="F21" s="970" t="b">
        <f>ISNUMBER(#REF!)</f>
        <v>0</v>
      </c>
      <c r="G21" s="970" t="b">
        <f>ISNUMBER(#REF!)</f>
        <v>0</v>
      </c>
      <c r="H21" s="970" t="b">
        <f>ISNUMBER(#REF!)</f>
        <v>0</v>
      </c>
      <c r="I21" s="970" t="b">
        <f>ISNUMBER(#REF!)</f>
        <v>0</v>
      </c>
      <c r="J21" s="970" t="b">
        <f>ISNUMBER(#REF!)</f>
        <v>0</v>
      </c>
      <c r="K21" s="970" t="b">
        <f>ISNUMBER(#REF!)</f>
        <v>0</v>
      </c>
      <c r="L21" s="970" t="b">
        <f>ISNUMBER(#REF!)</f>
        <v>0</v>
      </c>
      <c r="M21" s="970" t="b">
        <f>ISNUMBER(#REF!)</f>
        <v>0</v>
      </c>
      <c r="N21" s="970" t="b">
        <f>ISNUMBER(#REF!)</f>
        <v>0</v>
      </c>
      <c r="O21" s="970" t="b">
        <f t="shared" si="1"/>
        <v>1</v>
      </c>
      <c r="P21" s="970" t="b">
        <f>ISNUMBER(#REF!)</f>
        <v>0</v>
      </c>
      <c r="Q21" s="978" t="str">
        <f t="shared" si="2"/>
        <v/>
      </c>
    </row>
    <row r="22" spans="1:17">
      <c r="A22" s="997">
        <f t="shared" si="3"/>
        <v>44898.125</v>
      </c>
      <c r="B22" s="373" t="s">
        <v>304</v>
      </c>
      <c r="C22" s="977">
        <f t="shared" si="0"/>
        <v>140</v>
      </c>
      <c r="E22" s="970" t="b">
        <f>ISNUMBER(#REF!)</f>
        <v>0</v>
      </c>
      <c r="F22" s="970" t="b">
        <f>ISNUMBER(#REF!)</f>
        <v>0</v>
      </c>
      <c r="G22" s="970" t="b">
        <f>ISNUMBER(#REF!)</f>
        <v>0</v>
      </c>
      <c r="H22" s="970" t="b">
        <f>ISNUMBER(#REF!)</f>
        <v>0</v>
      </c>
      <c r="I22" s="970" t="b">
        <f>ISNUMBER(#REF!)</f>
        <v>0</v>
      </c>
      <c r="J22" s="970" t="b">
        <f>ISNUMBER(#REF!)</f>
        <v>0</v>
      </c>
      <c r="K22" s="970" t="b">
        <f>ISNUMBER(#REF!)</f>
        <v>0</v>
      </c>
      <c r="L22" s="970" t="b">
        <f>ISNUMBER(#REF!)</f>
        <v>0</v>
      </c>
      <c r="M22" s="970" t="b">
        <f>ISNUMBER(#REF!)</f>
        <v>0</v>
      </c>
      <c r="N22" s="970" t="b">
        <f>ISNUMBER(#REF!)</f>
        <v>0</v>
      </c>
      <c r="O22" s="970" t="b">
        <f t="shared" si="1"/>
        <v>1</v>
      </c>
      <c r="P22" s="970" t="b">
        <f>ISNUMBER(#REF!)</f>
        <v>0</v>
      </c>
      <c r="Q22" s="978" t="str">
        <f t="shared" si="2"/>
        <v/>
      </c>
    </row>
    <row r="23" spans="1:17">
      <c r="A23" s="997">
        <f t="shared" si="3"/>
        <v>44898.125</v>
      </c>
      <c r="B23" s="373" t="s">
        <v>305</v>
      </c>
      <c r="C23" s="977">
        <f t="shared" si="0"/>
        <v>8.4500000000000011</v>
      </c>
      <c r="E23" s="970" t="b">
        <f>ISNUMBER(#REF!)</f>
        <v>0</v>
      </c>
      <c r="F23" s="970" t="b">
        <f>ISNUMBER(#REF!)</f>
        <v>0</v>
      </c>
      <c r="G23" s="970" t="b">
        <f>ISNUMBER(#REF!)</f>
        <v>0</v>
      </c>
      <c r="H23" s="970" t="b">
        <f>ISNUMBER(#REF!)</f>
        <v>0</v>
      </c>
      <c r="I23" s="970" t="b">
        <f>ISNUMBER(#REF!)</f>
        <v>0</v>
      </c>
      <c r="J23" s="970" t="b">
        <f>ISNUMBER(#REF!)</f>
        <v>0</v>
      </c>
      <c r="K23" s="970" t="b">
        <f>ISNUMBER(#REF!)</f>
        <v>0</v>
      </c>
      <c r="L23" s="970" t="b">
        <f>ISNUMBER(#REF!)</f>
        <v>0</v>
      </c>
      <c r="M23" s="970" t="b">
        <f>ISNUMBER(#REF!)</f>
        <v>0</v>
      </c>
      <c r="N23" s="970" t="b">
        <f>ISNUMBER(#REF!)</f>
        <v>0</v>
      </c>
      <c r="O23" s="970" t="b">
        <f t="shared" si="1"/>
        <v>1</v>
      </c>
      <c r="P23" s="970" t="b">
        <f>ISNUMBER(#REF!)</f>
        <v>0</v>
      </c>
      <c r="Q23" s="978" t="str">
        <f t="shared" si="2"/>
        <v/>
      </c>
    </row>
    <row r="24" spans="1:17">
      <c r="A24" s="997">
        <f t="shared" si="3"/>
        <v>44898.125</v>
      </c>
      <c r="B24" s="373" t="s">
        <v>306</v>
      </c>
      <c r="C24" s="977">
        <f t="shared" si="0"/>
        <v>4.5467399999999998</v>
      </c>
      <c r="E24" s="970" t="b">
        <f>ISNUMBER(#REF!)</f>
        <v>0</v>
      </c>
      <c r="F24" s="970" t="b">
        <f>ISNUMBER(#REF!)</f>
        <v>0</v>
      </c>
      <c r="G24" s="970" t="b">
        <f>ISNUMBER(#REF!)</f>
        <v>0</v>
      </c>
      <c r="H24" s="970" t="b">
        <f>ISNUMBER(#REF!)</f>
        <v>0</v>
      </c>
      <c r="I24" s="970" t="b">
        <f>ISNUMBER(#REF!)</f>
        <v>0</v>
      </c>
      <c r="J24" s="970" t="b">
        <f>ISNUMBER(#REF!)</f>
        <v>0</v>
      </c>
      <c r="K24" s="970" t="b">
        <f>ISNUMBER(#REF!)</f>
        <v>0</v>
      </c>
      <c r="L24" s="970" t="b">
        <f>ISNUMBER(#REF!)</f>
        <v>0</v>
      </c>
      <c r="M24" s="970" t="b">
        <f>ISNUMBER(#REF!)</f>
        <v>0</v>
      </c>
      <c r="N24" s="970" t="b">
        <f>ISNUMBER(#REF!)</f>
        <v>0</v>
      </c>
      <c r="O24" s="970" t="b">
        <f t="shared" si="1"/>
        <v>1</v>
      </c>
      <c r="P24" s="970" t="b">
        <f>ISNUMBER(#REF!)</f>
        <v>0</v>
      </c>
      <c r="Q24" s="978" t="str">
        <f t="shared" si="2"/>
        <v/>
      </c>
    </row>
    <row r="25" spans="1:17">
      <c r="A25" s="997">
        <f t="shared" si="3"/>
        <v>44898.125</v>
      </c>
      <c r="B25" s="373" t="s">
        <v>307</v>
      </c>
      <c r="C25" s="977">
        <f t="shared" si="0"/>
        <v>2.35</v>
      </c>
      <c r="E25" s="970" t="b">
        <f>ISNUMBER(#REF!)</f>
        <v>0</v>
      </c>
      <c r="F25" s="970" t="b">
        <f>ISNUMBER(#REF!)</f>
        <v>0</v>
      </c>
      <c r="G25" s="970" t="b">
        <f>ISNUMBER(#REF!)</f>
        <v>0</v>
      </c>
      <c r="H25" s="970" t="b">
        <f>ISNUMBER(#REF!)</f>
        <v>0</v>
      </c>
      <c r="I25" s="970" t="b">
        <f>ISNUMBER(#REF!)</f>
        <v>0</v>
      </c>
      <c r="J25" s="970" t="b">
        <f>ISNUMBER(#REF!)</f>
        <v>0</v>
      </c>
      <c r="K25" s="970" t="b">
        <f>ISNUMBER(#REF!)</f>
        <v>0</v>
      </c>
      <c r="L25" s="970" t="b">
        <f>ISNUMBER(#REF!)</f>
        <v>0</v>
      </c>
      <c r="M25" s="970" t="b">
        <f>ISNUMBER(#REF!)</f>
        <v>0</v>
      </c>
      <c r="N25" s="970" t="b">
        <f>ISNUMBER(#REF!)</f>
        <v>0</v>
      </c>
      <c r="O25" s="970" t="b">
        <f t="shared" si="1"/>
        <v>1</v>
      </c>
      <c r="P25" s="970" t="b">
        <f>ISNUMBER(#REF!)</f>
        <v>0</v>
      </c>
      <c r="Q25" s="978" t="str">
        <f t="shared" si="2"/>
        <v/>
      </c>
    </row>
    <row r="26" spans="1:17">
      <c r="A26" s="997">
        <f t="shared" si="3"/>
        <v>44898.125</v>
      </c>
      <c r="B26" s="373" t="s">
        <v>308</v>
      </c>
      <c r="C26" s="977">
        <f t="shared" si="0"/>
        <v>0.45624999999999999</v>
      </c>
      <c r="E26" s="970" t="b">
        <f>ISNUMBER(#REF!)</f>
        <v>0</v>
      </c>
      <c r="F26" s="970" t="b">
        <f>ISNUMBER(#REF!)</f>
        <v>0</v>
      </c>
      <c r="G26" s="970" t="b">
        <f>ISNUMBER(#REF!)</f>
        <v>0</v>
      </c>
      <c r="H26" s="970" t="b">
        <f>ISNUMBER(#REF!)</f>
        <v>0</v>
      </c>
      <c r="I26" s="970" t="b">
        <f>ISNUMBER(#REF!)</f>
        <v>0</v>
      </c>
      <c r="J26" s="970" t="b">
        <f>ISNUMBER(#REF!)</f>
        <v>0</v>
      </c>
      <c r="K26" s="970" t="b">
        <f>ISNUMBER(#REF!)</f>
        <v>0</v>
      </c>
      <c r="L26" s="970" t="b">
        <f>ISNUMBER(#REF!)</f>
        <v>0</v>
      </c>
      <c r="M26" s="970" t="b">
        <f>ISNUMBER(#REF!)</f>
        <v>0</v>
      </c>
      <c r="N26" s="970" t="b">
        <f>ISNUMBER(#REF!)</f>
        <v>0</v>
      </c>
      <c r="O26" s="970" t="b">
        <f t="shared" si="1"/>
        <v>1</v>
      </c>
      <c r="P26" s="970" t="b">
        <f>ISNUMBER(#REF!)</f>
        <v>0</v>
      </c>
      <c r="Q26" s="978" t="str">
        <f t="shared" si="2"/>
        <v/>
      </c>
    </row>
    <row r="27" spans="1:17">
      <c r="A27" s="997">
        <f t="shared" si="3"/>
        <v>44898.125</v>
      </c>
      <c r="B27" s="373" t="s">
        <v>309</v>
      </c>
      <c r="C27" s="977">
        <f t="shared" si="0"/>
        <v>0.25093750000000004</v>
      </c>
      <c r="E27" s="970" t="b">
        <f>ISNUMBER(#REF!)</f>
        <v>0</v>
      </c>
      <c r="F27" s="970" t="b">
        <f>ISNUMBER(#REF!)</f>
        <v>0</v>
      </c>
      <c r="G27" s="970" t="b">
        <f>ISNUMBER(#REF!)</f>
        <v>0</v>
      </c>
      <c r="H27" s="970" t="b">
        <f>ISNUMBER(#REF!)</f>
        <v>0</v>
      </c>
      <c r="I27" s="970" t="b">
        <f>ISNUMBER(#REF!)</f>
        <v>0</v>
      </c>
      <c r="J27" s="970" t="b">
        <f>ISNUMBER(#REF!)</f>
        <v>0</v>
      </c>
      <c r="K27" s="970" t="b">
        <f>ISNUMBER(#REF!)</f>
        <v>0</v>
      </c>
      <c r="L27" s="970" t="b">
        <f>ISNUMBER(#REF!)</f>
        <v>0</v>
      </c>
      <c r="M27" s="970" t="b">
        <f>ISNUMBER(#REF!)</f>
        <v>0</v>
      </c>
      <c r="N27" s="970" t="b">
        <f>ISNUMBER(#REF!)</f>
        <v>0</v>
      </c>
      <c r="O27" s="970" t="b">
        <f t="shared" si="1"/>
        <v>1</v>
      </c>
      <c r="P27" s="970" t="b">
        <f>ISNUMBER(#REF!)</f>
        <v>0</v>
      </c>
      <c r="Q27" s="978" t="str">
        <f t="shared" si="2"/>
        <v/>
      </c>
    </row>
    <row r="28" spans="1:17">
      <c r="A28" s="997">
        <f t="shared" si="3"/>
        <v>44898.125</v>
      </c>
      <c r="B28" s="373" t="s">
        <v>310</v>
      </c>
      <c r="C28" s="977">
        <f t="shared" si="0"/>
        <v>0.1140625</v>
      </c>
      <c r="E28" s="970" t="b">
        <f>ISNUMBER(#REF!)</f>
        <v>0</v>
      </c>
      <c r="F28" s="970" t="b">
        <f>ISNUMBER(#REF!)</f>
        <v>0</v>
      </c>
      <c r="G28" s="970" t="b">
        <f>ISNUMBER(#REF!)</f>
        <v>0</v>
      </c>
      <c r="H28" s="970" t="b">
        <f>ISNUMBER(#REF!)</f>
        <v>0</v>
      </c>
      <c r="I28" s="970" t="b">
        <f>ISNUMBER(#REF!)</f>
        <v>0</v>
      </c>
      <c r="J28" s="970" t="b">
        <f>ISNUMBER(#REF!)</f>
        <v>0</v>
      </c>
      <c r="K28" s="970" t="b">
        <f>ISNUMBER(#REF!)</f>
        <v>0</v>
      </c>
      <c r="L28" s="970" t="b">
        <f>ISNUMBER(#REF!)</f>
        <v>0</v>
      </c>
      <c r="M28" s="970" t="b">
        <f>ISNUMBER(#REF!)</f>
        <v>0</v>
      </c>
      <c r="N28" s="970" t="b">
        <f>ISNUMBER(#REF!)</f>
        <v>0</v>
      </c>
      <c r="O28" s="970" t="b">
        <f t="shared" si="1"/>
        <v>1</v>
      </c>
      <c r="P28" s="970" t="b">
        <f>ISNUMBER(#REF!)</f>
        <v>0</v>
      </c>
      <c r="Q28" s="978" t="str">
        <f t="shared" si="2"/>
        <v/>
      </c>
    </row>
    <row r="29" spans="1:17">
      <c r="A29" s="997">
        <f t="shared" si="3"/>
        <v>44898.125</v>
      </c>
      <c r="B29" s="373" t="s">
        <v>311</v>
      </c>
      <c r="C29" s="977">
        <f t="shared" si="0"/>
        <v>1.209792E-2</v>
      </c>
      <c r="E29" s="970" t="b">
        <f>ISNUMBER(#REF!)</f>
        <v>0</v>
      </c>
      <c r="F29" s="970" t="b">
        <f>ISNUMBER(#REF!)</f>
        <v>0</v>
      </c>
      <c r="G29" s="970" t="b">
        <f>ISNUMBER(#REF!)</f>
        <v>0</v>
      </c>
      <c r="H29" s="970" t="b">
        <f>ISNUMBER(#REF!)</f>
        <v>0</v>
      </c>
      <c r="I29" s="970" t="b">
        <f>ISNUMBER(#REF!)</f>
        <v>0</v>
      </c>
      <c r="J29" s="970" t="b">
        <f>ISNUMBER(#REF!)</f>
        <v>0</v>
      </c>
      <c r="K29" s="970" t="b">
        <f>ISNUMBER(#REF!)</f>
        <v>0</v>
      </c>
      <c r="L29" s="970" t="b">
        <f>ISNUMBER(#REF!)</f>
        <v>0</v>
      </c>
      <c r="M29" s="970" t="b">
        <f>ISNUMBER(#REF!)</f>
        <v>0</v>
      </c>
      <c r="N29" s="970" t="b">
        <f>ISNUMBER(#REF!)</f>
        <v>0</v>
      </c>
      <c r="O29" s="970" t="b">
        <f t="shared" si="1"/>
        <v>1</v>
      </c>
      <c r="P29" s="970" t="b">
        <f>ISNUMBER(#REF!)</f>
        <v>0</v>
      </c>
      <c r="Q29" s="978" t="str">
        <f t="shared" si="2"/>
        <v/>
      </c>
    </row>
    <row r="30" spans="1:17">
      <c r="A30" s="997">
        <f t="shared" si="3"/>
        <v>44898.125</v>
      </c>
      <c r="B30" s="373" t="s">
        <v>321</v>
      </c>
      <c r="C30" s="977">
        <f t="shared" si="0"/>
        <v>190</v>
      </c>
      <c r="E30" s="970" t="b">
        <f>ISNUMBER(#REF!)</f>
        <v>0</v>
      </c>
      <c r="F30" s="970" t="b">
        <f>ISNUMBER(#REF!)</f>
        <v>0</v>
      </c>
      <c r="G30" s="970" t="b">
        <f>ISNUMBER(#REF!)</f>
        <v>0</v>
      </c>
      <c r="H30" s="970" t="b">
        <f>ISNUMBER(#REF!)</f>
        <v>0</v>
      </c>
      <c r="I30" s="970" t="b">
        <f>ISNUMBER(#REF!)</f>
        <v>0</v>
      </c>
      <c r="J30" s="970" t="b">
        <f>ISNUMBER(#REF!)</f>
        <v>0</v>
      </c>
      <c r="K30" s="970" t="b">
        <f>ISNUMBER(#REF!)</f>
        <v>0</v>
      </c>
      <c r="L30" s="970" t="b">
        <f>ISNUMBER(#REF!)</f>
        <v>0</v>
      </c>
      <c r="M30" s="970" t="b">
        <f>ISNUMBER(#REF!)</f>
        <v>0</v>
      </c>
      <c r="N30" s="970" t="b">
        <f>ISNUMBER(#REF!)</f>
        <v>0</v>
      </c>
      <c r="O30" s="970" t="b">
        <f t="shared" si="1"/>
        <v>1</v>
      </c>
      <c r="P30" s="970" t="b">
        <f>ISNUMBER(#REF!)</f>
        <v>0</v>
      </c>
      <c r="Q30" s="978" t="str">
        <f t="shared" si="2"/>
        <v/>
      </c>
    </row>
    <row r="31" spans="1:17">
      <c r="A31" s="997">
        <f t="shared" si="3"/>
        <v>44898.125</v>
      </c>
      <c r="B31" s="373" t="s">
        <v>322</v>
      </c>
      <c r="C31" s="977">
        <f t="shared" si="0"/>
        <v>39</v>
      </c>
      <c r="E31" s="970" t="b">
        <f>ISNUMBER(#REF!)</f>
        <v>0</v>
      </c>
      <c r="F31" s="970" t="b">
        <f>ISNUMBER(#REF!)</f>
        <v>0</v>
      </c>
      <c r="G31" s="970" t="b">
        <f>ISNUMBER(#REF!)</f>
        <v>0</v>
      </c>
      <c r="H31" s="970" t="b">
        <f>ISNUMBER(#REF!)</f>
        <v>0</v>
      </c>
      <c r="I31" s="970" t="b">
        <f>ISNUMBER(#REF!)</f>
        <v>0</v>
      </c>
      <c r="J31" s="970" t="b">
        <f>ISNUMBER(#REF!)</f>
        <v>0</v>
      </c>
      <c r="K31" s="970" t="b">
        <f>ISNUMBER(#REF!)</f>
        <v>0</v>
      </c>
      <c r="L31" s="970" t="b">
        <f>ISNUMBER(#REF!)</f>
        <v>0</v>
      </c>
      <c r="M31" s="970" t="b">
        <f>ISNUMBER(#REF!)</f>
        <v>0</v>
      </c>
      <c r="N31" s="970" t="b">
        <f>ISNUMBER(#REF!)</f>
        <v>0</v>
      </c>
      <c r="O31" s="970" t="b">
        <f t="shared" si="1"/>
        <v>1</v>
      </c>
      <c r="P31" s="970" t="b">
        <f>ISNUMBER(#REF!)</f>
        <v>0</v>
      </c>
      <c r="Q31" s="978" t="str">
        <f t="shared" si="2"/>
        <v/>
      </c>
    </row>
    <row r="32" spans="1:17">
      <c r="A32" s="997">
        <f t="shared" si="3"/>
        <v>44898.125</v>
      </c>
      <c r="B32" s="373" t="s">
        <v>323</v>
      </c>
      <c r="C32" s="977">
        <f t="shared" si="0"/>
        <v>0</v>
      </c>
      <c r="E32" s="970" t="b">
        <f>ISNUMBER(#REF!)</f>
        <v>0</v>
      </c>
      <c r="F32" s="970" t="b">
        <f>ISNUMBER(#REF!)</f>
        <v>0</v>
      </c>
      <c r="G32" s="970" t="b">
        <f>ISNUMBER(#REF!)</f>
        <v>0</v>
      </c>
      <c r="H32" s="970" t="b">
        <f>ISNUMBER(#REF!)</f>
        <v>0</v>
      </c>
      <c r="I32" s="970" t="b">
        <f>ISNUMBER(#REF!)</f>
        <v>0</v>
      </c>
      <c r="J32" s="970" t="b">
        <f>ISNUMBER(#REF!)</f>
        <v>0</v>
      </c>
      <c r="K32" s="970" t="b">
        <f>ISNUMBER(#REF!)</f>
        <v>0</v>
      </c>
      <c r="L32" s="970" t="b">
        <f>ISNUMBER(#REF!)</f>
        <v>0</v>
      </c>
      <c r="M32" s="970" t="b">
        <f>ISNUMBER(#REF!)</f>
        <v>0</v>
      </c>
      <c r="N32" s="970" t="b">
        <f>ISNUMBER(#REF!)</f>
        <v>0</v>
      </c>
      <c r="O32" s="970" t="b">
        <f t="shared" si="1"/>
        <v>1</v>
      </c>
      <c r="P32" s="970" t="b">
        <f>ISNUMBER(#REF!)</f>
        <v>0</v>
      </c>
      <c r="Q32" s="978" t="str">
        <f t="shared" si="2"/>
        <v/>
      </c>
    </row>
    <row r="33" spans="1:17">
      <c r="A33" s="997">
        <f t="shared" si="3"/>
        <v>44898.125</v>
      </c>
      <c r="B33" s="373" t="s">
        <v>324</v>
      </c>
      <c r="C33" s="977">
        <f t="shared" si="0"/>
        <v>0</v>
      </c>
      <c r="E33" s="970" t="b">
        <f>ISNUMBER(#REF!)</f>
        <v>0</v>
      </c>
      <c r="F33" s="970" t="b">
        <f>ISNUMBER(#REF!)</f>
        <v>0</v>
      </c>
      <c r="G33" s="970" t="b">
        <f>ISNUMBER(#REF!)</f>
        <v>0</v>
      </c>
      <c r="H33" s="970" t="b">
        <f>ISNUMBER(#REF!)</f>
        <v>0</v>
      </c>
      <c r="I33" s="970" t="b">
        <f>ISNUMBER(#REF!)</f>
        <v>0</v>
      </c>
      <c r="J33" s="970" t="b">
        <f>ISNUMBER(#REF!)</f>
        <v>0</v>
      </c>
      <c r="K33" s="970" t="b">
        <f>ISNUMBER(#REF!)</f>
        <v>0</v>
      </c>
      <c r="L33" s="970" t="b">
        <f>ISNUMBER(#REF!)</f>
        <v>0</v>
      </c>
      <c r="M33" s="970" t="b">
        <f>ISNUMBER(#REF!)</f>
        <v>0</v>
      </c>
      <c r="N33" s="970" t="b">
        <f>ISNUMBER(#REF!)</f>
        <v>0</v>
      </c>
      <c r="O33" s="970" t="b">
        <f t="shared" si="1"/>
        <v>1</v>
      </c>
      <c r="P33" s="970" t="b">
        <f>ISNUMBER(#REF!)</f>
        <v>0</v>
      </c>
      <c r="Q33" s="978" t="str">
        <f t="shared" si="2"/>
        <v/>
      </c>
    </row>
    <row r="34" spans="1:17">
      <c r="A34" s="997">
        <f t="shared" si="3"/>
        <v>44898.125</v>
      </c>
      <c r="B34" s="373" t="s">
        <v>325</v>
      </c>
      <c r="C34" s="977">
        <f t="shared" si="0"/>
        <v>0</v>
      </c>
      <c r="E34" s="970" t="b">
        <f>ISNUMBER(#REF!)</f>
        <v>0</v>
      </c>
      <c r="F34" s="970" t="b">
        <f>ISNUMBER(#REF!)</f>
        <v>0</v>
      </c>
      <c r="G34" s="970" t="b">
        <f>ISNUMBER(#REF!)</f>
        <v>0</v>
      </c>
      <c r="H34" s="970" t="b">
        <f>ISNUMBER(#REF!)</f>
        <v>0</v>
      </c>
      <c r="I34" s="970" t="b">
        <f>ISNUMBER(#REF!)</f>
        <v>0</v>
      </c>
      <c r="J34" s="970" t="b">
        <f>ISNUMBER(#REF!)</f>
        <v>0</v>
      </c>
      <c r="K34" s="970" t="b">
        <f>ISNUMBER(#REF!)</f>
        <v>0</v>
      </c>
      <c r="L34" s="970" t="b">
        <f>ISNUMBER(#REF!)</f>
        <v>0</v>
      </c>
      <c r="M34" s="970" t="b">
        <f>ISNUMBER(#REF!)</f>
        <v>0</v>
      </c>
      <c r="N34" s="970" t="b">
        <f>ISNUMBER(#REF!)</f>
        <v>0</v>
      </c>
      <c r="O34" s="970" t="b">
        <f t="shared" si="1"/>
        <v>1</v>
      </c>
      <c r="P34" s="970" t="b">
        <f>ISNUMBER(#REF!)</f>
        <v>0</v>
      </c>
      <c r="Q34" s="978" t="str">
        <f t="shared" si="2"/>
        <v/>
      </c>
    </row>
    <row r="35" spans="1:17">
      <c r="A35" s="997">
        <f t="shared" si="3"/>
        <v>44898.125</v>
      </c>
      <c r="B35" s="373" t="s">
        <v>326</v>
      </c>
      <c r="C35" s="977">
        <f t="shared" si="0"/>
        <v>0</v>
      </c>
      <c r="E35" s="970" t="b">
        <f>ISNUMBER(#REF!)</f>
        <v>0</v>
      </c>
      <c r="F35" s="970" t="b">
        <f>ISNUMBER(#REF!)</f>
        <v>0</v>
      </c>
      <c r="G35" s="970" t="b">
        <f>ISNUMBER(#REF!)</f>
        <v>0</v>
      </c>
      <c r="H35" s="970" t="b">
        <f>ISNUMBER(#REF!)</f>
        <v>0</v>
      </c>
      <c r="I35" s="970" t="b">
        <f>ISNUMBER(#REF!)</f>
        <v>0</v>
      </c>
      <c r="J35" s="970" t="b">
        <f>ISNUMBER(#REF!)</f>
        <v>0</v>
      </c>
      <c r="K35" s="970" t="b">
        <f>ISNUMBER(#REF!)</f>
        <v>0</v>
      </c>
      <c r="L35" s="970" t="b">
        <f>ISNUMBER(#REF!)</f>
        <v>0</v>
      </c>
      <c r="M35" s="970" t="b">
        <f>ISNUMBER(#REF!)</f>
        <v>0</v>
      </c>
      <c r="N35" s="970" t="b">
        <f>ISNUMBER(#REF!)</f>
        <v>0</v>
      </c>
      <c r="O35" s="970" t="b">
        <f t="shared" si="1"/>
        <v>1</v>
      </c>
      <c r="P35" s="970" t="b">
        <f>ISNUMBER(#REF!)</f>
        <v>0</v>
      </c>
      <c r="Q35" s="978" t="str">
        <f t="shared" si="2"/>
        <v/>
      </c>
    </row>
    <row r="36" spans="1:17">
      <c r="A36" s="997">
        <f t="shared" si="3"/>
        <v>44898.125</v>
      </c>
      <c r="B36" s="373" t="s">
        <v>327</v>
      </c>
      <c r="C36" s="977">
        <f t="shared" si="0"/>
        <v>0</v>
      </c>
      <c r="E36" s="970" t="b">
        <f>ISNUMBER(#REF!)</f>
        <v>0</v>
      </c>
      <c r="F36" s="970" t="b">
        <f>ISNUMBER(#REF!)</f>
        <v>0</v>
      </c>
      <c r="G36" s="970" t="b">
        <f>ISNUMBER(#REF!)</f>
        <v>0</v>
      </c>
      <c r="H36" s="970" t="b">
        <f>ISNUMBER(#REF!)</f>
        <v>0</v>
      </c>
      <c r="I36" s="970" t="b">
        <f>ISNUMBER(#REF!)</f>
        <v>0</v>
      </c>
      <c r="J36" s="970" t="b">
        <f>ISNUMBER(#REF!)</f>
        <v>0</v>
      </c>
      <c r="K36" s="970" t="b">
        <f>ISNUMBER(#REF!)</f>
        <v>0</v>
      </c>
      <c r="L36" s="970" t="b">
        <f>ISNUMBER(#REF!)</f>
        <v>0</v>
      </c>
      <c r="M36" s="970" t="b">
        <f>ISNUMBER(#REF!)</f>
        <v>0</v>
      </c>
      <c r="N36" s="970" t="b">
        <f>ISNUMBER(#REF!)</f>
        <v>0</v>
      </c>
      <c r="O36" s="970" t="b">
        <f t="shared" ref="O36:O67" si="4">ISNUMBER(C36)</f>
        <v>1</v>
      </c>
      <c r="P36" s="970" t="b">
        <f>ISNUMBER(#REF!)</f>
        <v>0</v>
      </c>
      <c r="Q36" s="978" t="str">
        <f t="shared" ref="Q36:Q67" si="5">IF(O36=TRUE,"",1)</f>
        <v/>
      </c>
    </row>
    <row r="37" spans="1:17">
      <c r="A37" s="997">
        <f t="shared" si="3"/>
        <v>44898.125</v>
      </c>
      <c r="B37" s="373" t="s">
        <v>328</v>
      </c>
      <c r="C37" s="977">
        <f t="shared" si="0"/>
        <v>0</v>
      </c>
      <c r="E37" s="970" t="b">
        <f>ISNUMBER(#REF!)</f>
        <v>0</v>
      </c>
      <c r="F37" s="970" t="b">
        <f>ISNUMBER(#REF!)</f>
        <v>0</v>
      </c>
      <c r="G37" s="970" t="b">
        <f>ISNUMBER(#REF!)</f>
        <v>0</v>
      </c>
      <c r="H37" s="970" t="b">
        <f>ISNUMBER(#REF!)</f>
        <v>0</v>
      </c>
      <c r="I37" s="970" t="b">
        <f>ISNUMBER(#REF!)</f>
        <v>0</v>
      </c>
      <c r="J37" s="970" t="b">
        <f>ISNUMBER(#REF!)</f>
        <v>0</v>
      </c>
      <c r="K37" s="970" t="b">
        <f>ISNUMBER(#REF!)</f>
        <v>0</v>
      </c>
      <c r="L37" s="970" t="b">
        <f>ISNUMBER(#REF!)</f>
        <v>0</v>
      </c>
      <c r="M37" s="970" t="b">
        <f>ISNUMBER(#REF!)</f>
        <v>0</v>
      </c>
      <c r="N37" s="970" t="b">
        <f>ISNUMBER(#REF!)</f>
        <v>0</v>
      </c>
      <c r="O37" s="970" t="b">
        <f t="shared" si="4"/>
        <v>1</v>
      </c>
      <c r="P37" s="970" t="b">
        <f>ISNUMBER(#REF!)</f>
        <v>0</v>
      </c>
      <c r="Q37" s="978" t="str">
        <f t="shared" si="5"/>
        <v/>
      </c>
    </row>
    <row r="38" spans="1:17">
      <c r="A38" s="997">
        <f t="shared" si="3"/>
        <v>44898.125</v>
      </c>
      <c r="B38" s="373" t="s">
        <v>329</v>
      </c>
      <c r="C38" s="977">
        <f t="shared" si="0"/>
        <v>-1.0461</v>
      </c>
      <c r="E38" s="970" t="b">
        <f>ISNUMBER(#REF!)</f>
        <v>0</v>
      </c>
      <c r="F38" s="970" t="b">
        <f>ISNUMBER(#REF!)</f>
        <v>0</v>
      </c>
      <c r="G38" s="970" t="b">
        <f>ISNUMBER(#REF!)</f>
        <v>0</v>
      </c>
      <c r="H38" s="970" t="b">
        <f>ISNUMBER(#REF!)</f>
        <v>0</v>
      </c>
      <c r="I38" s="970" t="b">
        <f>ISNUMBER(#REF!)</f>
        <v>0</v>
      </c>
      <c r="J38" s="970" t="b">
        <f>ISNUMBER(#REF!)</f>
        <v>0</v>
      </c>
      <c r="K38" s="970" t="b">
        <f>ISNUMBER(#REF!)</f>
        <v>0</v>
      </c>
      <c r="L38" s="970" t="b">
        <f>ISNUMBER(#REF!)</f>
        <v>0</v>
      </c>
      <c r="M38" s="970" t="b">
        <f>ISNUMBER(#REF!)</f>
        <v>0</v>
      </c>
      <c r="N38" s="970" t="b">
        <f>ISNUMBER(#REF!)</f>
        <v>0</v>
      </c>
      <c r="O38" s="970" t="b">
        <f t="shared" si="4"/>
        <v>1</v>
      </c>
      <c r="P38" s="970" t="b">
        <f>ISNUMBER(#REF!)</f>
        <v>0</v>
      </c>
      <c r="Q38" s="978" t="str">
        <f t="shared" si="5"/>
        <v/>
      </c>
    </row>
    <row r="39" spans="1:17">
      <c r="A39" s="997">
        <f t="shared" si="3"/>
        <v>44898.125</v>
      </c>
      <c r="B39" s="373" t="s">
        <v>330</v>
      </c>
      <c r="C39" s="977">
        <f t="shared" si="0"/>
        <v>0</v>
      </c>
      <c r="E39" s="970" t="b">
        <f>ISNUMBER(#REF!)</f>
        <v>0</v>
      </c>
      <c r="F39" s="970" t="b">
        <f>ISNUMBER(#REF!)</f>
        <v>0</v>
      </c>
      <c r="G39" s="970" t="b">
        <f>ISNUMBER(#REF!)</f>
        <v>0</v>
      </c>
      <c r="H39" s="970" t="b">
        <f>ISNUMBER(#REF!)</f>
        <v>0</v>
      </c>
      <c r="I39" s="970" t="b">
        <f>ISNUMBER(#REF!)</f>
        <v>0</v>
      </c>
      <c r="J39" s="970" t="b">
        <f>ISNUMBER(#REF!)</f>
        <v>0</v>
      </c>
      <c r="K39" s="970" t="b">
        <f>ISNUMBER(#REF!)</f>
        <v>0</v>
      </c>
      <c r="L39" s="970" t="b">
        <f>ISNUMBER(#REF!)</f>
        <v>0</v>
      </c>
      <c r="M39" s="970" t="b">
        <f>ISNUMBER(#REF!)</f>
        <v>0</v>
      </c>
      <c r="N39" s="970" t="b">
        <f>ISNUMBER(#REF!)</f>
        <v>0</v>
      </c>
      <c r="O39" s="970" t="b">
        <f t="shared" si="4"/>
        <v>1</v>
      </c>
      <c r="P39" s="970" t="b">
        <f>ISNUMBER(#REF!)</f>
        <v>0</v>
      </c>
      <c r="Q39" s="978" t="str">
        <f t="shared" si="5"/>
        <v/>
      </c>
    </row>
    <row r="40" spans="1:17">
      <c r="A40" s="997">
        <f t="shared" si="3"/>
        <v>44898.125</v>
      </c>
      <c r="B40" s="373" t="s">
        <v>331</v>
      </c>
      <c r="C40" s="977">
        <f t="shared" si="0"/>
        <v>0</v>
      </c>
      <c r="E40" s="970" t="b">
        <f>ISNUMBER(#REF!)</f>
        <v>0</v>
      </c>
      <c r="F40" s="970" t="b">
        <f>ISNUMBER(#REF!)</f>
        <v>0</v>
      </c>
      <c r="G40" s="970" t="b">
        <f>ISNUMBER(#REF!)</f>
        <v>0</v>
      </c>
      <c r="H40" s="970" t="b">
        <f>ISNUMBER(#REF!)</f>
        <v>0</v>
      </c>
      <c r="I40" s="970" t="b">
        <f>ISNUMBER(#REF!)</f>
        <v>0</v>
      </c>
      <c r="J40" s="970" t="b">
        <f>ISNUMBER(#REF!)</f>
        <v>0</v>
      </c>
      <c r="K40" s="970" t="b">
        <f>ISNUMBER(#REF!)</f>
        <v>0</v>
      </c>
      <c r="L40" s="970" t="b">
        <f>ISNUMBER(#REF!)</f>
        <v>0</v>
      </c>
      <c r="M40" s="970" t="b">
        <f>ISNUMBER(#REF!)</f>
        <v>0</v>
      </c>
      <c r="N40" s="970" t="b">
        <f>ISNUMBER(#REF!)</f>
        <v>0</v>
      </c>
      <c r="O40" s="970" t="b">
        <f t="shared" si="4"/>
        <v>1</v>
      </c>
      <c r="P40" s="970" t="b">
        <f>ISNUMBER(#REF!)</f>
        <v>0</v>
      </c>
      <c r="Q40" s="978" t="str">
        <f t="shared" si="5"/>
        <v/>
      </c>
    </row>
    <row r="41" spans="1:17">
      <c r="A41" s="997">
        <f t="shared" si="3"/>
        <v>44898.125</v>
      </c>
      <c r="B41" s="373" t="s">
        <v>332</v>
      </c>
      <c r="C41" s="977">
        <f t="shared" si="0"/>
        <v>0</v>
      </c>
      <c r="E41" s="970" t="b">
        <f>ISNUMBER(#REF!)</f>
        <v>0</v>
      </c>
      <c r="F41" s="970" t="b">
        <f>ISNUMBER(#REF!)</f>
        <v>0</v>
      </c>
      <c r="G41" s="970" t="b">
        <f>ISNUMBER(#REF!)</f>
        <v>0</v>
      </c>
      <c r="H41" s="970" t="b">
        <f>ISNUMBER(#REF!)</f>
        <v>0</v>
      </c>
      <c r="I41" s="970" t="b">
        <f>ISNUMBER(#REF!)</f>
        <v>0</v>
      </c>
      <c r="J41" s="970" t="b">
        <f>ISNUMBER(#REF!)</f>
        <v>0</v>
      </c>
      <c r="K41" s="970" t="b">
        <f>ISNUMBER(#REF!)</f>
        <v>0</v>
      </c>
      <c r="L41" s="970" t="b">
        <f>ISNUMBER(#REF!)</f>
        <v>0</v>
      </c>
      <c r="M41" s="970" t="b">
        <f>ISNUMBER(#REF!)</f>
        <v>0</v>
      </c>
      <c r="N41" s="970" t="b">
        <f>ISNUMBER(#REF!)</f>
        <v>0</v>
      </c>
      <c r="O41" s="970" t="b">
        <f t="shared" si="4"/>
        <v>1</v>
      </c>
      <c r="P41" s="970" t="b">
        <f>ISNUMBER(#REF!)</f>
        <v>0</v>
      </c>
      <c r="Q41" s="978" t="str">
        <f t="shared" si="5"/>
        <v/>
      </c>
    </row>
    <row r="42" spans="1:17">
      <c r="A42" s="997">
        <f t="shared" si="3"/>
        <v>44898.125</v>
      </c>
      <c r="B42" s="373" t="s">
        <v>333</v>
      </c>
      <c r="C42" s="977">
        <f t="shared" si="0"/>
        <v>0</v>
      </c>
      <c r="E42" s="970" t="b">
        <f>ISNUMBER(#REF!)</f>
        <v>0</v>
      </c>
      <c r="F42" s="970" t="b">
        <f>ISNUMBER(#REF!)</f>
        <v>0</v>
      </c>
      <c r="G42" s="970" t="b">
        <f>ISNUMBER(#REF!)</f>
        <v>0</v>
      </c>
      <c r="H42" s="970" t="b">
        <f>ISNUMBER(#REF!)</f>
        <v>0</v>
      </c>
      <c r="I42" s="970" t="b">
        <f>ISNUMBER(#REF!)</f>
        <v>0</v>
      </c>
      <c r="J42" s="970" t="b">
        <f>ISNUMBER(#REF!)</f>
        <v>0</v>
      </c>
      <c r="K42" s="970" t="b">
        <f>ISNUMBER(#REF!)</f>
        <v>0</v>
      </c>
      <c r="L42" s="970" t="b">
        <f>ISNUMBER(#REF!)</f>
        <v>0</v>
      </c>
      <c r="M42" s="970" t="b">
        <f>ISNUMBER(#REF!)</f>
        <v>0</v>
      </c>
      <c r="N42" s="970" t="b">
        <f>ISNUMBER(#REF!)</f>
        <v>0</v>
      </c>
      <c r="O42" s="970" t="b">
        <f t="shared" si="4"/>
        <v>1</v>
      </c>
      <c r="P42" s="970" t="b">
        <f>ISNUMBER(#REF!)</f>
        <v>0</v>
      </c>
      <c r="Q42" s="978" t="str">
        <f t="shared" si="5"/>
        <v/>
      </c>
    </row>
    <row r="43" spans="1:17">
      <c r="A43" s="997">
        <f t="shared" si="3"/>
        <v>44898.125</v>
      </c>
      <c r="B43" s="373" t="s">
        <v>334</v>
      </c>
      <c r="C43" s="977">
        <f t="shared" si="0"/>
        <v>0</v>
      </c>
      <c r="E43" s="970" t="b">
        <f>ISNUMBER(#REF!)</f>
        <v>0</v>
      </c>
      <c r="F43" s="970" t="b">
        <f>ISNUMBER(#REF!)</f>
        <v>0</v>
      </c>
      <c r="G43" s="970" t="b">
        <f>ISNUMBER(#REF!)</f>
        <v>0</v>
      </c>
      <c r="H43" s="970" t="b">
        <f>ISNUMBER(#REF!)</f>
        <v>0</v>
      </c>
      <c r="I43" s="970" t="b">
        <f>ISNUMBER(#REF!)</f>
        <v>0</v>
      </c>
      <c r="J43" s="970" t="b">
        <f>ISNUMBER(#REF!)</f>
        <v>0</v>
      </c>
      <c r="K43" s="970" t="b">
        <f>ISNUMBER(#REF!)</f>
        <v>0</v>
      </c>
      <c r="L43" s="970" t="b">
        <f>ISNUMBER(#REF!)</f>
        <v>0</v>
      </c>
      <c r="M43" s="970" t="b">
        <f>ISNUMBER(#REF!)</f>
        <v>0</v>
      </c>
      <c r="N43" s="970" t="b">
        <f>ISNUMBER(#REF!)</f>
        <v>0</v>
      </c>
      <c r="O43" s="970" t="b">
        <f t="shared" si="4"/>
        <v>1</v>
      </c>
      <c r="P43" s="970" t="b">
        <f>ISNUMBER(#REF!)</f>
        <v>0</v>
      </c>
      <c r="Q43" s="978" t="str">
        <f t="shared" si="5"/>
        <v/>
      </c>
    </row>
    <row r="44" spans="1:17">
      <c r="A44" s="997">
        <f t="shared" si="3"/>
        <v>44898.125</v>
      </c>
      <c r="B44" s="373" t="s">
        <v>344</v>
      </c>
      <c r="C44" s="977">
        <f t="shared" si="0"/>
        <v>0</v>
      </c>
      <c r="E44" s="970" t="b">
        <f>ISNUMBER(#REF!)</f>
        <v>0</v>
      </c>
      <c r="F44" s="970" t="b">
        <f>ISNUMBER(#REF!)</f>
        <v>0</v>
      </c>
      <c r="G44" s="970" t="b">
        <f>ISNUMBER(#REF!)</f>
        <v>0</v>
      </c>
      <c r="H44" s="970" t="b">
        <f>ISNUMBER(#REF!)</f>
        <v>0</v>
      </c>
      <c r="I44" s="970" t="b">
        <f>ISNUMBER(#REF!)</f>
        <v>0</v>
      </c>
      <c r="J44" s="970" t="b">
        <f>ISNUMBER(#REF!)</f>
        <v>0</v>
      </c>
      <c r="K44" s="970" t="b">
        <f>ISNUMBER(#REF!)</f>
        <v>0</v>
      </c>
      <c r="L44" s="970" t="b">
        <f>ISNUMBER(#REF!)</f>
        <v>0</v>
      </c>
      <c r="M44" s="970" t="b">
        <f>ISNUMBER(#REF!)</f>
        <v>0</v>
      </c>
      <c r="N44" s="970" t="b">
        <f>ISNUMBER(#REF!)</f>
        <v>0</v>
      </c>
      <c r="O44" s="970" t="b">
        <f t="shared" si="4"/>
        <v>1</v>
      </c>
      <c r="P44" s="970" t="b">
        <f>ISNUMBER(#REF!)</f>
        <v>0</v>
      </c>
      <c r="Q44" s="978" t="str">
        <f t="shared" si="5"/>
        <v/>
      </c>
    </row>
    <row r="45" spans="1:17">
      <c r="A45" s="997">
        <f t="shared" si="3"/>
        <v>44898.125</v>
      </c>
      <c r="B45" s="373" t="s">
        <v>345</v>
      </c>
      <c r="C45" s="977">
        <f t="shared" si="0"/>
        <v>0</v>
      </c>
      <c r="E45" s="970" t="b">
        <f>ISNUMBER(#REF!)</f>
        <v>0</v>
      </c>
      <c r="F45" s="970" t="b">
        <f>ISNUMBER(#REF!)</f>
        <v>0</v>
      </c>
      <c r="G45" s="970" t="b">
        <f>ISNUMBER(#REF!)</f>
        <v>0</v>
      </c>
      <c r="H45" s="970" t="b">
        <f>ISNUMBER(#REF!)</f>
        <v>0</v>
      </c>
      <c r="I45" s="970" t="b">
        <f>ISNUMBER(#REF!)</f>
        <v>0</v>
      </c>
      <c r="J45" s="970" t="b">
        <f>ISNUMBER(#REF!)</f>
        <v>0</v>
      </c>
      <c r="K45" s="970" t="b">
        <f>ISNUMBER(#REF!)</f>
        <v>0</v>
      </c>
      <c r="L45" s="970" t="b">
        <f>ISNUMBER(#REF!)</f>
        <v>0</v>
      </c>
      <c r="M45" s="970" t="b">
        <f>ISNUMBER(#REF!)</f>
        <v>0</v>
      </c>
      <c r="N45" s="970" t="b">
        <f>ISNUMBER(#REF!)</f>
        <v>0</v>
      </c>
      <c r="O45" s="970" t="b">
        <f t="shared" si="4"/>
        <v>1</v>
      </c>
      <c r="P45" s="970" t="b">
        <f>ISNUMBER(#REF!)</f>
        <v>0</v>
      </c>
      <c r="Q45" s="978" t="str">
        <f t="shared" si="5"/>
        <v/>
      </c>
    </row>
    <row r="46" spans="1:17" s="981" customFormat="1">
      <c r="A46" s="1004">
        <f t="shared" si="3"/>
        <v>44898.125</v>
      </c>
      <c r="B46" s="902" t="s">
        <v>468</v>
      </c>
      <c r="C46" s="980">
        <f t="shared" ref="C46:C69" si="6">IFERROR(VLOOKUP($B46,RLMLXD,32,0),"")</f>
        <v>0</v>
      </c>
      <c r="E46" s="981" t="b">
        <f>ISNUMBER(#REF!)</f>
        <v>0</v>
      </c>
      <c r="F46" s="981" t="b">
        <f>ISNUMBER(#REF!)</f>
        <v>0</v>
      </c>
      <c r="G46" s="981" t="b">
        <f>ISNUMBER(#REF!)</f>
        <v>0</v>
      </c>
      <c r="H46" s="981" t="b">
        <f>ISNUMBER(#REF!)</f>
        <v>0</v>
      </c>
      <c r="I46" s="981" t="b">
        <f>ISNUMBER(#REF!)</f>
        <v>0</v>
      </c>
      <c r="J46" s="981" t="b">
        <f>ISNUMBER(#REF!)</f>
        <v>0</v>
      </c>
      <c r="K46" s="981" t="b">
        <f>ISNUMBER(#REF!)</f>
        <v>0</v>
      </c>
      <c r="L46" s="981" t="b">
        <f>ISNUMBER(#REF!)</f>
        <v>0</v>
      </c>
      <c r="M46" s="981" t="b">
        <f>ISNUMBER(#REF!)</f>
        <v>0</v>
      </c>
      <c r="N46" s="981" t="b">
        <f>ISNUMBER(#REF!)</f>
        <v>0</v>
      </c>
      <c r="O46" s="981" t="b">
        <f t="shared" si="4"/>
        <v>1</v>
      </c>
      <c r="P46" s="981" t="b">
        <f>ISNUMBER(#REF!)</f>
        <v>0</v>
      </c>
      <c r="Q46" s="979" t="str">
        <f t="shared" si="5"/>
        <v/>
      </c>
    </row>
    <row r="47" spans="1:17">
      <c r="A47" s="997">
        <f t="shared" si="3"/>
        <v>44898.125</v>
      </c>
      <c r="B47" s="373" t="s">
        <v>472</v>
      </c>
      <c r="C47" s="977">
        <f t="shared" si="6"/>
        <v>0</v>
      </c>
      <c r="E47" s="970" t="b">
        <f>ISNUMBER(#REF!)</f>
        <v>0</v>
      </c>
      <c r="F47" s="970" t="b">
        <f>ISNUMBER(#REF!)</f>
        <v>0</v>
      </c>
      <c r="G47" s="970" t="b">
        <f>ISNUMBER(#REF!)</f>
        <v>0</v>
      </c>
      <c r="H47" s="970" t="b">
        <f>ISNUMBER(#REF!)</f>
        <v>0</v>
      </c>
      <c r="I47" s="970" t="b">
        <f>ISNUMBER(#REF!)</f>
        <v>0</v>
      </c>
      <c r="J47" s="970" t="b">
        <f>ISNUMBER(#REF!)</f>
        <v>0</v>
      </c>
      <c r="K47" s="970" t="b">
        <f>ISNUMBER(#REF!)</f>
        <v>0</v>
      </c>
      <c r="L47" s="970" t="b">
        <f>ISNUMBER(#REF!)</f>
        <v>0</v>
      </c>
      <c r="M47" s="970" t="b">
        <f>ISNUMBER(#REF!)</f>
        <v>0</v>
      </c>
      <c r="N47" s="970" t="b">
        <f>ISNUMBER(#REF!)</f>
        <v>0</v>
      </c>
      <c r="O47" s="970" t="b">
        <f t="shared" si="4"/>
        <v>1</v>
      </c>
      <c r="P47" s="970" t="b">
        <f>ISNUMBER(#REF!)</f>
        <v>0</v>
      </c>
      <c r="Q47" s="978" t="str">
        <f t="shared" si="5"/>
        <v/>
      </c>
    </row>
    <row r="48" spans="1:17">
      <c r="A48" s="997">
        <f t="shared" si="3"/>
        <v>44898.125</v>
      </c>
      <c r="B48" s="373" t="s">
        <v>473</v>
      </c>
      <c r="C48" s="977">
        <f t="shared" si="6"/>
        <v>0</v>
      </c>
      <c r="E48" s="970" t="b">
        <f>ISNUMBER(#REF!)</f>
        <v>0</v>
      </c>
      <c r="F48" s="970" t="b">
        <f>ISNUMBER(#REF!)</f>
        <v>0</v>
      </c>
      <c r="G48" s="970" t="b">
        <f>ISNUMBER(#REF!)</f>
        <v>0</v>
      </c>
      <c r="H48" s="970" t="b">
        <f>ISNUMBER(#REF!)</f>
        <v>0</v>
      </c>
      <c r="I48" s="970" t="b">
        <f>ISNUMBER(#REF!)</f>
        <v>0</v>
      </c>
      <c r="J48" s="970" t="b">
        <f>ISNUMBER(#REF!)</f>
        <v>0</v>
      </c>
      <c r="K48" s="970" t="b">
        <f>ISNUMBER(#REF!)</f>
        <v>0</v>
      </c>
      <c r="L48" s="970" t="b">
        <f>ISNUMBER(#REF!)</f>
        <v>0</v>
      </c>
      <c r="M48" s="970" t="b">
        <f>ISNUMBER(#REF!)</f>
        <v>0</v>
      </c>
      <c r="N48" s="970" t="b">
        <f>ISNUMBER(#REF!)</f>
        <v>0</v>
      </c>
      <c r="O48" s="970" t="b">
        <f t="shared" si="4"/>
        <v>1</v>
      </c>
      <c r="P48" s="970" t="b">
        <f>ISNUMBER(#REF!)</f>
        <v>0</v>
      </c>
      <c r="Q48" s="978" t="str">
        <f t="shared" si="5"/>
        <v/>
      </c>
    </row>
    <row r="49" spans="1:17">
      <c r="A49" s="997">
        <f t="shared" si="3"/>
        <v>44898.125</v>
      </c>
      <c r="B49" s="373" t="s">
        <v>476</v>
      </c>
      <c r="C49" s="977">
        <f t="shared" si="6"/>
        <v>0</v>
      </c>
      <c r="E49" s="970" t="b">
        <f>ISNUMBER(#REF!)</f>
        <v>0</v>
      </c>
      <c r="F49" s="970" t="b">
        <f>ISNUMBER(#REF!)</f>
        <v>0</v>
      </c>
      <c r="G49" s="970" t="b">
        <f>ISNUMBER(#REF!)</f>
        <v>0</v>
      </c>
      <c r="H49" s="970" t="b">
        <f>ISNUMBER(#REF!)</f>
        <v>0</v>
      </c>
      <c r="I49" s="970" t="b">
        <f>ISNUMBER(#REF!)</f>
        <v>0</v>
      </c>
      <c r="J49" s="970" t="b">
        <f>ISNUMBER(#REF!)</f>
        <v>0</v>
      </c>
      <c r="K49" s="970" t="b">
        <f>ISNUMBER(#REF!)</f>
        <v>0</v>
      </c>
      <c r="L49" s="970" t="b">
        <f>ISNUMBER(#REF!)</f>
        <v>0</v>
      </c>
      <c r="M49" s="970" t="b">
        <f>ISNUMBER(#REF!)</f>
        <v>0</v>
      </c>
      <c r="N49" s="970" t="b">
        <f>ISNUMBER(#REF!)</f>
        <v>0</v>
      </c>
      <c r="O49" s="970" t="b">
        <f t="shared" si="4"/>
        <v>1</v>
      </c>
      <c r="P49" s="970" t="b">
        <f>ISNUMBER(#REF!)</f>
        <v>0</v>
      </c>
      <c r="Q49" s="978" t="str">
        <f t="shared" si="5"/>
        <v/>
      </c>
    </row>
    <row r="50" spans="1:17">
      <c r="A50" s="997">
        <f t="shared" si="3"/>
        <v>44898.125</v>
      </c>
      <c r="B50" s="373" t="s">
        <v>477</v>
      </c>
      <c r="C50" s="977">
        <f t="shared" si="6"/>
        <v>0</v>
      </c>
      <c r="E50" s="970" t="b">
        <f>ISNUMBER(#REF!)</f>
        <v>0</v>
      </c>
      <c r="F50" s="970" t="b">
        <f>ISNUMBER(#REF!)</f>
        <v>0</v>
      </c>
      <c r="G50" s="970" t="b">
        <f>ISNUMBER(#REF!)</f>
        <v>0</v>
      </c>
      <c r="H50" s="970" t="b">
        <f>ISNUMBER(#REF!)</f>
        <v>0</v>
      </c>
      <c r="I50" s="970" t="b">
        <f>ISNUMBER(#REF!)</f>
        <v>0</v>
      </c>
      <c r="J50" s="970" t="b">
        <f>ISNUMBER(#REF!)</f>
        <v>0</v>
      </c>
      <c r="K50" s="970" t="b">
        <f>ISNUMBER(#REF!)</f>
        <v>0</v>
      </c>
      <c r="L50" s="970" t="b">
        <f>ISNUMBER(#REF!)</f>
        <v>0</v>
      </c>
      <c r="M50" s="970" t="b">
        <f>ISNUMBER(#REF!)</f>
        <v>0</v>
      </c>
      <c r="N50" s="970" t="b">
        <f>ISNUMBER(#REF!)</f>
        <v>0</v>
      </c>
      <c r="O50" s="970" t="b">
        <f t="shared" si="4"/>
        <v>1</v>
      </c>
      <c r="P50" s="970" t="b">
        <f>ISNUMBER(#REF!)</f>
        <v>0</v>
      </c>
      <c r="Q50" s="978" t="str">
        <f t="shared" si="5"/>
        <v/>
      </c>
    </row>
    <row r="51" spans="1:17">
      <c r="A51" s="997">
        <f t="shared" si="3"/>
        <v>44898.125</v>
      </c>
      <c r="B51" s="373" t="s">
        <v>479</v>
      </c>
      <c r="C51" s="977">
        <f t="shared" si="6"/>
        <v>0</v>
      </c>
      <c r="E51" s="970" t="b">
        <f>ISNUMBER(#REF!)</f>
        <v>0</v>
      </c>
      <c r="F51" s="970" t="b">
        <f>ISNUMBER(#REF!)</f>
        <v>0</v>
      </c>
      <c r="G51" s="970" t="b">
        <f>ISNUMBER(#REF!)</f>
        <v>0</v>
      </c>
      <c r="H51" s="970" t="b">
        <f>ISNUMBER(#REF!)</f>
        <v>0</v>
      </c>
      <c r="I51" s="970" t="b">
        <f>ISNUMBER(#REF!)</f>
        <v>0</v>
      </c>
      <c r="J51" s="970" t="b">
        <f>ISNUMBER(#REF!)</f>
        <v>0</v>
      </c>
      <c r="K51" s="970" t="b">
        <f>ISNUMBER(#REF!)</f>
        <v>0</v>
      </c>
      <c r="L51" s="970" t="b">
        <f>ISNUMBER(#REF!)</f>
        <v>0</v>
      </c>
      <c r="M51" s="970" t="b">
        <f>ISNUMBER(#REF!)</f>
        <v>0</v>
      </c>
      <c r="N51" s="970" t="b">
        <f>ISNUMBER(#REF!)</f>
        <v>0</v>
      </c>
      <c r="O51" s="970" t="b">
        <f t="shared" si="4"/>
        <v>1</v>
      </c>
      <c r="P51" s="970" t="b">
        <f>ISNUMBER(#REF!)</f>
        <v>0</v>
      </c>
      <c r="Q51" s="978" t="str">
        <f t="shared" si="5"/>
        <v/>
      </c>
    </row>
    <row r="52" spans="1:17">
      <c r="A52" s="997">
        <f t="shared" si="3"/>
        <v>44898.125</v>
      </c>
      <c r="B52" s="373" t="s">
        <v>481</v>
      </c>
      <c r="C52" s="977">
        <f t="shared" si="6"/>
        <v>0</v>
      </c>
      <c r="E52" s="970" t="b">
        <f>ISNUMBER(#REF!)</f>
        <v>0</v>
      </c>
      <c r="F52" s="970" t="b">
        <f>ISNUMBER(#REF!)</f>
        <v>0</v>
      </c>
      <c r="G52" s="970" t="b">
        <f>ISNUMBER(#REF!)</f>
        <v>0</v>
      </c>
      <c r="H52" s="970" t="b">
        <f>ISNUMBER(#REF!)</f>
        <v>0</v>
      </c>
      <c r="I52" s="970" t="b">
        <f>ISNUMBER(#REF!)</f>
        <v>0</v>
      </c>
      <c r="J52" s="970" t="b">
        <f>ISNUMBER(#REF!)</f>
        <v>0</v>
      </c>
      <c r="K52" s="970" t="b">
        <f>ISNUMBER(#REF!)</f>
        <v>0</v>
      </c>
      <c r="L52" s="970" t="b">
        <f>ISNUMBER(#REF!)</f>
        <v>0</v>
      </c>
      <c r="M52" s="970" t="b">
        <f>ISNUMBER(#REF!)</f>
        <v>0</v>
      </c>
      <c r="N52" s="970" t="b">
        <f>ISNUMBER(#REF!)</f>
        <v>0</v>
      </c>
      <c r="O52" s="970" t="b">
        <f t="shared" si="4"/>
        <v>1</v>
      </c>
      <c r="P52" s="970" t="b">
        <f>ISNUMBER(#REF!)</f>
        <v>0</v>
      </c>
      <c r="Q52" s="978" t="str">
        <f t="shared" si="5"/>
        <v/>
      </c>
    </row>
    <row r="53" spans="1:17">
      <c r="A53" s="997">
        <f t="shared" si="3"/>
        <v>44898.125</v>
      </c>
      <c r="B53" s="373" t="s">
        <v>482</v>
      </c>
      <c r="C53" s="977">
        <f t="shared" si="6"/>
        <v>0</v>
      </c>
      <c r="E53" s="970" t="b">
        <f>ISNUMBER(#REF!)</f>
        <v>0</v>
      </c>
      <c r="F53" s="970" t="b">
        <f>ISNUMBER(#REF!)</f>
        <v>0</v>
      </c>
      <c r="G53" s="970" t="b">
        <f>ISNUMBER(#REF!)</f>
        <v>0</v>
      </c>
      <c r="H53" s="970" t="b">
        <f>ISNUMBER(#REF!)</f>
        <v>0</v>
      </c>
      <c r="I53" s="970" t="b">
        <f>ISNUMBER(#REF!)</f>
        <v>0</v>
      </c>
      <c r="J53" s="970" t="b">
        <f>ISNUMBER(#REF!)</f>
        <v>0</v>
      </c>
      <c r="K53" s="970" t="b">
        <f>ISNUMBER(#REF!)</f>
        <v>0</v>
      </c>
      <c r="L53" s="970" t="b">
        <f>ISNUMBER(#REF!)</f>
        <v>0</v>
      </c>
      <c r="M53" s="970" t="b">
        <f>ISNUMBER(#REF!)</f>
        <v>0</v>
      </c>
      <c r="N53" s="970" t="b">
        <f>ISNUMBER(#REF!)</f>
        <v>0</v>
      </c>
      <c r="O53" s="970" t="b">
        <f t="shared" si="4"/>
        <v>1</v>
      </c>
      <c r="P53" s="970" t="b">
        <f>ISNUMBER(#REF!)</f>
        <v>0</v>
      </c>
      <c r="Q53" s="978" t="str">
        <f t="shared" si="5"/>
        <v/>
      </c>
    </row>
    <row r="54" spans="1:17">
      <c r="A54" s="997">
        <f t="shared" si="3"/>
        <v>44898.125</v>
      </c>
      <c r="B54" s="373" t="s">
        <v>483</v>
      </c>
      <c r="C54" s="977">
        <f t="shared" si="6"/>
        <v>0</v>
      </c>
      <c r="E54" s="970" t="b">
        <f>ISNUMBER(#REF!)</f>
        <v>0</v>
      </c>
      <c r="F54" s="970" t="b">
        <f>ISNUMBER(#REF!)</f>
        <v>0</v>
      </c>
      <c r="G54" s="970" t="b">
        <f>ISNUMBER(#REF!)</f>
        <v>0</v>
      </c>
      <c r="H54" s="970" t="b">
        <f>ISNUMBER(#REF!)</f>
        <v>0</v>
      </c>
      <c r="I54" s="970" t="b">
        <f>ISNUMBER(#REF!)</f>
        <v>0</v>
      </c>
      <c r="J54" s="970" t="b">
        <f>ISNUMBER(#REF!)</f>
        <v>0</v>
      </c>
      <c r="K54" s="970" t="b">
        <f>ISNUMBER(#REF!)</f>
        <v>0</v>
      </c>
      <c r="L54" s="970" t="b">
        <f>ISNUMBER(#REF!)</f>
        <v>0</v>
      </c>
      <c r="M54" s="970" t="b">
        <f>ISNUMBER(#REF!)</f>
        <v>0</v>
      </c>
      <c r="N54" s="970" t="b">
        <f>ISNUMBER(#REF!)</f>
        <v>0</v>
      </c>
      <c r="O54" s="970" t="b">
        <f t="shared" si="4"/>
        <v>1</v>
      </c>
      <c r="P54" s="970" t="b">
        <f>ISNUMBER(#REF!)</f>
        <v>0</v>
      </c>
      <c r="Q54" s="978" t="str">
        <f t="shared" si="5"/>
        <v/>
      </c>
    </row>
    <row r="55" spans="1:17">
      <c r="A55" s="997">
        <f t="shared" si="3"/>
        <v>44898.125</v>
      </c>
      <c r="B55" s="373" t="s">
        <v>486</v>
      </c>
      <c r="C55" s="977">
        <f t="shared" si="6"/>
        <v>0</v>
      </c>
      <c r="E55" s="970" t="b">
        <f>ISNUMBER(#REF!)</f>
        <v>0</v>
      </c>
      <c r="F55" s="970" t="b">
        <f>ISNUMBER(#REF!)</f>
        <v>0</v>
      </c>
      <c r="G55" s="970" t="b">
        <f>ISNUMBER(#REF!)</f>
        <v>0</v>
      </c>
      <c r="H55" s="970" t="b">
        <f>ISNUMBER(#REF!)</f>
        <v>0</v>
      </c>
      <c r="I55" s="970" t="b">
        <f>ISNUMBER(#REF!)</f>
        <v>0</v>
      </c>
      <c r="J55" s="970" t="b">
        <f>ISNUMBER(#REF!)</f>
        <v>0</v>
      </c>
      <c r="K55" s="970" t="b">
        <f>ISNUMBER(#REF!)</f>
        <v>0</v>
      </c>
      <c r="L55" s="970" t="b">
        <f>ISNUMBER(#REF!)</f>
        <v>0</v>
      </c>
      <c r="M55" s="970" t="b">
        <f>ISNUMBER(#REF!)</f>
        <v>0</v>
      </c>
      <c r="N55" s="970" t="b">
        <f>ISNUMBER(#REF!)</f>
        <v>0</v>
      </c>
      <c r="O55" s="970" t="b">
        <f t="shared" si="4"/>
        <v>1</v>
      </c>
      <c r="P55" s="970" t="b">
        <f>ISNUMBER(#REF!)</f>
        <v>0</v>
      </c>
      <c r="Q55" s="978" t="str">
        <f t="shared" si="5"/>
        <v/>
      </c>
    </row>
    <row r="56" spans="1:17">
      <c r="A56" s="997">
        <f t="shared" si="3"/>
        <v>44898.125</v>
      </c>
      <c r="B56" s="373" t="s">
        <v>1000</v>
      </c>
      <c r="C56" s="977">
        <f t="shared" si="6"/>
        <v>0</v>
      </c>
      <c r="E56" s="970" t="b">
        <f>ISNUMBER(#REF!)</f>
        <v>0</v>
      </c>
      <c r="F56" s="970" t="b">
        <f>ISNUMBER(#REF!)</f>
        <v>0</v>
      </c>
      <c r="G56" s="970" t="b">
        <f>ISNUMBER(#REF!)</f>
        <v>0</v>
      </c>
      <c r="H56" s="970" t="b">
        <f>ISNUMBER(#REF!)</f>
        <v>0</v>
      </c>
      <c r="I56" s="970" t="b">
        <f>ISNUMBER(#REF!)</f>
        <v>0</v>
      </c>
      <c r="J56" s="970" t="b">
        <f>ISNUMBER(#REF!)</f>
        <v>0</v>
      </c>
      <c r="K56" s="970" t="b">
        <f>ISNUMBER(#REF!)</f>
        <v>0</v>
      </c>
      <c r="L56" s="970" t="b">
        <f>ISNUMBER(#REF!)</f>
        <v>0</v>
      </c>
      <c r="M56" s="970" t="b">
        <f>ISNUMBER(#REF!)</f>
        <v>0</v>
      </c>
      <c r="N56" s="970" t="b">
        <f>ISNUMBER(#REF!)</f>
        <v>0</v>
      </c>
      <c r="O56" s="970" t="b">
        <f t="shared" si="4"/>
        <v>1</v>
      </c>
      <c r="P56" s="970" t="b">
        <f>ISNUMBER(#REF!)</f>
        <v>0</v>
      </c>
      <c r="Q56" s="978" t="str">
        <f t="shared" si="5"/>
        <v/>
      </c>
    </row>
    <row r="57" spans="1:17">
      <c r="A57" s="997">
        <f t="shared" si="3"/>
        <v>44898.125</v>
      </c>
      <c r="B57" s="373" t="s">
        <v>1001</v>
      </c>
      <c r="C57" s="977">
        <f t="shared" si="6"/>
        <v>0</v>
      </c>
      <c r="E57" s="970" t="b">
        <f>ISNUMBER(#REF!)</f>
        <v>0</v>
      </c>
      <c r="F57" s="970" t="b">
        <f>ISNUMBER(#REF!)</f>
        <v>0</v>
      </c>
      <c r="G57" s="970" t="b">
        <f>ISNUMBER(#REF!)</f>
        <v>0</v>
      </c>
      <c r="H57" s="970" t="b">
        <f>ISNUMBER(#REF!)</f>
        <v>0</v>
      </c>
      <c r="I57" s="970" t="b">
        <f>ISNUMBER(#REF!)</f>
        <v>0</v>
      </c>
      <c r="J57" s="970" t="b">
        <f>ISNUMBER(#REF!)</f>
        <v>0</v>
      </c>
      <c r="K57" s="970" t="b">
        <f>ISNUMBER(#REF!)</f>
        <v>0</v>
      </c>
      <c r="L57" s="970" t="b">
        <f>ISNUMBER(#REF!)</f>
        <v>0</v>
      </c>
      <c r="M57" s="970" t="b">
        <f>ISNUMBER(#REF!)</f>
        <v>0</v>
      </c>
      <c r="N57" s="970" t="b">
        <f>ISNUMBER(#REF!)</f>
        <v>0</v>
      </c>
      <c r="O57" s="970" t="b">
        <f t="shared" si="4"/>
        <v>1</v>
      </c>
      <c r="P57" s="970" t="b">
        <f>ISNUMBER(#REF!)</f>
        <v>0</v>
      </c>
      <c r="Q57" s="978" t="str">
        <f t="shared" si="5"/>
        <v/>
      </c>
    </row>
    <row r="58" spans="1:17">
      <c r="A58" s="997">
        <f t="shared" si="3"/>
        <v>44898.125</v>
      </c>
      <c r="B58" s="373" t="s">
        <v>1005</v>
      </c>
      <c r="C58" s="977">
        <f t="shared" si="6"/>
        <v>0</v>
      </c>
      <c r="E58" s="970" t="b">
        <f>ISNUMBER(#REF!)</f>
        <v>0</v>
      </c>
      <c r="F58" s="970" t="b">
        <f>ISNUMBER(#REF!)</f>
        <v>0</v>
      </c>
      <c r="G58" s="970" t="b">
        <f>ISNUMBER(#REF!)</f>
        <v>0</v>
      </c>
      <c r="H58" s="970" t="b">
        <f>ISNUMBER(#REF!)</f>
        <v>0</v>
      </c>
      <c r="I58" s="970" t="b">
        <f>ISNUMBER(#REF!)</f>
        <v>0</v>
      </c>
      <c r="J58" s="970" t="b">
        <f>ISNUMBER(#REF!)</f>
        <v>0</v>
      </c>
      <c r="K58" s="970" t="b">
        <f>ISNUMBER(#REF!)</f>
        <v>0</v>
      </c>
      <c r="L58" s="970" t="b">
        <f>ISNUMBER(#REF!)</f>
        <v>0</v>
      </c>
      <c r="M58" s="970" t="b">
        <f>ISNUMBER(#REF!)</f>
        <v>0</v>
      </c>
      <c r="N58" s="970" t="b">
        <f>ISNUMBER(#REF!)</f>
        <v>0</v>
      </c>
      <c r="O58" s="970" t="b">
        <f t="shared" si="4"/>
        <v>1</v>
      </c>
      <c r="P58" s="970" t="b">
        <f>ISNUMBER(#REF!)</f>
        <v>0</v>
      </c>
      <c r="Q58" s="978" t="str">
        <f t="shared" si="5"/>
        <v/>
      </c>
    </row>
    <row r="59" spans="1:17">
      <c r="A59" s="997">
        <f t="shared" si="3"/>
        <v>44898.125</v>
      </c>
      <c r="B59" s="373" t="s">
        <v>1007</v>
      </c>
      <c r="C59" s="977">
        <f t="shared" si="6"/>
        <v>0</v>
      </c>
      <c r="E59" s="970" t="b">
        <f>ISNUMBER(#REF!)</f>
        <v>0</v>
      </c>
      <c r="F59" s="970" t="b">
        <f>ISNUMBER(#REF!)</f>
        <v>0</v>
      </c>
      <c r="G59" s="970" t="b">
        <f>ISNUMBER(#REF!)</f>
        <v>0</v>
      </c>
      <c r="H59" s="970" t="b">
        <f>ISNUMBER(#REF!)</f>
        <v>0</v>
      </c>
      <c r="I59" s="970" t="b">
        <f>ISNUMBER(#REF!)</f>
        <v>0</v>
      </c>
      <c r="J59" s="970" t="b">
        <f>ISNUMBER(#REF!)</f>
        <v>0</v>
      </c>
      <c r="K59" s="970" t="b">
        <f>ISNUMBER(#REF!)</f>
        <v>0</v>
      </c>
      <c r="L59" s="970" t="b">
        <f>ISNUMBER(#REF!)</f>
        <v>0</v>
      </c>
      <c r="M59" s="970" t="b">
        <f>ISNUMBER(#REF!)</f>
        <v>0</v>
      </c>
      <c r="N59" s="970" t="b">
        <f>ISNUMBER(#REF!)</f>
        <v>0</v>
      </c>
      <c r="O59" s="970" t="b">
        <f t="shared" si="4"/>
        <v>1</v>
      </c>
      <c r="P59" s="970" t="b">
        <f>ISNUMBER(#REF!)</f>
        <v>0</v>
      </c>
      <c r="Q59" s="978" t="str">
        <f t="shared" si="5"/>
        <v/>
      </c>
    </row>
    <row r="60" spans="1:17">
      <c r="A60" s="997">
        <f t="shared" si="3"/>
        <v>44898.125</v>
      </c>
      <c r="B60" s="373" t="s">
        <v>1008</v>
      </c>
      <c r="C60" s="977">
        <f t="shared" si="6"/>
        <v>0</v>
      </c>
      <c r="E60" s="970" t="b">
        <f>ISNUMBER(#REF!)</f>
        <v>0</v>
      </c>
      <c r="F60" s="970" t="b">
        <f>ISNUMBER(#REF!)</f>
        <v>0</v>
      </c>
      <c r="G60" s="970" t="b">
        <f>ISNUMBER(#REF!)</f>
        <v>0</v>
      </c>
      <c r="H60" s="970" t="b">
        <f>ISNUMBER(#REF!)</f>
        <v>0</v>
      </c>
      <c r="I60" s="970" t="b">
        <f>ISNUMBER(#REF!)</f>
        <v>0</v>
      </c>
      <c r="J60" s="970" t="b">
        <f>ISNUMBER(#REF!)</f>
        <v>0</v>
      </c>
      <c r="K60" s="970" t="b">
        <f>ISNUMBER(#REF!)</f>
        <v>0</v>
      </c>
      <c r="L60" s="970" t="b">
        <f>ISNUMBER(#REF!)</f>
        <v>0</v>
      </c>
      <c r="M60" s="970" t="b">
        <f>ISNUMBER(#REF!)</f>
        <v>0</v>
      </c>
      <c r="N60" s="970" t="b">
        <f>ISNUMBER(#REF!)</f>
        <v>0</v>
      </c>
      <c r="O60" s="970" t="b">
        <f t="shared" si="4"/>
        <v>1</v>
      </c>
      <c r="P60" s="970" t="b">
        <f>ISNUMBER(#REF!)</f>
        <v>0</v>
      </c>
      <c r="Q60" s="978" t="str">
        <f t="shared" si="5"/>
        <v/>
      </c>
    </row>
    <row r="61" spans="1:17">
      <c r="A61" s="997">
        <f t="shared" si="3"/>
        <v>44898.125</v>
      </c>
      <c r="B61" s="373" t="s">
        <v>1003</v>
      </c>
      <c r="C61" s="977">
        <f t="shared" si="6"/>
        <v>0</v>
      </c>
      <c r="E61" s="970" t="b">
        <f>ISNUMBER(#REF!)</f>
        <v>0</v>
      </c>
      <c r="F61" s="970" t="b">
        <f>ISNUMBER(#REF!)</f>
        <v>0</v>
      </c>
      <c r="G61" s="970" t="b">
        <f>ISNUMBER(#REF!)</f>
        <v>0</v>
      </c>
      <c r="H61" s="970" t="b">
        <f>ISNUMBER(#REF!)</f>
        <v>0</v>
      </c>
      <c r="I61" s="970" t="b">
        <f>ISNUMBER(#REF!)</f>
        <v>0</v>
      </c>
      <c r="J61" s="970" t="b">
        <f>ISNUMBER(#REF!)</f>
        <v>0</v>
      </c>
      <c r="K61" s="970" t="b">
        <f>ISNUMBER(#REF!)</f>
        <v>0</v>
      </c>
      <c r="L61" s="970" t="b">
        <f>ISNUMBER(#REF!)</f>
        <v>0</v>
      </c>
      <c r="M61" s="970" t="b">
        <f>ISNUMBER(#REF!)</f>
        <v>0</v>
      </c>
      <c r="N61" s="970" t="b">
        <f>ISNUMBER(#REF!)</f>
        <v>0</v>
      </c>
      <c r="O61" s="970" t="b">
        <f t="shared" si="4"/>
        <v>1</v>
      </c>
      <c r="P61" s="970" t="b">
        <f>ISNUMBER(#REF!)</f>
        <v>0</v>
      </c>
      <c r="Q61" s="978" t="str">
        <f t="shared" si="5"/>
        <v/>
      </c>
    </row>
    <row r="62" spans="1:17">
      <c r="A62" s="997">
        <f t="shared" si="3"/>
        <v>44898.125</v>
      </c>
      <c r="B62" s="373" t="s">
        <v>1004</v>
      </c>
      <c r="C62" s="977">
        <f t="shared" si="6"/>
        <v>0</v>
      </c>
      <c r="E62" s="970" t="b">
        <f>ISNUMBER(#REF!)</f>
        <v>0</v>
      </c>
      <c r="F62" s="970" t="b">
        <f>ISNUMBER(#REF!)</f>
        <v>0</v>
      </c>
      <c r="G62" s="970" t="b">
        <f>ISNUMBER(#REF!)</f>
        <v>0</v>
      </c>
      <c r="H62" s="970" t="b">
        <f>ISNUMBER(#REF!)</f>
        <v>0</v>
      </c>
      <c r="I62" s="970" t="b">
        <f>ISNUMBER(#REF!)</f>
        <v>0</v>
      </c>
      <c r="J62" s="970" t="b">
        <f>ISNUMBER(#REF!)</f>
        <v>0</v>
      </c>
      <c r="K62" s="970" t="b">
        <f>ISNUMBER(#REF!)</f>
        <v>0</v>
      </c>
      <c r="L62" s="970" t="b">
        <f>ISNUMBER(#REF!)</f>
        <v>0</v>
      </c>
      <c r="M62" s="970" t="b">
        <f>ISNUMBER(#REF!)</f>
        <v>0</v>
      </c>
      <c r="N62" s="970" t="b">
        <f>ISNUMBER(#REF!)</f>
        <v>0</v>
      </c>
      <c r="O62" s="970" t="b">
        <f t="shared" si="4"/>
        <v>1</v>
      </c>
      <c r="P62" s="970" t="b">
        <f>ISNUMBER(#REF!)</f>
        <v>0</v>
      </c>
      <c r="Q62" s="978" t="str">
        <f t="shared" si="5"/>
        <v/>
      </c>
    </row>
    <row r="63" spans="1:17">
      <c r="A63" s="997">
        <f t="shared" si="3"/>
        <v>44898.125</v>
      </c>
      <c r="B63" s="373" t="s">
        <v>932</v>
      </c>
      <c r="C63" s="977">
        <f t="shared" si="6"/>
        <v>0</v>
      </c>
      <c r="E63" s="970" t="b">
        <f>ISNUMBER(#REF!)</f>
        <v>0</v>
      </c>
      <c r="F63" s="970" t="b">
        <f>ISNUMBER(#REF!)</f>
        <v>0</v>
      </c>
      <c r="G63" s="970" t="b">
        <f>ISNUMBER(#REF!)</f>
        <v>0</v>
      </c>
      <c r="H63" s="970" t="b">
        <f>ISNUMBER(#REF!)</f>
        <v>0</v>
      </c>
      <c r="I63" s="970" t="b">
        <f>ISNUMBER(#REF!)</f>
        <v>0</v>
      </c>
      <c r="J63" s="970" t="b">
        <f>ISNUMBER(#REF!)</f>
        <v>0</v>
      </c>
      <c r="K63" s="970" t="b">
        <f>ISNUMBER(#REF!)</f>
        <v>0</v>
      </c>
      <c r="L63" s="970" t="b">
        <f>ISNUMBER(#REF!)</f>
        <v>0</v>
      </c>
      <c r="M63" s="970" t="b">
        <f>ISNUMBER(#REF!)</f>
        <v>0</v>
      </c>
      <c r="N63" s="970" t="b">
        <f>ISNUMBER(#REF!)</f>
        <v>0</v>
      </c>
      <c r="O63" s="970" t="b">
        <f t="shared" si="4"/>
        <v>1</v>
      </c>
      <c r="P63" s="970" t="b">
        <f>ISNUMBER(#REF!)</f>
        <v>0</v>
      </c>
      <c r="Q63" s="978" t="str">
        <f t="shared" si="5"/>
        <v/>
      </c>
    </row>
    <row r="64" spans="1:17">
      <c r="A64" s="997">
        <f t="shared" si="3"/>
        <v>44898.125</v>
      </c>
      <c r="B64" s="373" t="s">
        <v>931</v>
      </c>
      <c r="C64" s="977">
        <f t="shared" si="6"/>
        <v>0</v>
      </c>
      <c r="E64" s="970" t="b">
        <f>ISNUMBER(#REF!)</f>
        <v>0</v>
      </c>
      <c r="F64" s="970" t="b">
        <f>ISNUMBER(#REF!)</f>
        <v>0</v>
      </c>
      <c r="G64" s="970" t="b">
        <f>ISNUMBER(#REF!)</f>
        <v>0</v>
      </c>
      <c r="H64" s="970" t="b">
        <f>ISNUMBER(#REF!)</f>
        <v>0</v>
      </c>
      <c r="I64" s="970" t="b">
        <f>ISNUMBER(#REF!)</f>
        <v>0</v>
      </c>
      <c r="J64" s="970" t="b">
        <f>ISNUMBER(#REF!)</f>
        <v>0</v>
      </c>
      <c r="K64" s="970" t="b">
        <f>ISNUMBER(#REF!)</f>
        <v>0</v>
      </c>
      <c r="L64" s="970" t="b">
        <f>ISNUMBER(#REF!)</f>
        <v>0</v>
      </c>
      <c r="M64" s="970" t="b">
        <f>ISNUMBER(#REF!)</f>
        <v>0</v>
      </c>
      <c r="N64" s="970" t="b">
        <f>ISNUMBER(#REF!)</f>
        <v>0</v>
      </c>
      <c r="O64" s="970" t="b">
        <f t="shared" si="4"/>
        <v>1</v>
      </c>
      <c r="P64" s="970" t="b">
        <f>ISNUMBER(#REF!)</f>
        <v>0</v>
      </c>
      <c r="Q64" s="978" t="str">
        <f t="shared" si="5"/>
        <v/>
      </c>
    </row>
    <row r="65" spans="1:17">
      <c r="A65" s="997">
        <f t="shared" si="3"/>
        <v>44898.125</v>
      </c>
      <c r="B65" s="373" t="s">
        <v>933</v>
      </c>
      <c r="C65" s="977">
        <f t="shared" si="6"/>
        <v>0</v>
      </c>
      <c r="E65" s="970" t="b">
        <f>ISNUMBER(#REF!)</f>
        <v>0</v>
      </c>
      <c r="F65" s="970" t="b">
        <f>ISNUMBER(#REF!)</f>
        <v>0</v>
      </c>
      <c r="G65" s="970" t="b">
        <f>ISNUMBER(#REF!)</f>
        <v>0</v>
      </c>
      <c r="H65" s="970" t="b">
        <f>ISNUMBER(#REF!)</f>
        <v>0</v>
      </c>
      <c r="I65" s="970" t="b">
        <f>ISNUMBER(#REF!)</f>
        <v>0</v>
      </c>
      <c r="J65" s="970" t="b">
        <f>ISNUMBER(#REF!)</f>
        <v>0</v>
      </c>
      <c r="K65" s="970" t="b">
        <f>ISNUMBER(#REF!)</f>
        <v>0</v>
      </c>
      <c r="L65" s="970" t="b">
        <f>ISNUMBER(#REF!)</f>
        <v>0</v>
      </c>
      <c r="M65" s="970" t="b">
        <f>ISNUMBER(#REF!)</f>
        <v>0</v>
      </c>
      <c r="N65" s="970" t="b">
        <f>ISNUMBER(#REF!)</f>
        <v>0</v>
      </c>
      <c r="O65" s="970" t="b">
        <f t="shared" si="4"/>
        <v>1</v>
      </c>
      <c r="P65" s="970" t="b">
        <f>ISNUMBER(#REF!)</f>
        <v>0</v>
      </c>
      <c r="Q65" s="978" t="str">
        <f t="shared" si="5"/>
        <v/>
      </c>
    </row>
    <row r="66" spans="1:17">
      <c r="A66" s="997">
        <f t="shared" si="3"/>
        <v>44898.125</v>
      </c>
      <c r="B66" s="373" t="s">
        <v>934</v>
      </c>
      <c r="C66" s="977">
        <f t="shared" si="6"/>
        <v>0</v>
      </c>
      <c r="E66" s="970" t="b">
        <f>ISNUMBER(#REF!)</f>
        <v>0</v>
      </c>
      <c r="F66" s="970" t="b">
        <f>ISNUMBER(#REF!)</f>
        <v>0</v>
      </c>
      <c r="G66" s="970" t="b">
        <f>ISNUMBER(#REF!)</f>
        <v>0</v>
      </c>
      <c r="H66" s="970" t="b">
        <f>ISNUMBER(#REF!)</f>
        <v>0</v>
      </c>
      <c r="I66" s="970" t="b">
        <f>ISNUMBER(#REF!)</f>
        <v>0</v>
      </c>
      <c r="J66" s="970" t="b">
        <f>ISNUMBER(#REF!)</f>
        <v>0</v>
      </c>
      <c r="K66" s="970" t="b">
        <f>ISNUMBER(#REF!)</f>
        <v>0</v>
      </c>
      <c r="L66" s="970" t="b">
        <f>ISNUMBER(#REF!)</f>
        <v>0</v>
      </c>
      <c r="M66" s="970" t="b">
        <f>ISNUMBER(#REF!)</f>
        <v>0</v>
      </c>
      <c r="N66" s="970" t="b">
        <f>ISNUMBER(#REF!)</f>
        <v>0</v>
      </c>
      <c r="O66" s="970" t="b">
        <f t="shared" si="4"/>
        <v>1</v>
      </c>
      <c r="P66" s="970" t="b">
        <f>ISNUMBER(#REF!)</f>
        <v>0</v>
      </c>
      <c r="Q66" s="978" t="str">
        <f t="shared" si="5"/>
        <v/>
      </c>
    </row>
    <row r="67" spans="1:17">
      <c r="A67" s="997">
        <f t="shared" si="3"/>
        <v>44898.125</v>
      </c>
      <c r="B67" s="373" t="s">
        <v>935</v>
      </c>
      <c r="C67" s="977">
        <f t="shared" si="6"/>
        <v>0</v>
      </c>
      <c r="E67" s="970" t="b">
        <f>ISNUMBER(#REF!)</f>
        <v>0</v>
      </c>
      <c r="F67" s="970" t="b">
        <f>ISNUMBER(#REF!)</f>
        <v>0</v>
      </c>
      <c r="G67" s="970" t="b">
        <f>ISNUMBER(#REF!)</f>
        <v>0</v>
      </c>
      <c r="H67" s="970" t="b">
        <f>ISNUMBER(#REF!)</f>
        <v>0</v>
      </c>
      <c r="I67" s="970" t="b">
        <f>ISNUMBER(#REF!)</f>
        <v>0</v>
      </c>
      <c r="J67" s="970" t="b">
        <f>ISNUMBER(#REF!)</f>
        <v>0</v>
      </c>
      <c r="K67" s="970" t="b">
        <f>ISNUMBER(#REF!)</f>
        <v>0</v>
      </c>
      <c r="L67" s="970" t="b">
        <f>ISNUMBER(#REF!)</f>
        <v>0</v>
      </c>
      <c r="M67" s="970" t="b">
        <f>ISNUMBER(#REF!)</f>
        <v>0</v>
      </c>
      <c r="N67" s="970" t="b">
        <f>ISNUMBER(#REF!)</f>
        <v>0</v>
      </c>
      <c r="O67" s="970" t="b">
        <f t="shared" si="4"/>
        <v>1</v>
      </c>
      <c r="P67" s="970" t="b">
        <f>ISNUMBER(#REF!)</f>
        <v>0</v>
      </c>
      <c r="Q67" s="978" t="str">
        <f t="shared" si="5"/>
        <v/>
      </c>
    </row>
    <row r="68" spans="1:17">
      <c r="A68" s="997">
        <f t="shared" si="3"/>
        <v>44898.125</v>
      </c>
      <c r="B68" s="373" t="s">
        <v>936</v>
      </c>
      <c r="C68" s="977">
        <f t="shared" si="6"/>
        <v>0</v>
      </c>
      <c r="E68" s="970" t="b">
        <f>ISNUMBER(#REF!)</f>
        <v>0</v>
      </c>
      <c r="F68" s="970" t="b">
        <f>ISNUMBER(#REF!)</f>
        <v>0</v>
      </c>
      <c r="G68" s="970" t="b">
        <f>ISNUMBER(#REF!)</f>
        <v>0</v>
      </c>
      <c r="H68" s="970" t="b">
        <f>ISNUMBER(#REF!)</f>
        <v>0</v>
      </c>
      <c r="I68" s="970" t="b">
        <f>ISNUMBER(#REF!)</f>
        <v>0</v>
      </c>
      <c r="J68" s="970" t="b">
        <f>ISNUMBER(#REF!)</f>
        <v>0</v>
      </c>
      <c r="K68" s="970" t="b">
        <f>ISNUMBER(#REF!)</f>
        <v>0</v>
      </c>
      <c r="L68" s="970" t="b">
        <f>ISNUMBER(#REF!)</f>
        <v>0</v>
      </c>
      <c r="M68" s="970" t="b">
        <f>ISNUMBER(#REF!)</f>
        <v>0</v>
      </c>
      <c r="N68" s="970" t="b">
        <f>ISNUMBER(#REF!)</f>
        <v>0</v>
      </c>
      <c r="O68" s="970" t="b">
        <f t="shared" ref="O68:O69" si="7">ISNUMBER(C68)</f>
        <v>1</v>
      </c>
      <c r="P68" s="970" t="b">
        <f>ISNUMBER(#REF!)</f>
        <v>0</v>
      </c>
      <c r="Q68" s="978" t="str">
        <f t="shared" ref="Q68:Q69" si="8">IF(O68=TRUE,"",1)</f>
        <v/>
      </c>
    </row>
    <row r="69" spans="1:17">
      <c r="A69" s="997">
        <f t="shared" si="3"/>
        <v>44898.125</v>
      </c>
      <c r="B69" s="373" t="s">
        <v>937</v>
      </c>
      <c r="C69" s="977">
        <f t="shared" si="6"/>
        <v>0</v>
      </c>
      <c r="E69" s="970" t="b">
        <f>ISNUMBER(#REF!)</f>
        <v>0</v>
      </c>
      <c r="F69" s="970" t="b">
        <f>ISNUMBER(#REF!)</f>
        <v>0</v>
      </c>
      <c r="G69" s="970" t="b">
        <f>ISNUMBER(#REF!)</f>
        <v>0</v>
      </c>
      <c r="H69" s="970" t="b">
        <f>ISNUMBER(#REF!)</f>
        <v>0</v>
      </c>
      <c r="I69" s="970" t="b">
        <f>ISNUMBER(#REF!)</f>
        <v>0</v>
      </c>
      <c r="J69" s="970" t="b">
        <f>ISNUMBER(#REF!)</f>
        <v>0</v>
      </c>
      <c r="K69" s="970" t="b">
        <f>ISNUMBER(#REF!)</f>
        <v>0</v>
      </c>
      <c r="L69" s="970" t="b">
        <f>ISNUMBER(#REF!)</f>
        <v>0</v>
      </c>
      <c r="M69" s="970" t="b">
        <f>ISNUMBER(#REF!)</f>
        <v>0</v>
      </c>
      <c r="N69" s="970" t="b">
        <f>ISNUMBER(#REF!)</f>
        <v>0</v>
      </c>
      <c r="O69" s="970" t="b">
        <f t="shared" si="7"/>
        <v>1</v>
      </c>
      <c r="P69" s="970" t="b">
        <f>ISNUMBER(#REF!)</f>
        <v>0</v>
      </c>
      <c r="Q69" s="978" t="str">
        <f t="shared" si="8"/>
        <v/>
      </c>
    </row>
  </sheetData>
  <phoneticPr fontId="6" type="noConversion"/>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sheetPr>
    <tabColor theme="8" tint="0.39997558519241921"/>
  </sheetPr>
  <dimension ref="A1:Q28"/>
  <sheetViews>
    <sheetView zoomScale="70" zoomScaleNormal="70" workbookViewId="0"/>
  </sheetViews>
  <sheetFormatPr defaultRowHeight="19.5"/>
  <cols>
    <col min="1" max="1" width="24.5" style="992" customWidth="1"/>
    <col min="2" max="2" width="23" style="982" customWidth="1"/>
    <col min="3" max="3" width="20.125" style="983" customWidth="1"/>
    <col min="4" max="4" width="9" style="970"/>
    <col min="5" max="16" width="9" style="970" hidden="1" customWidth="1"/>
    <col min="17" max="16384" width="9" style="970"/>
  </cols>
  <sheetData>
    <row r="1" spans="1:17" ht="71.45" customHeight="1">
      <c r="A1" s="988" t="s">
        <v>360</v>
      </c>
      <c r="B1" s="968"/>
      <c r="C1" s="969"/>
    </row>
    <row r="2" spans="1:17" s="973" customFormat="1">
      <c r="A2" s="991" t="s">
        <v>361</v>
      </c>
      <c r="B2" s="971" t="s">
        <v>362</v>
      </c>
      <c r="C2" s="972" t="s">
        <v>382</v>
      </c>
      <c r="E2" s="974">
        <v>1</v>
      </c>
      <c r="F2" s="974" t="s">
        <v>890</v>
      </c>
      <c r="G2" s="974">
        <v>2</v>
      </c>
      <c r="H2" s="974" t="s">
        <v>890</v>
      </c>
      <c r="I2" s="974">
        <v>3</v>
      </c>
      <c r="J2" s="974" t="s">
        <v>890</v>
      </c>
      <c r="K2" s="974">
        <v>4</v>
      </c>
      <c r="L2" s="974" t="s">
        <v>890</v>
      </c>
      <c r="M2" s="974">
        <v>5</v>
      </c>
      <c r="N2" s="974" t="s">
        <v>890</v>
      </c>
      <c r="O2" s="974">
        <v>6</v>
      </c>
      <c r="P2" s="974" t="s">
        <v>890</v>
      </c>
      <c r="Q2" s="975">
        <v>6</v>
      </c>
    </row>
    <row r="3" spans="1:17" s="973" customFormat="1">
      <c r="A3" s="991" t="s">
        <v>385</v>
      </c>
      <c r="B3" s="971" t="s">
        <v>386</v>
      </c>
      <c r="C3" s="972" t="s">
        <v>397</v>
      </c>
      <c r="Q3" s="985"/>
    </row>
    <row r="4" spans="1:17" ht="24" customHeight="1">
      <c r="A4" s="996">
        <f>MENU!Y27</f>
        <v>44898.208333333336</v>
      </c>
      <c r="B4" s="373" t="s">
        <v>277</v>
      </c>
      <c r="C4" s="977"/>
      <c r="E4" s="970" t="b">
        <f>ISNUMBER(#REF!)</f>
        <v>0</v>
      </c>
      <c r="F4" s="970" t="b">
        <f>ISNUMBER(#REF!)</f>
        <v>0</v>
      </c>
      <c r="G4" s="970" t="b">
        <f>ISNUMBER(#REF!)</f>
        <v>0</v>
      </c>
      <c r="H4" s="970" t="b">
        <f>ISNUMBER(#REF!)</f>
        <v>0</v>
      </c>
      <c r="I4" s="970" t="b">
        <f>ISNUMBER(#REF!)</f>
        <v>0</v>
      </c>
      <c r="J4" s="970" t="b">
        <f>ISNUMBER(#REF!)</f>
        <v>0</v>
      </c>
      <c r="K4" s="970" t="b">
        <f>ISNUMBER(#REF!)</f>
        <v>0</v>
      </c>
      <c r="L4" s="970" t="b">
        <f>ISNUMBER(#REF!)</f>
        <v>0</v>
      </c>
      <c r="M4" s="970" t="b">
        <f>ISNUMBER(#REF!)</f>
        <v>0</v>
      </c>
      <c r="N4" s="970" t="b">
        <f>ISNUMBER(#REF!)</f>
        <v>0</v>
      </c>
      <c r="O4" s="970" t="b">
        <f t="shared" ref="O4" si="0">ISNUMBER(C4)</f>
        <v>0</v>
      </c>
      <c r="P4" s="970" t="b">
        <f>ISNUMBER(#REF!)</f>
        <v>0</v>
      </c>
      <c r="Q4" s="978">
        <f t="shared" ref="Q4" si="1">IF(O4=TRUE,"",1)</f>
        <v>1</v>
      </c>
    </row>
    <row r="5" spans="1:17" s="981" customFormat="1" ht="24" customHeight="1">
      <c r="A5" s="1004">
        <f t="shared" ref="A5:A28" si="2">IF(B5="","",$A$4)</f>
        <v>44898.208333333336</v>
      </c>
      <c r="B5" s="902" t="s">
        <v>468</v>
      </c>
      <c r="C5" s="980">
        <f t="shared" ref="C5:C28" si="3">IFERROR(VLOOKUP($B5,RLMLXD,38,0),"")</f>
        <v>0</v>
      </c>
      <c r="E5" s="981" t="b">
        <f>ISNUMBER(#REF!)</f>
        <v>0</v>
      </c>
      <c r="F5" s="981" t="b">
        <f>ISNUMBER(#REF!)</f>
        <v>0</v>
      </c>
      <c r="G5" s="981" t="b">
        <f>ISNUMBER(#REF!)</f>
        <v>0</v>
      </c>
      <c r="H5" s="981" t="b">
        <f>ISNUMBER(#REF!)</f>
        <v>0</v>
      </c>
      <c r="I5" s="981" t="b">
        <f>ISNUMBER(#REF!)</f>
        <v>0</v>
      </c>
      <c r="J5" s="981" t="b">
        <f>ISNUMBER(#REF!)</f>
        <v>0</v>
      </c>
      <c r="K5" s="981" t="b">
        <f>ISNUMBER(#REF!)</f>
        <v>0</v>
      </c>
      <c r="L5" s="981" t="b">
        <f>ISNUMBER(#REF!)</f>
        <v>0</v>
      </c>
      <c r="M5" s="981" t="b">
        <f>ISNUMBER(#REF!)</f>
        <v>0</v>
      </c>
      <c r="N5" s="981" t="b">
        <f>ISNUMBER(#REF!)</f>
        <v>0</v>
      </c>
      <c r="O5" s="981" t="b">
        <f t="shared" ref="O5:O26" si="4">ISNUMBER(C5)</f>
        <v>1</v>
      </c>
      <c r="P5" s="981" t="b">
        <f>ISNUMBER(#REF!)</f>
        <v>0</v>
      </c>
      <c r="Q5" s="979" t="str">
        <f t="shared" ref="Q5:Q26" si="5">IF(O5=TRUE,"",1)</f>
        <v/>
      </c>
    </row>
    <row r="6" spans="1:17" ht="24" customHeight="1">
      <c r="A6" s="997">
        <f t="shared" si="2"/>
        <v>44898.208333333336</v>
      </c>
      <c r="B6" s="373" t="s">
        <v>472</v>
      </c>
      <c r="C6" s="977">
        <f t="shared" si="3"/>
        <v>0</v>
      </c>
      <c r="E6" s="970" t="b">
        <f>ISNUMBER(#REF!)</f>
        <v>0</v>
      </c>
      <c r="F6" s="970" t="b">
        <f>ISNUMBER(#REF!)</f>
        <v>0</v>
      </c>
      <c r="G6" s="970" t="b">
        <f>ISNUMBER(#REF!)</f>
        <v>0</v>
      </c>
      <c r="H6" s="970" t="b">
        <f>ISNUMBER(#REF!)</f>
        <v>0</v>
      </c>
      <c r="I6" s="970" t="b">
        <f>ISNUMBER(#REF!)</f>
        <v>0</v>
      </c>
      <c r="J6" s="970" t="b">
        <f>ISNUMBER(#REF!)</f>
        <v>0</v>
      </c>
      <c r="K6" s="970" t="b">
        <f>ISNUMBER(#REF!)</f>
        <v>0</v>
      </c>
      <c r="L6" s="970" t="b">
        <f>ISNUMBER(#REF!)</f>
        <v>0</v>
      </c>
      <c r="M6" s="970" t="b">
        <f>ISNUMBER(#REF!)</f>
        <v>0</v>
      </c>
      <c r="N6" s="970" t="b">
        <f>ISNUMBER(#REF!)</f>
        <v>0</v>
      </c>
      <c r="O6" s="970" t="b">
        <f t="shared" si="4"/>
        <v>1</v>
      </c>
      <c r="P6" s="970" t="b">
        <f>ISNUMBER(#REF!)</f>
        <v>0</v>
      </c>
      <c r="Q6" s="978" t="str">
        <f t="shared" si="5"/>
        <v/>
      </c>
    </row>
    <row r="7" spans="1:17" ht="24" customHeight="1">
      <c r="A7" s="997">
        <f t="shared" si="2"/>
        <v>44898.208333333336</v>
      </c>
      <c r="B7" s="373" t="s">
        <v>473</v>
      </c>
      <c r="C7" s="977">
        <f t="shared" si="3"/>
        <v>0</v>
      </c>
      <c r="E7" s="970" t="b">
        <f>ISNUMBER(#REF!)</f>
        <v>0</v>
      </c>
      <c r="F7" s="970" t="b">
        <f>ISNUMBER(#REF!)</f>
        <v>0</v>
      </c>
      <c r="G7" s="970" t="b">
        <f>ISNUMBER(#REF!)</f>
        <v>0</v>
      </c>
      <c r="H7" s="970" t="b">
        <f>ISNUMBER(#REF!)</f>
        <v>0</v>
      </c>
      <c r="I7" s="970" t="b">
        <f>ISNUMBER(#REF!)</f>
        <v>0</v>
      </c>
      <c r="J7" s="970" t="b">
        <f>ISNUMBER(#REF!)</f>
        <v>0</v>
      </c>
      <c r="K7" s="970" t="b">
        <f>ISNUMBER(#REF!)</f>
        <v>0</v>
      </c>
      <c r="L7" s="970" t="b">
        <f>ISNUMBER(#REF!)</f>
        <v>0</v>
      </c>
      <c r="M7" s="970" t="b">
        <f>ISNUMBER(#REF!)</f>
        <v>0</v>
      </c>
      <c r="N7" s="970" t="b">
        <f>ISNUMBER(#REF!)</f>
        <v>0</v>
      </c>
      <c r="O7" s="970" t="b">
        <f t="shared" si="4"/>
        <v>1</v>
      </c>
      <c r="P7" s="970" t="b">
        <f>ISNUMBER(#REF!)</f>
        <v>0</v>
      </c>
      <c r="Q7" s="978" t="str">
        <f t="shared" si="5"/>
        <v/>
      </c>
    </row>
    <row r="8" spans="1:17" ht="24" customHeight="1">
      <c r="A8" s="997">
        <f t="shared" si="2"/>
        <v>44898.208333333336</v>
      </c>
      <c r="B8" s="373" t="s">
        <v>476</v>
      </c>
      <c r="C8" s="977">
        <f t="shared" si="3"/>
        <v>0</v>
      </c>
      <c r="E8" s="970" t="b">
        <f>ISNUMBER(#REF!)</f>
        <v>0</v>
      </c>
      <c r="F8" s="970" t="b">
        <f>ISNUMBER(#REF!)</f>
        <v>0</v>
      </c>
      <c r="G8" s="970" t="b">
        <f>ISNUMBER(#REF!)</f>
        <v>0</v>
      </c>
      <c r="H8" s="970" t="b">
        <f>ISNUMBER(#REF!)</f>
        <v>0</v>
      </c>
      <c r="I8" s="970" t="b">
        <f>ISNUMBER(#REF!)</f>
        <v>0</v>
      </c>
      <c r="J8" s="970" t="b">
        <f>ISNUMBER(#REF!)</f>
        <v>0</v>
      </c>
      <c r="K8" s="970" t="b">
        <f>ISNUMBER(#REF!)</f>
        <v>0</v>
      </c>
      <c r="L8" s="970" t="b">
        <f>ISNUMBER(#REF!)</f>
        <v>0</v>
      </c>
      <c r="M8" s="970" t="b">
        <f>ISNUMBER(#REF!)</f>
        <v>0</v>
      </c>
      <c r="N8" s="970" t="b">
        <f>ISNUMBER(#REF!)</f>
        <v>0</v>
      </c>
      <c r="O8" s="970" t="b">
        <f t="shared" si="4"/>
        <v>1</v>
      </c>
      <c r="P8" s="970" t="b">
        <f>ISNUMBER(#REF!)</f>
        <v>0</v>
      </c>
      <c r="Q8" s="978" t="str">
        <f t="shared" si="5"/>
        <v/>
      </c>
    </row>
    <row r="9" spans="1:17" ht="24" customHeight="1">
      <c r="A9" s="997">
        <f t="shared" si="2"/>
        <v>44898.208333333336</v>
      </c>
      <c r="B9" s="373" t="s">
        <v>477</v>
      </c>
      <c r="C9" s="977">
        <f t="shared" si="3"/>
        <v>0</v>
      </c>
      <c r="E9" s="970" t="b">
        <f>ISNUMBER(#REF!)</f>
        <v>0</v>
      </c>
      <c r="F9" s="970" t="b">
        <f>ISNUMBER(#REF!)</f>
        <v>0</v>
      </c>
      <c r="G9" s="970" t="b">
        <f>ISNUMBER(#REF!)</f>
        <v>0</v>
      </c>
      <c r="H9" s="970" t="b">
        <f>ISNUMBER(#REF!)</f>
        <v>0</v>
      </c>
      <c r="I9" s="970" t="b">
        <f>ISNUMBER(#REF!)</f>
        <v>0</v>
      </c>
      <c r="J9" s="970" t="b">
        <f>ISNUMBER(#REF!)</f>
        <v>0</v>
      </c>
      <c r="K9" s="970" t="b">
        <f>ISNUMBER(#REF!)</f>
        <v>0</v>
      </c>
      <c r="L9" s="970" t="b">
        <f>ISNUMBER(#REF!)</f>
        <v>0</v>
      </c>
      <c r="M9" s="970" t="b">
        <f>ISNUMBER(#REF!)</f>
        <v>0</v>
      </c>
      <c r="N9" s="970" t="b">
        <f>ISNUMBER(#REF!)</f>
        <v>0</v>
      </c>
      <c r="O9" s="970" t="b">
        <f t="shared" si="4"/>
        <v>1</v>
      </c>
      <c r="P9" s="970" t="b">
        <f>ISNUMBER(#REF!)</f>
        <v>0</v>
      </c>
      <c r="Q9" s="978" t="str">
        <f t="shared" si="5"/>
        <v/>
      </c>
    </row>
    <row r="10" spans="1:17" ht="24" customHeight="1">
      <c r="A10" s="997">
        <f t="shared" si="2"/>
        <v>44898.208333333336</v>
      </c>
      <c r="B10" s="373" t="s">
        <v>479</v>
      </c>
      <c r="C10" s="977">
        <f t="shared" si="3"/>
        <v>0</v>
      </c>
      <c r="E10" s="970" t="b">
        <f>ISNUMBER(#REF!)</f>
        <v>0</v>
      </c>
      <c r="F10" s="970" t="b">
        <f>ISNUMBER(#REF!)</f>
        <v>0</v>
      </c>
      <c r="G10" s="970" t="b">
        <f>ISNUMBER(#REF!)</f>
        <v>0</v>
      </c>
      <c r="H10" s="970" t="b">
        <f>ISNUMBER(#REF!)</f>
        <v>0</v>
      </c>
      <c r="I10" s="970" t="b">
        <f>ISNUMBER(#REF!)</f>
        <v>0</v>
      </c>
      <c r="J10" s="970" t="b">
        <f>ISNUMBER(#REF!)</f>
        <v>0</v>
      </c>
      <c r="K10" s="970" t="b">
        <f>ISNUMBER(#REF!)</f>
        <v>0</v>
      </c>
      <c r="L10" s="970" t="b">
        <f>ISNUMBER(#REF!)</f>
        <v>0</v>
      </c>
      <c r="M10" s="970" t="b">
        <f>ISNUMBER(#REF!)</f>
        <v>0</v>
      </c>
      <c r="N10" s="970" t="b">
        <f>ISNUMBER(#REF!)</f>
        <v>0</v>
      </c>
      <c r="O10" s="970" t="b">
        <f t="shared" si="4"/>
        <v>1</v>
      </c>
      <c r="P10" s="970" t="b">
        <f>ISNUMBER(#REF!)</f>
        <v>0</v>
      </c>
      <c r="Q10" s="978" t="str">
        <f t="shared" si="5"/>
        <v/>
      </c>
    </row>
    <row r="11" spans="1:17" ht="24" customHeight="1">
      <c r="A11" s="997">
        <f t="shared" si="2"/>
        <v>44898.208333333336</v>
      </c>
      <c r="B11" s="373" t="s">
        <v>481</v>
      </c>
      <c r="C11" s="977">
        <f t="shared" si="3"/>
        <v>0</v>
      </c>
      <c r="E11" s="970" t="b">
        <f>ISNUMBER(#REF!)</f>
        <v>0</v>
      </c>
      <c r="F11" s="970" t="b">
        <f>ISNUMBER(#REF!)</f>
        <v>0</v>
      </c>
      <c r="G11" s="970" t="b">
        <f>ISNUMBER(#REF!)</f>
        <v>0</v>
      </c>
      <c r="H11" s="970" t="b">
        <f>ISNUMBER(#REF!)</f>
        <v>0</v>
      </c>
      <c r="I11" s="970" t="b">
        <f>ISNUMBER(#REF!)</f>
        <v>0</v>
      </c>
      <c r="J11" s="970" t="b">
        <f>ISNUMBER(#REF!)</f>
        <v>0</v>
      </c>
      <c r="K11" s="970" t="b">
        <f>ISNUMBER(#REF!)</f>
        <v>0</v>
      </c>
      <c r="L11" s="970" t="b">
        <f>ISNUMBER(#REF!)</f>
        <v>0</v>
      </c>
      <c r="M11" s="970" t="b">
        <f>ISNUMBER(#REF!)</f>
        <v>0</v>
      </c>
      <c r="N11" s="970" t="b">
        <f>ISNUMBER(#REF!)</f>
        <v>0</v>
      </c>
      <c r="O11" s="970" t="b">
        <f t="shared" si="4"/>
        <v>1</v>
      </c>
      <c r="P11" s="970" t="b">
        <f>ISNUMBER(#REF!)</f>
        <v>0</v>
      </c>
      <c r="Q11" s="978" t="str">
        <f t="shared" si="5"/>
        <v/>
      </c>
    </row>
    <row r="12" spans="1:17" ht="24" customHeight="1">
      <c r="A12" s="997">
        <f t="shared" si="2"/>
        <v>44898.208333333336</v>
      </c>
      <c r="B12" s="373" t="s">
        <v>482</v>
      </c>
      <c r="C12" s="977">
        <f t="shared" si="3"/>
        <v>0</v>
      </c>
      <c r="E12" s="970" t="b">
        <f>ISNUMBER(#REF!)</f>
        <v>0</v>
      </c>
      <c r="F12" s="970" t="b">
        <f>ISNUMBER(#REF!)</f>
        <v>0</v>
      </c>
      <c r="G12" s="970" t="b">
        <f>ISNUMBER(#REF!)</f>
        <v>0</v>
      </c>
      <c r="H12" s="970" t="b">
        <f>ISNUMBER(#REF!)</f>
        <v>0</v>
      </c>
      <c r="I12" s="970" t="b">
        <f>ISNUMBER(#REF!)</f>
        <v>0</v>
      </c>
      <c r="J12" s="970" t="b">
        <f>ISNUMBER(#REF!)</f>
        <v>0</v>
      </c>
      <c r="K12" s="970" t="b">
        <f>ISNUMBER(#REF!)</f>
        <v>0</v>
      </c>
      <c r="L12" s="970" t="b">
        <f>ISNUMBER(#REF!)</f>
        <v>0</v>
      </c>
      <c r="M12" s="970" t="b">
        <f>ISNUMBER(#REF!)</f>
        <v>0</v>
      </c>
      <c r="N12" s="970" t="b">
        <f>ISNUMBER(#REF!)</f>
        <v>0</v>
      </c>
      <c r="O12" s="970" t="b">
        <f t="shared" si="4"/>
        <v>1</v>
      </c>
      <c r="P12" s="970" t="b">
        <f>ISNUMBER(#REF!)</f>
        <v>0</v>
      </c>
      <c r="Q12" s="978" t="str">
        <f t="shared" si="5"/>
        <v/>
      </c>
    </row>
    <row r="13" spans="1:17" ht="24" customHeight="1">
      <c r="A13" s="997">
        <f t="shared" si="2"/>
        <v>44898.208333333336</v>
      </c>
      <c r="B13" s="373" t="s">
        <v>483</v>
      </c>
      <c r="C13" s="977">
        <f t="shared" si="3"/>
        <v>0</v>
      </c>
      <c r="E13" s="970" t="b">
        <f>ISNUMBER(#REF!)</f>
        <v>0</v>
      </c>
      <c r="F13" s="970" t="b">
        <f>ISNUMBER(#REF!)</f>
        <v>0</v>
      </c>
      <c r="G13" s="970" t="b">
        <f>ISNUMBER(#REF!)</f>
        <v>0</v>
      </c>
      <c r="H13" s="970" t="b">
        <f>ISNUMBER(#REF!)</f>
        <v>0</v>
      </c>
      <c r="I13" s="970" t="b">
        <f>ISNUMBER(#REF!)</f>
        <v>0</v>
      </c>
      <c r="J13" s="970" t="b">
        <f>ISNUMBER(#REF!)</f>
        <v>0</v>
      </c>
      <c r="K13" s="970" t="b">
        <f>ISNUMBER(#REF!)</f>
        <v>0</v>
      </c>
      <c r="L13" s="970" t="b">
        <f>ISNUMBER(#REF!)</f>
        <v>0</v>
      </c>
      <c r="M13" s="970" t="b">
        <f>ISNUMBER(#REF!)</f>
        <v>0</v>
      </c>
      <c r="N13" s="970" t="b">
        <f>ISNUMBER(#REF!)</f>
        <v>0</v>
      </c>
      <c r="O13" s="970" t="b">
        <f t="shared" si="4"/>
        <v>1</v>
      </c>
      <c r="P13" s="970" t="b">
        <f>ISNUMBER(#REF!)</f>
        <v>0</v>
      </c>
      <c r="Q13" s="978" t="str">
        <f t="shared" si="5"/>
        <v/>
      </c>
    </row>
    <row r="14" spans="1:17" ht="24" customHeight="1">
      <c r="A14" s="997">
        <f t="shared" si="2"/>
        <v>44898.208333333336</v>
      </c>
      <c r="B14" s="373" t="s">
        <v>486</v>
      </c>
      <c r="C14" s="977">
        <f t="shared" si="3"/>
        <v>0</v>
      </c>
      <c r="E14" s="970" t="b">
        <f>ISNUMBER(#REF!)</f>
        <v>0</v>
      </c>
      <c r="F14" s="970" t="b">
        <f>ISNUMBER(#REF!)</f>
        <v>0</v>
      </c>
      <c r="G14" s="970" t="b">
        <f>ISNUMBER(#REF!)</f>
        <v>0</v>
      </c>
      <c r="H14" s="970" t="b">
        <f>ISNUMBER(#REF!)</f>
        <v>0</v>
      </c>
      <c r="I14" s="970" t="b">
        <f>ISNUMBER(#REF!)</f>
        <v>0</v>
      </c>
      <c r="J14" s="970" t="b">
        <f>ISNUMBER(#REF!)</f>
        <v>0</v>
      </c>
      <c r="K14" s="970" t="b">
        <f>ISNUMBER(#REF!)</f>
        <v>0</v>
      </c>
      <c r="L14" s="970" t="b">
        <f>ISNUMBER(#REF!)</f>
        <v>0</v>
      </c>
      <c r="M14" s="970" t="b">
        <f>ISNUMBER(#REF!)</f>
        <v>0</v>
      </c>
      <c r="N14" s="970" t="b">
        <f>ISNUMBER(#REF!)</f>
        <v>0</v>
      </c>
      <c r="O14" s="970" t="b">
        <f t="shared" si="4"/>
        <v>1</v>
      </c>
      <c r="P14" s="970" t="b">
        <f>ISNUMBER(#REF!)</f>
        <v>0</v>
      </c>
      <c r="Q14" s="978" t="str">
        <f t="shared" si="5"/>
        <v/>
      </c>
    </row>
    <row r="15" spans="1:17" ht="24" customHeight="1">
      <c r="A15" s="997">
        <f t="shared" si="2"/>
        <v>44898.208333333336</v>
      </c>
      <c r="B15" s="373" t="s">
        <v>1000</v>
      </c>
      <c r="C15" s="977">
        <f t="shared" si="3"/>
        <v>0</v>
      </c>
      <c r="E15" s="970" t="b">
        <f>ISNUMBER(#REF!)</f>
        <v>0</v>
      </c>
      <c r="F15" s="970" t="b">
        <f>ISNUMBER(#REF!)</f>
        <v>0</v>
      </c>
      <c r="G15" s="970" t="b">
        <f>ISNUMBER(#REF!)</f>
        <v>0</v>
      </c>
      <c r="H15" s="970" t="b">
        <f>ISNUMBER(#REF!)</f>
        <v>0</v>
      </c>
      <c r="I15" s="970" t="b">
        <f>ISNUMBER(#REF!)</f>
        <v>0</v>
      </c>
      <c r="J15" s="970" t="b">
        <f>ISNUMBER(#REF!)</f>
        <v>0</v>
      </c>
      <c r="K15" s="970" t="b">
        <f>ISNUMBER(#REF!)</f>
        <v>0</v>
      </c>
      <c r="L15" s="970" t="b">
        <f>ISNUMBER(#REF!)</f>
        <v>0</v>
      </c>
      <c r="M15" s="970" t="b">
        <f>ISNUMBER(#REF!)</f>
        <v>0</v>
      </c>
      <c r="N15" s="970" t="b">
        <f>ISNUMBER(#REF!)</f>
        <v>0</v>
      </c>
      <c r="O15" s="970" t="b">
        <f t="shared" si="4"/>
        <v>1</v>
      </c>
      <c r="P15" s="970" t="b">
        <f>ISNUMBER(#REF!)</f>
        <v>0</v>
      </c>
      <c r="Q15" s="978" t="str">
        <f t="shared" si="5"/>
        <v/>
      </c>
    </row>
    <row r="16" spans="1:17" ht="24" customHeight="1">
      <c r="A16" s="997">
        <f t="shared" si="2"/>
        <v>44898.208333333336</v>
      </c>
      <c r="B16" s="373" t="s">
        <v>1001</v>
      </c>
      <c r="C16" s="977">
        <f t="shared" si="3"/>
        <v>0</v>
      </c>
      <c r="E16" s="970" t="b">
        <f>ISNUMBER(#REF!)</f>
        <v>0</v>
      </c>
      <c r="F16" s="970" t="b">
        <f>ISNUMBER(#REF!)</f>
        <v>0</v>
      </c>
      <c r="G16" s="970" t="b">
        <f>ISNUMBER(#REF!)</f>
        <v>0</v>
      </c>
      <c r="H16" s="970" t="b">
        <f>ISNUMBER(#REF!)</f>
        <v>0</v>
      </c>
      <c r="I16" s="970" t="b">
        <f>ISNUMBER(#REF!)</f>
        <v>0</v>
      </c>
      <c r="J16" s="970" t="b">
        <f>ISNUMBER(#REF!)</f>
        <v>0</v>
      </c>
      <c r="K16" s="970" t="b">
        <f>ISNUMBER(#REF!)</f>
        <v>0</v>
      </c>
      <c r="L16" s="970" t="b">
        <f>ISNUMBER(#REF!)</f>
        <v>0</v>
      </c>
      <c r="M16" s="970" t="b">
        <f>ISNUMBER(#REF!)</f>
        <v>0</v>
      </c>
      <c r="N16" s="970" t="b">
        <f>ISNUMBER(#REF!)</f>
        <v>0</v>
      </c>
      <c r="O16" s="970" t="b">
        <f t="shared" si="4"/>
        <v>1</v>
      </c>
      <c r="P16" s="970" t="b">
        <f>ISNUMBER(#REF!)</f>
        <v>0</v>
      </c>
      <c r="Q16" s="978" t="str">
        <f t="shared" si="5"/>
        <v/>
      </c>
    </row>
    <row r="17" spans="1:17" ht="24" customHeight="1">
      <c r="A17" s="997">
        <f t="shared" si="2"/>
        <v>44898.208333333336</v>
      </c>
      <c r="B17" s="373" t="s">
        <v>1005</v>
      </c>
      <c r="C17" s="977">
        <f t="shared" si="3"/>
        <v>0</v>
      </c>
      <c r="E17" s="970" t="b">
        <f>ISNUMBER(#REF!)</f>
        <v>0</v>
      </c>
      <c r="F17" s="970" t="b">
        <f>ISNUMBER(#REF!)</f>
        <v>0</v>
      </c>
      <c r="G17" s="970" t="b">
        <f>ISNUMBER(#REF!)</f>
        <v>0</v>
      </c>
      <c r="H17" s="970" t="b">
        <f>ISNUMBER(#REF!)</f>
        <v>0</v>
      </c>
      <c r="I17" s="970" t="b">
        <f>ISNUMBER(#REF!)</f>
        <v>0</v>
      </c>
      <c r="J17" s="970" t="b">
        <f>ISNUMBER(#REF!)</f>
        <v>0</v>
      </c>
      <c r="K17" s="970" t="b">
        <f>ISNUMBER(#REF!)</f>
        <v>0</v>
      </c>
      <c r="L17" s="970" t="b">
        <f>ISNUMBER(#REF!)</f>
        <v>0</v>
      </c>
      <c r="M17" s="970" t="b">
        <f>ISNUMBER(#REF!)</f>
        <v>0</v>
      </c>
      <c r="N17" s="970" t="b">
        <f>ISNUMBER(#REF!)</f>
        <v>0</v>
      </c>
      <c r="O17" s="970" t="b">
        <f t="shared" si="4"/>
        <v>1</v>
      </c>
      <c r="P17" s="970" t="b">
        <f>ISNUMBER(#REF!)</f>
        <v>0</v>
      </c>
      <c r="Q17" s="978" t="str">
        <f t="shared" si="5"/>
        <v/>
      </c>
    </row>
    <row r="18" spans="1:17" ht="24" customHeight="1">
      <c r="A18" s="997">
        <f t="shared" si="2"/>
        <v>44898.208333333336</v>
      </c>
      <c r="B18" s="373" t="s">
        <v>1007</v>
      </c>
      <c r="C18" s="977">
        <f t="shared" si="3"/>
        <v>0</v>
      </c>
      <c r="E18" s="970" t="b">
        <f>ISNUMBER(#REF!)</f>
        <v>0</v>
      </c>
      <c r="F18" s="970" t="b">
        <f>ISNUMBER(#REF!)</f>
        <v>0</v>
      </c>
      <c r="G18" s="970" t="b">
        <f>ISNUMBER(#REF!)</f>
        <v>0</v>
      </c>
      <c r="H18" s="970" t="b">
        <f>ISNUMBER(#REF!)</f>
        <v>0</v>
      </c>
      <c r="I18" s="970" t="b">
        <f>ISNUMBER(#REF!)</f>
        <v>0</v>
      </c>
      <c r="J18" s="970" t="b">
        <f>ISNUMBER(#REF!)</f>
        <v>0</v>
      </c>
      <c r="K18" s="970" t="b">
        <f>ISNUMBER(#REF!)</f>
        <v>0</v>
      </c>
      <c r="L18" s="970" t="b">
        <f>ISNUMBER(#REF!)</f>
        <v>0</v>
      </c>
      <c r="M18" s="970" t="b">
        <f>ISNUMBER(#REF!)</f>
        <v>0</v>
      </c>
      <c r="N18" s="970" t="b">
        <f>ISNUMBER(#REF!)</f>
        <v>0</v>
      </c>
      <c r="O18" s="970" t="b">
        <f t="shared" si="4"/>
        <v>1</v>
      </c>
      <c r="P18" s="970" t="b">
        <f>ISNUMBER(#REF!)</f>
        <v>0</v>
      </c>
      <c r="Q18" s="978" t="str">
        <f t="shared" si="5"/>
        <v/>
      </c>
    </row>
    <row r="19" spans="1:17" ht="24" customHeight="1">
      <c r="A19" s="997">
        <f t="shared" si="2"/>
        <v>44898.208333333336</v>
      </c>
      <c r="B19" s="373" t="s">
        <v>1008</v>
      </c>
      <c r="C19" s="977">
        <f t="shared" si="3"/>
        <v>0</v>
      </c>
      <c r="E19" s="970" t="b">
        <f>ISNUMBER(#REF!)</f>
        <v>0</v>
      </c>
      <c r="F19" s="970" t="b">
        <f>ISNUMBER(#REF!)</f>
        <v>0</v>
      </c>
      <c r="G19" s="970" t="b">
        <f>ISNUMBER(#REF!)</f>
        <v>0</v>
      </c>
      <c r="H19" s="970" t="b">
        <f>ISNUMBER(#REF!)</f>
        <v>0</v>
      </c>
      <c r="I19" s="970" t="b">
        <f>ISNUMBER(#REF!)</f>
        <v>0</v>
      </c>
      <c r="J19" s="970" t="b">
        <f>ISNUMBER(#REF!)</f>
        <v>0</v>
      </c>
      <c r="K19" s="970" t="b">
        <f>ISNUMBER(#REF!)</f>
        <v>0</v>
      </c>
      <c r="L19" s="970" t="b">
        <f>ISNUMBER(#REF!)</f>
        <v>0</v>
      </c>
      <c r="M19" s="970" t="b">
        <f>ISNUMBER(#REF!)</f>
        <v>0</v>
      </c>
      <c r="N19" s="970" t="b">
        <f>ISNUMBER(#REF!)</f>
        <v>0</v>
      </c>
      <c r="O19" s="970" t="b">
        <f t="shared" si="4"/>
        <v>1</v>
      </c>
      <c r="P19" s="970" t="b">
        <f>ISNUMBER(#REF!)</f>
        <v>0</v>
      </c>
      <c r="Q19" s="978" t="str">
        <f t="shared" si="5"/>
        <v/>
      </c>
    </row>
    <row r="20" spans="1:17" ht="24" customHeight="1">
      <c r="A20" s="997">
        <f t="shared" si="2"/>
        <v>44898.208333333336</v>
      </c>
      <c r="B20" s="373" t="s">
        <v>1003</v>
      </c>
      <c r="C20" s="977">
        <f t="shared" si="3"/>
        <v>0</v>
      </c>
      <c r="E20" s="970" t="b">
        <f>ISNUMBER(#REF!)</f>
        <v>0</v>
      </c>
      <c r="F20" s="970" t="b">
        <f>ISNUMBER(#REF!)</f>
        <v>0</v>
      </c>
      <c r="G20" s="970" t="b">
        <f>ISNUMBER(#REF!)</f>
        <v>0</v>
      </c>
      <c r="H20" s="970" t="b">
        <f>ISNUMBER(#REF!)</f>
        <v>0</v>
      </c>
      <c r="I20" s="970" t="b">
        <f>ISNUMBER(#REF!)</f>
        <v>0</v>
      </c>
      <c r="J20" s="970" t="b">
        <f>ISNUMBER(#REF!)</f>
        <v>0</v>
      </c>
      <c r="K20" s="970" t="b">
        <f>ISNUMBER(#REF!)</f>
        <v>0</v>
      </c>
      <c r="L20" s="970" t="b">
        <f>ISNUMBER(#REF!)</f>
        <v>0</v>
      </c>
      <c r="M20" s="970" t="b">
        <f>ISNUMBER(#REF!)</f>
        <v>0</v>
      </c>
      <c r="N20" s="970" t="b">
        <f>ISNUMBER(#REF!)</f>
        <v>0</v>
      </c>
      <c r="O20" s="970" t="b">
        <f t="shared" si="4"/>
        <v>1</v>
      </c>
      <c r="P20" s="970" t="b">
        <f>ISNUMBER(#REF!)</f>
        <v>0</v>
      </c>
      <c r="Q20" s="978" t="str">
        <f t="shared" si="5"/>
        <v/>
      </c>
    </row>
    <row r="21" spans="1:17" ht="24" customHeight="1">
      <c r="A21" s="997">
        <f t="shared" si="2"/>
        <v>44898.208333333336</v>
      </c>
      <c r="B21" s="373" t="s">
        <v>1004</v>
      </c>
      <c r="C21" s="977">
        <f t="shared" si="3"/>
        <v>0</v>
      </c>
      <c r="E21" s="970" t="b">
        <f>ISNUMBER(#REF!)</f>
        <v>0</v>
      </c>
      <c r="F21" s="970" t="b">
        <f>ISNUMBER(#REF!)</f>
        <v>0</v>
      </c>
      <c r="G21" s="970" t="b">
        <f>ISNUMBER(#REF!)</f>
        <v>0</v>
      </c>
      <c r="H21" s="970" t="b">
        <f>ISNUMBER(#REF!)</f>
        <v>0</v>
      </c>
      <c r="I21" s="970" t="b">
        <f>ISNUMBER(#REF!)</f>
        <v>0</v>
      </c>
      <c r="J21" s="970" t="b">
        <f>ISNUMBER(#REF!)</f>
        <v>0</v>
      </c>
      <c r="K21" s="970" t="b">
        <f>ISNUMBER(#REF!)</f>
        <v>0</v>
      </c>
      <c r="L21" s="970" t="b">
        <f>ISNUMBER(#REF!)</f>
        <v>0</v>
      </c>
      <c r="M21" s="970" t="b">
        <f>ISNUMBER(#REF!)</f>
        <v>0</v>
      </c>
      <c r="N21" s="970" t="b">
        <f>ISNUMBER(#REF!)</f>
        <v>0</v>
      </c>
      <c r="O21" s="970" t="b">
        <f t="shared" si="4"/>
        <v>1</v>
      </c>
      <c r="P21" s="970" t="b">
        <f>ISNUMBER(#REF!)</f>
        <v>0</v>
      </c>
      <c r="Q21" s="978" t="str">
        <f t="shared" si="5"/>
        <v/>
      </c>
    </row>
    <row r="22" spans="1:17" ht="24" customHeight="1">
      <c r="A22" s="997">
        <f t="shared" si="2"/>
        <v>44898.208333333336</v>
      </c>
      <c r="B22" s="373" t="s">
        <v>932</v>
      </c>
      <c r="C22" s="977">
        <f t="shared" si="3"/>
        <v>0</v>
      </c>
      <c r="E22" s="970" t="b">
        <f>ISNUMBER(#REF!)</f>
        <v>0</v>
      </c>
      <c r="F22" s="970" t="b">
        <f>ISNUMBER(#REF!)</f>
        <v>0</v>
      </c>
      <c r="G22" s="970" t="b">
        <f>ISNUMBER(#REF!)</f>
        <v>0</v>
      </c>
      <c r="H22" s="970" t="b">
        <f>ISNUMBER(#REF!)</f>
        <v>0</v>
      </c>
      <c r="I22" s="970" t="b">
        <f>ISNUMBER(#REF!)</f>
        <v>0</v>
      </c>
      <c r="J22" s="970" t="b">
        <f>ISNUMBER(#REF!)</f>
        <v>0</v>
      </c>
      <c r="K22" s="970" t="b">
        <f>ISNUMBER(#REF!)</f>
        <v>0</v>
      </c>
      <c r="L22" s="970" t="b">
        <f>ISNUMBER(#REF!)</f>
        <v>0</v>
      </c>
      <c r="M22" s="970" t="b">
        <f>ISNUMBER(#REF!)</f>
        <v>0</v>
      </c>
      <c r="N22" s="970" t="b">
        <f>ISNUMBER(#REF!)</f>
        <v>0</v>
      </c>
      <c r="O22" s="970" t="b">
        <f t="shared" si="4"/>
        <v>1</v>
      </c>
      <c r="P22" s="970" t="b">
        <f>ISNUMBER(#REF!)</f>
        <v>0</v>
      </c>
      <c r="Q22" s="978" t="str">
        <f t="shared" si="5"/>
        <v/>
      </c>
    </row>
    <row r="23" spans="1:17" ht="24" customHeight="1">
      <c r="A23" s="997">
        <f t="shared" si="2"/>
        <v>44898.208333333336</v>
      </c>
      <c r="B23" s="373" t="s">
        <v>931</v>
      </c>
      <c r="C23" s="977">
        <f t="shared" si="3"/>
        <v>0</v>
      </c>
      <c r="E23" s="970" t="b">
        <f>ISNUMBER(#REF!)</f>
        <v>0</v>
      </c>
      <c r="F23" s="970" t="b">
        <f>ISNUMBER(#REF!)</f>
        <v>0</v>
      </c>
      <c r="G23" s="970" t="b">
        <f>ISNUMBER(#REF!)</f>
        <v>0</v>
      </c>
      <c r="H23" s="970" t="b">
        <f>ISNUMBER(#REF!)</f>
        <v>0</v>
      </c>
      <c r="I23" s="970" t="b">
        <f>ISNUMBER(#REF!)</f>
        <v>0</v>
      </c>
      <c r="J23" s="970" t="b">
        <f>ISNUMBER(#REF!)</f>
        <v>0</v>
      </c>
      <c r="K23" s="970" t="b">
        <f>ISNUMBER(#REF!)</f>
        <v>0</v>
      </c>
      <c r="L23" s="970" t="b">
        <f>ISNUMBER(#REF!)</f>
        <v>0</v>
      </c>
      <c r="M23" s="970" t="b">
        <f>ISNUMBER(#REF!)</f>
        <v>0</v>
      </c>
      <c r="N23" s="970" t="b">
        <f>ISNUMBER(#REF!)</f>
        <v>0</v>
      </c>
      <c r="O23" s="970" t="b">
        <f t="shared" si="4"/>
        <v>1</v>
      </c>
      <c r="P23" s="970" t="b">
        <f>ISNUMBER(#REF!)</f>
        <v>0</v>
      </c>
      <c r="Q23" s="978" t="str">
        <f t="shared" si="5"/>
        <v/>
      </c>
    </row>
    <row r="24" spans="1:17" ht="24" customHeight="1">
      <c r="A24" s="997">
        <f t="shared" si="2"/>
        <v>44898.208333333336</v>
      </c>
      <c r="B24" s="373" t="s">
        <v>933</v>
      </c>
      <c r="C24" s="977">
        <f t="shared" si="3"/>
        <v>0</v>
      </c>
      <c r="E24" s="970" t="b">
        <f>ISNUMBER(#REF!)</f>
        <v>0</v>
      </c>
      <c r="F24" s="970" t="b">
        <f>ISNUMBER(#REF!)</f>
        <v>0</v>
      </c>
      <c r="G24" s="970" t="b">
        <f>ISNUMBER(#REF!)</f>
        <v>0</v>
      </c>
      <c r="H24" s="970" t="b">
        <f>ISNUMBER(#REF!)</f>
        <v>0</v>
      </c>
      <c r="I24" s="970" t="b">
        <f>ISNUMBER(#REF!)</f>
        <v>0</v>
      </c>
      <c r="J24" s="970" t="b">
        <f>ISNUMBER(#REF!)</f>
        <v>0</v>
      </c>
      <c r="K24" s="970" t="b">
        <f>ISNUMBER(#REF!)</f>
        <v>0</v>
      </c>
      <c r="L24" s="970" t="b">
        <f>ISNUMBER(#REF!)</f>
        <v>0</v>
      </c>
      <c r="M24" s="970" t="b">
        <f>ISNUMBER(#REF!)</f>
        <v>0</v>
      </c>
      <c r="N24" s="970" t="b">
        <f>ISNUMBER(#REF!)</f>
        <v>0</v>
      </c>
      <c r="O24" s="970" t="b">
        <f t="shared" si="4"/>
        <v>1</v>
      </c>
      <c r="P24" s="970" t="b">
        <f>ISNUMBER(#REF!)</f>
        <v>0</v>
      </c>
      <c r="Q24" s="978" t="str">
        <f t="shared" si="5"/>
        <v/>
      </c>
    </row>
    <row r="25" spans="1:17" ht="24" customHeight="1">
      <c r="A25" s="997">
        <f t="shared" si="2"/>
        <v>44898.208333333336</v>
      </c>
      <c r="B25" s="373" t="s">
        <v>934</v>
      </c>
      <c r="C25" s="977">
        <f t="shared" si="3"/>
        <v>0</v>
      </c>
      <c r="E25" s="970" t="b">
        <f>ISNUMBER(#REF!)</f>
        <v>0</v>
      </c>
      <c r="F25" s="970" t="b">
        <f>ISNUMBER(#REF!)</f>
        <v>0</v>
      </c>
      <c r="G25" s="970" t="b">
        <f>ISNUMBER(#REF!)</f>
        <v>0</v>
      </c>
      <c r="H25" s="970" t="b">
        <f>ISNUMBER(#REF!)</f>
        <v>0</v>
      </c>
      <c r="I25" s="970" t="b">
        <f>ISNUMBER(#REF!)</f>
        <v>0</v>
      </c>
      <c r="J25" s="970" t="b">
        <f>ISNUMBER(#REF!)</f>
        <v>0</v>
      </c>
      <c r="K25" s="970" t="b">
        <f>ISNUMBER(#REF!)</f>
        <v>0</v>
      </c>
      <c r="L25" s="970" t="b">
        <f>ISNUMBER(#REF!)</f>
        <v>0</v>
      </c>
      <c r="M25" s="970" t="b">
        <f>ISNUMBER(#REF!)</f>
        <v>0</v>
      </c>
      <c r="N25" s="970" t="b">
        <f>ISNUMBER(#REF!)</f>
        <v>0</v>
      </c>
      <c r="O25" s="970" t="b">
        <f t="shared" si="4"/>
        <v>1</v>
      </c>
      <c r="P25" s="970" t="b">
        <f>ISNUMBER(#REF!)</f>
        <v>0</v>
      </c>
      <c r="Q25" s="978" t="str">
        <f t="shared" si="5"/>
        <v/>
      </c>
    </row>
    <row r="26" spans="1:17" ht="24" customHeight="1">
      <c r="A26" s="997">
        <f t="shared" si="2"/>
        <v>44898.208333333336</v>
      </c>
      <c r="B26" s="373" t="s">
        <v>935</v>
      </c>
      <c r="C26" s="977">
        <f t="shared" si="3"/>
        <v>0</v>
      </c>
      <c r="E26" s="970" t="b">
        <f>ISNUMBER(#REF!)</f>
        <v>0</v>
      </c>
      <c r="F26" s="970" t="b">
        <f>ISNUMBER(#REF!)</f>
        <v>0</v>
      </c>
      <c r="G26" s="970" t="b">
        <f>ISNUMBER(#REF!)</f>
        <v>0</v>
      </c>
      <c r="H26" s="970" t="b">
        <f>ISNUMBER(#REF!)</f>
        <v>0</v>
      </c>
      <c r="I26" s="970" t="b">
        <f>ISNUMBER(#REF!)</f>
        <v>0</v>
      </c>
      <c r="J26" s="970" t="b">
        <f>ISNUMBER(#REF!)</f>
        <v>0</v>
      </c>
      <c r="K26" s="970" t="b">
        <f>ISNUMBER(#REF!)</f>
        <v>0</v>
      </c>
      <c r="L26" s="970" t="b">
        <f>ISNUMBER(#REF!)</f>
        <v>0</v>
      </c>
      <c r="M26" s="970" t="b">
        <f>ISNUMBER(#REF!)</f>
        <v>0</v>
      </c>
      <c r="N26" s="970" t="b">
        <f>ISNUMBER(#REF!)</f>
        <v>0</v>
      </c>
      <c r="O26" s="970" t="b">
        <f t="shared" si="4"/>
        <v>1</v>
      </c>
      <c r="P26" s="970" t="b">
        <f>ISNUMBER(#REF!)</f>
        <v>0</v>
      </c>
      <c r="Q26" s="978" t="str">
        <f t="shared" si="5"/>
        <v/>
      </c>
    </row>
    <row r="27" spans="1:17" ht="24" customHeight="1">
      <c r="A27" s="997">
        <f t="shared" si="2"/>
        <v>44898.208333333336</v>
      </c>
      <c r="B27" s="373" t="s">
        <v>936</v>
      </c>
      <c r="C27" s="977">
        <f t="shared" si="3"/>
        <v>0</v>
      </c>
      <c r="E27" s="970" t="b">
        <f>ISNUMBER(#REF!)</f>
        <v>0</v>
      </c>
      <c r="F27" s="970" t="b">
        <f>ISNUMBER(#REF!)</f>
        <v>0</v>
      </c>
      <c r="G27" s="970" t="b">
        <f>ISNUMBER(#REF!)</f>
        <v>0</v>
      </c>
      <c r="H27" s="970" t="b">
        <f>ISNUMBER(#REF!)</f>
        <v>0</v>
      </c>
      <c r="I27" s="970" t="b">
        <f>ISNUMBER(#REF!)</f>
        <v>0</v>
      </c>
      <c r="J27" s="970" t="b">
        <f>ISNUMBER(#REF!)</f>
        <v>0</v>
      </c>
      <c r="K27" s="970" t="b">
        <f>ISNUMBER(#REF!)</f>
        <v>0</v>
      </c>
      <c r="L27" s="970" t="b">
        <f>ISNUMBER(#REF!)</f>
        <v>0</v>
      </c>
      <c r="M27" s="970" t="b">
        <f>ISNUMBER(#REF!)</f>
        <v>0</v>
      </c>
      <c r="N27" s="970" t="b">
        <f>ISNUMBER(#REF!)</f>
        <v>0</v>
      </c>
      <c r="O27" s="970" t="b">
        <f t="shared" ref="O27:O28" si="6">ISNUMBER(C27)</f>
        <v>1</v>
      </c>
      <c r="P27" s="970" t="b">
        <f>ISNUMBER(#REF!)</f>
        <v>0</v>
      </c>
      <c r="Q27" s="978" t="str">
        <f t="shared" ref="Q27:Q28" si="7">IF(O27=TRUE,"",1)</f>
        <v/>
      </c>
    </row>
    <row r="28" spans="1:17" ht="24" customHeight="1">
      <c r="A28" s="997">
        <f t="shared" si="2"/>
        <v>44898.208333333336</v>
      </c>
      <c r="B28" s="373" t="s">
        <v>937</v>
      </c>
      <c r="C28" s="977">
        <f t="shared" si="3"/>
        <v>0</v>
      </c>
      <c r="E28" s="970" t="b">
        <f>ISNUMBER(#REF!)</f>
        <v>0</v>
      </c>
      <c r="F28" s="970" t="b">
        <f>ISNUMBER(#REF!)</f>
        <v>0</v>
      </c>
      <c r="G28" s="970" t="b">
        <f>ISNUMBER(#REF!)</f>
        <v>0</v>
      </c>
      <c r="H28" s="970" t="b">
        <f>ISNUMBER(#REF!)</f>
        <v>0</v>
      </c>
      <c r="I28" s="970" t="b">
        <f>ISNUMBER(#REF!)</f>
        <v>0</v>
      </c>
      <c r="J28" s="970" t="b">
        <f>ISNUMBER(#REF!)</f>
        <v>0</v>
      </c>
      <c r="K28" s="970" t="b">
        <f>ISNUMBER(#REF!)</f>
        <v>0</v>
      </c>
      <c r="L28" s="970" t="b">
        <f>ISNUMBER(#REF!)</f>
        <v>0</v>
      </c>
      <c r="M28" s="970" t="b">
        <f>ISNUMBER(#REF!)</f>
        <v>0</v>
      </c>
      <c r="N28" s="970" t="b">
        <f>ISNUMBER(#REF!)</f>
        <v>0</v>
      </c>
      <c r="O28" s="970" t="b">
        <f t="shared" si="6"/>
        <v>1</v>
      </c>
      <c r="P28" s="970" t="b">
        <f>ISNUMBER(#REF!)</f>
        <v>0</v>
      </c>
      <c r="Q28" s="978" t="str">
        <f t="shared" si="7"/>
        <v/>
      </c>
    </row>
  </sheetData>
  <phoneticPr fontId="6" type="noConversion"/>
  <pageMargins left="0.7" right="0.7" top="0.75" bottom="0.75"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sheetPr codeName="Sheet2">
    <tabColor rgb="FF7030A0"/>
  </sheetPr>
  <dimension ref="A1:P68"/>
  <sheetViews>
    <sheetView topLeftCell="A22" zoomScale="85" zoomScaleNormal="85" workbookViewId="0">
      <selection activeCell="G35" sqref="G35"/>
    </sheetView>
  </sheetViews>
  <sheetFormatPr defaultRowHeight="15.75" customHeight="1"/>
  <cols>
    <col min="1" max="1" width="25.75" style="1" customWidth="1"/>
    <col min="2" max="2" width="8" style="1282" customWidth="1"/>
    <col min="3" max="7" width="8" style="126" customWidth="1"/>
    <col min="8" max="8" width="14.875" style="1" customWidth="1"/>
    <col min="9" max="9" width="9.5" style="1" customWidth="1"/>
    <col min="10" max="12" width="9" style="1268"/>
    <col min="13" max="13" width="5.75" style="1268" customWidth="1"/>
    <col min="14" max="16384" width="9" style="1268"/>
  </cols>
  <sheetData>
    <row r="1" spans="1:16" ht="15.75" customHeight="1">
      <c r="A1" s="1676" t="str">
        <f>MENU!AC9</f>
        <v>2022/12/03</v>
      </c>
    </row>
    <row r="2" spans="1:16" ht="33" customHeight="1">
      <c r="A2" s="1274" t="s">
        <v>237</v>
      </c>
      <c r="B2" s="1275" t="s">
        <v>247</v>
      </c>
      <c r="C2" s="1276" t="s">
        <v>242</v>
      </c>
      <c r="D2" s="1276" t="s">
        <v>243</v>
      </c>
      <c r="E2" s="1276" t="s">
        <v>244</v>
      </c>
      <c r="F2" s="1276" t="s">
        <v>245</v>
      </c>
      <c r="G2" s="1276" t="s">
        <v>246</v>
      </c>
      <c r="H2" s="1419" t="s">
        <v>1270</v>
      </c>
      <c r="I2" s="1419" t="s">
        <v>1272</v>
      </c>
      <c r="J2" s="1864" t="s">
        <v>1134</v>
      </c>
      <c r="K2" s="1864"/>
      <c r="L2" s="1864"/>
      <c r="N2" s="1863" t="s">
        <v>140</v>
      </c>
      <c r="O2" s="1863"/>
      <c r="P2" s="1863"/>
    </row>
    <row r="3" spans="1:16" ht="15.75" customHeight="1">
      <c r="A3" s="2" t="s">
        <v>1135</v>
      </c>
      <c r="B3" s="1277">
        <v>7.5</v>
      </c>
      <c r="C3" s="1277">
        <v>7.4</v>
      </c>
      <c r="D3" s="1277">
        <v>7.4</v>
      </c>
      <c r="E3" s="1277">
        <v>7.5</v>
      </c>
      <c r="F3" s="1277"/>
      <c r="G3" s="1277">
        <v>7.3</v>
      </c>
      <c r="I3" s="1418" t="s">
        <v>1273</v>
      </c>
      <c r="J3" s="1278"/>
      <c r="K3" s="1"/>
      <c r="N3" s="1863"/>
      <c r="O3" s="1863"/>
      <c r="P3" s="1863"/>
    </row>
    <row r="4" spans="1:16" ht="15.75" customHeight="1">
      <c r="A4" s="2" t="s">
        <v>1136</v>
      </c>
      <c r="B4" s="1277">
        <v>7.7</v>
      </c>
      <c r="C4" s="1277">
        <v>7.5</v>
      </c>
      <c r="D4" s="1277">
        <v>7.7</v>
      </c>
      <c r="E4" s="1277">
        <v>7.9</v>
      </c>
      <c r="F4" s="1277"/>
      <c r="G4" s="1277">
        <v>7.7</v>
      </c>
      <c r="I4" s="1418" t="s">
        <v>1273</v>
      </c>
      <c r="J4" s="1278" t="s">
        <v>1137</v>
      </c>
      <c r="L4" s="1" t="s">
        <v>1138</v>
      </c>
    </row>
    <row r="5" spans="1:16" ht="15.75" customHeight="1">
      <c r="A5" s="2" t="s">
        <v>1139</v>
      </c>
      <c r="B5" s="1277">
        <v>16.399999999999999</v>
      </c>
      <c r="C5" s="1277">
        <v>16.3</v>
      </c>
      <c r="D5" s="1277">
        <v>16.7</v>
      </c>
      <c r="E5" s="1277">
        <v>18.2</v>
      </c>
      <c r="F5" s="1277"/>
      <c r="G5" s="1277">
        <v>18</v>
      </c>
      <c r="I5" s="1418" t="s">
        <v>1273</v>
      </c>
      <c r="J5" s="1279">
        <v>4.8000000000000001E-2</v>
      </c>
      <c r="L5" s="1280">
        <v>0.32</v>
      </c>
    </row>
    <row r="6" spans="1:16" ht="15.75" customHeight="1">
      <c r="A6" s="2" t="s">
        <v>1140</v>
      </c>
      <c r="B6" s="1277">
        <v>18.2</v>
      </c>
      <c r="C6" s="1277">
        <v>17.8</v>
      </c>
      <c r="D6" s="1277">
        <v>17.899999999999999</v>
      </c>
      <c r="E6" s="1277">
        <v>17.600000000000001</v>
      </c>
      <c r="F6" s="1277"/>
      <c r="G6" s="1277">
        <v>17.5</v>
      </c>
      <c r="I6" s="1418" t="s">
        <v>1273</v>
      </c>
      <c r="L6" s="1"/>
    </row>
    <row r="7" spans="1:16" ht="15.75" customHeight="1">
      <c r="A7" s="2" t="s">
        <v>1141</v>
      </c>
      <c r="B7" s="1277">
        <v>17.5</v>
      </c>
      <c r="C7" s="1277">
        <v>17.399999999999999</v>
      </c>
      <c r="D7" s="1277">
        <v>17.600000000000001</v>
      </c>
      <c r="E7" s="1277">
        <v>17.600000000000001</v>
      </c>
      <c r="F7" s="1277"/>
      <c r="G7" s="1277">
        <v>17.3</v>
      </c>
      <c r="I7" s="1418" t="s">
        <v>1273</v>
      </c>
      <c r="J7" s="1278" t="s">
        <v>1142</v>
      </c>
      <c r="L7" s="1" t="s">
        <v>1138</v>
      </c>
    </row>
    <row r="8" spans="1:16" ht="15.75" customHeight="1">
      <c r="A8" s="2" t="s">
        <v>1143</v>
      </c>
      <c r="B8" s="1277">
        <v>7.7</v>
      </c>
      <c r="C8" s="1277">
        <v>7.7</v>
      </c>
      <c r="D8" s="1277">
        <v>7.5</v>
      </c>
      <c r="E8" s="1277">
        <v>7.6</v>
      </c>
      <c r="F8" s="1277"/>
      <c r="G8" s="1277">
        <v>7.5</v>
      </c>
      <c r="H8" s="1268"/>
      <c r="I8" s="1418" t="s">
        <v>1273</v>
      </c>
      <c r="J8" s="1279">
        <v>9.6000000000000002E-2</v>
      </c>
      <c r="L8" s="1280">
        <v>0.32</v>
      </c>
    </row>
    <row r="9" spans="1:16" ht="15.75" customHeight="1">
      <c r="A9" s="1414" t="s">
        <v>1144</v>
      </c>
      <c r="B9" s="1415">
        <v>9.5</v>
      </c>
      <c r="C9" s="1415">
        <v>10</v>
      </c>
      <c r="D9" s="1415">
        <v>10.6</v>
      </c>
      <c r="E9" s="1415">
        <v>8.1</v>
      </c>
      <c r="F9" s="1415"/>
      <c r="G9" s="1415">
        <v>9.3000000000000007</v>
      </c>
      <c r="I9" s="1418" t="s">
        <v>1273</v>
      </c>
      <c r="L9" s="1"/>
    </row>
    <row r="10" spans="1:16" ht="15.75" customHeight="1">
      <c r="A10" s="2" t="s">
        <v>1145</v>
      </c>
      <c r="B10" s="1277">
        <v>4.3</v>
      </c>
      <c r="C10" s="1277">
        <v>4</v>
      </c>
      <c r="D10" s="1277">
        <v>4.0999999999999996</v>
      </c>
      <c r="E10" s="1277">
        <v>4</v>
      </c>
      <c r="F10" s="1277"/>
      <c r="G10" s="1277">
        <v>3.9</v>
      </c>
      <c r="I10" s="1418"/>
      <c r="J10" s="1278" t="s">
        <v>1146</v>
      </c>
      <c r="L10" s="1" t="s">
        <v>1147</v>
      </c>
    </row>
    <row r="11" spans="1:16" ht="15.75" customHeight="1">
      <c r="A11" s="2" t="s">
        <v>1148</v>
      </c>
      <c r="B11" s="1277">
        <v>2.2999999999999998</v>
      </c>
      <c r="C11" s="1277">
        <v>2.5</v>
      </c>
      <c r="D11" s="1277">
        <v>2.6</v>
      </c>
      <c r="E11" s="1277">
        <v>2.2000000000000002</v>
      </c>
      <c r="F11" s="1277"/>
      <c r="G11" s="1277">
        <v>2.1</v>
      </c>
      <c r="I11" s="1418"/>
      <c r="J11" s="1279">
        <v>0.192</v>
      </c>
      <c r="L11" s="1280">
        <v>0.32</v>
      </c>
    </row>
    <row r="12" spans="1:16" ht="15.75" customHeight="1">
      <c r="A12" s="2" t="s">
        <v>1149</v>
      </c>
      <c r="B12" s="1277">
        <v>5</v>
      </c>
      <c r="C12" s="1277">
        <v>4.5999999999999996</v>
      </c>
      <c r="D12" s="1277">
        <v>4.0999999999999996</v>
      </c>
      <c r="E12" s="1277">
        <v>4.5</v>
      </c>
      <c r="F12" s="1277"/>
      <c r="G12" s="1277">
        <v>4.2</v>
      </c>
      <c r="H12" s="1268"/>
      <c r="I12" s="1418"/>
    </row>
    <row r="13" spans="1:16" ht="15.75" customHeight="1">
      <c r="A13" s="1238" t="s">
        <v>1150</v>
      </c>
      <c r="B13" s="1277">
        <v>0.9</v>
      </c>
      <c r="C13" s="1277">
        <v>0.8</v>
      </c>
      <c r="D13" s="1277">
        <v>0.9</v>
      </c>
      <c r="E13" s="1277">
        <v>1</v>
      </c>
      <c r="F13" s="1277"/>
      <c r="G13" s="1277">
        <v>0.98</v>
      </c>
      <c r="H13" s="1268"/>
      <c r="I13" s="1418"/>
    </row>
    <row r="14" spans="1:16" ht="19.5" customHeight="1">
      <c r="A14" s="1289" t="s">
        <v>1151</v>
      </c>
      <c r="B14" s="1281">
        <v>9.6</v>
      </c>
      <c r="C14" s="1281"/>
      <c r="D14" s="1281"/>
      <c r="E14" s="1281">
        <v>10</v>
      </c>
      <c r="F14" s="1281"/>
      <c r="G14" s="1281"/>
      <c r="H14" s="1416"/>
      <c r="I14" s="1418" t="s">
        <v>1273</v>
      </c>
    </row>
    <row r="15" spans="1:16" ht="19.5" customHeight="1">
      <c r="A15" s="1289" t="s">
        <v>1152</v>
      </c>
      <c r="B15" s="1281">
        <v>2.25</v>
      </c>
      <c r="C15" s="1281"/>
      <c r="D15" s="1281"/>
      <c r="E15" s="1281">
        <v>2.2999999999999998</v>
      </c>
      <c r="F15" s="1281"/>
      <c r="G15" s="1281"/>
      <c r="H15" s="1416" t="str">
        <f>'XM.FILE GOC'!E19</f>
        <v>1.6~2.0(1.8±0.1)</v>
      </c>
      <c r="I15" s="1418" t="s">
        <v>1273</v>
      </c>
    </row>
    <row r="16" spans="1:16" ht="21" customHeight="1">
      <c r="A16" s="1414" t="s">
        <v>1262</v>
      </c>
      <c r="B16" s="1415">
        <v>1.76</v>
      </c>
      <c r="C16" s="1415">
        <v>1.75</v>
      </c>
      <c r="D16" s="1415">
        <v>1.89</v>
      </c>
      <c r="E16" s="1415">
        <v>1.78</v>
      </c>
      <c r="F16" s="1415"/>
      <c r="G16" s="1415">
        <v>1.8</v>
      </c>
      <c r="H16" s="1416" t="str">
        <f>'XM.FILE GOC'!E13</f>
        <v>1.6~2.2(1.8±0.1 )</v>
      </c>
      <c r="I16" s="1418" t="s">
        <v>1273</v>
      </c>
    </row>
    <row r="18" spans="1:12" ht="22.5" customHeight="1">
      <c r="A18" s="1274" t="s">
        <v>238</v>
      </c>
      <c r="B18" s="1275" t="s">
        <v>247</v>
      </c>
      <c r="C18" s="1276" t="s">
        <v>242</v>
      </c>
      <c r="D18" s="1276" t="s">
        <v>243</v>
      </c>
      <c r="E18" s="1276" t="s">
        <v>244</v>
      </c>
      <c r="F18" s="1276" t="s">
        <v>245</v>
      </c>
      <c r="G18" s="1276" t="s">
        <v>246</v>
      </c>
      <c r="H18" s="1419" t="s">
        <v>1276</v>
      </c>
      <c r="I18" s="1419" t="s">
        <v>1277</v>
      </c>
    </row>
    <row r="19" spans="1:12" ht="15.75" customHeight="1">
      <c r="A19" s="2" t="s">
        <v>1135</v>
      </c>
      <c r="B19" s="1277">
        <v>11.1</v>
      </c>
      <c r="C19" s="1277">
        <v>10.9</v>
      </c>
      <c r="D19" s="1277">
        <v>11.3</v>
      </c>
      <c r="E19" s="1277">
        <v>11.1</v>
      </c>
      <c r="F19" s="1277"/>
      <c r="G19" s="1277">
        <v>11</v>
      </c>
      <c r="H19" s="1417"/>
      <c r="I19" s="1417" t="s">
        <v>1274</v>
      </c>
    </row>
    <row r="20" spans="1:12" ht="15.75" customHeight="1">
      <c r="A20" s="2" t="s">
        <v>1153</v>
      </c>
      <c r="B20" s="1277">
        <v>12.2</v>
      </c>
      <c r="C20" s="1277">
        <v>12.2</v>
      </c>
      <c r="D20" s="1277">
        <v>12.3</v>
      </c>
      <c r="E20" s="1277">
        <v>12.5</v>
      </c>
      <c r="F20" s="1277"/>
      <c r="G20" s="1277">
        <v>12.4</v>
      </c>
      <c r="H20" s="1417"/>
      <c r="I20" s="1417" t="s">
        <v>1274</v>
      </c>
      <c r="J20" s="1864" t="s">
        <v>169</v>
      </c>
      <c r="K20" s="1864"/>
      <c r="L20" s="1864"/>
    </row>
    <row r="21" spans="1:12" ht="15.75" customHeight="1">
      <c r="A21" s="2" t="s">
        <v>1139</v>
      </c>
      <c r="B21" s="1277">
        <v>11.2</v>
      </c>
      <c r="C21" s="1277">
        <v>11.6</v>
      </c>
      <c r="D21" s="1277">
        <v>12.1</v>
      </c>
      <c r="E21" s="1277">
        <v>13.5</v>
      </c>
      <c r="F21" s="1277"/>
      <c r="G21" s="1277">
        <v>13.2</v>
      </c>
      <c r="H21" s="1417"/>
      <c r="I21" s="1417" t="s">
        <v>1274</v>
      </c>
      <c r="J21" s="1864"/>
      <c r="K21" s="1864"/>
      <c r="L21" s="1864"/>
    </row>
    <row r="22" spans="1:12" ht="15.75" customHeight="1">
      <c r="A22" s="2" t="s">
        <v>1140</v>
      </c>
      <c r="B22" s="1277">
        <v>16.399999999999999</v>
      </c>
      <c r="C22" s="1277">
        <v>9.1999999999999993</v>
      </c>
      <c r="D22" s="1277">
        <v>11.7</v>
      </c>
      <c r="E22" s="1277">
        <v>12.6</v>
      </c>
      <c r="F22" s="1277"/>
      <c r="G22" s="1277">
        <v>12.5</v>
      </c>
      <c r="H22" s="1417"/>
      <c r="I22" s="1417" t="s">
        <v>1274</v>
      </c>
    </row>
    <row r="23" spans="1:12" ht="15.75" customHeight="1">
      <c r="A23" s="2" t="s">
        <v>1154</v>
      </c>
      <c r="B23" s="1277">
        <v>17.5</v>
      </c>
      <c r="C23" s="1277">
        <v>17.5</v>
      </c>
      <c r="D23" s="1277">
        <v>17.5</v>
      </c>
      <c r="E23" s="1277">
        <v>17.5</v>
      </c>
      <c r="F23" s="1277"/>
      <c r="G23" s="1277">
        <v>17.5</v>
      </c>
      <c r="H23" s="1417"/>
      <c r="I23" s="1417" t="s">
        <v>1274</v>
      </c>
      <c r="J23" s="1283" t="s">
        <v>168</v>
      </c>
      <c r="K23" s="1283"/>
    </row>
    <row r="24" spans="1:12" ht="15.75" customHeight="1">
      <c r="A24" s="2" t="s">
        <v>1155</v>
      </c>
      <c r="B24" s="1277">
        <v>6.3</v>
      </c>
      <c r="C24" s="1277">
        <v>6.3</v>
      </c>
      <c r="D24" s="1277">
        <v>6.25</v>
      </c>
      <c r="E24" s="1277">
        <v>6.5</v>
      </c>
      <c r="F24" s="1277"/>
      <c r="G24" s="1277">
        <v>6.5</v>
      </c>
      <c r="H24" s="1417"/>
      <c r="I24" s="1417" t="s">
        <v>1274</v>
      </c>
    </row>
    <row r="25" spans="1:12" ht="15.75" customHeight="1">
      <c r="A25" s="1414" t="s">
        <v>1156</v>
      </c>
      <c r="B25" s="1415">
        <v>16.2</v>
      </c>
      <c r="C25" s="1415">
        <v>16</v>
      </c>
      <c r="D25" s="1415">
        <v>14.9</v>
      </c>
      <c r="E25" s="1415">
        <v>12.2</v>
      </c>
      <c r="F25" s="1415"/>
      <c r="G25" s="1415">
        <v>13.2</v>
      </c>
      <c r="H25" s="1417"/>
      <c r="I25" s="1417" t="s">
        <v>1274</v>
      </c>
      <c r="J25" s="1268" t="s">
        <v>170</v>
      </c>
    </row>
    <row r="26" spans="1:12" ht="15.75" customHeight="1">
      <c r="A26" s="2" t="s">
        <v>1145</v>
      </c>
      <c r="B26" s="1277">
        <v>4.2</v>
      </c>
      <c r="C26" s="1277">
        <v>4.4000000000000004</v>
      </c>
      <c r="D26" s="1277">
        <v>4.4000000000000004</v>
      </c>
      <c r="E26" s="1277">
        <v>4.0999999999999996</v>
      </c>
      <c r="F26" s="1277"/>
      <c r="G26" s="1277">
        <v>4</v>
      </c>
      <c r="H26" s="1416"/>
      <c r="I26" s="1417"/>
      <c r="J26" s="1268">
        <f>5*1.162</f>
        <v>5.81</v>
      </c>
      <c r="K26" s="1284" t="s">
        <v>171</v>
      </c>
    </row>
    <row r="27" spans="1:12" ht="15.75" customHeight="1">
      <c r="A27" s="2" t="s">
        <v>1148</v>
      </c>
      <c r="B27" s="1277">
        <v>2.2000000000000002</v>
      </c>
      <c r="C27" s="1277">
        <v>2.2000000000000002</v>
      </c>
      <c r="D27" s="1277">
        <v>2.2000000000000002</v>
      </c>
      <c r="E27" s="1277">
        <v>2.2999999999999998</v>
      </c>
      <c r="F27" s="1277"/>
      <c r="G27" s="1277">
        <v>2.2000000000000002</v>
      </c>
      <c r="H27" s="1416"/>
      <c r="I27" s="1417"/>
      <c r="J27" s="1268">
        <f>J26*1000</f>
        <v>5810</v>
      </c>
      <c r="K27" s="1284" t="s">
        <v>172</v>
      </c>
    </row>
    <row r="28" spans="1:12" ht="15.75" customHeight="1">
      <c r="A28" s="2" t="s">
        <v>1149</v>
      </c>
      <c r="B28" s="1277">
        <v>4.7</v>
      </c>
      <c r="C28" s="1277">
        <v>6.1</v>
      </c>
      <c r="D28" s="1277">
        <v>5.6</v>
      </c>
      <c r="E28" s="1277">
        <v>5.3</v>
      </c>
      <c r="F28" s="1277"/>
      <c r="G28" s="1277">
        <v>5</v>
      </c>
      <c r="H28" s="1416"/>
      <c r="I28" s="1417"/>
    </row>
    <row r="29" spans="1:12" ht="15.75" customHeight="1">
      <c r="A29" s="1238" t="s">
        <v>1150</v>
      </c>
      <c r="B29" s="1277">
        <v>0.9</v>
      </c>
      <c r="C29" s="1277">
        <v>1</v>
      </c>
      <c r="D29" s="1277">
        <v>0.9</v>
      </c>
      <c r="E29" s="1277">
        <v>0.9</v>
      </c>
      <c r="F29" s="1277"/>
      <c r="G29" s="1277">
        <v>0.96</v>
      </c>
      <c r="H29" s="1416"/>
      <c r="I29" s="1417"/>
    </row>
    <row r="30" spans="1:12" ht="16.5" customHeight="1">
      <c r="A30" s="1289" t="s">
        <v>1151</v>
      </c>
      <c r="B30" s="1281">
        <v>6</v>
      </c>
      <c r="C30" s="1281"/>
      <c r="D30" s="1281"/>
      <c r="E30" s="1281">
        <v>6.1</v>
      </c>
      <c r="F30" s="1281"/>
      <c r="G30" s="1281"/>
      <c r="H30" s="1416"/>
      <c r="I30" s="1417" t="s">
        <v>1274</v>
      </c>
    </row>
    <row r="31" spans="1:12" ht="16.5" customHeight="1">
      <c r="A31" s="1289" t="s">
        <v>1278</v>
      </c>
      <c r="B31" s="1281">
        <v>1.84</v>
      </c>
      <c r="C31" s="1281"/>
      <c r="D31" s="1281"/>
      <c r="E31" s="1281">
        <v>1.8</v>
      </c>
      <c r="F31" s="1281"/>
      <c r="G31" s="1281"/>
      <c r="H31" s="1416" t="str">
        <f>'XM.FILE GOC'!E50</f>
        <v>1.8~2.4
(2.1±0.1 )</v>
      </c>
      <c r="I31" s="1417" t="s">
        <v>1274</v>
      </c>
    </row>
    <row r="32" spans="1:12" ht="20.25" customHeight="1">
      <c r="A32" s="1414" t="s">
        <v>1269</v>
      </c>
      <c r="B32" s="1415">
        <v>2.35</v>
      </c>
      <c r="C32" s="1415">
        <v>2.3199999999999998</v>
      </c>
      <c r="D32" s="1415">
        <v>2.4300000000000002</v>
      </c>
      <c r="E32" s="1415">
        <v>2.4</v>
      </c>
      <c r="F32" s="1415"/>
      <c r="G32" s="1415">
        <v>2.35</v>
      </c>
      <c r="H32" s="1416" t="str">
        <f>'XM.FILE GOC'!E44</f>
        <v>2~2.5(2.3±0.1 )</v>
      </c>
      <c r="I32" s="1417" t="s">
        <v>1274</v>
      </c>
    </row>
    <row r="34" spans="1:9" ht="21.75" customHeight="1">
      <c r="A34" s="1285" t="s">
        <v>215</v>
      </c>
      <c r="B34" s="1275" t="s">
        <v>247</v>
      </c>
      <c r="C34" s="1276" t="s">
        <v>242</v>
      </c>
      <c r="D34" s="1276" t="s">
        <v>243</v>
      </c>
      <c r="E34" s="1276" t="s">
        <v>244</v>
      </c>
      <c r="F34" s="1276" t="s">
        <v>245</v>
      </c>
      <c r="G34" s="1276" t="s">
        <v>246</v>
      </c>
      <c r="H34" s="1419" t="s">
        <v>1276</v>
      </c>
      <c r="I34" s="1419" t="s">
        <v>1277</v>
      </c>
    </row>
    <row r="35" spans="1:9" ht="15.75" customHeight="1">
      <c r="A35" s="2" t="s">
        <v>1135</v>
      </c>
      <c r="B35" s="1277"/>
      <c r="C35" s="1277"/>
      <c r="D35" s="1277"/>
      <c r="E35" s="1277"/>
      <c r="F35" s="1277"/>
      <c r="G35" s="1277"/>
      <c r="I35" s="1417" t="s">
        <v>1274</v>
      </c>
    </row>
    <row r="36" spans="1:9" ht="15.75" customHeight="1">
      <c r="A36" s="2" t="s">
        <v>1153</v>
      </c>
      <c r="B36" s="1277"/>
      <c r="C36" s="1277"/>
      <c r="D36" s="1277"/>
      <c r="E36" s="1277"/>
      <c r="F36" s="1277"/>
      <c r="G36" s="1277"/>
      <c r="I36" s="1417" t="s">
        <v>1274</v>
      </c>
    </row>
    <row r="37" spans="1:9" ht="15.75" customHeight="1">
      <c r="A37" s="2" t="s">
        <v>1139</v>
      </c>
      <c r="B37" s="1277"/>
      <c r="C37" s="1277"/>
      <c r="D37" s="1277"/>
      <c r="E37" s="1277"/>
      <c r="F37" s="1277"/>
      <c r="G37" s="1277"/>
      <c r="I37" s="1417" t="s">
        <v>1274</v>
      </c>
    </row>
    <row r="38" spans="1:9" ht="15.75" customHeight="1">
      <c r="A38" s="2" t="s">
        <v>1140</v>
      </c>
      <c r="B38" s="1277"/>
      <c r="C38" s="1277"/>
      <c r="D38" s="1277"/>
      <c r="E38" s="1277"/>
      <c r="F38" s="1277"/>
      <c r="G38" s="1277"/>
      <c r="I38" s="1417" t="s">
        <v>1274</v>
      </c>
    </row>
    <row r="39" spans="1:9" ht="15.75" customHeight="1">
      <c r="A39" s="2" t="s">
        <v>0</v>
      </c>
      <c r="B39" s="1277"/>
      <c r="C39" s="1277"/>
      <c r="D39" s="1277"/>
      <c r="E39" s="1277"/>
      <c r="F39" s="1277"/>
      <c r="G39" s="1277"/>
      <c r="I39" s="1417" t="s">
        <v>1274</v>
      </c>
    </row>
    <row r="40" spans="1:9" ht="15.75" customHeight="1">
      <c r="A40" s="2" t="s">
        <v>1157</v>
      </c>
      <c r="B40" s="1277"/>
      <c r="C40" s="1277"/>
      <c r="D40" s="1277"/>
      <c r="E40" s="1277"/>
      <c r="F40" s="1277"/>
      <c r="G40" s="1277"/>
      <c r="I40" s="1417" t="s">
        <v>1274</v>
      </c>
    </row>
    <row r="41" spans="1:9" ht="15.75" customHeight="1">
      <c r="A41" s="1414" t="s">
        <v>1265</v>
      </c>
      <c r="B41" s="1415"/>
      <c r="C41" s="1415"/>
      <c r="D41" s="1415"/>
      <c r="E41" s="1415"/>
      <c r="F41" s="1415"/>
      <c r="G41" s="1415"/>
      <c r="I41" s="1417" t="s">
        <v>1274</v>
      </c>
    </row>
    <row r="42" spans="1:9" ht="15.75" customHeight="1">
      <c r="A42" s="2" t="s">
        <v>18</v>
      </c>
      <c r="B42" s="1277"/>
      <c r="C42" s="1277"/>
      <c r="D42" s="1277"/>
      <c r="E42" s="1277"/>
      <c r="F42" s="1277"/>
      <c r="G42" s="1277"/>
      <c r="I42" s="1417"/>
    </row>
    <row r="43" spans="1:9" ht="15.75" customHeight="1">
      <c r="A43" s="2" t="s">
        <v>19</v>
      </c>
      <c r="B43" s="1277"/>
      <c r="C43" s="1277"/>
      <c r="D43" s="1277"/>
      <c r="E43" s="1277"/>
      <c r="F43" s="1277"/>
      <c r="G43" s="1277"/>
      <c r="I43" s="1417"/>
    </row>
    <row r="44" spans="1:9" ht="15.75" customHeight="1">
      <c r="A44" s="2" t="s">
        <v>1158</v>
      </c>
      <c r="B44" s="1277"/>
      <c r="C44" s="1277"/>
      <c r="D44" s="1277"/>
      <c r="E44" s="1277"/>
      <c r="F44" s="1277"/>
      <c r="G44" s="1277"/>
      <c r="I44" s="1417"/>
    </row>
    <row r="45" spans="1:9" ht="15.75" customHeight="1">
      <c r="A45" s="1239" t="s">
        <v>1159</v>
      </c>
      <c r="B45" s="1277"/>
      <c r="C45" s="1277"/>
      <c r="D45" s="1277"/>
      <c r="E45" s="1277"/>
      <c r="F45" s="1277"/>
      <c r="G45" s="1277"/>
      <c r="I45" s="1417"/>
    </row>
    <row r="46" spans="1:9" ht="18" customHeight="1">
      <c r="A46" s="1289" t="s">
        <v>1151</v>
      </c>
      <c r="B46" s="1413"/>
      <c r="C46" s="1413"/>
      <c r="D46" s="1413"/>
      <c r="E46" s="1413"/>
      <c r="F46" s="1413"/>
      <c r="G46" s="1413"/>
      <c r="I46" s="1417" t="s">
        <v>1274</v>
      </c>
    </row>
    <row r="47" spans="1:9" ht="18" customHeight="1">
      <c r="A47" s="1289" t="s">
        <v>1152</v>
      </c>
      <c r="B47" s="1413"/>
      <c r="C47" s="1413"/>
      <c r="D47" s="1413"/>
      <c r="E47" s="1413"/>
      <c r="F47" s="1413"/>
      <c r="G47" s="1413"/>
      <c r="H47" s="1" t="str">
        <f>'XM.FILE GOC'!E81</f>
        <v>1.8~2.4(2.0±0.1)</v>
      </c>
      <c r="I47" s="1417" t="s">
        <v>1274</v>
      </c>
    </row>
    <row r="48" spans="1:9" ht="18" customHeight="1">
      <c r="A48" s="1414" t="s">
        <v>1266</v>
      </c>
      <c r="B48" s="1415"/>
      <c r="C48" s="1415"/>
      <c r="D48" s="1415"/>
      <c r="E48" s="1415"/>
      <c r="F48" s="1415"/>
      <c r="G48" s="1415"/>
      <c r="H48" s="1" t="str">
        <f>'XM.FILE GOC'!E75</f>
        <v>2.0~2.4(2.2±0.2 )</v>
      </c>
      <c r="I48" s="1417" t="s">
        <v>1274</v>
      </c>
    </row>
    <row r="49" spans="1:9" ht="18" customHeight="1">
      <c r="A49" s="1411" t="s">
        <v>1264</v>
      </c>
      <c r="B49" s="1412"/>
      <c r="C49" s="1412"/>
      <c r="D49" s="1412"/>
      <c r="E49" s="1412"/>
      <c r="F49" s="1412"/>
      <c r="G49" s="1412"/>
      <c r="I49" s="1418" t="s">
        <v>1273</v>
      </c>
    </row>
    <row r="50" spans="1:9" ht="18" customHeight="1">
      <c r="A50" s="1411" t="s">
        <v>1263</v>
      </c>
      <c r="B50" s="1412"/>
      <c r="C50" s="1412"/>
      <c r="D50" s="1412"/>
      <c r="E50" s="1412"/>
      <c r="F50" s="1412"/>
      <c r="G50" s="1412"/>
      <c r="H50" s="1" t="str">
        <f>'XM.FILE GOC'!E83</f>
        <v>1.8~2.4(2.0 ±0.2 )</v>
      </c>
      <c r="I50" s="1418" t="s">
        <v>1273</v>
      </c>
    </row>
    <row r="52" spans="1:9" ht="16.5" customHeight="1">
      <c r="A52" s="1286" t="s">
        <v>1160</v>
      </c>
      <c r="B52" s="1276" t="s">
        <v>247</v>
      </c>
      <c r="D52" s="1276" t="s">
        <v>243</v>
      </c>
      <c r="E52" s="1276" t="s">
        <v>244</v>
      </c>
      <c r="G52" s="1276" t="s">
        <v>246</v>
      </c>
      <c r="H52" s="1419" t="s">
        <v>1276</v>
      </c>
      <c r="I52" s="1419" t="s">
        <v>1277</v>
      </c>
    </row>
    <row r="53" spans="1:9" ht="15.75" customHeight="1">
      <c r="A53" s="245" t="s">
        <v>129</v>
      </c>
      <c r="B53" s="1287"/>
      <c r="D53" s="1287"/>
      <c r="E53" s="1287"/>
      <c r="G53" s="1287"/>
      <c r="I53" s="1417" t="s">
        <v>1274</v>
      </c>
    </row>
    <row r="54" spans="1:9" ht="10.5" hidden="1" customHeight="1">
      <c r="A54" s="245" t="s">
        <v>130</v>
      </c>
      <c r="B54" s="1287"/>
      <c r="D54" s="1287"/>
      <c r="E54" s="1287"/>
      <c r="G54" s="1287"/>
      <c r="I54" s="1417" t="s">
        <v>1274</v>
      </c>
    </row>
    <row r="55" spans="1:9" ht="15.75" customHeight="1">
      <c r="A55" s="245" t="s">
        <v>131</v>
      </c>
      <c r="B55" s="1287"/>
      <c r="D55" s="1287"/>
      <c r="E55" s="1287"/>
      <c r="G55" s="1287"/>
      <c r="I55" s="1417" t="s">
        <v>1274</v>
      </c>
    </row>
    <row r="56" spans="1:9" ht="15.75" hidden="1" customHeight="1">
      <c r="A56" s="245" t="s">
        <v>138</v>
      </c>
      <c r="B56" s="1287"/>
      <c r="D56" s="1287"/>
      <c r="E56" s="1287"/>
      <c r="G56" s="1287"/>
    </row>
    <row r="57" spans="1:9" ht="15.75" customHeight="1">
      <c r="A57" s="1288" t="s">
        <v>1123</v>
      </c>
      <c r="B57" s="1287"/>
      <c r="D57" s="1287"/>
      <c r="E57" s="1287"/>
      <c r="G57" s="1287"/>
      <c r="H57" s="1" t="str">
        <f>'XM.FILE GOC'!E88</f>
        <v>3.0-4.5(4.3±0.2)</v>
      </c>
      <c r="I57" s="1418" t="s">
        <v>1275</v>
      </c>
    </row>
    <row r="59" spans="1:9" ht="15.75" customHeight="1">
      <c r="A59" s="1286" t="s">
        <v>1413</v>
      </c>
      <c r="B59" s="1276" t="s">
        <v>247</v>
      </c>
    </row>
    <row r="60" spans="1:9" ht="17.25" customHeight="1">
      <c r="A60" s="2" t="s">
        <v>1414</v>
      </c>
      <c r="B60" s="1277"/>
      <c r="E60" s="1571">
        <f>B60*10.6</f>
        <v>0</v>
      </c>
    </row>
    <row r="61" spans="1:9" ht="17.25" customHeight="1">
      <c r="A61" s="2" t="s">
        <v>1415</v>
      </c>
      <c r="B61" s="1277"/>
      <c r="E61" s="1571">
        <f>B61*10.8</f>
        <v>0</v>
      </c>
    </row>
    <row r="62" spans="1:9" ht="17.25" customHeight="1">
      <c r="A62" s="2" t="s">
        <v>1416</v>
      </c>
      <c r="B62" s="1277"/>
      <c r="E62" s="1571">
        <f>B62*10.8</f>
        <v>0</v>
      </c>
    </row>
    <row r="64" spans="1:9" ht="21" customHeight="1">
      <c r="A64" s="1573" t="str">
        <f>MENU!AC9</f>
        <v>2022/12/03</v>
      </c>
      <c r="B64" s="1573"/>
      <c r="C64" s="1573"/>
      <c r="D64" s="1573"/>
      <c r="E64" s="1573"/>
    </row>
    <row r="65" spans="1:6" ht="21" customHeight="1">
      <c r="A65" s="1572" t="s">
        <v>1351</v>
      </c>
      <c r="B65" s="1572" t="s">
        <v>1352</v>
      </c>
      <c r="C65" s="1572" t="s">
        <v>1384</v>
      </c>
      <c r="D65" s="1572" t="s">
        <v>1353</v>
      </c>
      <c r="E65" s="1572" t="s">
        <v>1354</v>
      </c>
    </row>
    <row r="66" spans="1:6" ht="21" customHeight="1">
      <c r="A66" s="1574" t="s">
        <v>1422</v>
      </c>
      <c r="B66" s="1574" t="s">
        <v>1423</v>
      </c>
      <c r="C66" s="1574" t="s">
        <v>1424</v>
      </c>
      <c r="D66" s="1574" t="s">
        <v>1425</v>
      </c>
      <c r="E66" s="1574">
        <f>E60</f>
        <v>0</v>
      </c>
      <c r="F66" s="126" t="s">
        <v>1417</v>
      </c>
    </row>
    <row r="67" spans="1:6" ht="21" customHeight="1">
      <c r="A67" s="1574" t="s">
        <v>1420</v>
      </c>
      <c r="B67" s="1574" t="s">
        <v>1423</v>
      </c>
      <c r="C67" s="1574" t="s">
        <v>1424</v>
      </c>
      <c r="D67" s="1574" t="s">
        <v>1425</v>
      </c>
      <c r="E67" s="1574">
        <f t="shared" ref="E67:E68" si="0">E61</f>
        <v>0</v>
      </c>
      <c r="F67" s="126" t="s">
        <v>1418</v>
      </c>
    </row>
    <row r="68" spans="1:6" ht="21" customHeight="1">
      <c r="A68" s="1574" t="s">
        <v>1421</v>
      </c>
      <c r="B68" s="1574" t="s">
        <v>1423</v>
      </c>
      <c r="C68" s="1574" t="s">
        <v>1424</v>
      </c>
      <c r="D68" s="1574" t="s">
        <v>1425</v>
      </c>
      <c r="E68" s="1574">
        <f t="shared" si="0"/>
        <v>0</v>
      </c>
      <c r="F68" s="126" t="s">
        <v>1418</v>
      </c>
    </row>
  </sheetData>
  <sheetProtection sheet="1" objects="1" scenarios="1" formatCells="0" formatColumns="0" formatRows="0" insertColumns="0" insertRows="0" insertHyperlinks="0" deleteColumns="0" deleteRows="0" selectLockedCells="1" sort="0" autoFilter="0" pivotTables="0"/>
  <mergeCells count="3">
    <mergeCell ref="N2:P3"/>
    <mergeCell ref="J2:L2"/>
    <mergeCell ref="J20:L21"/>
  </mergeCells>
  <phoneticPr fontId="6" type="noConversion"/>
  <pageMargins left="0.46" right="0.16" top="0.98" bottom="1" header="0.41" footer="0.5"/>
  <pageSetup paperSize="9" scale="88"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3">
    <tabColor rgb="FFFFFF00"/>
  </sheetPr>
  <dimension ref="A1:AT120"/>
  <sheetViews>
    <sheetView topLeftCell="A50" zoomScale="55" zoomScaleNormal="55" workbookViewId="0">
      <selection activeCell="AL64" sqref="AL64"/>
    </sheetView>
  </sheetViews>
  <sheetFormatPr defaultRowHeight="15.75"/>
  <cols>
    <col min="1" max="1" width="13.375" style="308" customWidth="1"/>
    <col min="2" max="2" width="16.25" style="308" hidden="1" customWidth="1"/>
    <col min="3" max="3" width="31" style="308" customWidth="1"/>
    <col min="4" max="4" width="14.125" style="308" customWidth="1"/>
    <col min="5" max="5" width="15.375" style="13" customWidth="1"/>
    <col min="6" max="6" width="13.125" style="13" hidden="1" customWidth="1"/>
    <col min="7" max="7" width="13.125" style="308" hidden="1" customWidth="1"/>
    <col min="8" max="8" width="9.5" style="308" customWidth="1"/>
    <col min="9" max="9" width="11.375" style="308" hidden="1" customWidth="1"/>
    <col min="10" max="10" width="2.5" style="308" customWidth="1"/>
    <col min="11" max="11" width="7.875" style="308" customWidth="1"/>
    <col min="12" max="12" width="4.75" style="308" customWidth="1"/>
    <col min="13" max="13" width="6.25" style="308" hidden="1" customWidth="1"/>
    <col min="14" max="14" width="9.125" style="308" customWidth="1"/>
    <col min="15" max="15" width="11.25" style="308" hidden="1" customWidth="1"/>
    <col min="16" max="16" width="3" style="308" customWidth="1"/>
    <col min="17" max="17" width="8.125" style="308" customWidth="1"/>
    <col min="18" max="18" width="5.875" style="308" customWidth="1"/>
    <col min="19" max="19" width="9" style="308" hidden="1" customWidth="1"/>
    <col min="20" max="20" width="9.625" style="308" customWidth="1"/>
    <col min="21" max="21" width="9" style="308" hidden="1" customWidth="1"/>
    <col min="22" max="22" width="3.75" style="308" customWidth="1"/>
    <col min="23" max="23" width="7.375" style="308" customWidth="1"/>
    <col min="24" max="24" width="4.75" style="308" customWidth="1"/>
    <col min="25" max="25" width="9" style="308" hidden="1" customWidth="1"/>
    <col min="26" max="26" width="8.625" style="308" customWidth="1"/>
    <col min="27" max="27" width="9" style="308" hidden="1" customWidth="1"/>
    <col min="28" max="28" width="4" style="308" customWidth="1"/>
    <col min="29" max="29" width="7.5" style="308" customWidth="1"/>
    <col min="30" max="30" width="4.875" style="50" customWidth="1"/>
    <col min="31" max="31" width="9" style="308" hidden="1" customWidth="1"/>
    <col min="32" max="32" width="9.25" style="308" customWidth="1"/>
    <col min="33" max="33" width="9" style="308" hidden="1" customWidth="1"/>
    <col min="34" max="34" width="4" style="308" customWidth="1"/>
    <col min="35" max="35" width="7.375" style="308" customWidth="1"/>
    <col min="36" max="36" width="4.875" style="50" customWidth="1"/>
    <col min="37" max="37" width="6.625" style="308" hidden="1" customWidth="1"/>
    <col min="38" max="38" width="8.75" style="308" customWidth="1"/>
    <col min="39" max="39" width="9" style="308" hidden="1" customWidth="1"/>
    <col min="40" max="40" width="4" style="308" customWidth="1"/>
    <col min="41" max="41" width="7.375" style="308" customWidth="1"/>
    <col min="42" max="42" width="4.875" style="50" customWidth="1"/>
    <col min="43" max="16384" width="9" style="308"/>
  </cols>
  <sheetData>
    <row r="1" spans="1:42" ht="52.5" customHeight="1">
      <c r="A1" s="338"/>
      <c r="B1" s="338"/>
      <c r="C1" s="339" t="s">
        <v>275</v>
      </c>
      <c r="D1" s="340"/>
      <c r="E1" s="1646"/>
      <c r="F1" s="1646"/>
      <c r="G1" s="340"/>
      <c r="H1" s="340"/>
      <c r="I1" s="340"/>
      <c r="J1" s="340"/>
      <c r="K1" s="340"/>
      <c r="L1" s="340"/>
      <c r="M1" s="340"/>
      <c r="N1" s="340"/>
      <c r="O1" s="340"/>
      <c r="P1" s="340"/>
      <c r="Q1" s="340"/>
      <c r="R1" s="340"/>
      <c r="S1" s="340"/>
      <c r="T1" s="340"/>
      <c r="U1" s="340"/>
      <c r="V1" s="340"/>
      <c r="W1" s="340"/>
      <c r="X1" s="340"/>
      <c r="Y1" s="340"/>
      <c r="Z1" s="340"/>
      <c r="AA1" s="340"/>
      <c r="AB1" s="340"/>
      <c r="AC1" s="340"/>
      <c r="AD1" s="340"/>
      <c r="AF1" s="231"/>
      <c r="AH1" s="232" t="s">
        <v>191</v>
      </c>
    </row>
    <row r="2" spans="1:42" ht="52.5" customHeight="1">
      <c r="A2" s="943" t="str">
        <f>MENU!$AC$9</f>
        <v>2022/12/03</v>
      </c>
      <c r="B2" s="341"/>
      <c r="C2" s="342" t="s">
        <v>255</v>
      </c>
      <c r="D2" s="343"/>
      <c r="E2" s="1647"/>
      <c r="F2" s="1647"/>
      <c r="G2" s="343"/>
      <c r="H2" s="343"/>
      <c r="I2" s="343"/>
      <c r="J2" s="343"/>
      <c r="K2" s="343"/>
      <c r="L2" s="343"/>
      <c r="M2" s="343"/>
      <c r="N2" s="343"/>
      <c r="O2" s="343"/>
      <c r="P2" s="343"/>
      <c r="Q2" s="343"/>
      <c r="R2" s="343"/>
      <c r="S2" s="343"/>
      <c r="T2" s="343"/>
      <c r="U2" s="343"/>
      <c r="V2" s="343"/>
      <c r="W2" s="343"/>
      <c r="X2" s="343"/>
      <c r="Y2" s="343"/>
      <c r="Z2" s="343"/>
      <c r="AA2" s="343"/>
      <c r="AB2" s="343"/>
      <c r="AC2" s="343"/>
      <c r="AD2" s="343"/>
      <c r="AF2" s="334"/>
      <c r="AH2" s="232" t="s">
        <v>192</v>
      </c>
      <c r="AJ2" s="308"/>
      <c r="AP2" s="308"/>
    </row>
    <row r="3" spans="1:42" ht="41.25" customHeight="1">
      <c r="A3" s="1228" t="s">
        <v>232</v>
      </c>
      <c r="B3" s="1229"/>
      <c r="C3" s="1230"/>
      <c r="D3" s="1230"/>
      <c r="E3" s="1648"/>
      <c r="F3" s="1653"/>
      <c r="G3" s="1231"/>
      <c r="H3" s="1232"/>
      <c r="I3" s="1231"/>
      <c r="J3" s="1231"/>
      <c r="K3" s="1233"/>
      <c r="L3" s="1233"/>
      <c r="M3" s="1233"/>
      <c r="N3" s="1233"/>
      <c r="O3" s="1233"/>
      <c r="P3" s="1233"/>
      <c r="Q3" s="1233"/>
      <c r="R3" s="1231"/>
      <c r="S3" s="1231"/>
      <c r="T3" s="1231"/>
      <c r="U3" s="1231"/>
      <c r="V3" s="1231"/>
      <c r="W3" s="1231"/>
      <c r="X3" s="1231"/>
      <c r="Y3" s="1231"/>
      <c r="Z3" s="1231"/>
      <c r="AA3" s="1231"/>
      <c r="AB3" s="1231"/>
      <c r="AC3" s="1231"/>
      <c r="AD3" s="1231"/>
      <c r="AE3" s="1226"/>
      <c r="AF3" s="1229"/>
      <c r="AG3" s="1234"/>
      <c r="AH3" s="1234"/>
      <c r="AI3" s="1234"/>
      <c r="AJ3" s="1234"/>
      <c r="AK3" s="1234"/>
      <c r="AL3" s="1234"/>
      <c r="AM3" s="1234"/>
      <c r="AN3" s="1234"/>
      <c r="AO3" s="1234"/>
      <c r="AP3" s="1235"/>
    </row>
    <row r="4" spans="1:42" ht="36.75" customHeight="1">
      <c r="A4" s="1145"/>
      <c r="B4" s="1145"/>
      <c r="C4" s="1145"/>
      <c r="D4" s="1145"/>
      <c r="E4" s="1585"/>
      <c r="F4" s="1873" t="s">
        <v>141</v>
      </c>
      <c r="G4" s="105"/>
      <c r="H4" s="314" t="s">
        <v>241</v>
      </c>
      <c r="I4" s="314"/>
      <c r="J4" s="314"/>
      <c r="K4" s="314"/>
      <c r="L4" s="314"/>
      <c r="M4" s="106"/>
      <c r="N4" s="331" t="s">
        <v>242</v>
      </c>
      <c r="O4" s="314"/>
      <c r="P4" s="314"/>
      <c r="Q4" s="314"/>
      <c r="R4" s="315"/>
      <c r="S4" s="314"/>
      <c r="T4" s="314" t="s">
        <v>243</v>
      </c>
      <c r="U4" s="314"/>
      <c r="V4" s="314"/>
      <c r="W4" s="314"/>
      <c r="X4" s="314"/>
      <c r="Y4" s="106"/>
      <c r="Z4" s="331" t="s">
        <v>244</v>
      </c>
      <c r="AA4" s="314"/>
      <c r="AB4" s="314"/>
      <c r="AC4" s="314"/>
      <c r="AD4" s="315"/>
      <c r="AE4" s="314"/>
      <c r="AF4" s="314" t="s">
        <v>245</v>
      </c>
      <c r="AG4" s="314"/>
      <c r="AH4" s="314"/>
      <c r="AI4" s="314"/>
      <c r="AJ4" s="314"/>
      <c r="AK4" s="314"/>
      <c r="AL4" s="331" t="s">
        <v>246</v>
      </c>
      <c r="AM4" s="314"/>
      <c r="AN4" s="314"/>
      <c r="AO4" s="315"/>
      <c r="AP4" s="1154"/>
    </row>
    <row r="5" spans="1:42" ht="63.75" customHeight="1">
      <c r="A5" s="1146" t="s">
        <v>276</v>
      </c>
      <c r="B5" s="1146" t="s">
        <v>359</v>
      </c>
      <c r="C5" s="1152" t="s">
        <v>357</v>
      </c>
      <c r="D5" s="1146" t="s">
        <v>137</v>
      </c>
      <c r="E5" s="1586" t="s">
        <v>67</v>
      </c>
      <c r="F5" s="1874"/>
      <c r="G5" s="21"/>
      <c r="H5" s="1145" t="s">
        <v>146</v>
      </c>
      <c r="I5" s="36" t="s">
        <v>1</v>
      </c>
      <c r="J5" s="332" t="s">
        <v>1</v>
      </c>
      <c r="K5" s="332"/>
      <c r="L5" s="333"/>
      <c r="M5" s="107"/>
      <c r="N5" s="1145" t="s">
        <v>146</v>
      </c>
      <c r="O5" s="36" t="s">
        <v>1</v>
      </c>
      <c r="P5" s="332" t="s">
        <v>1</v>
      </c>
      <c r="Q5" s="332"/>
      <c r="R5" s="333"/>
      <c r="S5" s="21"/>
      <c r="T5" s="1145" t="s">
        <v>146</v>
      </c>
      <c r="U5" s="36" t="s">
        <v>1</v>
      </c>
      <c r="V5" s="332" t="s">
        <v>1</v>
      </c>
      <c r="W5" s="332"/>
      <c r="X5" s="333"/>
      <c r="Y5" s="107"/>
      <c r="Z5" s="1145" t="s">
        <v>146</v>
      </c>
      <c r="AA5" s="36" t="s">
        <v>1</v>
      </c>
      <c r="AB5" s="332" t="s">
        <v>1</v>
      </c>
      <c r="AC5" s="332"/>
      <c r="AD5" s="333"/>
      <c r="AE5" s="107"/>
      <c r="AF5" s="1145" t="s">
        <v>146</v>
      </c>
      <c r="AG5" s="36" t="s">
        <v>1</v>
      </c>
      <c r="AH5" s="332" t="s">
        <v>1</v>
      </c>
      <c r="AI5" s="332"/>
      <c r="AJ5" s="333"/>
      <c r="AK5" s="107"/>
      <c r="AL5" s="1145" t="s">
        <v>146</v>
      </c>
      <c r="AM5" s="36" t="s">
        <v>1</v>
      </c>
      <c r="AN5" s="332" t="s">
        <v>1</v>
      </c>
      <c r="AO5" s="332"/>
      <c r="AP5" s="333"/>
    </row>
    <row r="6" spans="1:42" ht="34.5" customHeight="1">
      <c r="A6" s="1147" t="s">
        <v>277</v>
      </c>
      <c r="B6" s="1147" t="s">
        <v>236</v>
      </c>
      <c r="C6" s="1147" t="s">
        <v>80</v>
      </c>
      <c r="D6" s="1153" t="s">
        <v>4</v>
      </c>
      <c r="E6" s="14" t="str">
        <f>'XM.GUI MAIL'!E6</f>
        <v>25~35g/L
(30±2g/L)</v>
      </c>
      <c r="F6" s="1255">
        <f>'XM.GUI MAIL'!F6</f>
        <v>30</v>
      </c>
      <c r="G6" s="109">
        <f>XM.HN!B3</f>
        <v>7.5</v>
      </c>
      <c r="H6" s="64">
        <f>G6*4</f>
        <v>30</v>
      </c>
      <c r="I6" s="38">
        <f>($F$6-H6)*2693/1000</f>
        <v>0</v>
      </c>
      <c r="J6" s="39" t="s">
        <v>8</v>
      </c>
      <c r="K6" s="40">
        <f>IF(I6&lt;0,0,I6)</f>
        <v>0</v>
      </c>
      <c r="L6" s="41" t="s">
        <v>9</v>
      </c>
      <c r="M6" s="109">
        <f>XM.HN!C3</f>
        <v>7.4</v>
      </c>
      <c r="N6" s="64">
        <f>M6*4</f>
        <v>29.6</v>
      </c>
      <c r="O6" s="38">
        <f>($F$6-N6)*2693/1000</f>
        <v>1.0771999999999962</v>
      </c>
      <c r="P6" s="39" t="s">
        <v>8</v>
      </c>
      <c r="Q6" s="40">
        <f>IF(O6&lt;0,0,O6)</f>
        <v>1.0771999999999962</v>
      </c>
      <c r="R6" s="41" t="s">
        <v>9</v>
      </c>
      <c r="S6" s="109">
        <f>XM.HN!D3</f>
        <v>7.4</v>
      </c>
      <c r="T6" s="64">
        <v>31</v>
      </c>
      <c r="U6" s="38">
        <f>($F$6-T6)*2693/1000</f>
        <v>-2.6930000000000001</v>
      </c>
      <c r="V6" s="39" t="s">
        <v>8</v>
      </c>
      <c r="W6" s="40">
        <f>IF(U6&lt;0,0,U6)</f>
        <v>0</v>
      </c>
      <c r="X6" s="41" t="s">
        <v>9</v>
      </c>
      <c r="Y6" s="109">
        <f>XM.HN!E3</f>
        <v>7.5</v>
      </c>
      <c r="Z6" s="64">
        <f>Y6*4</f>
        <v>30</v>
      </c>
      <c r="AA6" s="38">
        <f>($F$6-Z6)*2693/1000</f>
        <v>0</v>
      </c>
      <c r="AB6" s="39" t="s">
        <v>8</v>
      </c>
      <c r="AC6" s="40">
        <f>IF(AA6&lt;0,0,AA6)</f>
        <v>0</v>
      </c>
      <c r="AD6" s="41" t="s">
        <v>9</v>
      </c>
      <c r="AE6" s="109">
        <f>XM.HN!F3</f>
        <v>0</v>
      </c>
      <c r="AF6" s="64">
        <v>29.5</v>
      </c>
      <c r="AG6" s="38">
        <f>($F$6-AF6)*2693/1000</f>
        <v>1.3465</v>
      </c>
      <c r="AH6" s="39" t="s">
        <v>8</v>
      </c>
      <c r="AI6" s="40">
        <f>IF(AG6&lt;0,0,AG6)</f>
        <v>1.3465</v>
      </c>
      <c r="AJ6" s="41" t="s">
        <v>9</v>
      </c>
      <c r="AK6" s="109">
        <f>XM.HN!G3</f>
        <v>7.3</v>
      </c>
      <c r="AL6" s="64">
        <f>AK6*4</f>
        <v>29.2</v>
      </c>
      <c r="AM6" s="38">
        <f>($F$6-AL6)*2693/1000</f>
        <v>2.1544000000000021</v>
      </c>
      <c r="AN6" s="39" t="s">
        <v>8</v>
      </c>
      <c r="AO6" s="40">
        <f>IF(AM6&lt;0,0,AM6)</f>
        <v>2.1544000000000021</v>
      </c>
      <c r="AP6" s="41" t="s">
        <v>9</v>
      </c>
    </row>
    <row r="7" spans="1:42" ht="34.5" customHeight="1">
      <c r="A7" s="1147" t="s">
        <v>278</v>
      </c>
      <c r="B7" s="1147" t="s">
        <v>236</v>
      </c>
      <c r="C7" s="1147" t="s">
        <v>81</v>
      </c>
      <c r="D7" s="1153" t="s">
        <v>4</v>
      </c>
      <c r="E7" s="14" t="str">
        <f>'XM.GUI MAIL'!E7</f>
        <v>25~35g/L
(30±2g/L)</v>
      </c>
      <c r="F7" s="1255">
        <f>'XM.GUI MAIL'!F7</f>
        <v>30</v>
      </c>
      <c r="G7" s="109">
        <f>XM.HN!B4</f>
        <v>7.7</v>
      </c>
      <c r="H7" s="64">
        <f>G7*4</f>
        <v>30.8</v>
      </c>
      <c r="I7" s="38">
        <f>($F$7-H7)*3305/1000</f>
        <v>-2.6440000000000023</v>
      </c>
      <c r="J7" s="39" t="s">
        <v>8</v>
      </c>
      <c r="K7" s="40">
        <f t="shared" ref="K7:K12" si="0">IF(I7&lt;0,0,I7)</f>
        <v>0</v>
      </c>
      <c r="L7" s="41" t="s">
        <v>9</v>
      </c>
      <c r="M7" s="109">
        <f>XM.HN!C4</f>
        <v>7.5</v>
      </c>
      <c r="N7" s="64">
        <f>M7*4</f>
        <v>30</v>
      </c>
      <c r="O7" s="38">
        <f>($F$7-N7)*3305/1000</f>
        <v>0</v>
      </c>
      <c r="P7" s="39" t="s">
        <v>8</v>
      </c>
      <c r="Q7" s="40">
        <f t="shared" ref="Q7" si="1">IF(O7&lt;0,0,O7)</f>
        <v>0</v>
      </c>
      <c r="R7" s="41" t="s">
        <v>9</v>
      </c>
      <c r="S7" s="109">
        <f>XM.HN!D4</f>
        <v>7.7</v>
      </c>
      <c r="T7" s="64">
        <v>29.6</v>
      </c>
      <c r="U7" s="38">
        <f>($F$7-T7)*3305/1000</f>
        <v>1.3219999999999952</v>
      </c>
      <c r="V7" s="39" t="s">
        <v>8</v>
      </c>
      <c r="W7" s="40">
        <f t="shared" ref="W7" si="2">IF(U7&lt;0,0,U7)</f>
        <v>1.3219999999999952</v>
      </c>
      <c r="X7" s="41" t="s">
        <v>9</v>
      </c>
      <c r="Y7" s="109">
        <f>XM.HN!E4</f>
        <v>7.9</v>
      </c>
      <c r="Z7" s="64">
        <f>Y7*4</f>
        <v>31.6</v>
      </c>
      <c r="AA7" s="38">
        <f>($F$7-Z7)*3305/1000</f>
        <v>-5.2880000000000047</v>
      </c>
      <c r="AB7" s="39" t="s">
        <v>8</v>
      </c>
      <c r="AC7" s="40">
        <f t="shared" ref="AC7" si="3">IF(AA7&lt;0,0,AA7)</f>
        <v>0</v>
      </c>
      <c r="AD7" s="41" t="s">
        <v>9</v>
      </c>
      <c r="AE7" s="109">
        <f>XM.HN!F4</f>
        <v>0</v>
      </c>
      <c r="AF7" s="64">
        <v>31.2</v>
      </c>
      <c r="AG7" s="38">
        <f>($F$7-AF7)*3305/1000</f>
        <v>-3.9659999999999975</v>
      </c>
      <c r="AH7" s="39" t="s">
        <v>8</v>
      </c>
      <c r="AI7" s="40">
        <f t="shared" ref="AI7" si="4">IF(AG7&lt;0,0,AG7)</f>
        <v>0</v>
      </c>
      <c r="AJ7" s="41" t="s">
        <v>9</v>
      </c>
      <c r="AK7" s="109">
        <f>XM.HN!G4</f>
        <v>7.7</v>
      </c>
      <c r="AL7" s="64">
        <f>AK7*4</f>
        <v>30.8</v>
      </c>
      <c r="AM7" s="38">
        <f>($F$7-AL7)*3305/1000</f>
        <v>-2.6440000000000023</v>
      </c>
      <c r="AN7" s="39" t="s">
        <v>8</v>
      </c>
      <c r="AO7" s="40">
        <f t="shared" ref="AO7" si="5">IF(AM7&lt;0,0,AM7)</f>
        <v>0</v>
      </c>
      <c r="AP7" s="41" t="s">
        <v>9</v>
      </c>
    </row>
    <row r="8" spans="1:42" ht="34.5" customHeight="1">
      <c r="A8" s="1147" t="s">
        <v>279</v>
      </c>
      <c r="B8" s="1147" t="s">
        <v>236</v>
      </c>
      <c r="C8" s="1147" t="s">
        <v>52</v>
      </c>
      <c r="D8" s="54" t="s">
        <v>4</v>
      </c>
      <c r="E8" s="14" t="str">
        <f>'XM.GUI MAIL'!E8</f>
        <v>60~80g/L
(70±10g/L)</v>
      </c>
      <c r="F8" s="1255">
        <f>'XM.GUI MAIL'!F8</f>
        <v>70</v>
      </c>
      <c r="G8" s="109">
        <f>XM.HN!B5</f>
        <v>16.399999999999999</v>
      </c>
      <c r="H8" s="64">
        <v>70.2</v>
      </c>
      <c r="I8" s="38">
        <f>($F$8-H8)*1156/1000</f>
        <v>-0.23120000000000329</v>
      </c>
      <c r="J8" s="39" t="s">
        <v>8</v>
      </c>
      <c r="K8" s="40">
        <f t="shared" si="0"/>
        <v>0</v>
      </c>
      <c r="L8" s="41" t="s">
        <v>9</v>
      </c>
      <c r="M8" s="109">
        <f>XM.HN!C5</f>
        <v>16.3</v>
      </c>
      <c r="N8" s="64">
        <v>69.2</v>
      </c>
      <c r="O8" s="38">
        <f>($F$8-N8)*1156/1000</f>
        <v>0.92479999999999674</v>
      </c>
      <c r="P8" s="39" t="s">
        <v>8</v>
      </c>
      <c r="Q8" s="40">
        <f t="shared" ref="Q8:Q12" si="6">IF(O8&lt;0,0,O8)</f>
        <v>0.92479999999999674</v>
      </c>
      <c r="R8" s="41" t="s">
        <v>9</v>
      </c>
      <c r="S8" s="109">
        <f>XM.HN!D5</f>
        <v>16.7</v>
      </c>
      <c r="T8" s="64">
        <v>71.3</v>
      </c>
      <c r="U8" s="38">
        <f>($F$8-T8)*1156/1000</f>
        <v>-1.5027999999999968</v>
      </c>
      <c r="V8" s="39" t="s">
        <v>8</v>
      </c>
      <c r="W8" s="40">
        <f t="shared" ref="W8:W12" si="7">IF(U8&lt;0,0,U8)</f>
        <v>0</v>
      </c>
      <c r="X8" s="41" t="s">
        <v>9</v>
      </c>
      <c r="Y8" s="109">
        <f>XM.HN!E5</f>
        <v>18.2</v>
      </c>
      <c r="Z8" s="64">
        <v>71</v>
      </c>
      <c r="AA8" s="38">
        <f>($F$8-Z8)*1156/1000</f>
        <v>-1.1559999999999999</v>
      </c>
      <c r="AB8" s="39" t="s">
        <v>8</v>
      </c>
      <c r="AC8" s="40">
        <f t="shared" ref="AC8:AC12" si="8">IF(AA8&lt;0,0,AA8)</f>
        <v>0</v>
      </c>
      <c r="AD8" s="41" t="s">
        <v>9</v>
      </c>
      <c r="AE8" s="109">
        <f>XM.HN!F5</f>
        <v>0</v>
      </c>
      <c r="AF8" s="64">
        <v>70.599999999999994</v>
      </c>
      <c r="AG8" s="38">
        <f>($F$8-AF8)*1156/1000</f>
        <v>-0.69359999999999344</v>
      </c>
      <c r="AH8" s="39" t="s">
        <v>8</v>
      </c>
      <c r="AI8" s="40">
        <f t="shared" ref="AI8:AI12" si="9">IF(AG8&lt;0,0,AG8)</f>
        <v>0</v>
      </c>
      <c r="AJ8" s="41" t="s">
        <v>9</v>
      </c>
      <c r="AK8" s="109">
        <f>XM.HN!G5</f>
        <v>18</v>
      </c>
      <c r="AL8" s="64">
        <v>70</v>
      </c>
      <c r="AM8" s="38">
        <f>($F$8-AL8)*1156/1000</f>
        <v>0</v>
      </c>
      <c r="AN8" s="39" t="s">
        <v>8</v>
      </c>
      <c r="AO8" s="40">
        <f t="shared" ref="AO8:AO12" si="10">IF(AM8&lt;0,0,AM8)</f>
        <v>0</v>
      </c>
      <c r="AP8" s="41" t="s">
        <v>9</v>
      </c>
    </row>
    <row r="9" spans="1:42" ht="34.5" customHeight="1">
      <c r="A9" s="1147" t="s">
        <v>280</v>
      </c>
      <c r="B9" s="1147" t="s">
        <v>236</v>
      </c>
      <c r="C9" s="1147" t="s">
        <v>53</v>
      </c>
      <c r="D9" s="54" t="s">
        <v>4</v>
      </c>
      <c r="E9" s="14" t="str">
        <f>'XM.GUI MAIL'!E9</f>
        <v>60~80g/L
(70±10g/L)</v>
      </c>
      <c r="F9" s="1255">
        <f>'XM.GUI MAIL'!F9</f>
        <v>70</v>
      </c>
      <c r="G9" s="109">
        <f>XM.HN!B6</f>
        <v>18.2</v>
      </c>
      <c r="H9" s="64">
        <f>G9*4</f>
        <v>72.8</v>
      </c>
      <c r="I9" s="38">
        <f>($F$9-H9)*1459/1000</f>
        <v>-4.0851999999999959</v>
      </c>
      <c r="J9" s="39" t="s">
        <v>8</v>
      </c>
      <c r="K9" s="40">
        <f t="shared" si="0"/>
        <v>0</v>
      </c>
      <c r="L9" s="41" t="s">
        <v>9</v>
      </c>
      <c r="M9" s="109">
        <f>XM.HN!C6</f>
        <v>17.8</v>
      </c>
      <c r="N9" s="64">
        <f>M9*4</f>
        <v>71.2</v>
      </c>
      <c r="O9" s="38">
        <f>($F$9-N9)*1459/1000</f>
        <v>-1.7508000000000041</v>
      </c>
      <c r="P9" s="39" t="s">
        <v>8</v>
      </c>
      <c r="Q9" s="40">
        <f t="shared" si="6"/>
        <v>0</v>
      </c>
      <c r="R9" s="41" t="s">
        <v>9</v>
      </c>
      <c r="S9" s="109">
        <f>XM.HN!D6</f>
        <v>17.899999999999999</v>
      </c>
      <c r="T9" s="64">
        <v>71</v>
      </c>
      <c r="U9" s="38">
        <f>($F$9-T9)*1459/1000</f>
        <v>-1.4590000000000001</v>
      </c>
      <c r="V9" s="39" t="s">
        <v>8</v>
      </c>
      <c r="W9" s="40">
        <f t="shared" si="7"/>
        <v>0</v>
      </c>
      <c r="X9" s="41" t="s">
        <v>9</v>
      </c>
      <c r="Y9" s="109">
        <f>XM.HN!E6</f>
        <v>17.600000000000001</v>
      </c>
      <c r="Z9" s="64">
        <f>Y9*4</f>
        <v>70.400000000000006</v>
      </c>
      <c r="AA9" s="38">
        <f>($F$9-Z9)*1459/1000</f>
        <v>-0.58360000000000833</v>
      </c>
      <c r="AB9" s="39" t="s">
        <v>8</v>
      </c>
      <c r="AC9" s="40">
        <f t="shared" si="8"/>
        <v>0</v>
      </c>
      <c r="AD9" s="41" t="s">
        <v>9</v>
      </c>
      <c r="AE9" s="109">
        <f>XM.HN!F6</f>
        <v>0</v>
      </c>
      <c r="AF9" s="64">
        <v>70</v>
      </c>
      <c r="AG9" s="38">
        <f>($F$9-AF9)*1459/1000</f>
        <v>0</v>
      </c>
      <c r="AH9" s="39" t="s">
        <v>8</v>
      </c>
      <c r="AI9" s="40">
        <f t="shared" si="9"/>
        <v>0</v>
      </c>
      <c r="AJ9" s="41" t="s">
        <v>9</v>
      </c>
      <c r="AK9" s="109">
        <f>XM.HN!G6</f>
        <v>17.5</v>
      </c>
      <c r="AL9" s="64">
        <v>69.5</v>
      </c>
      <c r="AM9" s="38">
        <f>($F$9-AL9)*1459/1000</f>
        <v>0.72950000000000004</v>
      </c>
      <c r="AN9" s="39" t="s">
        <v>8</v>
      </c>
      <c r="AO9" s="40">
        <f t="shared" si="10"/>
        <v>0.72950000000000004</v>
      </c>
      <c r="AP9" s="41" t="s">
        <v>9</v>
      </c>
    </row>
    <row r="10" spans="1:42" ht="34.5" customHeight="1">
      <c r="A10" s="1147" t="s">
        <v>281</v>
      </c>
      <c r="B10" s="1147" t="s">
        <v>236</v>
      </c>
      <c r="C10" s="1148" t="s">
        <v>59</v>
      </c>
      <c r="D10" s="1153" t="s">
        <v>4</v>
      </c>
      <c r="E10" s="14" t="str">
        <f>'XM.GUI MAIL'!E10</f>
        <v>130 - 150g/L
(140±5g/L)</v>
      </c>
      <c r="F10" s="1255">
        <f>'XM.GUI MAIL'!F10</f>
        <v>140</v>
      </c>
      <c r="G10" s="109">
        <f>XM.HN!B7</f>
        <v>17.5</v>
      </c>
      <c r="H10" s="239">
        <f>G10*8</f>
        <v>140</v>
      </c>
      <c r="I10" s="38">
        <f>($F$10-H10)*19951/1000</f>
        <v>0</v>
      </c>
      <c r="J10" s="39" t="s">
        <v>8</v>
      </c>
      <c r="K10" s="40">
        <f t="shared" si="0"/>
        <v>0</v>
      </c>
      <c r="L10" s="41" t="s">
        <v>9</v>
      </c>
      <c r="M10" s="109">
        <f>XM.HN!C7</f>
        <v>17.399999999999999</v>
      </c>
      <c r="N10" s="239">
        <f>M10*8</f>
        <v>139.19999999999999</v>
      </c>
      <c r="O10" s="38">
        <f>($F$10-N10)*19951/1000</f>
        <v>15.960800000000226</v>
      </c>
      <c r="P10" s="39" t="s">
        <v>8</v>
      </c>
      <c r="Q10" s="40">
        <f t="shared" si="6"/>
        <v>15.960800000000226</v>
      </c>
      <c r="R10" s="41" t="s">
        <v>9</v>
      </c>
      <c r="S10" s="109">
        <f>XM.HN!D7</f>
        <v>17.600000000000001</v>
      </c>
      <c r="T10" s="239">
        <f>S10*8</f>
        <v>140.80000000000001</v>
      </c>
      <c r="U10" s="38">
        <f>($F$10-T10)*19951/1000</f>
        <v>-15.960800000000226</v>
      </c>
      <c r="V10" s="39" t="s">
        <v>8</v>
      </c>
      <c r="W10" s="40">
        <f t="shared" si="7"/>
        <v>0</v>
      </c>
      <c r="X10" s="41" t="s">
        <v>9</v>
      </c>
      <c r="Y10" s="109">
        <f>XM.HN!E7</f>
        <v>17.600000000000001</v>
      </c>
      <c r="Z10" s="239">
        <f>Y10*8</f>
        <v>140.80000000000001</v>
      </c>
      <c r="AA10" s="38">
        <f>($F$10-Z10)*19951/1000</f>
        <v>-15.960800000000226</v>
      </c>
      <c r="AB10" s="39" t="s">
        <v>8</v>
      </c>
      <c r="AC10" s="40">
        <f t="shared" si="8"/>
        <v>0</v>
      </c>
      <c r="AD10" s="41" t="s">
        <v>9</v>
      </c>
      <c r="AE10" s="109">
        <f>XM.HN!F7</f>
        <v>0</v>
      </c>
      <c r="AF10" s="239">
        <v>140.4</v>
      </c>
      <c r="AG10" s="38">
        <f>($F$10-AF10)*19951/1000</f>
        <v>-7.9804000000001132</v>
      </c>
      <c r="AH10" s="39" t="s">
        <v>8</v>
      </c>
      <c r="AI10" s="40">
        <f t="shared" si="9"/>
        <v>0</v>
      </c>
      <c r="AJ10" s="41" t="s">
        <v>9</v>
      </c>
      <c r="AK10" s="109">
        <f>XM.HN!G7</f>
        <v>17.3</v>
      </c>
      <c r="AL10" s="239">
        <v>139.19999999999999</v>
      </c>
      <c r="AM10" s="38">
        <f>($F$10-AL10)*19951/1000</f>
        <v>15.960800000000226</v>
      </c>
      <c r="AN10" s="39" t="s">
        <v>8</v>
      </c>
      <c r="AO10" s="40">
        <f t="shared" si="10"/>
        <v>15.960800000000226</v>
      </c>
      <c r="AP10" s="41" t="s">
        <v>9</v>
      </c>
    </row>
    <row r="11" spans="1:42" ht="34.5" customHeight="1">
      <c r="A11" s="54" t="s">
        <v>282</v>
      </c>
      <c r="B11" s="1147" t="s">
        <v>236</v>
      </c>
      <c r="C11" s="1138" t="s">
        <v>60</v>
      </c>
      <c r="D11" s="1153" t="s">
        <v>4</v>
      </c>
      <c r="E11" s="14" t="str">
        <f>'XM.GUI MAIL'!E11</f>
        <v>7-12g/l
(9g±1g/l)</v>
      </c>
      <c r="F11" s="1255">
        <f>'XM.GUI MAIL'!F11</f>
        <v>9</v>
      </c>
      <c r="G11" s="109">
        <f>XM.HN!B8</f>
        <v>7.7</v>
      </c>
      <c r="H11" s="64">
        <f>G11*1.3</f>
        <v>10.01</v>
      </c>
      <c r="I11" s="38">
        <f>($F$11-H11)*19951/1000</f>
        <v>-20.150509999999993</v>
      </c>
      <c r="J11" s="39" t="s">
        <v>8</v>
      </c>
      <c r="K11" s="40">
        <f t="shared" si="0"/>
        <v>0</v>
      </c>
      <c r="L11" s="41" t="s">
        <v>1070</v>
      </c>
      <c r="M11" s="109">
        <f>XM.HN!C8</f>
        <v>7.7</v>
      </c>
      <c r="N11" s="64">
        <f>M11*1.3</f>
        <v>10.01</v>
      </c>
      <c r="O11" s="38">
        <f>($F$11-N11)*19951/1000</f>
        <v>-20.150509999999993</v>
      </c>
      <c r="P11" s="39" t="s">
        <v>8</v>
      </c>
      <c r="Q11" s="40">
        <f t="shared" si="6"/>
        <v>0</v>
      </c>
      <c r="R11" s="41" t="s">
        <v>1281</v>
      </c>
      <c r="S11" s="109">
        <f>XM.HN!D8</f>
        <v>7.5</v>
      </c>
      <c r="T11" s="64">
        <f>S11*1.3</f>
        <v>9.75</v>
      </c>
      <c r="U11" s="38">
        <f>($F$11-T11)*19951/1000</f>
        <v>-14.96325</v>
      </c>
      <c r="V11" s="39" t="s">
        <v>8</v>
      </c>
      <c r="W11" s="40">
        <f t="shared" si="7"/>
        <v>0</v>
      </c>
      <c r="X11" s="41" t="s">
        <v>1070</v>
      </c>
      <c r="Y11" s="109">
        <f>XM.HN!E8</f>
        <v>7.6</v>
      </c>
      <c r="Z11" s="64">
        <f>Y11*1.3</f>
        <v>9.879999999999999</v>
      </c>
      <c r="AA11" s="38">
        <f>($F$11-Z11)*19951/1000</f>
        <v>-17.556879999999978</v>
      </c>
      <c r="AB11" s="39" t="s">
        <v>1282</v>
      </c>
      <c r="AC11" s="40">
        <f t="shared" si="8"/>
        <v>0</v>
      </c>
      <c r="AD11" s="41" t="s">
        <v>1070</v>
      </c>
      <c r="AE11" s="109">
        <f>XM.HN!F8</f>
        <v>0</v>
      </c>
      <c r="AF11" s="64">
        <v>10</v>
      </c>
      <c r="AG11" s="38">
        <f>($F$11-AF11)*19951/1000</f>
        <v>-19.951000000000001</v>
      </c>
      <c r="AH11" s="39" t="s">
        <v>8</v>
      </c>
      <c r="AI11" s="40">
        <f t="shared" si="9"/>
        <v>0</v>
      </c>
      <c r="AJ11" s="41" t="s">
        <v>1070</v>
      </c>
      <c r="AK11" s="109">
        <f>XM.HN!G8</f>
        <v>7.5</v>
      </c>
      <c r="AL11" s="64">
        <v>10.1</v>
      </c>
      <c r="AM11" s="38">
        <f>($F$11-AL11)*19951/1000</f>
        <v>-21.946099999999991</v>
      </c>
      <c r="AN11" s="39" t="s">
        <v>8</v>
      </c>
      <c r="AO11" s="40">
        <f t="shared" si="10"/>
        <v>0</v>
      </c>
      <c r="AP11" s="41" t="s">
        <v>1070</v>
      </c>
    </row>
    <row r="12" spans="1:42" ht="34.5" customHeight="1">
      <c r="A12" s="324" t="s">
        <v>288</v>
      </c>
      <c r="B12" s="1147" t="s">
        <v>236</v>
      </c>
      <c r="C12" s="1151" t="s">
        <v>1058</v>
      </c>
      <c r="D12" s="1153" t="s">
        <v>3</v>
      </c>
      <c r="E12" s="14" t="str">
        <f>'XM.GUI MAIL'!E12</f>
        <v>12~18 %
(14±2%)</v>
      </c>
      <c r="F12" s="1255">
        <f>'XM.GUI MAIL'!F12</f>
        <v>14</v>
      </c>
      <c r="G12" s="109">
        <f>XM.HN!B9</f>
        <v>9.5</v>
      </c>
      <c r="H12" s="64">
        <f>G12*100/6.95/10</f>
        <v>13.669064748201439</v>
      </c>
      <c r="I12" s="38">
        <f>($F$12-H12)*575/100</f>
        <v>1.902877697841725</v>
      </c>
      <c r="J12" s="39" t="s">
        <v>8</v>
      </c>
      <c r="K12" s="40">
        <f t="shared" si="0"/>
        <v>1.902877697841725</v>
      </c>
      <c r="L12" s="45" t="s">
        <v>10</v>
      </c>
      <c r="M12" s="124">
        <f>XM.HN!C9</f>
        <v>10</v>
      </c>
      <c r="N12" s="64">
        <f>M12*100/6.95/10</f>
        <v>14.388489208633093</v>
      </c>
      <c r="O12" s="38">
        <f>($F$12-N12)*575/100</f>
        <v>-2.2338129496402841</v>
      </c>
      <c r="P12" s="39" t="s">
        <v>8</v>
      </c>
      <c r="Q12" s="40">
        <f t="shared" si="6"/>
        <v>0</v>
      </c>
      <c r="R12" s="45" t="s">
        <v>10</v>
      </c>
      <c r="S12" s="107">
        <f>XM.HN!D9</f>
        <v>10.6</v>
      </c>
      <c r="T12" s="64">
        <v>14</v>
      </c>
      <c r="U12" s="38">
        <f>($F$12-T12)*575/100</f>
        <v>0</v>
      </c>
      <c r="V12" s="39" t="s">
        <v>8</v>
      </c>
      <c r="W12" s="40">
        <f t="shared" si="7"/>
        <v>0</v>
      </c>
      <c r="X12" s="45" t="s">
        <v>10</v>
      </c>
      <c r="Y12" s="21">
        <f>XM.HN!E9</f>
        <v>8.1</v>
      </c>
      <c r="Z12" s="64">
        <v>13.8</v>
      </c>
      <c r="AA12" s="38">
        <f>($F$12-Z12)*575/100</f>
        <v>1.1499999999999959</v>
      </c>
      <c r="AB12" s="39" t="s">
        <v>8</v>
      </c>
      <c r="AC12" s="40">
        <f t="shared" si="8"/>
        <v>1.1499999999999959</v>
      </c>
      <c r="AD12" s="45" t="s">
        <v>10</v>
      </c>
      <c r="AE12" s="107">
        <f>XM.HN!F9</f>
        <v>0</v>
      </c>
      <c r="AF12" s="64">
        <v>13.5</v>
      </c>
      <c r="AG12" s="38">
        <f>($F$12-AF12)*575/100</f>
        <v>2.875</v>
      </c>
      <c r="AH12" s="39" t="s">
        <v>8</v>
      </c>
      <c r="AI12" s="40">
        <f t="shared" si="9"/>
        <v>2.875</v>
      </c>
      <c r="AJ12" s="45" t="s">
        <v>10</v>
      </c>
      <c r="AK12" s="107">
        <f>XM.HN!G9</f>
        <v>9.3000000000000007</v>
      </c>
      <c r="AL12" s="64">
        <f>AK12*100/6.95/10</f>
        <v>13.381294964028777</v>
      </c>
      <c r="AM12" s="38">
        <f>($F$12-AL12)*575/100</f>
        <v>3.5575539568345307</v>
      </c>
      <c r="AN12" s="39" t="s">
        <v>8</v>
      </c>
      <c r="AO12" s="40">
        <f t="shared" si="10"/>
        <v>3.5575539568345307</v>
      </c>
      <c r="AP12" s="41" t="s">
        <v>10</v>
      </c>
    </row>
    <row r="13" spans="1:42" ht="34.5" customHeight="1">
      <c r="A13" s="324" t="s">
        <v>290</v>
      </c>
      <c r="B13" s="1147" t="s">
        <v>236</v>
      </c>
      <c r="C13" s="327"/>
      <c r="D13" s="1153" t="s">
        <v>5</v>
      </c>
      <c r="E13" s="14" t="str">
        <f>'XM.GUI MAIL'!E13</f>
        <v>1.6~2.2(1.8±0.1 )</v>
      </c>
      <c r="F13" s="1255">
        <f>'XM.GUI MAIL'!F13</f>
        <v>0</v>
      </c>
      <c r="G13" s="109"/>
      <c r="H13" s="70">
        <f>XM.HN!B16</f>
        <v>1.76</v>
      </c>
      <c r="I13" s="42"/>
      <c r="J13" s="43"/>
      <c r="K13" s="44"/>
      <c r="L13" s="42"/>
      <c r="M13" s="284"/>
      <c r="N13" s="70">
        <f>XM.HN!C16</f>
        <v>1.75</v>
      </c>
      <c r="O13" s="42"/>
      <c r="P13" s="39"/>
      <c r="Q13" s="40"/>
      <c r="R13" s="42"/>
      <c r="S13" s="42"/>
      <c r="T13" s="70">
        <f>XM.HN!D16</f>
        <v>1.89</v>
      </c>
      <c r="U13" s="42"/>
      <c r="V13" s="39"/>
      <c r="W13" s="40"/>
      <c r="X13" s="42"/>
      <c r="Y13" s="42"/>
      <c r="Z13" s="70">
        <f>XM.HN!E16</f>
        <v>1.78</v>
      </c>
      <c r="AA13" s="42"/>
      <c r="AB13" s="39"/>
      <c r="AC13" s="40"/>
      <c r="AD13" s="42"/>
      <c r="AE13" s="42"/>
      <c r="AF13" s="70">
        <f>XM.HN!F16</f>
        <v>0</v>
      </c>
      <c r="AG13" s="42"/>
      <c r="AH13" s="39"/>
      <c r="AI13" s="40"/>
      <c r="AJ13" s="42"/>
      <c r="AK13" s="42"/>
      <c r="AL13" s="70">
        <f>XM.HN!G16</f>
        <v>1.8</v>
      </c>
      <c r="AM13" s="42"/>
      <c r="AN13" s="39"/>
      <c r="AO13" s="40"/>
      <c r="AP13" s="1158"/>
    </row>
    <row r="14" spans="1:42" ht="34.5" customHeight="1">
      <c r="A14" s="54" t="s">
        <v>283</v>
      </c>
      <c r="B14" s="1147" t="s">
        <v>236</v>
      </c>
      <c r="C14" s="1148" t="s">
        <v>61</v>
      </c>
      <c r="D14" s="1153" t="s">
        <v>6</v>
      </c>
      <c r="E14" s="14" t="str">
        <f>'XM.GUI MAIL'!E14</f>
        <v>30~60 %V/V
(45±5% V/V)</v>
      </c>
      <c r="F14" s="1654">
        <f>'XM.GUI MAIL'!F14</f>
        <v>0.45</v>
      </c>
      <c r="G14" s="109">
        <f>XM.HN!B10</f>
        <v>4.3</v>
      </c>
      <c r="H14" s="71">
        <v>0.46</v>
      </c>
      <c r="I14" s="37">
        <f>($F$14-H14)*2122</f>
        <v>-21.22000000000002</v>
      </c>
      <c r="J14" s="45" t="s">
        <v>8</v>
      </c>
      <c r="K14" s="46">
        <f>IF(I14&lt;0,0,I14)</f>
        <v>0</v>
      </c>
      <c r="L14" s="47" t="s">
        <v>10</v>
      </c>
      <c r="M14" s="110">
        <f>XM.HN!C10</f>
        <v>4</v>
      </c>
      <c r="N14" s="71">
        <f>(1*M14*36.5)/(1*10)/32%/100</f>
        <v>0.45624999999999999</v>
      </c>
      <c r="O14" s="36">
        <f>($F$14-N14)*2122</f>
        <v>-13.262499999999953</v>
      </c>
      <c r="P14" s="45" t="s">
        <v>8</v>
      </c>
      <c r="Q14" s="46">
        <f>IF(O14&lt;0,0,O14)</f>
        <v>0</v>
      </c>
      <c r="R14" s="47" t="s">
        <v>10</v>
      </c>
      <c r="S14" s="21">
        <f>XM.HN!D10</f>
        <v>4.0999999999999996</v>
      </c>
      <c r="T14" s="71">
        <v>0.45200000000000001</v>
      </c>
      <c r="U14" s="36">
        <f>($F$14-T14)*2122</f>
        <v>-4.2440000000000033</v>
      </c>
      <c r="V14" s="45" t="s">
        <v>8</v>
      </c>
      <c r="W14" s="46">
        <f>IF(U14&lt;0,0,U14)</f>
        <v>0</v>
      </c>
      <c r="X14" s="47" t="s">
        <v>10</v>
      </c>
      <c r="Y14" s="107">
        <f>XM.HN!E10</f>
        <v>4</v>
      </c>
      <c r="Z14" s="71">
        <f>(1*Y14*36.5)/(1*10)/32%/100</f>
        <v>0.45624999999999999</v>
      </c>
      <c r="AA14" s="36">
        <f>($F$14-Z14)*2122</f>
        <v>-13.262499999999953</v>
      </c>
      <c r="AB14" s="45" t="s">
        <v>8</v>
      </c>
      <c r="AC14" s="46">
        <f>IF(AA14&lt;0,0,AA14)</f>
        <v>0</v>
      </c>
      <c r="AD14" s="47" t="s">
        <v>10</v>
      </c>
      <c r="AE14" s="107">
        <f>XM.HN!F10</f>
        <v>0</v>
      </c>
      <c r="AF14" s="71">
        <v>0.45100000000000001</v>
      </c>
      <c r="AG14" s="36">
        <f>($F$14-AF14)*2122</f>
        <v>-2.1220000000000017</v>
      </c>
      <c r="AH14" s="45" t="s">
        <v>8</v>
      </c>
      <c r="AI14" s="46">
        <f>IF(AG14&lt;0,0,AG14)</f>
        <v>0</v>
      </c>
      <c r="AJ14" s="47" t="s">
        <v>10</v>
      </c>
      <c r="AK14" s="107">
        <f>XM.HN!G10</f>
        <v>3.9</v>
      </c>
      <c r="AL14" s="71">
        <f>(1*AK14*36.5)/(1*10)/32%/100</f>
        <v>0.44484374999999998</v>
      </c>
      <c r="AM14" s="37">
        <f>($F$14-AL14)*2122</f>
        <v>10.941562500000062</v>
      </c>
      <c r="AN14" s="45" t="s">
        <v>8</v>
      </c>
      <c r="AO14" s="46">
        <f>IF(AM14&lt;0,0,AM14)</f>
        <v>10.941562500000062</v>
      </c>
      <c r="AP14" s="47" t="s">
        <v>10</v>
      </c>
    </row>
    <row r="15" spans="1:42" ht="34.5" customHeight="1">
      <c r="A15" s="325" t="s">
        <v>284</v>
      </c>
      <c r="B15" s="1147" t="s">
        <v>236</v>
      </c>
      <c r="C15" s="1148" t="s">
        <v>62</v>
      </c>
      <c r="D15" s="1153" t="s">
        <v>6</v>
      </c>
      <c r="E15" s="14" t="str">
        <f>'XM.GUI MAIL'!E15</f>
        <v>15~30 %V/V
(22±5 V/V)</v>
      </c>
      <c r="F15" s="1654">
        <f>'XM.GUI MAIL'!F15</f>
        <v>0.22</v>
      </c>
      <c r="G15" s="109">
        <f>XM.HN!B11</f>
        <v>2.2999999999999998</v>
      </c>
      <c r="H15" s="71">
        <v>0.252</v>
      </c>
      <c r="I15" s="37">
        <f>($F$15-H15)*612</f>
        <v>-19.584</v>
      </c>
      <c r="J15" s="45" t="s">
        <v>8</v>
      </c>
      <c r="K15" s="46">
        <f>IF(I15&lt;0,0,I15)</f>
        <v>0</v>
      </c>
      <c r="L15" s="249" t="s">
        <v>10</v>
      </c>
      <c r="M15" s="285">
        <f>XM.HN!C11</f>
        <v>2.5</v>
      </c>
      <c r="N15" s="71">
        <v>0.24199999999999999</v>
      </c>
      <c r="O15" s="37">
        <f>($F$15-N15)*612</f>
        <v>-13.463999999999995</v>
      </c>
      <c r="P15" s="45" t="s">
        <v>8</v>
      </c>
      <c r="Q15" s="46">
        <f>IF(O15&lt;0,0,O15)</f>
        <v>0</v>
      </c>
      <c r="R15" s="47" t="s">
        <v>10</v>
      </c>
      <c r="S15" s="110">
        <f>XM.HN!D11</f>
        <v>2.6</v>
      </c>
      <c r="T15" s="71">
        <v>0.23300000000000001</v>
      </c>
      <c r="U15" s="37">
        <f>($F$15-T15)*612</f>
        <v>-7.9560000000000066</v>
      </c>
      <c r="V15" s="45" t="s">
        <v>8</v>
      </c>
      <c r="W15" s="46">
        <f>IF(U15&lt;0,0,U15)</f>
        <v>0</v>
      </c>
      <c r="X15" s="47" t="s">
        <v>10</v>
      </c>
      <c r="Y15" s="110">
        <f>XM.HN!E11</f>
        <v>2.2000000000000002</v>
      </c>
      <c r="Z15" s="71">
        <v>0.23</v>
      </c>
      <c r="AA15" s="37">
        <f>($F$15-Z15)*612</f>
        <v>-6.1200000000000054</v>
      </c>
      <c r="AB15" s="45" t="s">
        <v>8</v>
      </c>
      <c r="AC15" s="46">
        <f>IF(AA15&lt;0,0,AA15)</f>
        <v>0</v>
      </c>
      <c r="AD15" s="47" t="s">
        <v>10</v>
      </c>
      <c r="AE15" s="110">
        <f>XM.HN!F11</f>
        <v>0</v>
      </c>
      <c r="AF15" s="71">
        <v>0.22800000000000001</v>
      </c>
      <c r="AG15" s="37">
        <f>($F$15-AF15)*612</f>
        <v>-4.8960000000000043</v>
      </c>
      <c r="AH15" s="45" t="s">
        <v>8</v>
      </c>
      <c r="AI15" s="46">
        <f>IF(AG15&lt;0,0,AG15)</f>
        <v>0</v>
      </c>
      <c r="AJ15" s="47" t="s">
        <v>10</v>
      </c>
      <c r="AK15" s="110">
        <f>XM.HN!G11</f>
        <v>2.1</v>
      </c>
      <c r="AL15" s="71">
        <v>0.22500000000000001</v>
      </c>
      <c r="AM15" s="37">
        <f>($F$15-AL15)*612</f>
        <v>-3.0600000000000027</v>
      </c>
      <c r="AN15" s="45" t="s">
        <v>8</v>
      </c>
      <c r="AO15" s="46">
        <f>IF(AM15&lt;0,0,AM15)</f>
        <v>0</v>
      </c>
      <c r="AP15" s="47" t="s">
        <v>10</v>
      </c>
    </row>
    <row r="16" spans="1:42" ht="34.5" customHeight="1">
      <c r="A16" s="325" t="s">
        <v>285</v>
      </c>
      <c r="B16" s="1147" t="s">
        <v>236</v>
      </c>
      <c r="C16" s="1148" t="s">
        <v>63</v>
      </c>
      <c r="D16" s="54" t="s">
        <v>6</v>
      </c>
      <c r="E16" s="14" t="str">
        <f>'XM.GUI MAIL'!E16</f>
        <v>5~15 %V/V
(10±3% V/V)</v>
      </c>
      <c r="F16" s="1654">
        <f>'XM.GUI MAIL'!F16</f>
        <v>0.1</v>
      </c>
      <c r="G16" s="109">
        <f>XM.HN!B12</f>
        <v>5</v>
      </c>
      <c r="H16" s="71">
        <f>(1*G16*36.5)/(5*10)/32%/100</f>
        <v>0.1140625</v>
      </c>
      <c r="I16" s="44">
        <f>($F$16-H16)*575</f>
        <v>-8.0859374999999947</v>
      </c>
      <c r="J16" s="45" t="s">
        <v>8</v>
      </c>
      <c r="K16" s="46">
        <f>IF(I16&lt;0,0,I16)</f>
        <v>0</v>
      </c>
      <c r="L16" s="47" t="s">
        <v>10</v>
      </c>
      <c r="M16" s="44">
        <f>XM.HN!C12</f>
        <v>4.5999999999999996</v>
      </c>
      <c r="N16" s="71">
        <f>(1*M16*36.5)/(5*10)/32%/100</f>
        <v>0.10493749999999999</v>
      </c>
      <c r="O16" s="44">
        <f>($F$16-N16)*575</f>
        <v>-2.8390624999999905</v>
      </c>
      <c r="P16" s="45" t="s">
        <v>8</v>
      </c>
      <c r="Q16" s="46">
        <f>IF(O16&lt;0,0,O16)</f>
        <v>0</v>
      </c>
      <c r="R16" s="47" t="s">
        <v>10</v>
      </c>
      <c r="S16" s="44">
        <f>XM.HN!D12</f>
        <v>4.0999999999999996</v>
      </c>
      <c r="T16" s="71">
        <f>(1*S16*36.5)/(5*10)/32%/100</f>
        <v>9.3531249999999982E-2</v>
      </c>
      <c r="U16" s="44">
        <f>($F$16-T16)*575</f>
        <v>3.7195312500000135</v>
      </c>
      <c r="V16" s="45" t="s">
        <v>8</v>
      </c>
      <c r="W16" s="46">
        <f>IF(U16&lt;0,0,U16)</f>
        <v>3.7195312500000135</v>
      </c>
      <c r="X16" s="47" t="s">
        <v>10</v>
      </c>
      <c r="Y16" s="44">
        <f>XM.HN!E12</f>
        <v>4.5</v>
      </c>
      <c r="Z16" s="71">
        <f>(1*Y16*36.5)/(5*10)/32%/100</f>
        <v>0.10265625</v>
      </c>
      <c r="AA16" s="44">
        <f>($F$16-Z16)*575</f>
        <v>-1.5273437499999993</v>
      </c>
      <c r="AB16" s="45" t="s">
        <v>8</v>
      </c>
      <c r="AC16" s="46">
        <f>IF(AA16&lt;0,0,AA16)</f>
        <v>0</v>
      </c>
      <c r="AD16" s="47" t="s">
        <v>10</v>
      </c>
      <c r="AE16" s="44">
        <f>XM.HN!F12</f>
        <v>0</v>
      </c>
      <c r="AF16" s="71">
        <v>9.6000000000000002E-2</v>
      </c>
      <c r="AG16" s="44">
        <f>($F$16-AF16)*575</f>
        <v>2.300000000000002</v>
      </c>
      <c r="AH16" s="45" t="s">
        <v>8</v>
      </c>
      <c r="AI16" s="46">
        <f>IF(AG16&lt;0,0,AG16)</f>
        <v>2.300000000000002</v>
      </c>
      <c r="AJ16" s="47" t="s">
        <v>10</v>
      </c>
      <c r="AK16" s="44">
        <f>XM.HN!G12</f>
        <v>4.2</v>
      </c>
      <c r="AL16" s="71">
        <f>(1*AK16*36.5)/(5*10)/32%/100</f>
        <v>9.5812500000000009E-2</v>
      </c>
      <c r="AM16" s="44">
        <f>($F$16-AL16)*575</f>
        <v>2.4078124999999981</v>
      </c>
      <c r="AN16" s="45" t="s">
        <v>8</v>
      </c>
      <c r="AO16" s="46">
        <f>IF(AM16&lt;0,0,AM16)</f>
        <v>2.4078124999999981</v>
      </c>
      <c r="AP16" s="47" t="s">
        <v>10</v>
      </c>
    </row>
    <row r="17" spans="1:46" ht="34.5" customHeight="1">
      <c r="A17" s="325" t="s">
        <v>286</v>
      </c>
      <c r="B17" s="1147" t="s">
        <v>236</v>
      </c>
      <c r="C17" s="1148" t="s">
        <v>164</v>
      </c>
      <c r="D17" s="1210" t="s">
        <v>1078</v>
      </c>
      <c r="E17" s="14" t="str">
        <f>'XM.GUI MAIL'!E17</f>
        <v>0.5~1.5%
(1±0.4%)</v>
      </c>
      <c r="F17" s="1654">
        <f>'XM.GUI MAIL'!F17</f>
        <v>0.01</v>
      </c>
      <c r="G17" s="109">
        <f>XM.HN!B13</f>
        <v>0.9</v>
      </c>
      <c r="H17" s="72">
        <f>(1*G17*6.301)/5/100</f>
        <v>1.1341800000000003E-2</v>
      </c>
      <c r="I17" s="37">
        <f>($F$17-H17)*530/65%</f>
        <v>-1.0940830769230789</v>
      </c>
      <c r="J17" s="45" t="s">
        <v>8</v>
      </c>
      <c r="K17" s="48">
        <f>IF(I17&lt;0,0,I17)</f>
        <v>0</v>
      </c>
      <c r="L17" s="47" t="s">
        <v>10</v>
      </c>
      <c r="M17" s="110">
        <f>XM.HN!C13</f>
        <v>0.8</v>
      </c>
      <c r="N17" s="72">
        <f>(1*M17*6.301)/5/100</f>
        <v>1.0081600000000001E-2</v>
      </c>
      <c r="O17" s="37">
        <f>($F$17-N17)*530/65%</f>
        <v>-6.6535384615385523E-2</v>
      </c>
      <c r="P17" s="45" t="s">
        <v>8</v>
      </c>
      <c r="Q17" s="48">
        <f>IF(O17&lt;0,0,O17)</f>
        <v>0</v>
      </c>
      <c r="R17" s="47" t="s">
        <v>10</v>
      </c>
      <c r="S17" s="110">
        <f>XM.HN!D13</f>
        <v>0.9</v>
      </c>
      <c r="T17" s="72">
        <f>(1*S17*6.301)/5/100</f>
        <v>1.1341800000000003E-2</v>
      </c>
      <c r="U17" s="37">
        <f>($F$17-T17)*530/65%</f>
        <v>-1.0940830769230789</v>
      </c>
      <c r="V17" s="45" t="s">
        <v>8</v>
      </c>
      <c r="W17" s="48">
        <f>IF(U17&lt;0,0,U17)</f>
        <v>0</v>
      </c>
      <c r="X17" s="47" t="s">
        <v>10</v>
      </c>
      <c r="Y17" s="110">
        <f>XM.HN!E13</f>
        <v>1</v>
      </c>
      <c r="Z17" s="72">
        <f>(1*Y17*6.301)/5/100</f>
        <v>1.2602E-2</v>
      </c>
      <c r="AA17" s="37">
        <f>($F$17-Z17)*530/65%</f>
        <v>-2.1216307692307694</v>
      </c>
      <c r="AB17" s="45" t="s">
        <v>8</v>
      </c>
      <c r="AC17" s="48">
        <f>IF(AA17&lt;0,0,AA17)</f>
        <v>0</v>
      </c>
      <c r="AD17" s="47" t="s">
        <v>10</v>
      </c>
      <c r="AE17" s="109">
        <f>XM.HN!F13</f>
        <v>0</v>
      </c>
      <c r="AF17" s="72">
        <v>1.0999999999999999E-2</v>
      </c>
      <c r="AG17" s="37">
        <f>($F$17-AF17)*530/65%</f>
        <v>-0.81538461538461471</v>
      </c>
      <c r="AH17" s="45" t="s">
        <v>8</v>
      </c>
      <c r="AI17" s="48">
        <f>IF(AG17&lt;0,0,AG17)</f>
        <v>0</v>
      </c>
      <c r="AJ17" s="47" t="s">
        <v>10</v>
      </c>
      <c r="AK17" s="109">
        <f>XM.HN!G13</f>
        <v>0.98</v>
      </c>
      <c r="AL17" s="72">
        <f>(1*AK17*6.301)/5/100</f>
        <v>1.234996E-2</v>
      </c>
      <c r="AM17" s="37">
        <f>($F$17-AL17)*530/65%</f>
        <v>-1.9161212307692306</v>
      </c>
      <c r="AN17" s="45" t="s">
        <v>8</v>
      </c>
      <c r="AO17" s="48">
        <f>IF(AM17&lt;0,0,AM17)</f>
        <v>0</v>
      </c>
      <c r="AP17" s="47" t="s">
        <v>10</v>
      </c>
    </row>
    <row r="18" spans="1:46" ht="43.5" customHeight="1">
      <c r="A18" s="324" t="s">
        <v>287</v>
      </c>
      <c r="B18" s="1147" t="s">
        <v>236</v>
      </c>
      <c r="C18" s="1149" t="s">
        <v>77</v>
      </c>
      <c r="D18" s="54" t="s">
        <v>3</v>
      </c>
      <c r="E18" s="14" t="str">
        <f>'XM.GUI MAIL'!E18</f>
        <v>5-10%
(7.5±1%)</v>
      </c>
      <c r="F18" s="1255">
        <f>'XM.GUI MAIL'!F18</f>
        <v>7.5</v>
      </c>
      <c r="G18" s="109">
        <f>XM.HN!B14</f>
        <v>9.6</v>
      </c>
      <c r="H18" s="37">
        <f>G18*0.8</f>
        <v>7.68</v>
      </c>
      <c r="I18" s="38">
        <f>($F$18-H18)*575/95</f>
        <v>-1.0894736842105246</v>
      </c>
      <c r="J18" s="39" t="s">
        <v>8</v>
      </c>
      <c r="K18" s="40">
        <f>IF(I18&lt;0,0,I18)</f>
        <v>0</v>
      </c>
      <c r="L18" s="41" t="s">
        <v>10</v>
      </c>
      <c r="M18" s="109">
        <f>XM.HN!C14</f>
        <v>0</v>
      </c>
      <c r="N18" s="37">
        <f>M18*0.8</f>
        <v>0</v>
      </c>
      <c r="O18" s="38">
        <f>($F$18-N18)*575/95</f>
        <v>45.39473684210526</v>
      </c>
      <c r="P18" s="39" t="s">
        <v>8</v>
      </c>
      <c r="Q18" s="40">
        <f>IF(O18&lt;0,0,O18)</f>
        <v>45.39473684210526</v>
      </c>
      <c r="R18" s="41" t="s">
        <v>10</v>
      </c>
      <c r="S18" s="109">
        <f>XM.HN!D14</f>
        <v>0</v>
      </c>
      <c r="T18" s="37">
        <f>S18*0.8</f>
        <v>0</v>
      </c>
      <c r="U18" s="38">
        <f>($F$18-T18)*575/95</f>
        <v>45.39473684210526</v>
      </c>
      <c r="V18" s="39" t="s">
        <v>8</v>
      </c>
      <c r="W18" s="40">
        <f>IF(U18&lt;0,0,U18)</f>
        <v>45.39473684210526</v>
      </c>
      <c r="X18" s="41" t="s">
        <v>10</v>
      </c>
      <c r="Y18" s="109">
        <f>XM.HN!E14</f>
        <v>10</v>
      </c>
      <c r="Z18" s="37">
        <f>Y18*0.8</f>
        <v>8</v>
      </c>
      <c r="AA18" s="38">
        <f>($F$18-Z18)*575/95</f>
        <v>-3.0263157894736841</v>
      </c>
      <c r="AB18" s="39" t="s">
        <v>8</v>
      </c>
      <c r="AC18" s="40">
        <f>IF(AA18&lt;0,0,AA18)</f>
        <v>0</v>
      </c>
      <c r="AD18" s="41" t="s">
        <v>10</v>
      </c>
      <c r="AE18" s="109">
        <f>XM.HN!F14</f>
        <v>0</v>
      </c>
      <c r="AF18" s="37">
        <f>AE18*0.8</f>
        <v>0</v>
      </c>
      <c r="AG18" s="38">
        <f>($F$18-AF18)*575/95</f>
        <v>45.39473684210526</v>
      </c>
      <c r="AH18" s="39" t="s">
        <v>8</v>
      </c>
      <c r="AI18" s="40">
        <f>IF(AG18&lt;0,0,AG18)</f>
        <v>45.39473684210526</v>
      </c>
      <c r="AJ18" s="41" t="s">
        <v>10</v>
      </c>
      <c r="AK18" s="109">
        <f>XM.HN!G14</f>
        <v>0</v>
      </c>
      <c r="AL18" s="37">
        <f>AK18*0.8</f>
        <v>0</v>
      </c>
      <c r="AM18" s="38">
        <f>($F$18-AL18)*575/95</f>
        <v>45.39473684210526</v>
      </c>
      <c r="AN18" s="39" t="s">
        <v>8</v>
      </c>
      <c r="AO18" s="40">
        <f>IF(AM18&lt;0,0,AM18)</f>
        <v>45.39473684210526</v>
      </c>
      <c r="AP18" s="41" t="s">
        <v>10</v>
      </c>
    </row>
    <row r="19" spans="1:46" ht="32.25" customHeight="1">
      <c r="A19" s="54" t="s">
        <v>289</v>
      </c>
      <c r="B19" s="1147" t="s">
        <v>236</v>
      </c>
      <c r="C19" s="1150" t="s">
        <v>5</v>
      </c>
      <c r="D19" s="54" t="s">
        <v>5</v>
      </c>
      <c r="E19" s="14" t="str">
        <f>'XM.GUI MAIL'!E19</f>
        <v>1.6~2.0(1.8±0.1)</v>
      </c>
      <c r="F19" s="1655"/>
      <c r="G19" s="109"/>
      <c r="H19" s="42">
        <f>XM.HN!B15</f>
        <v>2.25</v>
      </c>
      <c r="I19" s="42"/>
      <c r="J19" s="39"/>
      <c r="K19" s="40"/>
      <c r="L19" s="42"/>
      <c r="M19" s="42"/>
      <c r="N19" s="42">
        <f>XM.HN!C15</f>
        <v>0</v>
      </c>
      <c r="O19" s="42"/>
      <c r="P19" s="39"/>
      <c r="Q19" s="40"/>
      <c r="R19" s="42"/>
      <c r="S19" s="42"/>
      <c r="T19" s="42">
        <f>XM.HN!D15</f>
        <v>0</v>
      </c>
      <c r="U19" s="42"/>
      <c r="V19" s="39"/>
      <c r="W19" s="40"/>
      <c r="X19" s="42"/>
      <c r="Y19" s="42"/>
      <c r="Z19" s="42">
        <f>XM.HN!E15</f>
        <v>2.2999999999999998</v>
      </c>
      <c r="AA19" s="42"/>
      <c r="AB19" s="39"/>
      <c r="AC19" s="40"/>
      <c r="AD19" s="42"/>
      <c r="AE19" s="42"/>
      <c r="AF19" s="42">
        <f>XM.HN!F15</f>
        <v>0</v>
      </c>
      <c r="AG19" s="42"/>
      <c r="AH19" s="39"/>
      <c r="AI19" s="40"/>
      <c r="AJ19" s="42"/>
      <c r="AK19" s="42"/>
      <c r="AL19" s="42">
        <f>XM.HN!G15</f>
        <v>0</v>
      </c>
      <c r="AM19" s="42"/>
      <c r="AN19" s="39"/>
      <c r="AO19" s="40"/>
      <c r="AP19" s="1158"/>
    </row>
    <row r="20" spans="1:46" s="233" customFormat="1" ht="54" customHeight="1">
      <c r="A20" s="335" t="s">
        <v>76</v>
      </c>
      <c r="B20" s="336"/>
      <c r="C20" s="336"/>
      <c r="D20" s="336"/>
      <c r="E20" s="349"/>
      <c r="F20" s="349"/>
      <c r="G20" s="336"/>
      <c r="H20" s="336"/>
      <c r="I20" s="336"/>
      <c r="J20" s="336"/>
      <c r="K20" s="336"/>
      <c r="L20" s="336"/>
      <c r="M20" s="336"/>
      <c r="N20" s="337"/>
      <c r="O20" s="336"/>
      <c r="P20" s="336"/>
      <c r="Q20" s="336"/>
      <c r="R20" s="337"/>
      <c r="S20" s="336"/>
      <c r="T20" s="337"/>
      <c r="U20" s="336"/>
      <c r="V20" s="336"/>
      <c r="W20" s="336"/>
      <c r="X20" s="336"/>
      <c r="Y20" s="336"/>
      <c r="Z20" s="336"/>
      <c r="AA20" s="336"/>
      <c r="AB20" s="336"/>
      <c r="AC20" s="336"/>
      <c r="AD20" s="336"/>
      <c r="AE20" s="337"/>
      <c r="AF20" s="337"/>
      <c r="AG20" s="337"/>
      <c r="AH20" s="337"/>
      <c r="AI20" s="337"/>
      <c r="AJ20" s="337"/>
      <c r="AK20" s="337"/>
      <c r="AL20" s="337"/>
      <c r="AM20" s="337"/>
      <c r="AN20" s="337"/>
      <c r="AO20" s="337"/>
      <c r="AP20" s="1165"/>
      <c r="AQ20" s="111"/>
      <c r="AR20" s="111"/>
      <c r="AS20" s="111"/>
      <c r="AT20" s="111"/>
    </row>
    <row r="21" spans="1:46" s="111" customFormat="1" ht="54" customHeight="1">
      <c r="A21" s="1153" t="s">
        <v>276</v>
      </c>
      <c r="B21" s="1146" t="s">
        <v>359</v>
      </c>
      <c r="C21" s="327" t="s">
        <v>64</v>
      </c>
      <c r="D21" s="327" t="s">
        <v>66</v>
      </c>
      <c r="E21" s="326" t="s">
        <v>67</v>
      </c>
      <c r="F21" s="1334"/>
      <c r="G21" s="112"/>
      <c r="H21" s="329" t="s">
        <v>48</v>
      </c>
      <c r="I21" s="330"/>
      <c r="J21" s="330"/>
      <c r="K21" s="329" t="s">
        <v>65</v>
      </c>
      <c r="L21" s="346"/>
      <c r="M21" s="327"/>
      <c r="N21" s="329" t="s">
        <v>48</v>
      </c>
      <c r="O21" s="330"/>
      <c r="P21" s="330"/>
      <c r="Q21" s="329" t="s">
        <v>65</v>
      </c>
      <c r="R21" s="346"/>
      <c r="S21" s="113"/>
      <c r="T21" s="329" t="s">
        <v>48</v>
      </c>
      <c r="U21" s="330"/>
      <c r="V21" s="330"/>
      <c r="W21" s="329" t="s">
        <v>65</v>
      </c>
      <c r="X21" s="346"/>
      <c r="Y21" s="114"/>
      <c r="Z21" s="329" t="s">
        <v>48</v>
      </c>
      <c r="AA21" s="330"/>
      <c r="AB21" s="330"/>
      <c r="AC21" s="329" t="s">
        <v>65</v>
      </c>
      <c r="AD21" s="346"/>
      <c r="AE21" s="114"/>
      <c r="AF21" s="329" t="s">
        <v>48</v>
      </c>
      <c r="AG21" s="330"/>
      <c r="AH21" s="330"/>
      <c r="AI21" s="329" t="s">
        <v>65</v>
      </c>
      <c r="AJ21" s="346"/>
      <c r="AK21" s="114"/>
      <c r="AL21" s="329" t="s">
        <v>48</v>
      </c>
      <c r="AM21" s="330"/>
      <c r="AN21" s="330"/>
      <c r="AO21" s="329" t="s">
        <v>65</v>
      </c>
      <c r="AP21" s="346"/>
    </row>
    <row r="22" spans="1:46" s="111" customFormat="1" ht="34.5" customHeight="1">
      <c r="A22" s="1147" t="s">
        <v>291</v>
      </c>
      <c r="B22" s="1147" t="s">
        <v>236</v>
      </c>
      <c r="C22" s="1139" t="s">
        <v>68</v>
      </c>
      <c r="D22" s="22" t="s">
        <v>113</v>
      </c>
      <c r="E22" s="1649" t="str">
        <f>'XM.GUI MAIL'!E22</f>
        <v>65~75ºC
(70±3OC)</v>
      </c>
      <c r="F22" s="1656"/>
      <c r="G22" s="115"/>
      <c r="H22" s="1866">
        <v>69</v>
      </c>
      <c r="I22" s="1867"/>
      <c r="J22" s="1868"/>
      <c r="K22" s="1869">
        <v>68</v>
      </c>
      <c r="L22" s="1869"/>
      <c r="M22" s="114"/>
      <c r="N22" s="1866">
        <v>66</v>
      </c>
      <c r="O22" s="1867"/>
      <c r="P22" s="1868"/>
      <c r="Q22" s="1869">
        <v>65</v>
      </c>
      <c r="R22" s="1869"/>
      <c r="S22" s="114"/>
      <c r="T22" s="1866">
        <v>66</v>
      </c>
      <c r="U22" s="1867"/>
      <c r="V22" s="1868"/>
      <c r="W22" s="1869">
        <v>65</v>
      </c>
      <c r="X22" s="1869"/>
      <c r="Y22" s="114"/>
      <c r="Z22" s="1866">
        <v>67</v>
      </c>
      <c r="AA22" s="1867"/>
      <c r="AB22" s="1868"/>
      <c r="AC22" s="1869">
        <v>65</v>
      </c>
      <c r="AD22" s="1869"/>
      <c r="AE22" s="114"/>
      <c r="AF22" s="1866"/>
      <c r="AG22" s="1867"/>
      <c r="AH22" s="1868"/>
      <c r="AI22" s="1869"/>
      <c r="AJ22" s="1869"/>
      <c r="AK22" s="114"/>
      <c r="AL22" s="1866">
        <v>68</v>
      </c>
      <c r="AM22" s="1867"/>
      <c r="AN22" s="1868"/>
      <c r="AO22" s="1869">
        <v>66</v>
      </c>
      <c r="AP22" s="1869"/>
    </row>
    <row r="23" spans="1:46" s="111" customFormat="1" ht="34.5" customHeight="1">
      <c r="A23" s="1147" t="s">
        <v>292</v>
      </c>
      <c r="B23" s="1147" t="s">
        <v>236</v>
      </c>
      <c r="C23" s="1139" t="s">
        <v>69</v>
      </c>
      <c r="D23" s="22" t="s">
        <v>113</v>
      </c>
      <c r="E23" s="1649" t="str">
        <f>'XM.GUI MAIL'!E23</f>
        <v>65~75ºC
(70±3OC)</v>
      </c>
      <c r="F23" s="1656"/>
      <c r="G23" s="115"/>
      <c r="H23" s="1866">
        <v>71</v>
      </c>
      <c r="I23" s="1867"/>
      <c r="J23" s="1868"/>
      <c r="K23" s="1869">
        <v>70</v>
      </c>
      <c r="L23" s="1869"/>
      <c r="M23" s="114"/>
      <c r="N23" s="1866">
        <v>71</v>
      </c>
      <c r="O23" s="1867"/>
      <c r="P23" s="1868"/>
      <c r="Q23" s="1869">
        <v>70</v>
      </c>
      <c r="R23" s="1869"/>
      <c r="S23" s="114"/>
      <c r="T23" s="1866">
        <v>71</v>
      </c>
      <c r="U23" s="1867"/>
      <c r="V23" s="1868"/>
      <c r="W23" s="1869">
        <v>70</v>
      </c>
      <c r="X23" s="1869"/>
      <c r="Y23" s="114"/>
      <c r="Z23" s="1866">
        <v>70</v>
      </c>
      <c r="AA23" s="1867"/>
      <c r="AB23" s="1868"/>
      <c r="AC23" s="1869">
        <v>69</v>
      </c>
      <c r="AD23" s="1869"/>
      <c r="AE23" s="114"/>
      <c r="AF23" s="1866"/>
      <c r="AG23" s="1867"/>
      <c r="AH23" s="1868"/>
      <c r="AI23" s="1869"/>
      <c r="AJ23" s="1869"/>
      <c r="AK23" s="114"/>
      <c r="AL23" s="1866">
        <v>71</v>
      </c>
      <c r="AM23" s="1867"/>
      <c r="AN23" s="1868"/>
      <c r="AO23" s="1869">
        <v>70</v>
      </c>
      <c r="AP23" s="1869"/>
    </row>
    <row r="24" spans="1:46" s="111" customFormat="1" ht="34.5" customHeight="1">
      <c r="A24" s="1147" t="s">
        <v>293</v>
      </c>
      <c r="B24" s="1147" t="s">
        <v>236</v>
      </c>
      <c r="C24" s="1139" t="s">
        <v>71</v>
      </c>
      <c r="D24" s="22" t="s">
        <v>113</v>
      </c>
      <c r="E24" s="1649" t="str">
        <f>'XM.GUI MAIL'!E24</f>
        <v>50~60ºC
(55±3OC)</v>
      </c>
      <c r="F24" s="1656"/>
      <c r="G24" s="115"/>
      <c r="H24" s="1866">
        <v>58</v>
      </c>
      <c r="I24" s="1867"/>
      <c r="J24" s="1868"/>
      <c r="K24" s="1866">
        <v>57</v>
      </c>
      <c r="L24" s="1867"/>
      <c r="M24" s="114"/>
      <c r="N24" s="1866">
        <v>58</v>
      </c>
      <c r="O24" s="1867"/>
      <c r="P24" s="1868"/>
      <c r="Q24" s="1866">
        <v>57</v>
      </c>
      <c r="R24" s="1867"/>
      <c r="S24" s="114"/>
      <c r="T24" s="1866">
        <v>58</v>
      </c>
      <c r="U24" s="1867"/>
      <c r="V24" s="1868"/>
      <c r="W24" s="1866">
        <v>60</v>
      </c>
      <c r="X24" s="1867"/>
      <c r="Y24" s="114"/>
      <c r="Z24" s="1866">
        <v>63</v>
      </c>
      <c r="AA24" s="1867"/>
      <c r="AB24" s="1868"/>
      <c r="AC24" s="1866">
        <v>62</v>
      </c>
      <c r="AD24" s="1867"/>
      <c r="AE24" s="114"/>
      <c r="AF24" s="1866"/>
      <c r="AG24" s="1867"/>
      <c r="AH24" s="1868"/>
      <c r="AI24" s="1866"/>
      <c r="AJ24" s="1867"/>
      <c r="AK24" s="114"/>
      <c r="AL24" s="1866">
        <v>59</v>
      </c>
      <c r="AM24" s="1867"/>
      <c r="AN24" s="1868"/>
      <c r="AO24" s="1866">
        <v>60</v>
      </c>
      <c r="AP24" s="1867"/>
    </row>
    <row r="25" spans="1:46" s="111" customFormat="1" ht="34.5" customHeight="1">
      <c r="A25" s="1147" t="s">
        <v>294</v>
      </c>
      <c r="B25" s="1147" t="s">
        <v>236</v>
      </c>
      <c r="C25" s="1139" t="s">
        <v>70</v>
      </c>
      <c r="D25" s="22" t="s">
        <v>113</v>
      </c>
      <c r="E25" s="1649" t="str">
        <f>'XM.GUI MAIL'!E25</f>
        <v>50~60ºC
(55±3OC)</v>
      </c>
      <c r="F25" s="1656"/>
      <c r="G25" s="115"/>
      <c r="H25" s="1866">
        <v>55</v>
      </c>
      <c r="I25" s="1867"/>
      <c r="J25" s="1868"/>
      <c r="K25" s="1866">
        <v>54</v>
      </c>
      <c r="L25" s="1867"/>
      <c r="M25" s="114"/>
      <c r="N25" s="1866">
        <v>56</v>
      </c>
      <c r="O25" s="1867"/>
      <c r="P25" s="1868"/>
      <c r="Q25" s="1866">
        <v>55</v>
      </c>
      <c r="R25" s="1867"/>
      <c r="S25" s="114"/>
      <c r="T25" s="1866">
        <v>56</v>
      </c>
      <c r="U25" s="1867"/>
      <c r="V25" s="1868"/>
      <c r="W25" s="1866">
        <v>54</v>
      </c>
      <c r="X25" s="1867"/>
      <c r="Y25" s="114"/>
      <c r="Z25" s="1866">
        <v>55</v>
      </c>
      <c r="AA25" s="1867"/>
      <c r="AB25" s="1868"/>
      <c r="AC25" s="1866">
        <v>54</v>
      </c>
      <c r="AD25" s="1867"/>
      <c r="AE25" s="114"/>
      <c r="AF25" s="1866"/>
      <c r="AG25" s="1867"/>
      <c r="AH25" s="1868"/>
      <c r="AI25" s="1866"/>
      <c r="AJ25" s="1867"/>
      <c r="AK25" s="114"/>
      <c r="AL25" s="1866">
        <v>56</v>
      </c>
      <c r="AM25" s="1867"/>
      <c r="AN25" s="1868"/>
      <c r="AO25" s="1866">
        <v>55</v>
      </c>
      <c r="AP25" s="1867"/>
    </row>
    <row r="26" spans="1:46" s="111" customFormat="1" ht="34.5" customHeight="1">
      <c r="A26" s="1147" t="s">
        <v>355</v>
      </c>
      <c r="B26" s="1147" t="s">
        <v>236</v>
      </c>
      <c r="C26" s="1139" t="s">
        <v>72</v>
      </c>
      <c r="D26" s="22" t="s">
        <v>113</v>
      </c>
      <c r="E26" s="1649" t="str">
        <f>'XM.GUI MAIL'!E26</f>
        <v>20~30ºC
(25±3OC)</v>
      </c>
      <c r="F26" s="1656"/>
      <c r="G26" s="115"/>
      <c r="H26" s="1866">
        <v>32</v>
      </c>
      <c r="I26" s="1867"/>
      <c r="J26" s="1868"/>
      <c r="K26" s="1869">
        <v>31</v>
      </c>
      <c r="L26" s="1869"/>
      <c r="M26" s="114"/>
      <c r="N26" s="1866">
        <v>33</v>
      </c>
      <c r="O26" s="1867"/>
      <c r="P26" s="1868"/>
      <c r="Q26" s="1869">
        <v>32</v>
      </c>
      <c r="R26" s="1869"/>
      <c r="S26" s="114"/>
      <c r="T26" s="1866">
        <v>34</v>
      </c>
      <c r="U26" s="1867"/>
      <c r="V26" s="1868"/>
      <c r="W26" s="1869">
        <v>33</v>
      </c>
      <c r="X26" s="1869"/>
      <c r="Y26" s="114"/>
      <c r="Z26" s="1866">
        <v>31</v>
      </c>
      <c r="AA26" s="1867"/>
      <c r="AB26" s="1868"/>
      <c r="AC26" s="1869">
        <v>31</v>
      </c>
      <c r="AD26" s="1869"/>
      <c r="AE26" s="114"/>
      <c r="AF26" s="1866"/>
      <c r="AG26" s="1867"/>
      <c r="AH26" s="1868"/>
      <c r="AI26" s="1869"/>
      <c r="AJ26" s="1869"/>
      <c r="AK26" s="114"/>
      <c r="AL26" s="1866">
        <v>30</v>
      </c>
      <c r="AM26" s="1867"/>
      <c r="AN26" s="1868"/>
      <c r="AO26" s="1869">
        <v>30</v>
      </c>
      <c r="AP26" s="1869"/>
    </row>
    <row r="27" spans="1:46" s="111" customFormat="1" ht="34.5" customHeight="1">
      <c r="A27" s="324" t="s">
        <v>295</v>
      </c>
      <c r="B27" s="1147" t="s">
        <v>236</v>
      </c>
      <c r="C27" s="1139" t="s">
        <v>1068</v>
      </c>
      <c r="D27" s="22" t="s">
        <v>113</v>
      </c>
      <c r="E27" s="1649" t="str">
        <f>'XM.GUI MAIL'!E27</f>
        <v>35-45ºC
(40±3OC)</v>
      </c>
      <c r="F27" s="1656"/>
      <c r="G27" s="115"/>
      <c r="H27" s="1866">
        <v>42</v>
      </c>
      <c r="I27" s="1867"/>
      <c r="J27" s="1868"/>
      <c r="K27" s="1866">
        <v>41</v>
      </c>
      <c r="L27" s="1867"/>
      <c r="M27" s="114"/>
      <c r="N27" s="1866">
        <v>42</v>
      </c>
      <c r="O27" s="1867"/>
      <c r="P27" s="1868"/>
      <c r="Q27" s="1866">
        <v>41</v>
      </c>
      <c r="R27" s="1867"/>
      <c r="S27" s="114"/>
      <c r="T27" s="1866">
        <v>42</v>
      </c>
      <c r="U27" s="1867"/>
      <c r="V27" s="1868"/>
      <c r="W27" s="1866">
        <v>41</v>
      </c>
      <c r="X27" s="1867"/>
      <c r="Y27" s="114"/>
      <c r="Z27" s="1866">
        <v>41</v>
      </c>
      <c r="AA27" s="1867"/>
      <c r="AB27" s="1868"/>
      <c r="AC27" s="1866">
        <v>42</v>
      </c>
      <c r="AD27" s="1867"/>
      <c r="AE27" s="114"/>
      <c r="AF27" s="1866"/>
      <c r="AG27" s="1867"/>
      <c r="AH27" s="1868"/>
      <c r="AI27" s="1866"/>
      <c r="AJ27" s="1867"/>
      <c r="AK27" s="114"/>
      <c r="AL27" s="1866">
        <v>40</v>
      </c>
      <c r="AM27" s="1867"/>
      <c r="AN27" s="1868"/>
      <c r="AO27" s="1866">
        <v>41</v>
      </c>
      <c r="AP27" s="1867"/>
    </row>
    <row r="28" spans="1:46" s="111" customFormat="1" ht="34.5" customHeight="1">
      <c r="A28" s="324" t="s">
        <v>296</v>
      </c>
      <c r="B28" s="1147" t="s">
        <v>236</v>
      </c>
      <c r="C28" s="1139" t="s">
        <v>73</v>
      </c>
      <c r="D28" s="22" t="s">
        <v>113</v>
      </c>
      <c r="E28" s="1649" t="str">
        <f>'XM.GUI MAIL'!E28</f>
        <v>55~65ºC
(60±3OC)</v>
      </c>
      <c r="F28" s="1656"/>
      <c r="G28" s="115"/>
      <c r="H28" s="1866">
        <v>57</v>
      </c>
      <c r="I28" s="1867"/>
      <c r="J28" s="1868"/>
      <c r="K28" s="1866">
        <v>56</v>
      </c>
      <c r="L28" s="1867"/>
      <c r="M28" s="114"/>
      <c r="N28" s="1866">
        <v>58</v>
      </c>
      <c r="O28" s="1867"/>
      <c r="P28" s="1868"/>
      <c r="Q28" s="1866">
        <v>57</v>
      </c>
      <c r="R28" s="1867"/>
      <c r="S28" s="114"/>
      <c r="T28" s="1866">
        <v>58</v>
      </c>
      <c r="U28" s="1867"/>
      <c r="V28" s="1868"/>
      <c r="W28" s="1866">
        <v>57</v>
      </c>
      <c r="X28" s="1867"/>
      <c r="Y28" s="114"/>
      <c r="Z28" s="1866">
        <v>58</v>
      </c>
      <c r="AA28" s="1867"/>
      <c r="AB28" s="1868"/>
      <c r="AC28" s="1866">
        <v>57</v>
      </c>
      <c r="AD28" s="1867"/>
      <c r="AE28" s="114"/>
      <c r="AF28" s="1866"/>
      <c r="AG28" s="1867"/>
      <c r="AH28" s="1868"/>
      <c r="AI28" s="1866"/>
      <c r="AJ28" s="1867"/>
      <c r="AK28" s="114"/>
      <c r="AL28" s="1866">
        <v>59</v>
      </c>
      <c r="AM28" s="1867"/>
      <c r="AN28" s="1868"/>
      <c r="AO28" s="1866">
        <v>58</v>
      </c>
      <c r="AP28" s="1867"/>
    </row>
    <row r="29" spans="1:46" s="111" customFormat="1" ht="34.5" customHeight="1">
      <c r="A29" s="54" t="s">
        <v>297</v>
      </c>
      <c r="B29" s="1147" t="s">
        <v>236</v>
      </c>
      <c r="C29" s="1139" t="s">
        <v>74</v>
      </c>
      <c r="D29" s="22" t="s">
        <v>113</v>
      </c>
      <c r="E29" s="1649" t="str">
        <f>'XM.GUI MAIL'!E29</f>
        <v>65~75ºC
(70±3OC)</v>
      </c>
      <c r="F29" s="1656"/>
      <c r="G29" s="115"/>
      <c r="H29" s="1870" t="s">
        <v>1069</v>
      </c>
      <c r="I29" s="1871"/>
      <c r="J29" s="1872"/>
      <c r="K29" s="1866">
        <v>73</v>
      </c>
      <c r="L29" s="1867"/>
      <c r="M29" s="1868"/>
      <c r="N29" s="1870" t="s">
        <v>1069</v>
      </c>
      <c r="O29" s="1871"/>
      <c r="P29" s="1872"/>
      <c r="Q29" s="1866">
        <v>74</v>
      </c>
      <c r="R29" s="1867"/>
      <c r="S29" s="1868"/>
      <c r="T29" s="1870" t="s">
        <v>1069</v>
      </c>
      <c r="U29" s="1871"/>
      <c r="V29" s="1872"/>
      <c r="W29" s="1866">
        <v>70</v>
      </c>
      <c r="X29" s="1867"/>
      <c r="Y29" s="1868"/>
      <c r="Z29" s="1870" t="s">
        <v>1069</v>
      </c>
      <c r="AA29" s="1871"/>
      <c r="AB29" s="1872"/>
      <c r="AC29" s="1866">
        <v>74</v>
      </c>
      <c r="AD29" s="1867"/>
      <c r="AE29" s="1868"/>
      <c r="AF29" s="1870" t="s">
        <v>1069</v>
      </c>
      <c r="AG29" s="1871"/>
      <c r="AH29" s="1872"/>
      <c r="AI29" s="1866"/>
      <c r="AJ29" s="1867"/>
      <c r="AK29" s="1868"/>
      <c r="AL29" s="1870" t="s">
        <v>1069</v>
      </c>
      <c r="AM29" s="1871"/>
      <c r="AN29" s="1872"/>
      <c r="AO29" s="1866">
        <v>73</v>
      </c>
      <c r="AP29" s="1867"/>
    </row>
    <row r="30" spans="1:46" s="233" customFormat="1" ht="54" customHeight="1">
      <c r="A30" s="335" t="s">
        <v>78</v>
      </c>
      <c r="B30" s="336"/>
      <c r="C30" s="336"/>
      <c r="D30" s="336"/>
      <c r="E30" s="349"/>
      <c r="F30" s="349"/>
      <c r="G30" s="336"/>
      <c r="H30" s="336"/>
      <c r="I30" s="336"/>
      <c r="J30" s="336"/>
      <c r="K30" s="336"/>
      <c r="L30" s="336"/>
      <c r="M30" s="336"/>
      <c r="N30" s="337"/>
      <c r="O30" s="336"/>
      <c r="P30" s="336"/>
      <c r="Q30" s="336"/>
      <c r="R30" s="337"/>
      <c r="S30" s="336"/>
      <c r="T30" s="337"/>
      <c r="U30" s="336"/>
      <c r="V30" s="336"/>
      <c r="W30" s="336"/>
      <c r="X30" s="336"/>
      <c r="Y30" s="336"/>
      <c r="Z30" s="336"/>
      <c r="AA30" s="336"/>
      <c r="AB30" s="336"/>
      <c r="AC30" s="336"/>
      <c r="AD30" s="336"/>
      <c r="AE30" s="337"/>
      <c r="AF30" s="337"/>
      <c r="AG30" s="337"/>
      <c r="AH30" s="337"/>
      <c r="AI30" s="337"/>
      <c r="AJ30" s="337"/>
      <c r="AK30" s="337"/>
      <c r="AL30" s="337"/>
      <c r="AM30" s="337"/>
      <c r="AN30" s="337"/>
      <c r="AO30" s="337"/>
      <c r="AP30" s="1155"/>
      <c r="AQ30" s="111"/>
      <c r="AR30" s="111"/>
      <c r="AS30" s="111"/>
      <c r="AT30" s="111"/>
    </row>
    <row r="31" spans="1:46" s="111" customFormat="1" ht="45.75" customHeight="1">
      <c r="A31" s="324" t="s">
        <v>298</v>
      </c>
      <c r="B31" s="1147" t="s">
        <v>236</v>
      </c>
      <c r="C31" s="1149" t="s">
        <v>54</v>
      </c>
      <c r="D31" s="116" t="s">
        <v>50</v>
      </c>
      <c r="E31" s="1109" t="str">
        <f>'XM.GUI MAIL'!E31</f>
        <v>300-360</v>
      </c>
      <c r="F31" s="1657"/>
      <c r="G31" s="328"/>
      <c r="H31" s="1866">
        <v>350</v>
      </c>
      <c r="I31" s="1867"/>
      <c r="J31" s="1867"/>
      <c r="K31" s="1867"/>
      <c r="L31" s="1868"/>
      <c r="M31" s="327"/>
      <c r="N31" s="1866">
        <v>345</v>
      </c>
      <c r="O31" s="1867"/>
      <c r="P31" s="1867"/>
      <c r="Q31" s="1867"/>
      <c r="R31" s="1868"/>
      <c r="T31" s="1866">
        <v>330</v>
      </c>
      <c r="U31" s="1867"/>
      <c r="V31" s="1867"/>
      <c r="W31" s="1867"/>
      <c r="X31" s="1868"/>
      <c r="Y31" s="1152"/>
      <c r="Z31" s="1866">
        <v>335</v>
      </c>
      <c r="AA31" s="1867"/>
      <c r="AB31" s="1867"/>
      <c r="AC31" s="1867"/>
      <c r="AD31" s="1868"/>
      <c r="AE31" s="310"/>
      <c r="AF31" s="1866"/>
      <c r="AG31" s="1867"/>
      <c r="AH31" s="1867"/>
      <c r="AI31" s="1867"/>
      <c r="AJ31" s="1868"/>
      <c r="AK31" s="310"/>
      <c r="AL31" s="1866">
        <v>340</v>
      </c>
      <c r="AM31" s="1867"/>
      <c r="AN31" s="1867"/>
      <c r="AO31" s="1867"/>
      <c r="AP31" s="1868"/>
    </row>
    <row r="32" spans="1:46" s="111" customFormat="1" ht="45.75" customHeight="1">
      <c r="A32" s="324" t="s">
        <v>299</v>
      </c>
      <c r="B32" s="1147" t="s">
        <v>236</v>
      </c>
      <c r="C32" s="127" t="s">
        <v>55</v>
      </c>
      <c r="D32" s="116" t="s">
        <v>50</v>
      </c>
      <c r="E32" s="1109" t="str">
        <f>'XM.GUI MAIL'!E32</f>
        <v>30-50</v>
      </c>
      <c r="F32" s="14"/>
      <c r="G32" s="55"/>
      <c r="H32" s="1866">
        <v>44</v>
      </c>
      <c r="I32" s="1867"/>
      <c r="J32" s="1867"/>
      <c r="K32" s="1867"/>
      <c r="L32" s="1868"/>
      <c r="M32" s="1144"/>
      <c r="N32" s="1866">
        <v>42</v>
      </c>
      <c r="O32" s="1867"/>
      <c r="P32" s="1867"/>
      <c r="Q32" s="1867"/>
      <c r="R32" s="1868"/>
      <c r="S32" s="1153"/>
      <c r="T32" s="1866">
        <v>42</v>
      </c>
      <c r="U32" s="1867"/>
      <c r="V32" s="1867"/>
      <c r="W32" s="1867"/>
      <c r="X32" s="1868"/>
      <c r="Y32" s="1144"/>
      <c r="Z32" s="1866">
        <v>40</v>
      </c>
      <c r="AA32" s="1867"/>
      <c r="AB32" s="1867"/>
      <c r="AC32" s="1867"/>
      <c r="AD32" s="1868"/>
      <c r="AE32" s="1138"/>
      <c r="AF32" s="1866"/>
      <c r="AG32" s="1867"/>
      <c r="AH32" s="1867"/>
      <c r="AI32" s="1867"/>
      <c r="AJ32" s="1868"/>
      <c r="AK32" s="1138"/>
      <c r="AL32" s="1866">
        <v>42</v>
      </c>
      <c r="AM32" s="1867"/>
      <c r="AN32" s="1867"/>
      <c r="AO32" s="1867"/>
      <c r="AP32" s="1868"/>
    </row>
    <row r="33" spans="1:42" ht="26.25" customHeight="1">
      <c r="A33" s="323"/>
      <c r="B33" s="323"/>
      <c r="C33" s="312"/>
      <c r="D33" s="312"/>
      <c r="E33" s="1650"/>
      <c r="F33" s="1650"/>
      <c r="G33" s="312"/>
      <c r="H33" s="312"/>
      <c r="I33" s="312"/>
      <c r="J33" s="312"/>
      <c r="K33" s="312"/>
      <c r="L33" s="312"/>
      <c r="M33" s="312"/>
      <c r="N33" s="312"/>
      <c r="O33" s="312"/>
      <c r="P33" s="312"/>
      <c r="Q33" s="312"/>
      <c r="R33" s="312"/>
      <c r="S33" s="312"/>
      <c r="T33" s="312"/>
      <c r="U33" s="312"/>
      <c r="V33" s="312"/>
      <c r="W33" s="312"/>
      <c r="X33" s="312"/>
      <c r="Y33" s="312"/>
      <c r="Z33" s="312"/>
      <c r="AA33" s="312"/>
      <c r="AB33" s="312"/>
      <c r="AC33" s="312"/>
      <c r="AD33" s="312"/>
      <c r="AJ33" s="308"/>
      <c r="AP33" s="308"/>
    </row>
    <row r="34" spans="1:42" ht="41.25" customHeight="1">
      <c r="A34" s="1228" t="s">
        <v>233</v>
      </c>
      <c r="B34" s="1229"/>
      <c r="C34" s="1230"/>
      <c r="D34" s="1230"/>
      <c r="E34" s="1648"/>
      <c r="F34" s="1653" t="s">
        <v>92</v>
      </c>
      <c r="G34" s="1231"/>
      <c r="H34" s="1232"/>
      <c r="I34" s="1231"/>
      <c r="J34" s="1231"/>
      <c r="K34" s="1233"/>
      <c r="L34" s="1233"/>
      <c r="M34" s="1233"/>
      <c r="N34" s="1233"/>
      <c r="O34" s="1233"/>
      <c r="P34" s="1233"/>
      <c r="Q34" s="1233"/>
      <c r="R34" s="1231"/>
      <c r="S34" s="1231"/>
      <c r="T34" s="1231"/>
      <c r="U34" s="1231"/>
      <c r="V34" s="1231"/>
      <c r="W34" s="1231"/>
      <c r="X34" s="1231"/>
      <c r="Y34" s="1231"/>
      <c r="Z34" s="1231"/>
      <c r="AA34" s="1231"/>
      <c r="AB34" s="1231"/>
      <c r="AC34" s="1231"/>
      <c r="AD34" s="1231"/>
      <c r="AE34" s="1226"/>
      <c r="AF34" s="1229" t="s">
        <v>233</v>
      </c>
      <c r="AG34" s="1234"/>
      <c r="AH34" s="1234"/>
      <c r="AI34" s="1234"/>
      <c r="AJ34" s="1234"/>
      <c r="AK34" s="1234"/>
      <c r="AL34" s="1234"/>
      <c r="AM34" s="1234"/>
      <c r="AN34" s="1234"/>
      <c r="AO34" s="1234"/>
      <c r="AP34" s="1235"/>
    </row>
    <row r="35" spans="1:42" ht="36.75" customHeight="1">
      <c r="A35" s="1145"/>
      <c r="B35" s="1145"/>
      <c r="C35" s="1145"/>
      <c r="D35" s="1145"/>
      <c r="E35" s="1585"/>
      <c r="F35" s="1873" t="s">
        <v>141</v>
      </c>
      <c r="G35" s="105"/>
      <c r="H35" s="314" t="s">
        <v>241</v>
      </c>
      <c r="I35" s="314"/>
      <c r="J35" s="314"/>
      <c r="K35" s="314"/>
      <c r="L35" s="314"/>
      <c r="M35" s="106"/>
      <c r="N35" s="331" t="s">
        <v>242</v>
      </c>
      <c r="O35" s="314"/>
      <c r="P35" s="314"/>
      <c r="Q35" s="314"/>
      <c r="R35" s="315"/>
      <c r="S35" s="314"/>
      <c r="T35" s="314" t="s">
        <v>243</v>
      </c>
      <c r="U35" s="314"/>
      <c r="V35" s="314"/>
      <c r="W35" s="314"/>
      <c r="X35" s="314"/>
      <c r="Y35" s="106"/>
      <c r="Z35" s="331" t="s">
        <v>244</v>
      </c>
      <c r="AA35" s="314"/>
      <c r="AB35" s="314"/>
      <c r="AC35" s="314"/>
      <c r="AD35" s="315"/>
      <c r="AE35" s="314"/>
      <c r="AF35" s="314" t="s">
        <v>245</v>
      </c>
      <c r="AG35" s="314"/>
      <c r="AH35" s="314"/>
      <c r="AI35" s="314"/>
      <c r="AJ35" s="314"/>
      <c r="AK35" s="314"/>
      <c r="AL35" s="331" t="s">
        <v>246</v>
      </c>
      <c r="AM35" s="314"/>
      <c r="AN35" s="314"/>
      <c r="AO35" s="315"/>
      <c r="AP35" s="1154"/>
    </row>
    <row r="36" spans="1:42" ht="63.75" customHeight="1">
      <c r="A36" s="1146" t="s">
        <v>276</v>
      </c>
      <c r="B36" s="1146" t="s">
        <v>359</v>
      </c>
      <c r="C36" s="1152" t="s">
        <v>357</v>
      </c>
      <c r="D36" s="1146" t="s">
        <v>137</v>
      </c>
      <c r="E36" s="1586" t="s">
        <v>67</v>
      </c>
      <c r="F36" s="1874"/>
      <c r="G36" s="21"/>
      <c r="H36" s="1145" t="s">
        <v>146</v>
      </c>
      <c r="I36" s="36" t="s">
        <v>1</v>
      </c>
      <c r="J36" s="332" t="s">
        <v>1</v>
      </c>
      <c r="K36" s="332"/>
      <c r="L36" s="333"/>
      <c r="M36" s="107"/>
      <c r="N36" s="1145" t="s">
        <v>146</v>
      </c>
      <c r="O36" s="36" t="s">
        <v>1</v>
      </c>
      <c r="P36" s="332" t="s">
        <v>1</v>
      </c>
      <c r="Q36" s="332"/>
      <c r="R36" s="333"/>
      <c r="S36" s="21"/>
      <c r="T36" s="1145" t="s">
        <v>146</v>
      </c>
      <c r="U36" s="36" t="s">
        <v>1</v>
      </c>
      <c r="V36" s="332" t="s">
        <v>1</v>
      </c>
      <c r="W36" s="332"/>
      <c r="X36" s="333"/>
      <c r="Y36" s="107"/>
      <c r="Z36" s="1145" t="s">
        <v>146</v>
      </c>
      <c r="AA36" s="36" t="s">
        <v>1</v>
      </c>
      <c r="AB36" s="332" t="s">
        <v>1</v>
      </c>
      <c r="AC36" s="332"/>
      <c r="AD36" s="333"/>
      <c r="AE36" s="107"/>
      <c r="AF36" s="1145" t="s">
        <v>146</v>
      </c>
      <c r="AG36" s="36" t="s">
        <v>1</v>
      </c>
      <c r="AH36" s="332" t="s">
        <v>1</v>
      </c>
      <c r="AI36" s="332"/>
      <c r="AJ36" s="333"/>
      <c r="AK36" s="107"/>
      <c r="AL36" s="1145" t="s">
        <v>146</v>
      </c>
      <c r="AM36" s="36" t="s">
        <v>1</v>
      </c>
      <c r="AN36" s="332" t="s">
        <v>1</v>
      </c>
      <c r="AO36" s="332"/>
      <c r="AP36" s="333"/>
    </row>
    <row r="37" spans="1:42" ht="34.5" customHeight="1">
      <c r="A37" s="1147" t="s">
        <v>300</v>
      </c>
      <c r="B37" s="1147" t="s">
        <v>235</v>
      </c>
      <c r="C37" s="1147" t="s">
        <v>80</v>
      </c>
      <c r="D37" s="1153" t="s">
        <v>4</v>
      </c>
      <c r="E37" s="14" t="str">
        <f>'XM.GUI MAIL'!E37</f>
        <v>60~80g/L
(70±5g/L)</v>
      </c>
      <c r="F37" s="1658">
        <f>'XM.GUI MAIL'!F37</f>
        <v>70</v>
      </c>
      <c r="G37" s="109">
        <f>XM.HN!B19</f>
        <v>11.1</v>
      </c>
      <c r="H37" s="64">
        <f>G37*6.49</f>
        <v>72.039000000000001</v>
      </c>
      <c r="I37" s="36">
        <f>($F$37-H37)*2693/1000</f>
        <v>-5.4910270000000034</v>
      </c>
      <c r="J37" s="39" t="s">
        <v>8</v>
      </c>
      <c r="K37" s="40">
        <f>IF(I37&lt;0,0,I37)</f>
        <v>0</v>
      </c>
      <c r="L37" s="45" t="s">
        <v>9</v>
      </c>
      <c r="M37" s="107">
        <f>XM.HN!C19</f>
        <v>10.9</v>
      </c>
      <c r="N37" s="64">
        <f>M37*6.49</f>
        <v>70.741</v>
      </c>
      <c r="O37" s="36">
        <f>($F$37-N37)*2693/1000</f>
        <v>-1.995512999999999</v>
      </c>
      <c r="P37" s="39" t="s">
        <v>8</v>
      </c>
      <c r="Q37" s="40">
        <f>IF(O37&lt;0,0,O37)</f>
        <v>0</v>
      </c>
      <c r="R37" s="45" t="s">
        <v>9</v>
      </c>
      <c r="S37" s="21">
        <f>XM.HN!D19</f>
        <v>11.3</v>
      </c>
      <c r="T37" s="64">
        <v>70.2</v>
      </c>
      <c r="U37" s="36">
        <f>($F$37-T37)*2693/1000</f>
        <v>-0.53860000000000763</v>
      </c>
      <c r="V37" s="39" t="s">
        <v>8</v>
      </c>
      <c r="W37" s="40">
        <f>IF(U37&lt;0,0,U37)</f>
        <v>0</v>
      </c>
      <c r="X37" s="45" t="s">
        <v>9</v>
      </c>
      <c r="Y37" s="107">
        <f>XM.HN!E19</f>
        <v>11.1</v>
      </c>
      <c r="Z37" s="64">
        <v>70</v>
      </c>
      <c r="AA37" s="36">
        <f>($F$37-Z37)*2693/1000</f>
        <v>0</v>
      </c>
      <c r="AB37" s="39" t="s">
        <v>8</v>
      </c>
      <c r="AC37" s="40">
        <f>IF(AA37&lt;0,0,AA37)</f>
        <v>0</v>
      </c>
      <c r="AD37" s="45" t="s">
        <v>9</v>
      </c>
      <c r="AE37" s="107">
        <f>XM.HN!F19</f>
        <v>0</v>
      </c>
      <c r="AF37" s="64">
        <v>69.5</v>
      </c>
      <c r="AG37" s="36">
        <f>($F$37-AF37)*2693/1000</f>
        <v>1.3465</v>
      </c>
      <c r="AH37" s="39" t="s">
        <v>8</v>
      </c>
      <c r="AI37" s="40">
        <f>IF(AG37&lt;0,0,AG37)</f>
        <v>1.3465</v>
      </c>
      <c r="AJ37" s="45" t="s">
        <v>9</v>
      </c>
      <c r="AK37" s="107">
        <f>XM.HN!G19</f>
        <v>11</v>
      </c>
      <c r="AL37" s="64">
        <v>69</v>
      </c>
      <c r="AM37" s="36">
        <f>($F$37-AL37)*2693/1000</f>
        <v>2.6930000000000001</v>
      </c>
      <c r="AN37" s="39" t="s">
        <v>8</v>
      </c>
      <c r="AO37" s="40">
        <f>IF(AM37&lt;0,0,AM37)</f>
        <v>2.6930000000000001</v>
      </c>
      <c r="AP37" s="41" t="s">
        <v>9</v>
      </c>
    </row>
    <row r="38" spans="1:42" ht="34.5" customHeight="1">
      <c r="A38" s="1147" t="s">
        <v>301</v>
      </c>
      <c r="B38" s="1147" t="s">
        <v>235</v>
      </c>
      <c r="C38" s="1147" t="s">
        <v>81</v>
      </c>
      <c r="D38" s="1153" t="s">
        <v>4</v>
      </c>
      <c r="E38" s="14" t="str">
        <f>'XM.GUI MAIL'!E38</f>
        <v>60~80g/L
(70±5g/L)</v>
      </c>
      <c r="F38" s="1658">
        <f>'XM.GUI MAIL'!F38</f>
        <v>70</v>
      </c>
      <c r="G38" s="109">
        <f>XM.HN!B20</f>
        <v>12.2</v>
      </c>
      <c r="H38" s="64">
        <v>70.3</v>
      </c>
      <c r="I38" s="36">
        <f>($F$38-H38)*3305/1000</f>
        <v>-0.99149999999999061</v>
      </c>
      <c r="J38" s="39" t="s">
        <v>8</v>
      </c>
      <c r="K38" s="40">
        <f>IF(I38&lt;0,0,I38)</f>
        <v>0</v>
      </c>
      <c r="L38" s="45" t="s">
        <v>9</v>
      </c>
      <c r="M38" s="107">
        <f>XM.HN!C20</f>
        <v>12.2</v>
      </c>
      <c r="N38" s="64">
        <v>70.099999999999994</v>
      </c>
      <c r="O38" s="36">
        <f>($F$38-N38)*3305/1000</f>
        <v>-0.33049999999998125</v>
      </c>
      <c r="P38" s="39" t="s">
        <v>8</v>
      </c>
      <c r="Q38" s="40">
        <f>IF(O38&lt;0,0,O38)</f>
        <v>0</v>
      </c>
      <c r="R38" s="45" t="s">
        <v>9</v>
      </c>
      <c r="S38" s="21">
        <f>XM.HN!D20</f>
        <v>12.3</v>
      </c>
      <c r="T38" s="64">
        <v>70</v>
      </c>
      <c r="U38" s="36">
        <f>($F$38-T38)*3305/1000</f>
        <v>0</v>
      </c>
      <c r="V38" s="39" t="s">
        <v>8</v>
      </c>
      <c r="W38" s="40">
        <f>IF(U38&lt;0,0,U38)</f>
        <v>0</v>
      </c>
      <c r="X38" s="45" t="s">
        <v>9</v>
      </c>
      <c r="Y38" s="107">
        <f>XM.HN!E20</f>
        <v>12.5</v>
      </c>
      <c r="Z38" s="64">
        <v>70</v>
      </c>
      <c r="AA38" s="36">
        <f>($F$38-Z38)*3305/1000</f>
        <v>0</v>
      </c>
      <c r="AB38" s="39" t="s">
        <v>8</v>
      </c>
      <c r="AC38" s="40">
        <f>IF(AA38&lt;0,0,AA38)</f>
        <v>0</v>
      </c>
      <c r="AD38" s="45" t="s">
        <v>9</v>
      </c>
      <c r="AE38" s="107">
        <f>XM.HN!F20</f>
        <v>0</v>
      </c>
      <c r="AF38" s="64">
        <v>70</v>
      </c>
      <c r="AG38" s="36">
        <f>($F$38-AF38)*3305/1000</f>
        <v>0</v>
      </c>
      <c r="AH38" s="39" t="s">
        <v>8</v>
      </c>
      <c r="AI38" s="40">
        <f>IF(AG38&lt;0,0,AG38)</f>
        <v>0</v>
      </c>
      <c r="AJ38" s="45" t="s">
        <v>9</v>
      </c>
      <c r="AK38" s="107">
        <f>XM.HN!G20</f>
        <v>12.4</v>
      </c>
      <c r="AL38" s="64">
        <v>69.5</v>
      </c>
      <c r="AM38" s="36">
        <f>($F$38-AL38)*3305/1000</f>
        <v>1.6525000000000001</v>
      </c>
      <c r="AN38" s="39" t="s">
        <v>8</v>
      </c>
      <c r="AO38" s="40">
        <f>IF(AM38&lt;0,0,AM38)</f>
        <v>1.6525000000000001</v>
      </c>
      <c r="AP38" s="41" t="s">
        <v>9</v>
      </c>
    </row>
    <row r="39" spans="1:42" ht="34.5" customHeight="1">
      <c r="A39" s="1147" t="s">
        <v>302</v>
      </c>
      <c r="B39" s="1147" t="s">
        <v>235</v>
      </c>
      <c r="C39" s="1147" t="s">
        <v>52</v>
      </c>
      <c r="D39" s="54" t="s">
        <v>4</v>
      </c>
      <c r="E39" s="14" t="str">
        <f>'XM.GUI MAIL'!E39</f>
        <v>50~70g/L
(60±5g/L)</v>
      </c>
      <c r="F39" s="1658">
        <f>'XM.GUI MAIL'!F39</f>
        <v>60</v>
      </c>
      <c r="G39" s="109">
        <f>XM.HN!B21</f>
        <v>11.2</v>
      </c>
      <c r="H39" s="64">
        <v>59.3</v>
      </c>
      <c r="I39" s="36">
        <f>($F$39-H39)*1156/1000</f>
        <v>0.80920000000000325</v>
      </c>
      <c r="J39" s="39" t="s">
        <v>8</v>
      </c>
      <c r="K39" s="40">
        <f>IF(I39&lt;0,0,I39)</f>
        <v>0.80920000000000325</v>
      </c>
      <c r="L39" s="45" t="s">
        <v>9</v>
      </c>
      <c r="M39" s="107">
        <f>XM.HN!C21</f>
        <v>11.6</v>
      </c>
      <c r="N39" s="64">
        <v>61.2</v>
      </c>
      <c r="O39" s="36">
        <f>($F$39-N39)*1156/1000</f>
        <v>-1.3872000000000033</v>
      </c>
      <c r="P39" s="39" t="s">
        <v>8</v>
      </c>
      <c r="Q39" s="40">
        <f>IF(O39&lt;0,0,O39)</f>
        <v>0</v>
      </c>
      <c r="R39" s="45" t="s">
        <v>9</v>
      </c>
      <c r="S39" s="21">
        <f>XM.HN!D21</f>
        <v>12.1</v>
      </c>
      <c r="T39" s="64">
        <v>60.3</v>
      </c>
      <c r="U39" s="36">
        <f>($F$39-T39)*1156/1000</f>
        <v>-0.34679999999999672</v>
      </c>
      <c r="V39" s="39" t="s">
        <v>8</v>
      </c>
      <c r="W39" s="40">
        <f>IF(U39&lt;0,0,U39)</f>
        <v>0</v>
      </c>
      <c r="X39" s="45" t="s">
        <v>9</v>
      </c>
      <c r="Y39" s="107">
        <f>XM.HN!E21</f>
        <v>13.5</v>
      </c>
      <c r="Z39" s="64">
        <v>61.5</v>
      </c>
      <c r="AA39" s="36">
        <f>($F$39-Z39)*1156/1000</f>
        <v>-1.734</v>
      </c>
      <c r="AB39" s="39" t="s">
        <v>8</v>
      </c>
      <c r="AC39" s="40">
        <f>IF(AA39&lt;0,0,AA39)</f>
        <v>0</v>
      </c>
      <c r="AD39" s="45" t="s">
        <v>9</v>
      </c>
      <c r="AE39" s="107">
        <f>XM.HN!F21</f>
        <v>0</v>
      </c>
      <c r="AF39" s="64">
        <v>61.2</v>
      </c>
      <c r="AG39" s="36">
        <f>($F$39-AF39)*1156/1000</f>
        <v>-1.3872000000000033</v>
      </c>
      <c r="AH39" s="39" t="s">
        <v>8</v>
      </c>
      <c r="AI39" s="40">
        <f>IF(AG39&lt;0,0,AG39)</f>
        <v>0</v>
      </c>
      <c r="AJ39" s="45" t="s">
        <v>9</v>
      </c>
      <c r="AK39" s="107">
        <f>XM.HN!G21</f>
        <v>13.2</v>
      </c>
      <c r="AL39" s="64">
        <f>AK39*4.62</f>
        <v>60.983999999999995</v>
      </c>
      <c r="AM39" s="36">
        <f>($F$39-AL39)*1156/1000</f>
        <v>-1.1375039999999939</v>
      </c>
      <c r="AN39" s="39" t="s">
        <v>8</v>
      </c>
      <c r="AO39" s="40">
        <f>IF(AM39&lt;0,0,AM39)</f>
        <v>0</v>
      </c>
      <c r="AP39" s="41" t="s">
        <v>9</v>
      </c>
    </row>
    <row r="40" spans="1:42" ht="34.5" customHeight="1">
      <c r="A40" s="1147" t="s">
        <v>303</v>
      </c>
      <c r="B40" s="1147" t="s">
        <v>235</v>
      </c>
      <c r="C40" s="1147" t="s">
        <v>53</v>
      </c>
      <c r="D40" s="54" t="s">
        <v>4</v>
      </c>
      <c r="E40" s="14" t="str">
        <f>'XM.GUI MAIL'!E40</f>
        <v>50~70g/L
(60±5g/L)</v>
      </c>
      <c r="F40" s="1658">
        <f>'XM.GUI MAIL'!F40</f>
        <v>60</v>
      </c>
      <c r="G40" s="109">
        <f>XM.HN!B22</f>
        <v>16.399999999999999</v>
      </c>
      <c r="H40" s="64">
        <v>60.3</v>
      </c>
      <c r="I40" s="36">
        <f>($F$40-H40)*1459/1000</f>
        <v>-0.43769999999999581</v>
      </c>
      <c r="J40" s="39" t="s">
        <v>8</v>
      </c>
      <c r="K40" s="40">
        <f>IF(I40&lt;0,0,I40)</f>
        <v>0</v>
      </c>
      <c r="L40" s="45" t="s">
        <v>9</v>
      </c>
      <c r="M40" s="107">
        <f>XM.HN!C22</f>
        <v>9.1999999999999993</v>
      </c>
      <c r="N40" s="64">
        <v>60</v>
      </c>
      <c r="O40" s="36">
        <f>($F$40-N40)*1459/1000</f>
        <v>0</v>
      </c>
      <c r="P40" s="39" t="s">
        <v>8</v>
      </c>
      <c r="Q40" s="40">
        <f>IF(O40&lt;0,0,O40)</f>
        <v>0</v>
      </c>
      <c r="R40" s="45" t="s">
        <v>9</v>
      </c>
      <c r="S40" s="21">
        <f>XM.HN!D22</f>
        <v>11.7</v>
      </c>
      <c r="T40" s="64">
        <v>59.6</v>
      </c>
      <c r="U40" s="36">
        <f>($F$40-T40)*1459/1000</f>
        <v>0.58359999999999801</v>
      </c>
      <c r="V40" s="39" t="s">
        <v>8</v>
      </c>
      <c r="W40" s="40">
        <f>IF(U40&lt;0,0,U40)</f>
        <v>0.58359999999999801</v>
      </c>
      <c r="X40" s="45" t="s">
        <v>9</v>
      </c>
      <c r="Y40" s="107">
        <f>XM.HN!E22</f>
        <v>12.6</v>
      </c>
      <c r="Z40" s="64">
        <v>59</v>
      </c>
      <c r="AA40" s="36">
        <f>($F$40-Z40)*1459/1000</f>
        <v>1.4590000000000001</v>
      </c>
      <c r="AB40" s="39" t="s">
        <v>8</v>
      </c>
      <c r="AC40" s="40">
        <f>IF(AA40&lt;0,0,AA40)</f>
        <v>1.4590000000000001</v>
      </c>
      <c r="AD40" s="45" t="s">
        <v>9</v>
      </c>
      <c r="AE40" s="107">
        <f>XM.HN!F22</f>
        <v>0</v>
      </c>
      <c r="AF40" s="64">
        <v>59.5</v>
      </c>
      <c r="AG40" s="36">
        <f>($F$40-AF40)*1459/1000</f>
        <v>0.72950000000000004</v>
      </c>
      <c r="AH40" s="39" t="s">
        <v>8</v>
      </c>
      <c r="AI40" s="40">
        <f>IF(AG40&lt;0,0,AG40)</f>
        <v>0.72950000000000004</v>
      </c>
      <c r="AJ40" s="45" t="s">
        <v>9</v>
      </c>
      <c r="AK40" s="107">
        <f>XM.HN!G22</f>
        <v>12.5</v>
      </c>
      <c r="AL40" s="64">
        <v>59</v>
      </c>
      <c r="AM40" s="36">
        <f>($F$40-AL40)*1459/1000</f>
        <v>1.4590000000000001</v>
      </c>
      <c r="AN40" s="39" t="s">
        <v>8</v>
      </c>
      <c r="AO40" s="40">
        <f>IF(AM40&lt;0,0,AM40)</f>
        <v>1.4590000000000001</v>
      </c>
      <c r="AP40" s="41" t="s">
        <v>9</v>
      </c>
    </row>
    <row r="41" spans="1:42" ht="34.5" customHeight="1">
      <c r="A41" s="1147" t="s">
        <v>304</v>
      </c>
      <c r="B41" s="1147" t="s">
        <v>235</v>
      </c>
      <c r="C41" s="1148" t="s">
        <v>59</v>
      </c>
      <c r="D41" s="1153" t="s">
        <v>4</v>
      </c>
      <c r="E41" s="14" t="str">
        <f>'XM.GUI MAIL'!E41</f>
        <v>130 - 150g/L
(140±10g/L)</v>
      </c>
      <c r="F41" s="1658">
        <f>'XM.GUI MAIL'!F41</f>
        <v>140</v>
      </c>
      <c r="G41" s="109">
        <f>XM.HN!B23</f>
        <v>17.5</v>
      </c>
      <c r="H41" s="64">
        <f>G41*8</f>
        <v>140</v>
      </c>
      <c r="I41" s="36">
        <f>($F$41-H41)*19951/1000</f>
        <v>0</v>
      </c>
      <c r="J41" s="39" t="s">
        <v>8</v>
      </c>
      <c r="K41" s="40">
        <f t="shared" ref="K41:K43" si="11">IF(I41&lt;0,0,I41)</f>
        <v>0</v>
      </c>
      <c r="L41" s="45" t="s">
        <v>9</v>
      </c>
      <c r="M41" s="107">
        <f>XM.HN!C23</f>
        <v>17.5</v>
      </c>
      <c r="N41" s="64">
        <f>M41*8</f>
        <v>140</v>
      </c>
      <c r="O41" s="36">
        <f>($F$41-N41)*19951/1000</f>
        <v>0</v>
      </c>
      <c r="P41" s="39" t="s">
        <v>8</v>
      </c>
      <c r="Q41" s="40">
        <f t="shared" ref="Q41:Q43" si="12">IF(O41&lt;0,0,O41)</f>
        <v>0</v>
      </c>
      <c r="R41" s="45" t="s">
        <v>9</v>
      </c>
      <c r="S41" s="21">
        <f>XM.HN!D23</f>
        <v>17.5</v>
      </c>
      <c r="T41" s="64">
        <f>S41*8</f>
        <v>140</v>
      </c>
      <c r="U41" s="36">
        <f>($F$41-T41)*19951/1000</f>
        <v>0</v>
      </c>
      <c r="V41" s="39" t="s">
        <v>8</v>
      </c>
      <c r="W41" s="40">
        <f t="shared" ref="W41:W43" si="13">IF(U41&lt;0,0,U41)</f>
        <v>0</v>
      </c>
      <c r="X41" s="45" t="s">
        <v>9</v>
      </c>
      <c r="Y41" s="107">
        <f>XM.HN!E23</f>
        <v>17.5</v>
      </c>
      <c r="Z41" s="64">
        <f>Y41*8</f>
        <v>140</v>
      </c>
      <c r="AA41" s="36">
        <f>($F$41-Z41)*19951/1000</f>
        <v>0</v>
      </c>
      <c r="AB41" s="39" t="s">
        <v>8</v>
      </c>
      <c r="AC41" s="40">
        <f t="shared" ref="AC41:AC43" si="14">IF(AA41&lt;0,0,AA41)</f>
        <v>0</v>
      </c>
      <c r="AD41" s="45" t="s">
        <v>9</v>
      </c>
      <c r="AE41" s="107">
        <f>XM.HN!F23</f>
        <v>0</v>
      </c>
      <c r="AF41" s="64">
        <v>139.6</v>
      </c>
      <c r="AG41" s="36">
        <f>($F$41-AF41)*19951/1000</f>
        <v>7.9804000000001132</v>
      </c>
      <c r="AH41" s="39" t="s">
        <v>8</v>
      </c>
      <c r="AI41" s="40">
        <f t="shared" ref="AI41:AI43" si="15">IF(AG41&lt;0,0,AG41)</f>
        <v>7.9804000000001132</v>
      </c>
      <c r="AJ41" s="45" t="s">
        <v>9</v>
      </c>
      <c r="AK41" s="107">
        <f>XM.HN!G23</f>
        <v>17.5</v>
      </c>
      <c r="AL41" s="64">
        <f>AK41*8</f>
        <v>140</v>
      </c>
      <c r="AM41" s="36">
        <f>($F$41-AL41)*19951/1000</f>
        <v>0</v>
      </c>
      <c r="AN41" s="39" t="s">
        <v>8</v>
      </c>
      <c r="AO41" s="40">
        <f t="shared" ref="AO41:AO43" si="16">IF(AM41&lt;0,0,AM41)</f>
        <v>0</v>
      </c>
      <c r="AP41" s="41" t="s">
        <v>9</v>
      </c>
    </row>
    <row r="42" spans="1:42" ht="34.5" customHeight="1">
      <c r="A42" s="54" t="s">
        <v>305</v>
      </c>
      <c r="B42" s="1147" t="s">
        <v>235</v>
      </c>
      <c r="C42" s="1138" t="s">
        <v>60</v>
      </c>
      <c r="D42" s="1153" t="s">
        <v>4</v>
      </c>
      <c r="E42" s="14" t="str">
        <f>'XM.GUI MAIL'!E42</f>
        <v>8-12g/l
(10±1g/l)</v>
      </c>
      <c r="F42" s="1658">
        <f>'XM.GUI MAIL'!F42</f>
        <v>10</v>
      </c>
      <c r="G42" s="109">
        <f>XM.HN!B24</f>
        <v>6.3</v>
      </c>
      <c r="H42" s="64">
        <v>10</v>
      </c>
      <c r="I42" s="36">
        <f>($F$42-H42)*19951/1000</f>
        <v>0</v>
      </c>
      <c r="J42" s="39" t="s">
        <v>8</v>
      </c>
      <c r="K42" s="40">
        <f t="shared" si="11"/>
        <v>0</v>
      </c>
      <c r="L42" s="41" t="s">
        <v>1070</v>
      </c>
      <c r="M42" s="107">
        <f>XM.HN!C24</f>
        <v>6.3</v>
      </c>
      <c r="N42" s="64">
        <v>10.1</v>
      </c>
      <c r="O42" s="36">
        <f>($F$42-N42)*19951/1000</f>
        <v>-1.9950999999999928</v>
      </c>
      <c r="P42" s="39" t="s">
        <v>8</v>
      </c>
      <c r="Q42" s="40">
        <f t="shared" si="12"/>
        <v>0</v>
      </c>
      <c r="R42" s="41" t="s">
        <v>1070</v>
      </c>
      <c r="S42" s="21">
        <f>XM.HN!D24</f>
        <v>6.25</v>
      </c>
      <c r="T42" s="64">
        <v>10</v>
      </c>
      <c r="U42" s="36">
        <f>($F$42-T42)*19951/1000</f>
        <v>0</v>
      </c>
      <c r="V42" s="39" t="s">
        <v>8</v>
      </c>
      <c r="W42" s="40">
        <f t="shared" si="13"/>
        <v>0</v>
      </c>
      <c r="X42" s="41" t="s">
        <v>1070</v>
      </c>
      <c r="Y42" s="107">
        <f>XM.HN!E24</f>
        <v>6.5</v>
      </c>
      <c r="Z42" s="64">
        <v>10</v>
      </c>
      <c r="AA42" s="36">
        <f>($F$42-Z42)*19951/1000</f>
        <v>0</v>
      </c>
      <c r="AB42" s="39" t="s">
        <v>8</v>
      </c>
      <c r="AC42" s="40">
        <f t="shared" si="14"/>
        <v>0</v>
      </c>
      <c r="AD42" s="41" t="s">
        <v>1070</v>
      </c>
      <c r="AE42" s="107">
        <f>XM.HN!F24</f>
        <v>0</v>
      </c>
      <c r="AF42" s="64">
        <v>10</v>
      </c>
      <c r="AG42" s="36">
        <f>($F$42-AF42)*19951/1000</f>
        <v>0</v>
      </c>
      <c r="AH42" s="39" t="s">
        <v>8</v>
      </c>
      <c r="AI42" s="40">
        <f t="shared" si="15"/>
        <v>0</v>
      </c>
      <c r="AJ42" s="41" t="s">
        <v>1070</v>
      </c>
      <c r="AK42" s="107">
        <f>XM.HN!G24</f>
        <v>6.5</v>
      </c>
      <c r="AL42" s="64">
        <v>10.7</v>
      </c>
      <c r="AM42" s="36">
        <f>($F$42-AL42)*19951/1000</f>
        <v>-13.965699999999986</v>
      </c>
      <c r="AN42" s="39" t="s">
        <v>8</v>
      </c>
      <c r="AO42" s="40">
        <f t="shared" si="16"/>
        <v>0</v>
      </c>
      <c r="AP42" s="41" t="s">
        <v>1070</v>
      </c>
    </row>
    <row r="43" spans="1:42" ht="34.5" customHeight="1">
      <c r="A43" s="324" t="s">
        <v>306</v>
      </c>
      <c r="B43" s="1147" t="s">
        <v>235</v>
      </c>
      <c r="C43" s="1151" t="s">
        <v>1058</v>
      </c>
      <c r="D43" s="1153" t="s">
        <v>3</v>
      </c>
      <c r="E43" s="14" t="str">
        <f>'XM.GUI MAIL'!E43</f>
        <v>6~10 %
(8±0.5%)</v>
      </c>
      <c r="F43" s="1658">
        <f>'XM.GUI MAIL'!F43</f>
        <v>8</v>
      </c>
      <c r="G43" s="109">
        <f>XM.HN!B25</f>
        <v>16.2</v>
      </c>
      <c r="H43" s="64">
        <v>8.3000000000000007</v>
      </c>
      <c r="I43" s="36">
        <f>($F$43-H43)*575/100</f>
        <v>-1.7250000000000041</v>
      </c>
      <c r="J43" s="39" t="s">
        <v>8</v>
      </c>
      <c r="K43" s="40">
        <f t="shared" si="11"/>
        <v>0</v>
      </c>
      <c r="L43" s="45" t="s">
        <v>10</v>
      </c>
      <c r="M43" s="107">
        <f>XM.HN!C25</f>
        <v>16</v>
      </c>
      <c r="N43" s="64">
        <v>8.1999999999999993</v>
      </c>
      <c r="O43" s="36">
        <f>($F$43-N43)*575/100</f>
        <v>-1.1499999999999959</v>
      </c>
      <c r="P43" s="39" t="s">
        <v>8</v>
      </c>
      <c r="Q43" s="40">
        <f t="shared" si="12"/>
        <v>0</v>
      </c>
      <c r="R43" s="45" t="s">
        <v>10</v>
      </c>
      <c r="S43" s="308">
        <f>XM.HN!D25</f>
        <v>14.9</v>
      </c>
      <c r="T43" s="64">
        <v>8</v>
      </c>
      <c r="U43" s="36">
        <f>($F$43-T43)*575/100</f>
        <v>0</v>
      </c>
      <c r="V43" s="39" t="s">
        <v>8</v>
      </c>
      <c r="W43" s="40">
        <f t="shared" si="13"/>
        <v>0</v>
      </c>
      <c r="X43" s="45" t="s">
        <v>10</v>
      </c>
      <c r="Y43" s="308">
        <f>XM.HN!E25</f>
        <v>12.2</v>
      </c>
      <c r="Z43" s="64">
        <v>8</v>
      </c>
      <c r="AA43" s="36">
        <f>($F$43-Z43)*575/100</f>
        <v>0</v>
      </c>
      <c r="AB43" s="39" t="s">
        <v>8</v>
      </c>
      <c r="AC43" s="40">
        <f t="shared" si="14"/>
        <v>0</v>
      </c>
      <c r="AD43" s="45" t="s">
        <v>10</v>
      </c>
      <c r="AE43" s="308">
        <f>XM.HN!F25</f>
        <v>0</v>
      </c>
      <c r="AF43" s="64">
        <v>7.8</v>
      </c>
      <c r="AG43" s="36">
        <f>($F$43-AF43)*575/100</f>
        <v>1.150000000000001</v>
      </c>
      <c r="AH43" s="39" t="s">
        <v>8</v>
      </c>
      <c r="AI43" s="40">
        <f t="shared" si="15"/>
        <v>1.150000000000001</v>
      </c>
      <c r="AJ43" s="45" t="s">
        <v>10</v>
      </c>
      <c r="AK43" s="308">
        <f>XM.HN!G25</f>
        <v>13.2</v>
      </c>
      <c r="AL43" s="64">
        <v>8.3000000000000007</v>
      </c>
      <c r="AM43" s="36">
        <f>($F$43-AL43)*575/100</f>
        <v>-1.7250000000000041</v>
      </c>
      <c r="AN43" s="39" t="s">
        <v>8</v>
      </c>
      <c r="AO43" s="40">
        <f t="shared" si="16"/>
        <v>0</v>
      </c>
      <c r="AP43" s="41" t="s">
        <v>10</v>
      </c>
    </row>
    <row r="44" spans="1:42" ht="34.5" customHeight="1">
      <c r="A44" s="324" t="s">
        <v>307</v>
      </c>
      <c r="B44" s="1147" t="s">
        <v>235</v>
      </c>
      <c r="C44" s="327" t="s">
        <v>132</v>
      </c>
      <c r="D44" s="1153" t="s">
        <v>5</v>
      </c>
      <c r="E44" s="14" t="str">
        <f>'XM.GUI MAIL'!E44</f>
        <v>2~2.5(2.3±0.1 )</v>
      </c>
      <c r="F44" s="1658">
        <f>'XM.GUI MAIL'!F44</f>
        <v>0</v>
      </c>
      <c r="G44" s="109"/>
      <c r="H44" s="70">
        <v>2.2999999999999998</v>
      </c>
      <c r="I44" s="36"/>
      <c r="J44" s="43"/>
      <c r="K44" s="44"/>
      <c r="L44" s="42"/>
      <c r="M44" s="107"/>
      <c r="N44" s="70">
        <f>XM.HN!C32</f>
        <v>2.3199999999999998</v>
      </c>
      <c r="T44" s="70">
        <v>2.35</v>
      </c>
      <c r="Z44" s="70">
        <f>XM.HN!E32</f>
        <v>2.4</v>
      </c>
      <c r="AD44" s="308"/>
      <c r="AF44" s="70">
        <v>2.36</v>
      </c>
      <c r="AJ44" s="308"/>
      <c r="AL44" s="70">
        <f>XM.HN!G32</f>
        <v>2.35</v>
      </c>
      <c r="AM44" s="36"/>
      <c r="AN44" s="43"/>
      <c r="AO44" s="44"/>
      <c r="AP44" s="1158"/>
    </row>
    <row r="45" spans="1:42" ht="34.5" customHeight="1">
      <c r="A45" s="325" t="s">
        <v>308</v>
      </c>
      <c r="B45" s="1147" t="s">
        <v>235</v>
      </c>
      <c r="C45" s="1148" t="s">
        <v>61</v>
      </c>
      <c r="D45" s="1153" t="s">
        <v>6</v>
      </c>
      <c r="E45" s="14" t="str">
        <f>'XM.GUI MAIL'!E45</f>
        <v>30~60 %V/V
(45±5% V/V)</v>
      </c>
      <c r="F45" s="1654">
        <f>'XM.GUI MAIL'!F45</f>
        <v>0.45</v>
      </c>
      <c r="G45" s="109">
        <f>XM.HN!B26</f>
        <v>4.2</v>
      </c>
      <c r="H45" s="71">
        <v>0.45</v>
      </c>
      <c r="I45" s="36">
        <f>($F$45-H45)*2122</f>
        <v>0</v>
      </c>
      <c r="J45" s="45" t="s">
        <v>8</v>
      </c>
      <c r="K45" s="46">
        <f>IF(I45&lt;0,0,I45)</f>
        <v>0</v>
      </c>
      <c r="L45" s="249" t="s">
        <v>10</v>
      </c>
      <c r="M45" s="107">
        <f>XM.HN!C26</f>
        <v>4.4000000000000004</v>
      </c>
      <c r="N45" s="71">
        <v>0.44600000000000001</v>
      </c>
      <c r="O45" s="36">
        <f>($F$45-N45)*2122</f>
        <v>8.4880000000000067</v>
      </c>
      <c r="P45" s="45" t="s">
        <v>8</v>
      </c>
      <c r="Q45" s="46">
        <f>IF(O45&lt;0,0,O45)</f>
        <v>8.4880000000000067</v>
      </c>
      <c r="R45" s="249" t="s">
        <v>10</v>
      </c>
      <c r="S45" s="21">
        <f>XM.HN!D26</f>
        <v>4.4000000000000004</v>
      </c>
      <c r="T45" s="71">
        <v>0.46800000000000003</v>
      </c>
      <c r="U45" s="36">
        <f>($F$45-T45)*2122</f>
        <v>-38.196000000000033</v>
      </c>
      <c r="V45" s="45" t="s">
        <v>8</v>
      </c>
      <c r="W45" s="46">
        <f>IF(U45&lt;0,0,U45)</f>
        <v>0</v>
      </c>
      <c r="X45" s="249" t="s">
        <v>10</v>
      </c>
      <c r="Y45" s="107">
        <f>XM.HN!E26</f>
        <v>4.0999999999999996</v>
      </c>
      <c r="Z45" s="71">
        <f>(1*Y45*36.5)/(1*10)/32%/100</f>
        <v>0.46765624999999994</v>
      </c>
      <c r="AA45" s="36">
        <f>($F$45-Z45)*2122</f>
        <v>-37.466562499999853</v>
      </c>
      <c r="AB45" s="45" t="s">
        <v>8</v>
      </c>
      <c r="AC45" s="46">
        <f>IF(AA45&lt;0,0,AA45)</f>
        <v>0</v>
      </c>
      <c r="AD45" s="249" t="s">
        <v>10</v>
      </c>
      <c r="AE45" s="107">
        <f>XM.HN!F26</f>
        <v>0</v>
      </c>
      <c r="AF45" s="71">
        <v>0.46500000000000002</v>
      </c>
      <c r="AG45" s="36">
        <f>($F$45-AF45)*2122</f>
        <v>-31.830000000000027</v>
      </c>
      <c r="AH45" s="45" t="s">
        <v>8</v>
      </c>
      <c r="AI45" s="46">
        <f>IF(AG45&lt;0,0,AG45)</f>
        <v>0</v>
      </c>
      <c r="AJ45" s="249" t="s">
        <v>10</v>
      </c>
      <c r="AK45" s="107">
        <f>XM.HN!G26</f>
        <v>4</v>
      </c>
      <c r="AL45" s="71">
        <f>(1*AK45*36.5)/(1*10)/32%/100</f>
        <v>0.45624999999999999</v>
      </c>
      <c r="AM45" s="36">
        <f>($F$45-AL45)*2122</f>
        <v>-13.262499999999953</v>
      </c>
      <c r="AN45" s="45" t="s">
        <v>8</v>
      </c>
      <c r="AO45" s="46">
        <f>IF(AM45&lt;0,0,AM45)</f>
        <v>0</v>
      </c>
      <c r="AP45" s="47" t="s">
        <v>10</v>
      </c>
    </row>
    <row r="46" spans="1:42" ht="34.5" customHeight="1">
      <c r="A46" s="325" t="s">
        <v>309</v>
      </c>
      <c r="B46" s="1147" t="s">
        <v>235</v>
      </c>
      <c r="C46" s="1148" t="s">
        <v>62</v>
      </c>
      <c r="D46" s="1153" t="s">
        <v>6</v>
      </c>
      <c r="E46" s="14" t="str">
        <f>'XM.GUI MAIL'!E46</f>
        <v>15~30 %V/V
(22±5 V/V)</v>
      </c>
      <c r="F46" s="1654">
        <f>'XM.GUI MAIL'!F46</f>
        <v>0.22</v>
      </c>
      <c r="G46" s="109">
        <f>XM.HN!B27</f>
        <v>2.2000000000000002</v>
      </c>
      <c r="H46" s="71">
        <v>0.223</v>
      </c>
      <c r="I46" s="36">
        <f>($F$46-H46)*612</f>
        <v>-1.8360000000000016</v>
      </c>
      <c r="J46" s="45" t="s">
        <v>8</v>
      </c>
      <c r="K46" s="46">
        <f>IF(I46&lt;0,0,I46)</f>
        <v>0</v>
      </c>
      <c r="L46" s="249" t="s">
        <v>10</v>
      </c>
      <c r="M46" s="107">
        <f>XM.HN!C27</f>
        <v>2.2000000000000002</v>
      </c>
      <c r="N46" s="71">
        <v>0.24199999999999999</v>
      </c>
      <c r="O46" s="36">
        <f>($F$46-N46)*612</f>
        <v>-13.463999999999995</v>
      </c>
      <c r="P46" s="45" t="s">
        <v>8</v>
      </c>
      <c r="Q46" s="46">
        <f>IF(O46&lt;0,0,O46)</f>
        <v>0</v>
      </c>
      <c r="R46" s="249" t="s">
        <v>10</v>
      </c>
      <c r="S46" s="21">
        <f>XM.HN!D27</f>
        <v>2.2000000000000002</v>
      </c>
      <c r="T46" s="71">
        <v>0.23599999999999999</v>
      </c>
      <c r="U46" s="36">
        <f>($F$46-T46)*612</f>
        <v>-9.7919999999999909</v>
      </c>
      <c r="V46" s="45" t="s">
        <v>8</v>
      </c>
      <c r="W46" s="46">
        <f>IF(U46&lt;0,0,U46)</f>
        <v>0</v>
      </c>
      <c r="X46" s="249" t="s">
        <v>10</v>
      </c>
      <c r="Y46" s="107">
        <f>XM.HN!E27</f>
        <v>2.2999999999999998</v>
      </c>
      <c r="Z46" s="71">
        <f>(1*Y46*36.5)/(1*10)/32%/100</f>
        <v>0.26234374999999999</v>
      </c>
      <c r="AA46" s="36">
        <f>($F$46-Z46)*612</f>
        <v>-25.914374999999993</v>
      </c>
      <c r="AB46" s="45" t="s">
        <v>8</v>
      </c>
      <c r="AC46" s="46">
        <f>IF(AA46&lt;0,0,AA46)</f>
        <v>0</v>
      </c>
      <c r="AD46" s="249" t="s">
        <v>10</v>
      </c>
      <c r="AE46" s="107">
        <f>XM.HN!F27</f>
        <v>0</v>
      </c>
      <c r="AF46" s="71">
        <v>0.25800000000000001</v>
      </c>
      <c r="AG46" s="36">
        <f>($F$46-AF46)*612</f>
        <v>-23.256000000000004</v>
      </c>
      <c r="AH46" s="45" t="s">
        <v>8</v>
      </c>
      <c r="AI46" s="46">
        <f>IF(AG46&lt;0,0,AG46)</f>
        <v>0</v>
      </c>
      <c r="AJ46" s="249" t="s">
        <v>10</v>
      </c>
      <c r="AK46" s="107">
        <f>XM.HN!G27</f>
        <v>2.2000000000000002</v>
      </c>
      <c r="AL46" s="71">
        <f>(1*AK46*36.5)/(1*10)/32%/100</f>
        <v>0.25093750000000004</v>
      </c>
      <c r="AM46" s="36">
        <f>($F$46-AL46)*612</f>
        <v>-18.933750000000021</v>
      </c>
      <c r="AN46" s="45" t="s">
        <v>8</v>
      </c>
      <c r="AO46" s="46">
        <f>IF(AM46&lt;0,0,AM46)</f>
        <v>0</v>
      </c>
      <c r="AP46" s="47" t="s">
        <v>10</v>
      </c>
    </row>
    <row r="47" spans="1:42" ht="34.5" customHeight="1">
      <c r="A47" s="325" t="s">
        <v>310</v>
      </c>
      <c r="B47" s="1147" t="s">
        <v>235</v>
      </c>
      <c r="C47" s="1148" t="s">
        <v>63</v>
      </c>
      <c r="D47" s="54" t="s">
        <v>6</v>
      </c>
      <c r="E47" s="14" t="str">
        <f>'XM.GUI MAIL'!E47</f>
        <v>5~15 %V/V
(10±3% V/V)</v>
      </c>
      <c r="F47" s="1654">
        <f>'XM.GUI MAIL'!F47</f>
        <v>0.1</v>
      </c>
      <c r="G47" s="109">
        <f>XM.HN!B28</f>
        <v>4.7</v>
      </c>
      <c r="H47" s="71">
        <v>9.6000000000000002E-2</v>
      </c>
      <c r="I47" s="44">
        <f>($F$47-H47)*575</f>
        <v>2.300000000000002</v>
      </c>
      <c r="J47" s="45" t="s">
        <v>8</v>
      </c>
      <c r="K47" s="46">
        <f>IF(I47&lt;0,0,I47)</f>
        <v>2.300000000000002</v>
      </c>
      <c r="L47" s="47" t="s">
        <v>10</v>
      </c>
      <c r="M47" s="44">
        <f>XM.HN!C28</f>
        <v>6.1</v>
      </c>
      <c r="N47" s="71">
        <f>(1*M47*36.5)/(5*10)/32%/100</f>
        <v>0.13915624999999998</v>
      </c>
      <c r="O47" s="44">
        <f>($F$47-N47)*575</f>
        <v>-22.514843749999986</v>
      </c>
      <c r="P47" s="45" t="s">
        <v>8</v>
      </c>
      <c r="Q47" s="46">
        <f>IF(O47&lt;0,0,O47)</f>
        <v>0</v>
      </c>
      <c r="R47" s="47" t="s">
        <v>10</v>
      </c>
      <c r="S47" s="44">
        <f>XM.HN!D28</f>
        <v>5.6</v>
      </c>
      <c r="T47" s="71">
        <f>(1*S47*36.5)/(5*10)/32%/100</f>
        <v>0.12774999999999997</v>
      </c>
      <c r="U47" s="44">
        <f>($F$47-T47)*575</f>
        <v>-15.956249999999983</v>
      </c>
      <c r="V47" s="45" t="s">
        <v>8</v>
      </c>
      <c r="W47" s="46">
        <f>IF(U47&lt;0,0,U47)</f>
        <v>0</v>
      </c>
      <c r="X47" s="47" t="s">
        <v>10</v>
      </c>
      <c r="Y47" s="44">
        <f>XM.HN!E28</f>
        <v>5.3</v>
      </c>
      <c r="Z47" s="71">
        <f>(1*Y47*36.5)/(5*10)/32%/100</f>
        <v>0.12090624999999999</v>
      </c>
      <c r="AA47" s="44">
        <f>($F$47-Z47)*575</f>
        <v>-12.021093749999993</v>
      </c>
      <c r="AB47" s="45" t="s">
        <v>8</v>
      </c>
      <c r="AC47" s="46">
        <f>IF(AA47&lt;0,0,AA47)</f>
        <v>0</v>
      </c>
      <c r="AD47" s="47" t="s">
        <v>10</v>
      </c>
      <c r="AE47" s="44">
        <f>XM.HN!F28</f>
        <v>0</v>
      </c>
      <c r="AF47" s="71">
        <v>0.115</v>
      </c>
      <c r="AG47" s="44">
        <f>($F$47-AF47)*575</f>
        <v>-8.625</v>
      </c>
      <c r="AH47" s="45" t="s">
        <v>8</v>
      </c>
      <c r="AI47" s="46">
        <f>IF(AG47&lt;0,0,AG47)</f>
        <v>0</v>
      </c>
      <c r="AJ47" s="47" t="s">
        <v>10</v>
      </c>
      <c r="AK47" s="44">
        <f>XM.HN!G28</f>
        <v>5</v>
      </c>
      <c r="AL47" s="71">
        <f>(1*AK47*36.5)/(5*10)/32%/100</f>
        <v>0.1140625</v>
      </c>
      <c r="AM47" s="44">
        <f>($F$47-AL47)*575</f>
        <v>-8.0859374999999947</v>
      </c>
      <c r="AN47" s="45" t="s">
        <v>8</v>
      </c>
      <c r="AO47" s="46">
        <f>IF(AM47&lt;0,0,AM47)</f>
        <v>0</v>
      </c>
      <c r="AP47" s="47" t="s">
        <v>10</v>
      </c>
    </row>
    <row r="48" spans="1:42" ht="34.5" customHeight="1">
      <c r="A48" s="325" t="s">
        <v>311</v>
      </c>
      <c r="B48" s="1147" t="s">
        <v>235</v>
      </c>
      <c r="C48" s="1148" t="s">
        <v>164</v>
      </c>
      <c r="D48" s="1210" t="s">
        <v>1079</v>
      </c>
      <c r="E48" s="14" t="str">
        <f>'XM.GUI MAIL'!E48</f>
        <v>0.5~1.5%
(1±0.2%)</v>
      </c>
      <c r="F48" s="1654">
        <f>'XM.GUI MAIL'!F48</f>
        <v>0.01</v>
      </c>
      <c r="G48" s="109">
        <f>XM.HN!B29</f>
        <v>0.9</v>
      </c>
      <c r="H48" s="72">
        <f>(1*G48*6.301)/5/100</f>
        <v>1.1341800000000003E-2</v>
      </c>
      <c r="I48" s="36">
        <f>($F$48-H48)*530/65%</f>
        <v>-1.0940830769230789</v>
      </c>
      <c r="J48" s="45" t="s">
        <v>8</v>
      </c>
      <c r="K48" s="48">
        <f>IF(I48&lt;0,0,I48)</f>
        <v>0</v>
      </c>
      <c r="L48" s="249" t="s">
        <v>10</v>
      </c>
      <c r="M48" s="107">
        <f>XM.HN!C29</f>
        <v>1</v>
      </c>
      <c r="N48" s="72">
        <f>(1*M48*6.301)/5/100</f>
        <v>1.2602E-2</v>
      </c>
      <c r="O48" s="36">
        <f>($F$48-N48)*530/65%</f>
        <v>-2.1216307692307694</v>
      </c>
      <c r="P48" s="45" t="s">
        <v>8</v>
      </c>
      <c r="Q48" s="48">
        <f>IF(O48&lt;0,0,O48)</f>
        <v>0</v>
      </c>
      <c r="R48" s="249" t="s">
        <v>10</v>
      </c>
      <c r="S48" s="21">
        <f>XM.HN!D29</f>
        <v>0.9</v>
      </c>
      <c r="T48" s="72">
        <f>(1*S48*6.301)/5/100</f>
        <v>1.1341800000000003E-2</v>
      </c>
      <c r="U48" s="36">
        <f>($F$48-T48)*530/65%</f>
        <v>-1.0940830769230789</v>
      </c>
      <c r="V48" s="45" t="s">
        <v>8</v>
      </c>
      <c r="W48" s="48">
        <f>IF(U48&lt;0,0,U48)</f>
        <v>0</v>
      </c>
      <c r="X48" s="249" t="s">
        <v>10</v>
      </c>
      <c r="Y48" s="107">
        <f>XM.HN!E29</f>
        <v>0.9</v>
      </c>
      <c r="Z48" s="72">
        <f>(1*Y48*6.301)/5/100</f>
        <v>1.1341800000000003E-2</v>
      </c>
      <c r="AA48" s="36">
        <f>($F$48-Z48)*530/65%</f>
        <v>-1.0940830769230789</v>
      </c>
      <c r="AB48" s="45" t="s">
        <v>8</v>
      </c>
      <c r="AC48" s="48">
        <f>IF(AA48&lt;0,0,AA48)</f>
        <v>0</v>
      </c>
      <c r="AD48" s="249" t="s">
        <v>10</v>
      </c>
      <c r="AE48" s="107">
        <f>XM.HN!F29</f>
        <v>0</v>
      </c>
      <c r="AF48" s="72">
        <v>0.01</v>
      </c>
      <c r="AG48" s="36">
        <f>($F$48-AF48)*530/65%</f>
        <v>0</v>
      </c>
      <c r="AH48" s="45" t="s">
        <v>8</v>
      </c>
      <c r="AI48" s="48">
        <f>IF(AG48&lt;0,0,AG48)</f>
        <v>0</v>
      </c>
      <c r="AJ48" s="249" t="s">
        <v>10</v>
      </c>
      <c r="AK48" s="107">
        <f>XM.HN!G29</f>
        <v>0.96</v>
      </c>
      <c r="AL48" s="72">
        <f>(1*AK48*6.301)/5/100</f>
        <v>1.209792E-2</v>
      </c>
      <c r="AM48" s="36">
        <f>($F$48-AL48)*530/65%</f>
        <v>-1.7106116923076919</v>
      </c>
      <c r="AN48" s="45" t="s">
        <v>8</v>
      </c>
      <c r="AO48" s="48">
        <f>IF(AM48&lt;0,0,AM48)</f>
        <v>0</v>
      </c>
      <c r="AP48" s="47" t="s">
        <v>10</v>
      </c>
    </row>
    <row r="49" spans="1:46" ht="48" customHeight="1">
      <c r="A49" s="324" t="s">
        <v>312</v>
      </c>
      <c r="B49" s="1147" t="s">
        <v>235</v>
      </c>
      <c r="C49" s="344" t="s">
        <v>1271</v>
      </c>
      <c r="D49" s="54" t="s">
        <v>3</v>
      </c>
      <c r="E49" s="14" t="str">
        <f>'XM.GUI MAIL'!E49</f>
        <v>5~8%
(6%±0.5)</v>
      </c>
      <c r="F49" s="1658">
        <f>'XM.GUI MAIL'!F49</f>
        <v>6</v>
      </c>
      <c r="G49" s="109">
        <f>XM.HN!B30</f>
        <v>6</v>
      </c>
      <c r="H49" s="37">
        <f>G49*0.8+1.1</f>
        <v>5.9</v>
      </c>
      <c r="I49" s="38">
        <f>($F$49-H49)*575/95</f>
        <v>0.60526315789473473</v>
      </c>
      <c r="J49" s="39" t="s">
        <v>8</v>
      </c>
      <c r="K49" s="40">
        <f>IF(I49&lt;0,0,I49)</f>
        <v>0.60526315789473473</v>
      </c>
      <c r="L49" s="45" t="s">
        <v>10</v>
      </c>
      <c r="M49" s="124">
        <f>XM.HN!C30</f>
        <v>0</v>
      </c>
      <c r="N49" s="37">
        <f>M49*0.8+1.1</f>
        <v>1.1000000000000001</v>
      </c>
      <c r="O49" s="38">
        <f>($F$49-N49)*575/95</f>
        <v>29.657894736842106</v>
      </c>
      <c r="P49" s="39" t="s">
        <v>8</v>
      </c>
      <c r="Q49" s="40">
        <f>IF(O49&lt;0,0,O49)</f>
        <v>29.657894736842106</v>
      </c>
      <c r="R49" s="45" t="s">
        <v>10</v>
      </c>
      <c r="S49" s="109">
        <f>XM.HN!D30</f>
        <v>0</v>
      </c>
      <c r="T49" s="37">
        <f>S49*0.8+1.1</f>
        <v>1.1000000000000001</v>
      </c>
      <c r="U49" s="38">
        <f>($F$49-T49)*575/95</f>
        <v>29.657894736842106</v>
      </c>
      <c r="V49" s="39" t="s">
        <v>8</v>
      </c>
      <c r="W49" s="40">
        <f>IF(U49&lt;0,0,U49)</f>
        <v>29.657894736842106</v>
      </c>
      <c r="X49" s="45" t="s">
        <v>10</v>
      </c>
      <c r="Y49" s="109">
        <f>XM.HN!E30</f>
        <v>6.1</v>
      </c>
      <c r="Z49" s="37">
        <f>Y49*0.8+1.1</f>
        <v>5.98</v>
      </c>
      <c r="AA49" s="38">
        <f>($F$49-Z49)*575/95</f>
        <v>0.12105263157894479</v>
      </c>
      <c r="AB49" s="39" t="s">
        <v>8</v>
      </c>
      <c r="AC49" s="40">
        <f>IF(AA49&lt;0,0,AA49)</f>
        <v>0.12105263157894479</v>
      </c>
      <c r="AD49" s="45" t="s">
        <v>10</v>
      </c>
      <c r="AE49" s="109">
        <f>XM.HN!F30</f>
        <v>0</v>
      </c>
      <c r="AF49" s="37">
        <f>AE49*0.8+1.1</f>
        <v>1.1000000000000001</v>
      </c>
      <c r="AG49" s="38">
        <f>($F$49-AF49)*575/95</f>
        <v>29.657894736842106</v>
      </c>
      <c r="AH49" s="39" t="s">
        <v>8</v>
      </c>
      <c r="AI49" s="40">
        <f>IF(AG49&lt;0,0,AG49)</f>
        <v>29.657894736842106</v>
      </c>
      <c r="AJ49" s="45" t="s">
        <v>10</v>
      </c>
      <c r="AK49" s="109">
        <f>XM.HN!G30</f>
        <v>0</v>
      </c>
      <c r="AL49" s="37">
        <f>AK49*0.8+1.1</f>
        <v>1.1000000000000001</v>
      </c>
      <c r="AM49" s="38">
        <f>($F$49-AL49)*575/95</f>
        <v>29.657894736842106</v>
      </c>
      <c r="AN49" s="39" t="s">
        <v>8</v>
      </c>
      <c r="AO49" s="40">
        <f>IF(AM49&lt;0,0,AM49)</f>
        <v>29.657894736842106</v>
      </c>
      <c r="AP49" s="41" t="s">
        <v>10</v>
      </c>
    </row>
    <row r="50" spans="1:46" ht="41.25" customHeight="1">
      <c r="A50" s="54" t="s">
        <v>313</v>
      </c>
      <c r="B50" s="1147" t="s">
        <v>235</v>
      </c>
      <c r="C50" s="345" t="s">
        <v>132</v>
      </c>
      <c r="D50" s="54" t="s">
        <v>5</v>
      </c>
      <c r="E50" s="14" t="str">
        <f>'XM.GUI MAIL'!E50</f>
        <v>1.8~2.4
(2.1±0.1 )</v>
      </c>
      <c r="F50" s="1655"/>
      <c r="G50" s="109"/>
      <c r="H50" s="42">
        <f>XM.HN!B31</f>
        <v>1.84</v>
      </c>
      <c r="I50" s="42"/>
      <c r="J50" s="39"/>
      <c r="K50" s="40"/>
      <c r="L50" s="42"/>
      <c r="M50" s="284"/>
      <c r="N50" s="42">
        <f>XM.HN!C31</f>
        <v>0</v>
      </c>
      <c r="O50" s="42"/>
      <c r="P50" s="39"/>
      <c r="Q50" s="40"/>
      <c r="R50" s="42"/>
      <c r="S50" s="42"/>
      <c r="T50" s="42">
        <f>XM.HN!D31</f>
        <v>0</v>
      </c>
      <c r="U50" s="42"/>
      <c r="V50" s="39"/>
      <c r="W50" s="40"/>
      <c r="X50" s="42"/>
      <c r="Y50" s="42"/>
      <c r="Z50" s="42">
        <f>XM.HN!E31</f>
        <v>1.8</v>
      </c>
      <c r="AA50" s="42"/>
      <c r="AB50" s="49"/>
      <c r="AC50" s="1178"/>
      <c r="AD50" s="1158"/>
      <c r="AE50" s="42"/>
      <c r="AF50" s="42">
        <f>XM.HN!F31</f>
        <v>0</v>
      </c>
      <c r="AG50" s="42"/>
      <c r="AH50" s="49"/>
      <c r="AI50" s="1178"/>
      <c r="AJ50" s="1158"/>
      <c r="AK50" s="42"/>
      <c r="AL50" s="42">
        <f>XM.HN!G31</f>
        <v>0</v>
      </c>
      <c r="AM50" s="42"/>
      <c r="AN50" s="49"/>
      <c r="AO50" s="1178"/>
      <c r="AP50" s="1158"/>
    </row>
    <row r="51" spans="1:46" s="233" customFormat="1" ht="54" customHeight="1">
      <c r="A51" s="335" t="s">
        <v>76</v>
      </c>
      <c r="B51" s="336"/>
      <c r="C51" s="336"/>
      <c r="D51" s="336"/>
      <c r="E51" s="349"/>
      <c r="F51" s="349"/>
      <c r="G51" s="336"/>
      <c r="H51" s="336"/>
      <c r="I51" s="336"/>
      <c r="J51" s="336"/>
      <c r="K51" s="336"/>
      <c r="L51" s="336"/>
      <c r="M51" s="336"/>
      <c r="N51" s="337"/>
      <c r="O51" s="336"/>
      <c r="P51" s="336"/>
      <c r="Q51" s="336"/>
      <c r="R51" s="337"/>
      <c r="S51" s="336"/>
      <c r="T51" s="337"/>
      <c r="U51" s="336"/>
      <c r="V51" s="336"/>
      <c r="W51" s="336"/>
      <c r="X51" s="336"/>
      <c r="Y51" s="336"/>
      <c r="Z51" s="336"/>
      <c r="AA51" s="336"/>
      <c r="AB51" s="336"/>
      <c r="AC51" s="336"/>
      <c r="AD51" s="336"/>
      <c r="AE51" s="337"/>
      <c r="AF51" s="337"/>
      <c r="AG51" s="337"/>
      <c r="AH51" s="337"/>
      <c r="AI51" s="337"/>
      <c r="AJ51" s="337"/>
      <c r="AK51" s="337"/>
      <c r="AL51" s="337"/>
      <c r="AM51" s="337"/>
      <c r="AN51" s="337"/>
      <c r="AO51" s="337"/>
      <c r="AP51" s="1165"/>
      <c r="AQ51" s="111"/>
      <c r="AR51" s="111"/>
      <c r="AS51" s="111"/>
      <c r="AT51" s="111"/>
    </row>
    <row r="52" spans="1:46" ht="44.25" customHeight="1">
      <c r="A52" s="1153" t="s">
        <v>276</v>
      </c>
      <c r="B52" s="1146" t="s">
        <v>359</v>
      </c>
      <c r="C52" s="1144" t="s">
        <v>64</v>
      </c>
      <c r="D52" s="1144" t="s">
        <v>66</v>
      </c>
      <c r="E52" s="1587" t="s">
        <v>67</v>
      </c>
      <c r="F52" s="1334"/>
      <c r="G52" s="112"/>
      <c r="H52" s="329" t="s">
        <v>48</v>
      </c>
      <c r="I52" s="330"/>
      <c r="J52" s="330"/>
      <c r="K52" s="329" t="s">
        <v>65</v>
      </c>
      <c r="L52" s="346"/>
      <c r="M52" s="327"/>
      <c r="N52" s="329" t="s">
        <v>48</v>
      </c>
      <c r="O52" s="330"/>
      <c r="P52" s="330"/>
      <c r="Q52" s="329" t="s">
        <v>65</v>
      </c>
      <c r="R52" s="346"/>
      <c r="S52" s="113"/>
      <c r="T52" s="329" t="s">
        <v>48</v>
      </c>
      <c r="U52" s="330"/>
      <c r="V52" s="330"/>
      <c r="W52" s="329" t="s">
        <v>65</v>
      </c>
      <c r="X52" s="346"/>
      <c r="Y52" s="114"/>
      <c r="Z52" s="329" t="s">
        <v>48</v>
      </c>
      <c r="AA52" s="330"/>
      <c r="AB52" s="330"/>
      <c r="AC52" s="329" t="s">
        <v>65</v>
      </c>
      <c r="AD52" s="346"/>
      <c r="AE52" s="114"/>
      <c r="AF52" s="329" t="s">
        <v>48</v>
      </c>
      <c r="AG52" s="330"/>
      <c r="AH52" s="330"/>
      <c r="AI52" s="329" t="s">
        <v>65</v>
      </c>
      <c r="AJ52" s="346"/>
      <c r="AK52" s="114"/>
      <c r="AL52" s="329" t="s">
        <v>48</v>
      </c>
      <c r="AM52" s="330"/>
      <c r="AN52" s="330"/>
      <c r="AO52" s="329" t="s">
        <v>65</v>
      </c>
      <c r="AP52" s="346"/>
    </row>
    <row r="53" spans="1:46" ht="38.25" customHeight="1">
      <c r="A53" s="1147" t="s">
        <v>314</v>
      </c>
      <c r="B53" s="1147" t="s">
        <v>235</v>
      </c>
      <c r="C53" s="1139" t="s">
        <v>68</v>
      </c>
      <c r="D53" s="117" t="s">
        <v>113</v>
      </c>
      <c r="E53" s="1649" t="str">
        <f>'XM.GUI MAIL'!E53</f>
        <v>50~70ºC
(60±3OC)</v>
      </c>
      <c r="F53" s="1652"/>
      <c r="G53" s="118"/>
      <c r="H53" s="1866">
        <v>63</v>
      </c>
      <c r="I53" s="1867"/>
      <c r="J53" s="1868"/>
      <c r="K53" s="1866">
        <v>64</v>
      </c>
      <c r="L53" s="1867"/>
      <c r="M53" s="1868"/>
      <c r="N53" s="1866">
        <v>64</v>
      </c>
      <c r="O53" s="1867"/>
      <c r="P53" s="1868"/>
      <c r="Q53" s="1866">
        <v>65</v>
      </c>
      <c r="R53" s="1867"/>
      <c r="S53" s="1868"/>
      <c r="T53" s="1866">
        <v>64</v>
      </c>
      <c r="U53" s="1867"/>
      <c r="V53" s="1868"/>
      <c r="W53" s="1866">
        <v>66</v>
      </c>
      <c r="X53" s="1867"/>
      <c r="Y53" s="1868"/>
      <c r="Z53" s="1866">
        <v>67</v>
      </c>
      <c r="AA53" s="1867"/>
      <c r="AB53" s="1868"/>
      <c r="AC53" s="1866">
        <v>65</v>
      </c>
      <c r="AD53" s="1867"/>
      <c r="AE53" s="1868"/>
      <c r="AF53" s="1866"/>
      <c r="AG53" s="1867"/>
      <c r="AH53" s="1868"/>
      <c r="AI53" s="1866"/>
      <c r="AJ53" s="1867"/>
      <c r="AK53" s="1868"/>
      <c r="AL53" s="1866">
        <v>67</v>
      </c>
      <c r="AM53" s="1867"/>
      <c r="AN53" s="1868"/>
      <c r="AO53" s="1866">
        <v>66</v>
      </c>
      <c r="AP53" s="1867"/>
    </row>
    <row r="54" spans="1:46" ht="38.25" customHeight="1">
      <c r="A54" s="1147" t="s">
        <v>315</v>
      </c>
      <c r="B54" s="1147" t="s">
        <v>235</v>
      </c>
      <c r="C54" s="1139" t="s">
        <v>69</v>
      </c>
      <c r="D54" s="117" t="s">
        <v>113</v>
      </c>
      <c r="E54" s="1649" t="str">
        <f>'XM.GUI MAIL'!E54</f>
        <v>50~70ºC
(60±3OC)</v>
      </c>
      <c r="F54" s="1652"/>
      <c r="G54" s="118"/>
      <c r="H54" s="1866">
        <v>62</v>
      </c>
      <c r="I54" s="1867"/>
      <c r="J54" s="1868"/>
      <c r="K54" s="1866">
        <v>63</v>
      </c>
      <c r="L54" s="1867"/>
      <c r="M54" s="1868"/>
      <c r="N54" s="1866">
        <v>63</v>
      </c>
      <c r="O54" s="1867"/>
      <c r="P54" s="1868"/>
      <c r="Q54" s="1866">
        <v>64</v>
      </c>
      <c r="R54" s="1867"/>
      <c r="S54" s="1868"/>
      <c r="T54" s="1866">
        <v>62</v>
      </c>
      <c r="U54" s="1867"/>
      <c r="V54" s="1868"/>
      <c r="W54" s="1866">
        <v>64</v>
      </c>
      <c r="X54" s="1867"/>
      <c r="Y54" s="1868"/>
      <c r="Z54" s="1866">
        <v>65</v>
      </c>
      <c r="AA54" s="1867"/>
      <c r="AB54" s="1868"/>
      <c r="AC54" s="1866">
        <v>64</v>
      </c>
      <c r="AD54" s="1867"/>
      <c r="AE54" s="1868"/>
      <c r="AF54" s="1866"/>
      <c r="AG54" s="1867"/>
      <c r="AH54" s="1868"/>
      <c r="AI54" s="1866"/>
      <c r="AJ54" s="1867"/>
      <c r="AK54" s="1868"/>
      <c r="AL54" s="1866">
        <v>66</v>
      </c>
      <c r="AM54" s="1867"/>
      <c r="AN54" s="1868"/>
      <c r="AO54" s="1866">
        <v>65</v>
      </c>
      <c r="AP54" s="1867"/>
    </row>
    <row r="55" spans="1:46" ht="38.25" customHeight="1">
      <c r="A55" s="1147" t="s">
        <v>316</v>
      </c>
      <c r="B55" s="1147" t="s">
        <v>235</v>
      </c>
      <c r="C55" s="1139" t="s">
        <v>71</v>
      </c>
      <c r="D55" s="117" t="s">
        <v>113</v>
      </c>
      <c r="E55" s="1649" t="str">
        <f>'XM.GUI MAIL'!E55</f>
        <v>50~70ºC
(60±3OC)</v>
      </c>
      <c r="F55" s="1652"/>
      <c r="G55" s="118"/>
      <c r="H55" s="1866">
        <v>55</v>
      </c>
      <c r="I55" s="1867"/>
      <c r="J55" s="1868"/>
      <c r="K55" s="1866">
        <v>54</v>
      </c>
      <c r="L55" s="1867"/>
      <c r="M55" s="1868"/>
      <c r="N55" s="1866">
        <v>60</v>
      </c>
      <c r="O55" s="1867"/>
      <c r="P55" s="1868"/>
      <c r="Q55" s="1866">
        <v>61</v>
      </c>
      <c r="R55" s="1867"/>
      <c r="S55" s="1868"/>
      <c r="T55" s="1866">
        <v>60</v>
      </c>
      <c r="U55" s="1867"/>
      <c r="V55" s="1868"/>
      <c r="W55" s="1866">
        <v>59</v>
      </c>
      <c r="X55" s="1867"/>
      <c r="Y55" s="1868"/>
      <c r="Z55" s="1866">
        <v>61</v>
      </c>
      <c r="AA55" s="1867"/>
      <c r="AB55" s="1868"/>
      <c r="AC55" s="1866">
        <v>60</v>
      </c>
      <c r="AD55" s="1867"/>
      <c r="AE55" s="1868"/>
      <c r="AF55" s="1866"/>
      <c r="AG55" s="1867"/>
      <c r="AH55" s="1868"/>
      <c r="AI55" s="1866"/>
      <c r="AJ55" s="1867"/>
      <c r="AK55" s="1868"/>
      <c r="AL55" s="1866">
        <v>59</v>
      </c>
      <c r="AM55" s="1867"/>
      <c r="AN55" s="1868"/>
      <c r="AO55" s="1866">
        <v>58</v>
      </c>
      <c r="AP55" s="1867"/>
    </row>
    <row r="56" spans="1:46" ht="38.25" customHeight="1">
      <c r="A56" s="1147" t="s">
        <v>317</v>
      </c>
      <c r="B56" s="1147" t="s">
        <v>235</v>
      </c>
      <c r="C56" s="1139" t="s">
        <v>70</v>
      </c>
      <c r="D56" s="117" t="s">
        <v>113</v>
      </c>
      <c r="E56" s="1649" t="str">
        <f>'XM.GUI MAIL'!E56</f>
        <v>50~70ºC
(60±3OC)</v>
      </c>
      <c r="F56" s="1652"/>
      <c r="G56" s="118"/>
      <c r="H56" s="1866">
        <v>54</v>
      </c>
      <c r="I56" s="1867"/>
      <c r="J56" s="1868"/>
      <c r="K56" s="1866">
        <v>53</v>
      </c>
      <c r="L56" s="1867"/>
      <c r="M56" s="1868"/>
      <c r="N56" s="1866">
        <v>51</v>
      </c>
      <c r="O56" s="1867"/>
      <c r="P56" s="1868"/>
      <c r="Q56" s="1866">
        <v>50</v>
      </c>
      <c r="R56" s="1867"/>
      <c r="S56" s="1868"/>
      <c r="T56" s="1866">
        <v>51</v>
      </c>
      <c r="U56" s="1867"/>
      <c r="V56" s="1868"/>
      <c r="W56" s="1866">
        <v>50</v>
      </c>
      <c r="X56" s="1867"/>
      <c r="Y56" s="1868"/>
      <c r="Z56" s="1866">
        <v>52</v>
      </c>
      <c r="AA56" s="1867"/>
      <c r="AB56" s="1868"/>
      <c r="AC56" s="1866">
        <v>50</v>
      </c>
      <c r="AD56" s="1867"/>
      <c r="AE56" s="1868"/>
      <c r="AF56" s="1866"/>
      <c r="AG56" s="1867"/>
      <c r="AH56" s="1868"/>
      <c r="AI56" s="1866"/>
      <c r="AJ56" s="1867"/>
      <c r="AK56" s="1868"/>
      <c r="AL56" s="1866">
        <v>54</v>
      </c>
      <c r="AM56" s="1867"/>
      <c r="AN56" s="1868"/>
      <c r="AO56" s="1866">
        <v>52</v>
      </c>
      <c r="AP56" s="1867"/>
    </row>
    <row r="57" spans="1:46" ht="38.25" customHeight="1">
      <c r="A57" s="1147" t="s">
        <v>356</v>
      </c>
      <c r="B57" s="1147" t="s">
        <v>235</v>
      </c>
      <c r="C57" s="1139" t="s">
        <v>72</v>
      </c>
      <c r="D57" s="117" t="s">
        <v>113</v>
      </c>
      <c r="E57" s="1649" t="str">
        <f>'XM.GUI MAIL'!E57</f>
        <v>22~30ºC
(24±1OC)</v>
      </c>
      <c r="F57" s="1652"/>
      <c r="G57" s="118"/>
      <c r="H57" s="1866">
        <v>26</v>
      </c>
      <c r="I57" s="1867"/>
      <c r="J57" s="1868"/>
      <c r="K57" s="1866">
        <v>25</v>
      </c>
      <c r="L57" s="1868"/>
      <c r="M57" s="327"/>
      <c r="N57" s="1866">
        <v>28</v>
      </c>
      <c r="O57" s="1867"/>
      <c r="P57" s="1868"/>
      <c r="Q57" s="1866">
        <v>27</v>
      </c>
      <c r="R57" s="1868"/>
      <c r="S57" s="113"/>
      <c r="T57" s="1866">
        <v>28</v>
      </c>
      <c r="U57" s="1867"/>
      <c r="V57" s="1868"/>
      <c r="W57" s="1866">
        <v>27</v>
      </c>
      <c r="X57" s="1868"/>
      <c r="Y57" s="114"/>
      <c r="Z57" s="1866">
        <v>27</v>
      </c>
      <c r="AA57" s="1867"/>
      <c r="AB57" s="1868"/>
      <c r="AC57" s="1866">
        <v>27</v>
      </c>
      <c r="AD57" s="1868"/>
      <c r="AE57" s="114"/>
      <c r="AF57" s="1866"/>
      <c r="AG57" s="1867"/>
      <c r="AH57" s="1868"/>
      <c r="AI57" s="1866"/>
      <c r="AJ57" s="1868"/>
      <c r="AK57" s="114"/>
      <c r="AL57" s="1866">
        <v>27</v>
      </c>
      <c r="AM57" s="1867"/>
      <c r="AN57" s="1868"/>
      <c r="AO57" s="1866">
        <v>26</v>
      </c>
      <c r="AP57" s="1868"/>
    </row>
    <row r="58" spans="1:46" ht="38.25" customHeight="1">
      <c r="A58" s="324" t="s">
        <v>318</v>
      </c>
      <c r="B58" s="1147" t="s">
        <v>235</v>
      </c>
      <c r="C58" s="1139" t="s">
        <v>165</v>
      </c>
      <c r="D58" s="117" t="s">
        <v>113</v>
      </c>
      <c r="E58" s="1649" t="str">
        <f>'XM.GUI MAIL'!E58</f>
        <v>30-38ºC
(34±2OC)</v>
      </c>
      <c r="F58" s="1652"/>
      <c r="G58" s="118"/>
      <c r="H58" s="1866">
        <v>36</v>
      </c>
      <c r="I58" s="1867"/>
      <c r="J58" s="1868"/>
      <c r="K58" s="1866">
        <v>35</v>
      </c>
      <c r="L58" s="1868"/>
      <c r="M58" s="327"/>
      <c r="N58" s="1866">
        <v>37</v>
      </c>
      <c r="O58" s="1867"/>
      <c r="P58" s="1868"/>
      <c r="Q58" s="1866">
        <v>36</v>
      </c>
      <c r="R58" s="1868"/>
      <c r="S58" s="113"/>
      <c r="T58" s="1866">
        <v>37</v>
      </c>
      <c r="U58" s="1867"/>
      <c r="V58" s="1868"/>
      <c r="W58" s="1866">
        <v>36</v>
      </c>
      <c r="X58" s="1868"/>
      <c r="Y58" s="114"/>
      <c r="Z58" s="1866">
        <v>36</v>
      </c>
      <c r="AA58" s="1867"/>
      <c r="AB58" s="1868"/>
      <c r="AC58" s="1866">
        <v>35</v>
      </c>
      <c r="AD58" s="1868"/>
      <c r="AE58" s="114"/>
      <c r="AF58" s="1866"/>
      <c r="AG58" s="1867"/>
      <c r="AH58" s="1868"/>
      <c r="AI58" s="1866"/>
      <c r="AJ58" s="1868"/>
      <c r="AK58" s="114"/>
      <c r="AL58" s="1866">
        <v>36</v>
      </c>
      <c r="AM58" s="1867"/>
      <c r="AN58" s="1868"/>
      <c r="AO58" s="1866">
        <v>35</v>
      </c>
      <c r="AP58" s="1868"/>
    </row>
    <row r="59" spans="1:46" ht="38.25" customHeight="1">
      <c r="A59" s="324" t="s">
        <v>319</v>
      </c>
      <c r="B59" s="1147" t="s">
        <v>235</v>
      </c>
      <c r="C59" s="1139" t="s">
        <v>73</v>
      </c>
      <c r="D59" s="117" t="s">
        <v>113</v>
      </c>
      <c r="E59" s="1649" t="str">
        <f>'XM.GUI MAIL'!E59</f>
        <v>55~65ºC
(60±3OC)</v>
      </c>
      <c r="F59" s="1652"/>
      <c r="G59" s="118"/>
      <c r="H59" s="1866">
        <v>62</v>
      </c>
      <c r="I59" s="1867"/>
      <c r="J59" s="1868"/>
      <c r="K59" s="1866">
        <v>61</v>
      </c>
      <c r="L59" s="1868"/>
      <c r="M59" s="327"/>
      <c r="N59" s="1866">
        <v>58</v>
      </c>
      <c r="O59" s="1867"/>
      <c r="P59" s="1868"/>
      <c r="Q59" s="1866">
        <v>56</v>
      </c>
      <c r="R59" s="1868"/>
      <c r="S59" s="113"/>
      <c r="T59" s="1866">
        <v>58</v>
      </c>
      <c r="U59" s="1867"/>
      <c r="V59" s="1868"/>
      <c r="W59" s="1866">
        <v>55</v>
      </c>
      <c r="X59" s="1868"/>
      <c r="Y59" s="114"/>
      <c r="Z59" s="1866">
        <v>55</v>
      </c>
      <c r="AA59" s="1867"/>
      <c r="AB59" s="1868"/>
      <c r="AC59" s="1866">
        <v>54</v>
      </c>
      <c r="AD59" s="1868"/>
      <c r="AE59" s="114"/>
      <c r="AF59" s="1866"/>
      <c r="AG59" s="1867"/>
      <c r="AH59" s="1868"/>
      <c r="AI59" s="1866"/>
      <c r="AJ59" s="1868"/>
      <c r="AK59" s="114"/>
      <c r="AL59" s="1866">
        <v>57</v>
      </c>
      <c r="AM59" s="1867"/>
      <c r="AN59" s="1868"/>
      <c r="AO59" s="1866">
        <v>56</v>
      </c>
      <c r="AP59" s="1868"/>
    </row>
    <row r="60" spans="1:46" ht="38.25" customHeight="1">
      <c r="A60" s="54" t="s">
        <v>320</v>
      </c>
      <c r="B60" s="1147" t="s">
        <v>235</v>
      </c>
      <c r="C60" s="1139" t="s">
        <v>74</v>
      </c>
      <c r="D60" s="117" t="s">
        <v>113</v>
      </c>
      <c r="E60" s="1649" t="str">
        <f>'XM.GUI MAIL'!E60</f>
        <v>65~75ºC
(70±3OC)</v>
      </c>
      <c r="F60" s="1652"/>
      <c r="G60" s="118"/>
      <c r="H60" s="329" t="s">
        <v>49</v>
      </c>
      <c r="I60" s="330"/>
      <c r="J60" s="330"/>
      <c r="K60" s="1866">
        <v>73</v>
      </c>
      <c r="L60" s="1868"/>
      <c r="M60" s="327"/>
      <c r="N60" s="329" t="s">
        <v>49</v>
      </c>
      <c r="O60" s="330"/>
      <c r="P60" s="330"/>
      <c r="Q60" s="1866">
        <v>71</v>
      </c>
      <c r="R60" s="1868"/>
      <c r="S60" s="113"/>
      <c r="T60" s="329" t="s">
        <v>49</v>
      </c>
      <c r="U60" s="330"/>
      <c r="V60" s="330"/>
      <c r="W60" s="1866">
        <v>71</v>
      </c>
      <c r="X60" s="1868"/>
      <c r="Y60" s="114"/>
      <c r="Z60" s="329" t="s">
        <v>49</v>
      </c>
      <c r="AA60" s="330"/>
      <c r="AB60" s="330"/>
      <c r="AC60" s="1866">
        <v>73</v>
      </c>
      <c r="AD60" s="1868"/>
      <c r="AE60" s="114"/>
      <c r="AF60" s="329" t="s">
        <v>49</v>
      </c>
      <c r="AG60" s="330"/>
      <c r="AH60" s="330"/>
      <c r="AI60" s="1866"/>
      <c r="AJ60" s="1868"/>
      <c r="AK60" s="114"/>
      <c r="AL60" s="329" t="s">
        <v>49</v>
      </c>
      <c r="AM60" s="330"/>
      <c r="AN60" s="330"/>
      <c r="AO60" s="1866">
        <v>71</v>
      </c>
      <c r="AP60" s="1868"/>
    </row>
    <row r="61" spans="1:46" s="233" customFormat="1" ht="54" customHeight="1">
      <c r="A61" s="335" t="s">
        <v>78</v>
      </c>
      <c r="B61" s="336"/>
      <c r="C61" s="336"/>
      <c r="D61" s="336"/>
      <c r="E61" s="349"/>
      <c r="F61" s="349"/>
      <c r="G61" s="336"/>
      <c r="H61" s="336"/>
      <c r="I61" s="336"/>
      <c r="J61" s="336"/>
      <c r="K61" s="336"/>
      <c r="L61" s="336"/>
      <c r="M61" s="336"/>
      <c r="N61" s="337"/>
      <c r="O61" s="336"/>
      <c r="P61" s="336"/>
      <c r="Q61" s="336"/>
      <c r="R61" s="337"/>
      <c r="S61" s="336"/>
      <c r="T61" s="337"/>
      <c r="U61" s="336"/>
      <c r="V61" s="336"/>
      <c r="W61" s="336"/>
      <c r="X61" s="336"/>
      <c r="Y61" s="336"/>
      <c r="Z61" s="336"/>
      <c r="AA61" s="336"/>
      <c r="AB61" s="336"/>
      <c r="AC61" s="336"/>
      <c r="AD61" s="336"/>
      <c r="AE61" s="337"/>
      <c r="AF61" s="337"/>
      <c r="AG61" s="337"/>
      <c r="AH61" s="337"/>
      <c r="AI61" s="337"/>
      <c r="AJ61" s="337"/>
      <c r="AK61" s="337"/>
      <c r="AL61" s="337"/>
      <c r="AM61" s="337"/>
      <c r="AN61" s="337"/>
      <c r="AO61" s="337"/>
      <c r="AP61" s="1155"/>
      <c r="AQ61" s="111"/>
      <c r="AR61" s="111"/>
      <c r="AS61" s="111"/>
      <c r="AT61" s="111"/>
    </row>
    <row r="62" spans="1:46" ht="34.5" customHeight="1">
      <c r="A62" s="324" t="s">
        <v>321</v>
      </c>
      <c r="B62" s="1147" t="s">
        <v>235</v>
      </c>
      <c r="C62" s="1149" t="s">
        <v>272</v>
      </c>
      <c r="D62" s="1161" t="s">
        <v>274</v>
      </c>
      <c r="E62" s="1109" t="str">
        <f>'XM.GUI MAIL'!E62</f>
        <v>100-200</v>
      </c>
      <c r="F62" s="15"/>
      <c r="G62" s="51"/>
      <c r="H62" s="1866">
        <v>200</v>
      </c>
      <c r="I62" s="1867"/>
      <c r="J62" s="1867"/>
      <c r="K62" s="1867"/>
      <c r="L62" s="1868"/>
      <c r="M62" s="327"/>
      <c r="N62" s="1866">
        <v>195</v>
      </c>
      <c r="O62" s="1867"/>
      <c r="P62" s="1867"/>
      <c r="Q62" s="1867"/>
      <c r="R62" s="1868"/>
      <c r="S62" s="699"/>
      <c r="T62" s="1866">
        <v>190</v>
      </c>
      <c r="U62" s="1867"/>
      <c r="V62" s="1867"/>
      <c r="W62" s="1867"/>
      <c r="X62" s="1868"/>
      <c r="Y62" s="1152"/>
      <c r="Z62" s="1866">
        <v>195</v>
      </c>
      <c r="AA62" s="1867"/>
      <c r="AB62" s="1867"/>
      <c r="AC62" s="1867"/>
      <c r="AD62" s="1868"/>
      <c r="AE62" s="310"/>
      <c r="AF62" s="1866"/>
      <c r="AG62" s="1867"/>
      <c r="AH62" s="1867"/>
      <c r="AI62" s="1867"/>
      <c r="AJ62" s="1868"/>
      <c r="AK62" s="310"/>
      <c r="AL62" s="1866">
        <v>190</v>
      </c>
      <c r="AM62" s="1867"/>
      <c r="AN62" s="1867"/>
      <c r="AO62" s="1867"/>
      <c r="AP62" s="1867"/>
    </row>
    <row r="63" spans="1:46" ht="41.25" customHeight="1">
      <c r="A63" s="54" t="s">
        <v>322</v>
      </c>
      <c r="B63" s="1147" t="s">
        <v>235</v>
      </c>
      <c r="C63" s="127" t="s">
        <v>273</v>
      </c>
      <c r="D63" s="1161" t="s">
        <v>274</v>
      </c>
      <c r="E63" s="1109" t="str">
        <f>'XM.GUI MAIL'!E63</f>
        <v>20-50</v>
      </c>
      <c r="F63" s="15"/>
      <c r="G63" s="51"/>
      <c r="H63" s="1866">
        <v>43</v>
      </c>
      <c r="I63" s="1867"/>
      <c r="J63" s="1867"/>
      <c r="K63" s="1867"/>
      <c r="L63" s="1868"/>
      <c r="M63" s="1144"/>
      <c r="N63" s="1866">
        <v>42</v>
      </c>
      <c r="O63" s="1867"/>
      <c r="P63" s="1867"/>
      <c r="Q63" s="1867"/>
      <c r="R63" s="1868"/>
      <c r="S63" s="699"/>
      <c r="T63" s="1866">
        <v>43</v>
      </c>
      <c r="U63" s="1867"/>
      <c r="V63" s="1867"/>
      <c r="W63" s="1867"/>
      <c r="X63" s="1867"/>
      <c r="Y63" s="1144"/>
      <c r="Z63" s="1866">
        <v>42</v>
      </c>
      <c r="AA63" s="1867"/>
      <c r="AB63" s="1867"/>
      <c r="AC63" s="1867"/>
      <c r="AD63" s="1867"/>
      <c r="AE63" s="1138"/>
      <c r="AF63" s="1866"/>
      <c r="AG63" s="1867"/>
      <c r="AH63" s="1867"/>
      <c r="AI63" s="1867"/>
      <c r="AJ63" s="1867"/>
      <c r="AK63" s="1138"/>
      <c r="AL63" s="1866">
        <v>39</v>
      </c>
      <c r="AM63" s="1867"/>
      <c r="AN63" s="1867"/>
      <c r="AO63" s="1867"/>
      <c r="AP63" s="1867"/>
    </row>
    <row r="64" spans="1:46" ht="26.25" customHeight="1">
      <c r="A64" s="309"/>
      <c r="B64" s="309"/>
      <c r="C64" s="309"/>
      <c r="D64" s="309"/>
      <c r="E64" s="1651"/>
      <c r="F64" s="1651"/>
      <c r="G64" s="309"/>
      <c r="H64" s="309"/>
      <c r="I64" s="309"/>
      <c r="J64" s="309"/>
      <c r="K64" s="309"/>
      <c r="L64" s="309"/>
      <c r="M64" s="309"/>
      <c r="N64" s="309"/>
      <c r="O64" s="309"/>
      <c r="P64" s="309"/>
      <c r="Q64" s="309"/>
      <c r="R64" s="309"/>
      <c r="S64" s="309"/>
      <c r="T64" s="309"/>
      <c r="U64" s="309"/>
      <c r="V64" s="309"/>
      <c r="W64" s="309"/>
      <c r="X64" s="309"/>
      <c r="Y64" s="309"/>
      <c r="Z64" s="309"/>
      <c r="AA64" s="309"/>
      <c r="AB64" s="309"/>
      <c r="AC64" s="309"/>
      <c r="AD64" s="309"/>
      <c r="AE64" s="309"/>
      <c r="AF64" s="309"/>
      <c r="AG64" s="309"/>
      <c r="AH64" s="309"/>
      <c r="AI64" s="309"/>
      <c r="AJ64" s="309"/>
      <c r="AK64" s="309"/>
      <c r="AL64" s="309"/>
      <c r="AM64" s="309"/>
      <c r="AN64" s="309"/>
      <c r="AO64" s="309"/>
      <c r="AP64" s="309"/>
    </row>
    <row r="65" spans="1:42" ht="41.25" customHeight="1">
      <c r="A65" s="1228" t="s">
        <v>56</v>
      </c>
      <c r="B65" s="1229"/>
      <c r="C65" s="1230"/>
      <c r="D65" s="1230"/>
      <c r="E65" s="1648"/>
      <c r="F65" s="1653" t="s">
        <v>75</v>
      </c>
      <c r="G65" s="1231"/>
      <c r="H65" s="1232"/>
      <c r="I65" s="1231"/>
      <c r="J65" s="1231"/>
      <c r="K65" s="1233"/>
      <c r="L65" s="1233"/>
      <c r="M65" s="1233"/>
      <c r="N65" s="1233"/>
      <c r="O65" s="1233"/>
      <c r="P65" s="1233"/>
      <c r="Q65" s="1233"/>
      <c r="R65" s="1231"/>
      <c r="S65" s="1231"/>
      <c r="T65" s="1231"/>
      <c r="U65" s="1231"/>
      <c r="V65" s="1231"/>
      <c r="W65" s="1231"/>
      <c r="X65" s="1231"/>
      <c r="Y65" s="1231"/>
      <c r="Z65" s="1231"/>
      <c r="AA65" s="1231"/>
      <c r="AB65" s="1231"/>
      <c r="AC65" s="1231"/>
      <c r="AD65" s="1231"/>
      <c r="AE65" s="1226"/>
      <c r="AF65" s="1229" t="s">
        <v>56</v>
      </c>
      <c r="AG65" s="1234"/>
      <c r="AH65" s="1234"/>
      <c r="AI65" s="1234"/>
      <c r="AJ65" s="1234"/>
      <c r="AK65" s="1234"/>
      <c r="AL65" s="1234"/>
      <c r="AM65" s="1234"/>
      <c r="AN65" s="1234"/>
      <c r="AO65" s="1234"/>
      <c r="AP65" s="1235"/>
    </row>
    <row r="66" spans="1:42" ht="36.75" customHeight="1">
      <c r="A66" s="1145"/>
      <c r="B66" s="1145"/>
      <c r="C66" s="1145"/>
      <c r="D66" s="1145"/>
      <c r="E66" s="1585"/>
      <c r="F66" s="1873" t="s">
        <v>141</v>
      </c>
      <c r="G66" s="105"/>
      <c r="H66" s="314" t="s">
        <v>241</v>
      </c>
      <c r="I66" s="314"/>
      <c r="J66" s="314"/>
      <c r="K66" s="314"/>
      <c r="L66" s="314"/>
      <c r="M66" s="106"/>
      <c r="N66" s="331" t="s">
        <v>242</v>
      </c>
      <c r="O66" s="314"/>
      <c r="P66" s="314"/>
      <c r="Q66" s="314"/>
      <c r="R66" s="315"/>
      <c r="S66" s="314"/>
      <c r="T66" s="314" t="s">
        <v>243</v>
      </c>
      <c r="U66" s="314"/>
      <c r="V66" s="314"/>
      <c r="W66" s="314"/>
      <c r="X66" s="314"/>
      <c r="Y66" s="106"/>
      <c r="Z66" s="331" t="s">
        <v>244</v>
      </c>
      <c r="AA66" s="314"/>
      <c r="AB66" s="314"/>
      <c r="AC66" s="314"/>
      <c r="AD66" s="315"/>
      <c r="AE66" s="314"/>
      <c r="AF66" s="314" t="s">
        <v>245</v>
      </c>
      <c r="AG66" s="314"/>
      <c r="AH66" s="314"/>
      <c r="AI66" s="314"/>
      <c r="AJ66" s="314"/>
      <c r="AK66" s="314"/>
      <c r="AL66" s="331" t="s">
        <v>246</v>
      </c>
      <c r="AM66" s="314"/>
      <c r="AN66" s="314"/>
      <c r="AO66" s="315"/>
      <c r="AP66" s="1154"/>
    </row>
    <row r="67" spans="1:42" ht="63.75" customHeight="1">
      <c r="A67" s="1146" t="s">
        <v>276</v>
      </c>
      <c r="B67" s="1146" t="s">
        <v>359</v>
      </c>
      <c r="C67" s="1152" t="s">
        <v>357</v>
      </c>
      <c r="D67" s="1146" t="s">
        <v>137</v>
      </c>
      <c r="E67" s="1586" t="s">
        <v>67</v>
      </c>
      <c r="F67" s="1874"/>
      <c r="G67" s="21"/>
      <c r="H67" s="1240" t="s">
        <v>146</v>
      </c>
      <c r="I67" s="1241" t="s">
        <v>1</v>
      </c>
      <c r="J67" s="1242" t="s">
        <v>1</v>
      </c>
      <c r="K67" s="1242"/>
      <c r="L67" s="1243"/>
      <c r="M67" s="1244"/>
      <c r="N67" s="1240" t="s">
        <v>146</v>
      </c>
      <c r="O67" s="1241" t="s">
        <v>1</v>
      </c>
      <c r="P67" s="1242" t="s">
        <v>1</v>
      </c>
      <c r="Q67" s="1242"/>
      <c r="R67" s="1243"/>
      <c r="S67" s="1136"/>
      <c r="T67" s="1240" t="s">
        <v>146</v>
      </c>
      <c r="U67" s="1241" t="s">
        <v>1</v>
      </c>
      <c r="V67" s="1242" t="s">
        <v>1</v>
      </c>
      <c r="W67" s="1242"/>
      <c r="X67" s="1243"/>
      <c r="Y67" s="1244"/>
      <c r="Z67" s="1240" t="s">
        <v>146</v>
      </c>
      <c r="AA67" s="1241" t="s">
        <v>1</v>
      </c>
      <c r="AB67" s="1242" t="s">
        <v>1</v>
      </c>
      <c r="AC67" s="1242"/>
      <c r="AD67" s="1243"/>
      <c r="AE67" s="1244"/>
      <c r="AF67" s="1240" t="s">
        <v>146</v>
      </c>
      <c r="AG67" s="1241" t="s">
        <v>1</v>
      </c>
      <c r="AH67" s="1242" t="s">
        <v>1</v>
      </c>
      <c r="AI67" s="1242"/>
      <c r="AJ67" s="1243"/>
      <c r="AK67" s="1244"/>
      <c r="AL67" s="1240" t="s">
        <v>146</v>
      </c>
      <c r="AM67" s="36" t="s">
        <v>1</v>
      </c>
      <c r="AN67" s="332" t="s">
        <v>1</v>
      </c>
      <c r="AO67" s="332"/>
      <c r="AP67" s="333"/>
    </row>
    <row r="68" spans="1:42" ht="33.75" customHeight="1">
      <c r="A68" s="1147" t="s">
        <v>323</v>
      </c>
      <c r="B68" s="1147" t="s">
        <v>144</v>
      </c>
      <c r="C68" s="54" t="s">
        <v>83</v>
      </c>
      <c r="D68" s="54" t="s">
        <v>4</v>
      </c>
      <c r="E68" s="14" t="str">
        <f>'XM.GUI MAIL'!E68</f>
        <v>40~60g/L
(50±5g/L)</v>
      </c>
      <c r="F68" s="1255">
        <f>'XM.GUI MAIL'!F68</f>
        <v>50</v>
      </c>
      <c r="G68" s="110">
        <f>XM.HN!B35</f>
        <v>0</v>
      </c>
      <c r="H68" s="64">
        <f>G68*6.49</f>
        <v>0</v>
      </c>
      <c r="I68" s="1241">
        <f>($F$68-H68)*15517/1000</f>
        <v>775.85</v>
      </c>
      <c r="J68" s="1242" t="s">
        <v>8</v>
      </c>
      <c r="K68" s="46">
        <f t="shared" ref="K68:K74" si="17">IF(I68&lt;0,0,I68)</f>
        <v>775.85</v>
      </c>
      <c r="L68" s="249" t="s">
        <v>9</v>
      </c>
      <c r="M68" s="1244">
        <f>XM.HN!C35</f>
        <v>0</v>
      </c>
      <c r="N68" s="64">
        <f>M68*6.49</f>
        <v>0</v>
      </c>
      <c r="O68" s="1241">
        <f>($F$68-N68)*15517/1000</f>
        <v>775.85</v>
      </c>
      <c r="P68" s="1242" t="s">
        <v>8</v>
      </c>
      <c r="Q68" s="46">
        <f t="shared" ref="Q68:Q71" si="18">IF(O68&lt;0,0,O68)</f>
        <v>775.85</v>
      </c>
      <c r="R68" s="249" t="s">
        <v>9</v>
      </c>
      <c r="S68" s="1136">
        <f>XM.HN!D35</f>
        <v>0</v>
      </c>
      <c r="T68" s="64">
        <f>S68*6.49</f>
        <v>0</v>
      </c>
      <c r="U68" s="1241">
        <f>($F$68-T68)*15517/1000</f>
        <v>775.85</v>
      </c>
      <c r="V68" s="1242" t="s">
        <v>8</v>
      </c>
      <c r="W68" s="46">
        <f t="shared" ref="W68:W71" si="19">IF(U68&lt;0,0,U68)</f>
        <v>775.85</v>
      </c>
      <c r="X68" s="249" t="s">
        <v>9</v>
      </c>
      <c r="Y68" s="1244">
        <f>XM.HN!E35</f>
        <v>0</v>
      </c>
      <c r="Z68" s="64">
        <f>Y68*6.49</f>
        <v>0</v>
      </c>
      <c r="AA68" s="1241">
        <f>($F$68-Z68)*15517/1000</f>
        <v>775.85</v>
      </c>
      <c r="AB68" s="1242" t="s">
        <v>8</v>
      </c>
      <c r="AC68" s="46">
        <f t="shared" ref="AC68:AC71" si="20">IF(AA68&lt;0,0,AA68)</f>
        <v>775.85</v>
      </c>
      <c r="AD68" s="249" t="s">
        <v>9</v>
      </c>
      <c r="AE68" s="1244">
        <f>XM.HN!F35</f>
        <v>0</v>
      </c>
      <c r="AF68" s="64">
        <f>AE68*6.49</f>
        <v>0</v>
      </c>
      <c r="AG68" s="1241">
        <f>($F$68-AF68)*15517/1000</f>
        <v>775.85</v>
      </c>
      <c r="AH68" s="1242" t="s">
        <v>8</v>
      </c>
      <c r="AI68" s="46">
        <f t="shared" ref="AI68:AI71" si="21">IF(AG68&lt;0,0,AG68)</f>
        <v>775.85</v>
      </c>
      <c r="AJ68" s="249" t="s">
        <v>9</v>
      </c>
      <c r="AK68" s="1244">
        <f>XM.HN!G35</f>
        <v>0</v>
      </c>
      <c r="AL68" s="64">
        <f>AK68*6.49</f>
        <v>0</v>
      </c>
      <c r="AM68" s="37">
        <f>($F$68-AL68)*15517/1000</f>
        <v>775.85</v>
      </c>
      <c r="AN68" s="45" t="s">
        <v>8</v>
      </c>
      <c r="AO68" s="46">
        <f t="shared" ref="AO68:AO71" si="22">IF(AM68&lt;0,0,AM68)</f>
        <v>775.85</v>
      </c>
      <c r="AP68" s="47" t="s">
        <v>9</v>
      </c>
    </row>
    <row r="69" spans="1:42" ht="33.75" customHeight="1">
      <c r="A69" s="1147" t="s">
        <v>324</v>
      </c>
      <c r="B69" s="1147" t="s">
        <v>144</v>
      </c>
      <c r="C69" s="54" t="s">
        <v>143</v>
      </c>
      <c r="D69" s="54" t="s">
        <v>4</v>
      </c>
      <c r="E69" s="14" t="str">
        <f>'XM.GUI MAIL'!E69</f>
        <v>40~60g/L
(50±5g/L)</v>
      </c>
      <c r="F69" s="1255">
        <f>'XM.GUI MAIL'!F69</f>
        <v>50</v>
      </c>
      <c r="G69" s="110">
        <f>XM.HN!B36</f>
        <v>0</v>
      </c>
      <c r="H69" s="64">
        <f>G69*6.49</f>
        <v>0</v>
      </c>
      <c r="I69" s="1241">
        <f>($F$69-H69)*11475/1000</f>
        <v>573.75</v>
      </c>
      <c r="J69" s="1242" t="s">
        <v>8</v>
      </c>
      <c r="K69" s="46">
        <f t="shared" si="17"/>
        <v>573.75</v>
      </c>
      <c r="L69" s="249" t="s">
        <v>9</v>
      </c>
      <c r="M69" s="1244">
        <f>XM.HN!C36</f>
        <v>0</v>
      </c>
      <c r="N69" s="64">
        <f>M69*6.49</f>
        <v>0</v>
      </c>
      <c r="O69" s="1241">
        <f>($F$69-N69)*11475/1000</f>
        <v>573.75</v>
      </c>
      <c r="P69" s="1242" t="s">
        <v>8</v>
      </c>
      <c r="Q69" s="46">
        <f t="shared" si="18"/>
        <v>573.75</v>
      </c>
      <c r="R69" s="249" t="s">
        <v>9</v>
      </c>
      <c r="S69" s="1136">
        <f>XM.HN!D36</f>
        <v>0</v>
      </c>
      <c r="T69" s="64">
        <f>S69*6.49</f>
        <v>0</v>
      </c>
      <c r="U69" s="1241">
        <f>($F$69-T69)*11475/1000</f>
        <v>573.75</v>
      </c>
      <c r="V69" s="1242" t="s">
        <v>8</v>
      </c>
      <c r="W69" s="46">
        <f t="shared" si="19"/>
        <v>573.75</v>
      </c>
      <c r="X69" s="249" t="s">
        <v>9</v>
      </c>
      <c r="Y69" s="1244">
        <f>XM.HN!E36</f>
        <v>0</v>
      </c>
      <c r="Z69" s="64">
        <f>Y69*6.49</f>
        <v>0</v>
      </c>
      <c r="AA69" s="1241">
        <f>($F$69-Z69)*11475/1000</f>
        <v>573.75</v>
      </c>
      <c r="AB69" s="1242" t="s">
        <v>8</v>
      </c>
      <c r="AC69" s="46">
        <f t="shared" si="20"/>
        <v>573.75</v>
      </c>
      <c r="AD69" s="249" t="s">
        <v>9</v>
      </c>
      <c r="AE69" s="1244">
        <f>XM.HN!F36</f>
        <v>0</v>
      </c>
      <c r="AF69" s="64">
        <f>AE69*6.49</f>
        <v>0</v>
      </c>
      <c r="AG69" s="1241">
        <f>($F$69-AF69)*11475/1000</f>
        <v>573.75</v>
      </c>
      <c r="AH69" s="1242" t="s">
        <v>8</v>
      </c>
      <c r="AI69" s="46">
        <f t="shared" si="21"/>
        <v>573.75</v>
      </c>
      <c r="AJ69" s="249" t="s">
        <v>9</v>
      </c>
      <c r="AK69" s="1244">
        <f>XM.HN!G36</f>
        <v>0</v>
      </c>
      <c r="AL69" s="64">
        <f>AK69*6.49</f>
        <v>0</v>
      </c>
      <c r="AM69" s="37">
        <f>($F$69-AL69)*11475/1000</f>
        <v>573.75</v>
      </c>
      <c r="AN69" s="45" t="s">
        <v>8</v>
      </c>
      <c r="AO69" s="46">
        <f t="shared" si="22"/>
        <v>573.75</v>
      </c>
      <c r="AP69" s="47" t="s">
        <v>9</v>
      </c>
    </row>
    <row r="70" spans="1:42" ht="33.75" customHeight="1">
      <c r="A70" s="1147" t="s">
        <v>325</v>
      </c>
      <c r="B70" s="1147" t="s">
        <v>144</v>
      </c>
      <c r="C70" s="54" t="s">
        <v>88</v>
      </c>
      <c r="D70" s="54" t="s">
        <v>4</v>
      </c>
      <c r="E70" s="14" t="str">
        <f>'XM.GUI MAIL'!E70</f>
        <v>50~70g/L
(60±5g/L)</v>
      </c>
      <c r="F70" s="1255">
        <f>'XM.GUI MAIL'!F70</f>
        <v>60</v>
      </c>
      <c r="G70" s="110">
        <f>XM.HN!B37</f>
        <v>0</v>
      </c>
      <c r="H70" s="64">
        <f>G70*4.62</f>
        <v>0</v>
      </c>
      <c r="I70" s="37">
        <f>($F$70-H70)*8200/1000</f>
        <v>492</v>
      </c>
      <c r="J70" s="45" t="s">
        <v>8</v>
      </c>
      <c r="K70" s="46">
        <f t="shared" si="17"/>
        <v>492</v>
      </c>
      <c r="L70" s="249" t="s">
        <v>9</v>
      </c>
      <c r="M70" s="285">
        <f>XM.HN!C37</f>
        <v>0</v>
      </c>
      <c r="N70" s="64">
        <f>M70*4.62</f>
        <v>0</v>
      </c>
      <c r="O70" s="37">
        <f>($F$70-N70)*8200/1000</f>
        <v>492</v>
      </c>
      <c r="P70" s="45" t="s">
        <v>8</v>
      </c>
      <c r="Q70" s="46">
        <f t="shared" si="18"/>
        <v>492</v>
      </c>
      <c r="R70" s="249" t="s">
        <v>9</v>
      </c>
      <c r="S70" s="110">
        <f>XM.HN!D37</f>
        <v>0</v>
      </c>
      <c r="T70" s="64">
        <f>S70*4.62</f>
        <v>0</v>
      </c>
      <c r="U70" s="37">
        <f>($F$70-T70)*8200/1000</f>
        <v>492</v>
      </c>
      <c r="V70" s="45" t="s">
        <v>8</v>
      </c>
      <c r="W70" s="46">
        <f t="shared" si="19"/>
        <v>492</v>
      </c>
      <c r="X70" s="249" t="s">
        <v>9</v>
      </c>
      <c r="Y70" s="110">
        <f>XM.HN!E37</f>
        <v>0</v>
      </c>
      <c r="Z70" s="64">
        <f>Y70*4.62</f>
        <v>0</v>
      </c>
      <c r="AA70" s="37">
        <f>($F$70-Z70)*8200/1000</f>
        <v>492</v>
      </c>
      <c r="AB70" s="45" t="s">
        <v>8</v>
      </c>
      <c r="AC70" s="46">
        <f t="shared" si="20"/>
        <v>492</v>
      </c>
      <c r="AD70" s="249" t="s">
        <v>9</v>
      </c>
      <c r="AE70" s="110">
        <f>XM.HN!F37</f>
        <v>0</v>
      </c>
      <c r="AF70" s="64">
        <f>AE70*4.62</f>
        <v>0</v>
      </c>
      <c r="AG70" s="37">
        <f>($F$70-AF70)*8200/1000</f>
        <v>492</v>
      </c>
      <c r="AH70" s="45" t="s">
        <v>8</v>
      </c>
      <c r="AI70" s="46">
        <f t="shared" si="21"/>
        <v>492</v>
      </c>
      <c r="AJ70" s="249" t="s">
        <v>9</v>
      </c>
      <c r="AK70" s="110">
        <f>XM.HN!G37</f>
        <v>0</v>
      </c>
      <c r="AL70" s="64">
        <f>AK70*4.62</f>
        <v>0</v>
      </c>
      <c r="AM70" s="37">
        <f>($F$70-AL70)*8200/1000</f>
        <v>492</v>
      </c>
      <c r="AN70" s="45" t="s">
        <v>8</v>
      </c>
      <c r="AO70" s="46">
        <f t="shared" si="22"/>
        <v>492</v>
      </c>
      <c r="AP70" s="47" t="s">
        <v>9</v>
      </c>
    </row>
    <row r="71" spans="1:42" ht="33.75" customHeight="1">
      <c r="A71" s="1147" t="s">
        <v>326</v>
      </c>
      <c r="B71" s="1147" t="s">
        <v>144</v>
      </c>
      <c r="C71" s="54" t="s">
        <v>87</v>
      </c>
      <c r="D71" s="54" t="s">
        <v>4</v>
      </c>
      <c r="E71" s="14" t="str">
        <f>'XM.GUI MAIL'!E71</f>
        <v>50~70g/L
(60±5g/L)</v>
      </c>
      <c r="F71" s="1255">
        <f>'XM.GUI MAIL'!F71</f>
        <v>60</v>
      </c>
      <c r="G71" s="110">
        <f>XM.HN!B38</f>
        <v>0</v>
      </c>
      <c r="H71" s="64">
        <f>G71*4.62</f>
        <v>0</v>
      </c>
      <c r="I71" s="37">
        <f>($F$71-H71)*8668/1000</f>
        <v>520.08000000000004</v>
      </c>
      <c r="J71" s="45" t="s">
        <v>8</v>
      </c>
      <c r="K71" s="46">
        <f t="shared" si="17"/>
        <v>520.08000000000004</v>
      </c>
      <c r="L71" s="249" t="s">
        <v>9</v>
      </c>
      <c r="M71" s="285">
        <f>XM.HN!C38</f>
        <v>0</v>
      </c>
      <c r="N71" s="64">
        <f>M71*4.62</f>
        <v>0</v>
      </c>
      <c r="O71" s="37">
        <f>($F$71-N71)*8668/1000</f>
        <v>520.08000000000004</v>
      </c>
      <c r="P71" s="45" t="s">
        <v>8</v>
      </c>
      <c r="Q71" s="46">
        <f t="shared" si="18"/>
        <v>520.08000000000004</v>
      </c>
      <c r="R71" s="249" t="s">
        <v>9</v>
      </c>
      <c r="S71" s="110">
        <f>XM.HN!D38</f>
        <v>0</v>
      </c>
      <c r="T71" s="64">
        <f>S71*4.62</f>
        <v>0</v>
      </c>
      <c r="U71" s="37">
        <f>($F$71-T71)*8668/1000</f>
        <v>520.08000000000004</v>
      </c>
      <c r="V71" s="45" t="s">
        <v>8</v>
      </c>
      <c r="W71" s="46">
        <f t="shared" si="19"/>
        <v>520.08000000000004</v>
      </c>
      <c r="X71" s="249" t="s">
        <v>9</v>
      </c>
      <c r="Y71" s="110">
        <f>XM.HN!E38</f>
        <v>0</v>
      </c>
      <c r="Z71" s="64">
        <f>Y71*4.62</f>
        <v>0</v>
      </c>
      <c r="AA71" s="37">
        <f>($F$71-Z71)*8668/1000</f>
        <v>520.08000000000004</v>
      </c>
      <c r="AB71" s="45" t="s">
        <v>8</v>
      </c>
      <c r="AC71" s="46">
        <f t="shared" si="20"/>
        <v>520.08000000000004</v>
      </c>
      <c r="AD71" s="249" t="s">
        <v>9</v>
      </c>
      <c r="AE71" s="110">
        <f>XM.HN!F38</f>
        <v>0</v>
      </c>
      <c r="AF71" s="64">
        <f>AE71*4.62</f>
        <v>0</v>
      </c>
      <c r="AG71" s="37">
        <f>($F$71-AF71)*8668/1000</f>
        <v>520.08000000000004</v>
      </c>
      <c r="AH71" s="45" t="s">
        <v>8</v>
      </c>
      <c r="AI71" s="46">
        <f t="shared" si="21"/>
        <v>520.08000000000004</v>
      </c>
      <c r="AJ71" s="249" t="s">
        <v>9</v>
      </c>
      <c r="AK71" s="110">
        <f>XM.HN!G38</f>
        <v>0</v>
      </c>
      <c r="AL71" s="64">
        <f>AK71*4.62</f>
        <v>0</v>
      </c>
      <c r="AM71" s="37">
        <f>($F$71-AL71)*8668/1000</f>
        <v>520.08000000000004</v>
      </c>
      <c r="AN71" s="45" t="s">
        <v>8</v>
      </c>
      <c r="AO71" s="46">
        <f t="shared" si="22"/>
        <v>520.08000000000004</v>
      </c>
      <c r="AP71" s="47" t="s">
        <v>9</v>
      </c>
    </row>
    <row r="72" spans="1:42" ht="33.75" customHeight="1">
      <c r="A72" s="1147" t="s">
        <v>327</v>
      </c>
      <c r="B72" s="1147" t="s">
        <v>144</v>
      </c>
      <c r="C72" s="127" t="s">
        <v>84</v>
      </c>
      <c r="D72" s="54" t="s">
        <v>4</v>
      </c>
      <c r="E72" s="14" t="str">
        <f>'XM.GUI MAIL'!E72</f>
        <v>135~ 145g/L
(140±5g/L)</v>
      </c>
      <c r="F72" s="1255">
        <f>'XM.GUI MAIL'!F72</f>
        <v>140</v>
      </c>
      <c r="G72" s="110">
        <f>XM.HN!B39</f>
        <v>0</v>
      </c>
      <c r="H72" s="64">
        <f>G72*8</f>
        <v>0</v>
      </c>
      <c r="I72" s="37">
        <f>($F$72-H72)*53066/1000</f>
        <v>7429.24</v>
      </c>
      <c r="J72" s="45" t="s">
        <v>8</v>
      </c>
      <c r="K72" s="46">
        <f t="shared" si="17"/>
        <v>7429.24</v>
      </c>
      <c r="L72" s="47" t="s">
        <v>9</v>
      </c>
      <c r="M72" s="110">
        <f>XM.HN!C39</f>
        <v>0</v>
      </c>
      <c r="N72" s="64">
        <f>M72*8</f>
        <v>0</v>
      </c>
      <c r="O72" s="37">
        <f>($F$72-N72)*53066/1000</f>
        <v>7429.24</v>
      </c>
      <c r="P72" s="45" t="s">
        <v>8</v>
      </c>
      <c r="Q72" s="46">
        <f t="shared" ref="Q72:Q74" si="23">IF(O72&lt;0,0,O72)</f>
        <v>7429.24</v>
      </c>
      <c r="R72" s="47" t="s">
        <v>9</v>
      </c>
      <c r="S72" s="21">
        <f>XM.HN!D39</f>
        <v>0</v>
      </c>
      <c r="T72" s="64">
        <f>S72*8</f>
        <v>0</v>
      </c>
      <c r="U72" s="37">
        <f>($F$72-T72)*53066/1000</f>
        <v>7429.24</v>
      </c>
      <c r="V72" s="45" t="s">
        <v>8</v>
      </c>
      <c r="W72" s="46">
        <f t="shared" ref="W72:W74" si="24">IF(U72&lt;0,0,U72)</f>
        <v>7429.24</v>
      </c>
      <c r="X72" s="47" t="s">
        <v>9</v>
      </c>
      <c r="Y72" s="107">
        <f>XM.HN!E39</f>
        <v>0</v>
      </c>
      <c r="Z72" s="64">
        <f>Y72*8</f>
        <v>0</v>
      </c>
      <c r="AA72" s="37">
        <f>($F$72-Z72)*53066/1000</f>
        <v>7429.24</v>
      </c>
      <c r="AB72" s="45" t="s">
        <v>8</v>
      </c>
      <c r="AC72" s="46">
        <f t="shared" ref="AC72:AC74" si="25">IF(AA72&lt;0,0,AA72)</f>
        <v>7429.24</v>
      </c>
      <c r="AD72" s="47" t="s">
        <v>9</v>
      </c>
      <c r="AE72" s="107">
        <f>XM.HN!F39</f>
        <v>0</v>
      </c>
      <c r="AF72" s="64">
        <f>AE72*8</f>
        <v>0</v>
      </c>
      <c r="AG72" s="37">
        <f>($F$72-AF72)*53066/1000</f>
        <v>7429.24</v>
      </c>
      <c r="AH72" s="45" t="s">
        <v>8</v>
      </c>
      <c r="AI72" s="46">
        <f t="shared" ref="AI72:AI74" si="26">IF(AG72&lt;0,0,AG72)</f>
        <v>7429.24</v>
      </c>
      <c r="AJ72" s="47" t="s">
        <v>9</v>
      </c>
      <c r="AK72" s="107">
        <f>XM.HN!G39</f>
        <v>0</v>
      </c>
      <c r="AL72" s="64">
        <f>AK72*8</f>
        <v>0</v>
      </c>
      <c r="AM72" s="38">
        <f>($F$72-AL72)*53066/1000</f>
        <v>7429.24</v>
      </c>
      <c r="AN72" s="39" t="s">
        <v>8</v>
      </c>
      <c r="AO72" s="40">
        <f t="shared" ref="AO72:AO74" si="27">IF(AM72&lt;0,0,AM72)</f>
        <v>7429.24</v>
      </c>
      <c r="AP72" s="41" t="s">
        <v>9</v>
      </c>
    </row>
    <row r="73" spans="1:42" ht="33.75" customHeight="1">
      <c r="A73" s="54" t="s">
        <v>328</v>
      </c>
      <c r="B73" s="1147" t="s">
        <v>144</v>
      </c>
      <c r="C73" s="1378" t="s">
        <v>85</v>
      </c>
      <c r="D73" s="54" t="s">
        <v>4</v>
      </c>
      <c r="E73" s="14" t="str">
        <f>'XM.GUI MAIL'!E73</f>
        <v>6~8g/L
(7±0.5g/L)</v>
      </c>
      <c r="F73" s="1255">
        <f>'XM.GUI MAIL'!F73</f>
        <v>7</v>
      </c>
      <c r="G73" s="110">
        <f>XM.HN!B40</f>
        <v>0</v>
      </c>
      <c r="H73" s="64">
        <f>G73*1.3</f>
        <v>0</v>
      </c>
      <c r="I73" s="37">
        <f>($F$73-H73)*53066/1000</f>
        <v>371.46199999999999</v>
      </c>
      <c r="J73" s="45" t="s">
        <v>8</v>
      </c>
      <c r="K73" s="46">
        <f t="shared" si="17"/>
        <v>371.46199999999999</v>
      </c>
      <c r="L73" s="47" t="s">
        <v>1070</v>
      </c>
      <c r="M73" s="110">
        <f>XM.HN!C40</f>
        <v>0</v>
      </c>
      <c r="N73" s="64">
        <f>M73*1.3</f>
        <v>0</v>
      </c>
      <c r="O73" s="37">
        <f>($F$73-N73)*53066/1000</f>
        <v>371.46199999999999</v>
      </c>
      <c r="P73" s="45" t="s">
        <v>8</v>
      </c>
      <c r="Q73" s="46">
        <f t="shared" si="23"/>
        <v>371.46199999999999</v>
      </c>
      <c r="R73" s="47" t="s">
        <v>1070</v>
      </c>
      <c r="S73" s="21">
        <f>XM.HN!D40</f>
        <v>0</v>
      </c>
      <c r="T73" s="64">
        <f>S73*1.3</f>
        <v>0</v>
      </c>
      <c r="U73" s="37">
        <f>($F$73-T73)*53066/1000</f>
        <v>371.46199999999999</v>
      </c>
      <c r="V73" s="45" t="s">
        <v>8</v>
      </c>
      <c r="W73" s="46">
        <f t="shared" si="24"/>
        <v>371.46199999999999</v>
      </c>
      <c r="X73" s="47" t="s">
        <v>1070</v>
      </c>
      <c r="Y73" s="107">
        <f>XM.HN!E40</f>
        <v>0</v>
      </c>
      <c r="Z73" s="64">
        <f>Y73*1.3</f>
        <v>0</v>
      </c>
      <c r="AA73" s="37">
        <f>($F$73-Z73)*53066/1000</f>
        <v>371.46199999999999</v>
      </c>
      <c r="AB73" s="45" t="s">
        <v>8</v>
      </c>
      <c r="AC73" s="46">
        <f t="shared" si="25"/>
        <v>371.46199999999999</v>
      </c>
      <c r="AD73" s="47" t="s">
        <v>1070</v>
      </c>
      <c r="AE73" s="107">
        <f>XM.HN!F40</f>
        <v>0</v>
      </c>
      <c r="AF73" s="64">
        <f>AE73*1.3</f>
        <v>0</v>
      </c>
      <c r="AG73" s="37">
        <f>($F$73-AF73)*53066/1000</f>
        <v>371.46199999999999</v>
      </c>
      <c r="AH73" s="45" t="s">
        <v>8</v>
      </c>
      <c r="AI73" s="46">
        <f t="shared" si="26"/>
        <v>371.46199999999999</v>
      </c>
      <c r="AJ73" s="47" t="s">
        <v>1070</v>
      </c>
      <c r="AK73" s="107">
        <f>XM.HN!G40</f>
        <v>0</v>
      </c>
      <c r="AL73" s="64">
        <f>AK73*1.3</f>
        <v>0</v>
      </c>
      <c r="AM73" s="36">
        <f>($F$73-AL73)*53066/1000</f>
        <v>371.46199999999999</v>
      </c>
      <c r="AN73" s="332" t="s">
        <v>8</v>
      </c>
      <c r="AO73" s="40">
        <f t="shared" si="27"/>
        <v>371.46199999999999</v>
      </c>
      <c r="AP73" s="41" t="s">
        <v>1070</v>
      </c>
    </row>
    <row r="74" spans="1:42" ht="37.5" customHeight="1">
      <c r="A74" s="324" t="s">
        <v>329</v>
      </c>
      <c r="B74" s="1147" t="s">
        <v>144</v>
      </c>
      <c r="C74" s="1227" t="s">
        <v>1261</v>
      </c>
      <c r="D74" s="1210" t="s">
        <v>3</v>
      </c>
      <c r="E74" s="14" t="str">
        <f>'XM.GUI MAIL'!E74</f>
        <v>5~8 %
(6±0.5%)</v>
      </c>
      <c r="F74" s="1255">
        <f>'XM.GUI MAIL'!F74</f>
        <v>6</v>
      </c>
      <c r="G74" s="110">
        <f>XM.HN!B41</f>
        <v>0</v>
      </c>
      <c r="H74" s="64">
        <f>(G74*0.4237)-1.0461</f>
        <v>-1.0461</v>
      </c>
      <c r="I74" s="37">
        <f>($F$74-H74)*3360/100</f>
        <v>236.74896000000001</v>
      </c>
      <c r="J74" s="45" t="s">
        <v>8</v>
      </c>
      <c r="K74" s="46">
        <f t="shared" si="17"/>
        <v>236.74896000000001</v>
      </c>
      <c r="L74" s="47" t="s">
        <v>10</v>
      </c>
      <c r="M74" s="107">
        <f>XM.HN!C41</f>
        <v>0</v>
      </c>
      <c r="N74" s="64">
        <f>(M74*0.4237)-1.0461</f>
        <v>-1.0461</v>
      </c>
      <c r="O74" s="37">
        <f>($F$74-N74)*3360/100</f>
        <v>236.74896000000001</v>
      </c>
      <c r="P74" s="45" t="s">
        <v>8</v>
      </c>
      <c r="Q74" s="46">
        <f t="shared" si="23"/>
        <v>236.74896000000001</v>
      </c>
      <c r="R74" s="47" t="s">
        <v>10</v>
      </c>
      <c r="S74" s="21">
        <f>XM.HN!D41</f>
        <v>0</v>
      </c>
      <c r="T74" s="64">
        <f>(S74*0.4237)-1.0461</f>
        <v>-1.0461</v>
      </c>
      <c r="U74" s="37">
        <f>($F$74-T74)*3360/100</f>
        <v>236.74896000000001</v>
      </c>
      <c r="V74" s="45" t="s">
        <v>8</v>
      </c>
      <c r="W74" s="46">
        <f t="shared" si="24"/>
        <v>236.74896000000001</v>
      </c>
      <c r="X74" s="47" t="s">
        <v>10</v>
      </c>
      <c r="Y74" s="107">
        <f>XM.HN!E41</f>
        <v>0</v>
      </c>
      <c r="Z74" s="64">
        <f>(Y74*0.4237)-1.0461</f>
        <v>-1.0461</v>
      </c>
      <c r="AA74" s="37">
        <f>($F$74-Z74)*3360/100</f>
        <v>236.74896000000001</v>
      </c>
      <c r="AB74" s="45" t="s">
        <v>8</v>
      </c>
      <c r="AC74" s="46">
        <f t="shared" si="25"/>
        <v>236.74896000000001</v>
      </c>
      <c r="AD74" s="47" t="s">
        <v>10</v>
      </c>
      <c r="AE74" s="107">
        <f>XM.HN!F41</f>
        <v>0</v>
      </c>
      <c r="AF74" s="64">
        <f>(AE74*0.4237)-1.0461</f>
        <v>-1.0461</v>
      </c>
      <c r="AG74" s="37">
        <f>($F$74-AF74)*3360/100</f>
        <v>236.74896000000001</v>
      </c>
      <c r="AH74" s="45" t="s">
        <v>8</v>
      </c>
      <c r="AI74" s="46">
        <f t="shared" si="26"/>
        <v>236.74896000000001</v>
      </c>
      <c r="AJ74" s="47" t="s">
        <v>10</v>
      </c>
      <c r="AK74" s="107">
        <f>XM.HN!G41</f>
        <v>0</v>
      </c>
      <c r="AL74" s="64">
        <f>(AK74*0.4237)-1.0461</f>
        <v>-1.0461</v>
      </c>
      <c r="AM74" s="37">
        <f>($F$74-AL74)*3360/100</f>
        <v>236.74896000000001</v>
      </c>
      <c r="AN74" s="45" t="s">
        <v>8</v>
      </c>
      <c r="AO74" s="46">
        <f t="shared" si="27"/>
        <v>236.74896000000001</v>
      </c>
      <c r="AP74" s="47" t="s">
        <v>10</v>
      </c>
    </row>
    <row r="75" spans="1:42" ht="33.75" customHeight="1">
      <c r="A75" s="54" t="s">
        <v>330</v>
      </c>
      <c r="B75" s="1147" t="s">
        <v>144</v>
      </c>
      <c r="C75" s="327" t="s">
        <v>132</v>
      </c>
      <c r="D75" s="1210" t="s">
        <v>5</v>
      </c>
      <c r="E75" s="14" t="str">
        <f>'XM.GUI MAIL'!E75</f>
        <v>2.0~2.4(2.2±0.2 )</v>
      </c>
      <c r="F75" s="1255">
        <f>'XM.GUI MAIL'!F75</f>
        <v>0</v>
      </c>
      <c r="G75" s="110"/>
      <c r="H75" s="70">
        <f>XM.HN!B48</f>
        <v>0</v>
      </c>
      <c r="I75" s="42"/>
      <c r="J75" s="43"/>
      <c r="K75" s="44"/>
      <c r="L75" s="42"/>
      <c r="M75" s="110"/>
      <c r="N75" s="70">
        <f>XM.HN!C48</f>
        <v>0</v>
      </c>
      <c r="O75" s="36"/>
      <c r="P75" s="332"/>
      <c r="Q75" s="332"/>
      <c r="R75" s="333"/>
      <c r="S75" s="21"/>
      <c r="T75" s="70">
        <f>XM.HN!D48</f>
        <v>0</v>
      </c>
      <c r="U75" s="36"/>
      <c r="V75" s="332"/>
      <c r="W75" s="332"/>
      <c r="X75" s="333"/>
      <c r="Y75" s="107"/>
      <c r="Z75" s="70">
        <f>XM.HN!E48</f>
        <v>0</v>
      </c>
      <c r="AA75" s="36"/>
      <c r="AB75" s="332"/>
      <c r="AC75" s="332"/>
      <c r="AD75" s="333"/>
      <c r="AE75" s="107"/>
      <c r="AF75" s="70">
        <f>XM.HN!F48</f>
        <v>0</v>
      </c>
      <c r="AG75" s="36"/>
      <c r="AH75" s="332"/>
      <c r="AI75" s="332"/>
      <c r="AJ75" s="333"/>
      <c r="AK75" s="107"/>
      <c r="AL75" s="70">
        <f>XM.HN!G48</f>
        <v>0</v>
      </c>
      <c r="AM75" s="42"/>
      <c r="AN75" s="43"/>
      <c r="AO75" s="44"/>
      <c r="AP75" s="1158"/>
    </row>
    <row r="76" spans="1:42" ht="33.75" customHeight="1">
      <c r="A76" s="325" t="s">
        <v>331</v>
      </c>
      <c r="B76" s="1147" t="s">
        <v>144</v>
      </c>
      <c r="C76" s="127" t="s">
        <v>89</v>
      </c>
      <c r="D76" s="54" t="s">
        <v>6</v>
      </c>
      <c r="E76" s="14" t="str">
        <f>'XM.GUI MAIL'!E76</f>
        <v>40~50 %V/V
(45±5% V/V)</v>
      </c>
      <c r="F76" s="1659">
        <f>'XM.GUI MAIL'!F76</f>
        <v>0.45</v>
      </c>
      <c r="G76" s="110">
        <f>XM.HN!B42</f>
        <v>0</v>
      </c>
      <c r="H76" s="71">
        <f>(1*G76*36.5)/(0.5*10)/32%/100</f>
        <v>0</v>
      </c>
      <c r="I76" s="37">
        <f>($F$76-H76)*6723/2.6</f>
        <v>1163.5961538461538</v>
      </c>
      <c r="J76" s="45" t="s">
        <v>8</v>
      </c>
      <c r="K76" s="46">
        <f>IF(I76&lt;0,0,I76)</f>
        <v>1163.5961538461538</v>
      </c>
      <c r="L76" s="249" t="s">
        <v>10</v>
      </c>
      <c r="M76" s="285">
        <f>XM.HN!C42</f>
        <v>0</v>
      </c>
      <c r="N76" s="71">
        <f>(1*M76*36.5)/(0.5*10)/32%/100</f>
        <v>0</v>
      </c>
      <c r="O76" s="37">
        <f>($F$76-N76)*6723/2.6</f>
        <v>1163.5961538461538</v>
      </c>
      <c r="P76" s="45" t="s">
        <v>8</v>
      </c>
      <c r="Q76" s="46">
        <f>IF(O76&lt;0,0,O76)</f>
        <v>1163.5961538461538</v>
      </c>
      <c r="R76" s="249" t="s">
        <v>10</v>
      </c>
      <c r="S76" s="21">
        <f>XM.HN!D42</f>
        <v>0</v>
      </c>
      <c r="T76" s="71">
        <f>(1*S76*36.5)/(0.5*10)/32%/100</f>
        <v>0</v>
      </c>
      <c r="U76" s="37">
        <f>($F$76-T76)*6723/2.6</f>
        <v>1163.5961538461538</v>
      </c>
      <c r="V76" s="45" t="s">
        <v>8</v>
      </c>
      <c r="W76" s="46">
        <f>IF(U76&lt;0,0,U76)</f>
        <v>1163.5961538461538</v>
      </c>
      <c r="X76" s="249" t="s">
        <v>10</v>
      </c>
      <c r="Y76" s="107">
        <f>XM.HN!E42</f>
        <v>0</v>
      </c>
      <c r="Z76" s="71">
        <f>(1*Y76*36.5)/(0.5*10)/32%/100</f>
        <v>0</v>
      </c>
      <c r="AA76" s="37">
        <f>($F$76-Z76)*6723/2.6</f>
        <v>1163.5961538461538</v>
      </c>
      <c r="AB76" s="45" t="s">
        <v>8</v>
      </c>
      <c r="AC76" s="46">
        <f>IF(AA76&lt;0,0,AA76)</f>
        <v>1163.5961538461538</v>
      </c>
      <c r="AD76" s="249" t="s">
        <v>10</v>
      </c>
      <c r="AE76" s="107">
        <f>XM.HN!F42</f>
        <v>0</v>
      </c>
      <c r="AF76" s="71">
        <f>(1*AE76*36.5)/(0.5*10)/32%/100</f>
        <v>0</v>
      </c>
      <c r="AG76" s="37">
        <f>($F$76-AF76)*6723/2.6</f>
        <v>1163.5961538461538</v>
      </c>
      <c r="AH76" s="45" t="s">
        <v>8</v>
      </c>
      <c r="AI76" s="46">
        <f>IF(AG76&lt;0,0,AG76)</f>
        <v>1163.5961538461538</v>
      </c>
      <c r="AJ76" s="249" t="s">
        <v>10</v>
      </c>
      <c r="AK76" s="107">
        <f>XM.HN!G42</f>
        <v>0</v>
      </c>
      <c r="AL76" s="71">
        <f>(1*AK76*36.5)/(0.5*10)/32%/100</f>
        <v>0</v>
      </c>
      <c r="AM76" s="37">
        <f>($F$76-AL76)*6723/2.6</f>
        <v>1163.5961538461538</v>
      </c>
      <c r="AN76" s="45" t="s">
        <v>8</v>
      </c>
      <c r="AO76" s="46">
        <f>IF(AM76&lt;0,0,AM76)</f>
        <v>1163.5961538461538</v>
      </c>
      <c r="AP76" s="47" t="s">
        <v>10</v>
      </c>
    </row>
    <row r="77" spans="1:42" ht="33.75" customHeight="1">
      <c r="A77" s="325" t="s">
        <v>332</v>
      </c>
      <c r="B77" s="1147" t="s">
        <v>144</v>
      </c>
      <c r="C77" s="127" t="s">
        <v>90</v>
      </c>
      <c r="D77" s="54" t="s">
        <v>6</v>
      </c>
      <c r="E77" s="14" t="str">
        <f>'XM.GUI MAIL'!E77</f>
        <v>40~50 %V/V
(45±5% V/V)</v>
      </c>
      <c r="F77" s="1659">
        <f>'XM.GUI MAIL'!F77</f>
        <v>0.45</v>
      </c>
      <c r="G77" s="110">
        <f>XM.HN!B43</f>
        <v>0</v>
      </c>
      <c r="H77" s="71">
        <f>(1*G77*36.5)/(0.5*10)/32%/100</f>
        <v>0</v>
      </c>
      <c r="I77" s="37">
        <f>($F$76-H77)*10509/2.6</f>
        <v>1818.8653846153845</v>
      </c>
      <c r="J77" s="45" t="s">
        <v>8</v>
      </c>
      <c r="K77" s="46">
        <f>IF(I77&lt;0,0,I77)</f>
        <v>1818.8653846153845</v>
      </c>
      <c r="L77" s="249" t="s">
        <v>10</v>
      </c>
      <c r="M77" s="285">
        <f>XM.HN!C43</f>
        <v>0</v>
      </c>
      <c r="N77" s="71">
        <f>(1*M77*36.5)/(0.5*10)/32%/100</f>
        <v>0</v>
      </c>
      <c r="O77" s="37">
        <f>($F$76-N77)*10509/2.6</f>
        <v>1818.8653846153845</v>
      </c>
      <c r="P77" s="45" t="s">
        <v>8</v>
      </c>
      <c r="Q77" s="46">
        <f>IF(O77&lt;0,0,O77)</f>
        <v>1818.8653846153845</v>
      </c>
      <c r="R77" s="249" t="s">
        <v>10</v>
      </c>
      <c r="S77" s="21">
        <f>XM.HN!D43</f>
        <v>0</v>
      </c>
      <c r="T77" s="71">
        <f>(1*S77*36.5)/(0.5*10)/32%/100</f>
        <v>0</v>
      </c>
      <c r="U77" s="37">
        <f>($F$76-T77)*10509/2.6</f>
        <v>1818.8653846153845</v>
      </c>
      <c r="V77" s="45" t="s">
        <v>8</v>
      </c>
      <c r="W77" s="46">
        <f>IF(U77&lt;0,0,U77)</f>
        <v>1818.8653846153845</v>
      </c>
      <c r="X77" s="249" t="s">
        <v>10</v>
      </c>
      <c r="Y77" s="107">
        <f>XM.HN!E43</f>
        <v>0</v>
      </c>
      <c r="Z77" s="71">
        <f>(1*Y77*36.5)/(0.5*10)/32%/100</f>
        <v>0</v>
      </c>
      <c r="AA77" s="37">
        <f>($F$76-Z77)*10509/2.6</f>
        <v>1818.8653846153845</v>
      </c>
      <c r="AB77" s="45" t="s">
        <v>8</v>
      </c>
      <c r="AC77" s="46">
        <f>IF(AA77&lt;0,0,AA77)</f>
        <v>1818.8653846153845</v>
      </c>
      <c r="AD77" s="249" t="s">
        <v>10</v>
      </c>
      <c r="AE77" s="107">
        <f>XM.HN!F43</f>
        <v>0</v>
      </c>
      <c r="AF77" s="71">
        <f>(1*AE77*36.5)/(0.5*10)/32%/100</f>
        <v>0</v>
      </c>
      <c r="AG77" s="37">
        <f>($F$76-AF77)*10509/2.6</f>
        <v>1818.8653846153845</v>
      </c>
      <c r="AH77" s="45" t="s">
        <v>8</v>
      </c>
      <c r="AI77" s="46">
        <f>IF(AG77&lt;0,0,AG77)</f>
        <v>1818.8653846153845</v>
      </c>
      <c r="AJ77" s="249" t="s">
        <v>10</v>
      </c>
      <c r="AK77" s="107">
        <f>XM.HN!G43</f>
        <v>0</v>
      </c>
      <c r="AL77" s="71">
        <f>(1*AK77*36.5)/(0.5*10)/32%/100</f>
        <v>0</v>
      </c>
      <c r="AM77" s="37">
        <f>($F$76-AL77)*10509/2.6</f>
        <v>1818.8653846153845</v>
      </c>
      <c r="AN77" s="45" t="s">
        <v>8</v>
      </c>
      <c r="AO77" s="46">
        <f>IF(AM77&lt;0,0,AM77)</f>
        <v>1818.8653846153845</v>
      </c>
      <c r="AP77" s="47" t="s">
        <v>10</v>
      </c>
    </row>
    <row r="78" spans="1:42" ht="33.75" customHeight="1">
      <c r="A78" s="325" t="s">
        <v>333</v>
      </c>
      <c r="B78" s="1147" t="s">
        <v>144</v>
      </c>
      <c r="C78" s="127" t="s">
        <v>86</v>
      </c>
      <c r="D78" s="54" t="s">
        <v>6</v>
      </c>
      <c r="E78" s="14" t="str">
        <f>'XM.GUI MAIL'!E78</f>
        <v>20~40 %V/V
(30±5% V/V)</v>
      </c>
      <c r="F78" s="1659">
        <f>'XM.GUI MAIL'!F78</f>
        <v>0.3</v>
      </c>
      <c r="G78" s="110">
        <f>XM.HN!B44</f>
        <v>0</v>
      </c>
      <c r="H78" s="71">
        <f>(1*G78*36.5)/(0.5*10)/32%/100</f>
        <v>0</v>
      </c>
      <c r="I78" s="36">
        <f>($F$78-H78)*3234/2.9</f>
        <v>334.55172413793105</v>
      </c>
      <c r="J78" s="332" t="s">
        <v>8</v>
      </c>
      <c r="K78" s="46">
        <f>IF(I78&lt;0,0,I78)</f>
        <v>334.55172413793105</v>
      </c>
      <c r="L78" s="249" t="s">
        <v>10</v>
      </c>
      <c r="M78" s="107">
        <f>XM.HN!C44</f>
        <v>0</v>
      </c>
      <c r="N78" s="71">
        <f>(1*M78*36.5)/(0.5*10)/32%/100</f>
        <v>0</v>
      </c>
      <c r="O78" s="36">
        <f>($F$78-N78)*3234/2.9</f>
        <v>334.55172413793105</v>
      </c>
      <c r="P78" s="332" t="s">
        <v>8</v>
      </c>
      <c r="Q78" s="46">
        <f>IF(O78&lt;0,0,O78)</f>
        <v>334.55172413793105</v>
      </c>
      <c r="R78" s="249" t="s">
        <v>10</v>
      </c>
      <c r="S78" s="21">
        <f>XM.HN!D44</f>
        <v>0</v>
      </c>
      <c r="T78" s="71">
        <f>(1*S78*36.5)/(0.5*10)/32%/100</f>
        <v>0</v>
      </c>
      <c r="U78" s="36">
        <f>($F$78-T78)*3234/2.9</f>
        <v>334.55172413793105</v>
      </c>
      <c r="V78" s="332" t="s">
        <v>8</v>
      </c>
      <c r="W78" s="46">
        <f>IF(U78&lt;0,0,U78)</f>
        <v>334.55172413793105</v>
      </c>
      <c r="X78" s="249" t="s">
        <v>10</v>
      </c>
      <c r="Y78" s="107">
        <f>XM.HN!E44</f>
        <v>0</v>
      </c>
      <c r="Z78" s="71">
        <f>(1*Y78*36.5)/(0.5*10)/32%/100</f>
        <v>0</v>
      </c>
      <c r="AA78" s="36">
        <f>($F$78-Z78)*3234/2.9</f>
        <v>334.55172413793105</v>
      </c>
      <c r="AB78" s="332" t="s">
        <v>8</v>
      </c>
      <c r="AC78" s="46">
        <f>IF(AA78&lt;0,0,AA78)</f>
        <v>334.55172413793105</v>
      </c>
      <c r="AD78" s="249" t="s">
        <v>10</v>
      </c>
      <c r="AE78" s="107">
        <f>XM.HN!F44</f>
        <v>0</v>
      </c>
      <c r="AF78" s="71">
        <f>(1*AE78*36.5)/(0.5*10)/32%/100</f>
        <v>0</v>
      </c>
      <c r="AG78" s="36">
        <f>($F$78-AF78)*3234/2.9</f>
        <v>334.55172413793105</v>
      </c>
      <c r="AH78" s="332" t="s">
        <v>8</v>
      </c>
      <c r="AI78" s="46">
        <f>IF(AG78&lt;0,0,AG78)</f>
        <v>334.55172413793105</v>
      </c>
      <c r="AJ78" s="249" t="s">
        <v>10</v>
      </c>
      <c r="AK78" s="107">
        <f>XM.HN!G44</f>
        <v>0</v>
      </c>
      <c r="AL78" s="71">
        <f>(1*AK78*36.5)/(0.5*10)/32%/100</f>
        <v>0</v>
      </c>
      <c r="AM78" s="36">
        <f>($F$78-AL78)*3234/2.9</f>
        <v>334.55172413793105</v>
      </c>
      <c r="AN78" s="332" t="s">
        <v>8</v>
      </c>
      <c r="AO78" s="46">
        <f>IF(AM78&lt;0,0,AM78)</f>
        <v>334.55172413793105</v>
      </c>
      <c r="AP78" s="47" t="s">
        <v>10</v>
      </c>
    </row>
    <row r="79" spans="1:42" ht="33.75" customHeight="1">
      <c r="A79" s="325" t="s">
        <v>334</v>
      </c>
      <c r="B79" s="1147" t="s">
        <v>144</v>
      </c>
      <c r="C79" s="127" t="s">
        <v>166</v>
      </c>
      <c r="D79" s="54" t="s">
        <v>6</v>
      </c>
      <c r="E79" s="14" t="str">
        <f>'XM.GUI MAIL'!E79</f>
        <v>0.5~1.5%
(1±0.4%)</v>
      </c>
      <c r="F79" s="1659">
        <f>'XM.GUI MAIL'!F79</f>
        <v>0.01</v>
      </c>
      <c r="G79" s="110">
        <f>XM.HN!B45</f>
        <v>0</v>
      </c>
      <c r="H79" s="72">
        <f>(1*G79*6.301)/5/100/65%</f>
        <v>0</v>
      </c>
      <c r="I79" s="37">
        <f>($F$79-H79)*2808</f>
        <v>28.080000000000002</v>
      </c>
      <c r="J79" s="45" t="s">
        <v>8</v>
      </c>
      <c r="K79" s="48">
        <f>IF(I79&lt;0,0,I79)</f>
        <v>28.080000000000002</v>
      </c>
      <c r="L79" s="249" t="s">
        <v>10</v>
      </c>
      <c r="M79" s="285">
        <f>XM.HN!C45</f>
        <v>0</v>
      </c>
      <c r="N79" s="72">
        <f>(1*M79*6.301)/5/100/65%</f>
        <v>0</v>
      </c>
      <c r="O79" s="37">
        <f>($F$79-N79)*2808</f>
        <v>28.080000000000002</v>
      </c>
      <c r="P79" s="45" t="s">
        <v>8</v>
      </c>
      <c r="Q79" s="48">
        <f>IF(O79&lt;0,0,O79)</f>
        <v>28.080000000000002</v>
      </c>
      <c r="R79" s="249" t="s">
        <v>10</v>
      </c>
      <c r="S79" s="110">
        <f>XM.HN!D45</f>
        <v>0</v>
      </c>
      <c r="T79" s="72">
        <f>(1*S79*6.301)/5/100/65%</f>
        <v>0</v>
      </c>
      <c r="U79" s="37">
        <f>($F$79-T79)*2808</f>
        <v>28.080000000000002</v>
      </c>
      <c r="V79" s="45" t="s">
        <v>8</v>
      </c>
      <c r="W79" s="48">
        <f>IF(U79&lt;0,0,U79)</f>
        <v>28.080000000000002</v>
      </c>
      <c r="X79" s="249" t="s">
        <v>10</v>
      </c>
      <c r="Y79" s="110">
        <f>XM.HN!E45</f>
        <v>0</v>
      </c>
      <c r="Z79" s="72">
        <f>(1*Y79*6.301)/5/100/65%</f>
        <v>0</v>
      </c>
      <c r="AA79" s="37">
        <f>($F$79-Z79)*2808</f>
        <v>28.080000000000002</v>
      </c>
      <c r="AB79" s="45" t="s">
        <v>8</v>
      </c>
      <c r="AC79" s="48">
        <f>IF(AA79&lt;0,0,AA79)</f>
        <v>28.080000000000002</v>
      </c>
      <c r="AD79" s="249" t="s">
        <v>10</v>
      </c>
      <c r="AE79" s="110">
        <f>XM.HN!F45</f>
        <v>0</v>
      </c>
      <c r="AF79" s="72">
        <f>(1*AE79*6.301)/5/100/65%</f>
        <v>0</v>
      </c>
      <c r="AG79" s="37">
        <f>($F$79-AF79)*2808</f>
        <v>28.080000000000002</v>
      </c>
      <c r="AH79" s="45" t="s">
        <v>8</v>
      </c>
      <c r="AI79" s="48">
        <f>IF(AG79&lt;0,0,AG79)</f>
        <v>28.080000000000002</v>
      </c>
      <c r="AJ79" s="249" t="s">
        <v>10</v>
      </c>
      <c r="AK79" s="110">
        <f>XM.HN!G45</f>
        <v>0</v>
      </c>
      <c r="AL79" s="72">
        <f>(1*AK79*6.301)/5/100/65%</f>
        <v>0</v>
      </c>
      <c r="AM79" s="37">
        <f>($F$79-AL79)*2808/1.8</f>
        <v>15.600000000000001</v>
      </c>
      <c r="AN79" s="45" t="s">
        <v>8</v>
      </c>
      <c r="AO79" s="48">
        <f>IF(AM79&lt;0,0,AM79)</f>
        <v>15.600000000000001</v>
      </c>
      <c r="AP79" s="47" t="s">
        <v>10</v>
      </c>
    </row>
    <row r="80" spans="1:42" ht="33.75" customHeight="1">
      <c r="A80" s="324" t="s">
        <v>335</v>
      </c>
      <c r="B80" s="1147" t="s">
        <v>144</v>
      </c>
      <c r="C80" s="344" t="s">
        <v>93</v>
      </c>
      <c r="D80" s="54" t="s">
        <v>3</v>
      </c>
      <c r="E80" s="14" t="str">
        <f>'XM.GUI MAIL'!E80</f>
        <v>3~9%
(6±1%)</v>
      </c>
      <c r="F80" s="1255">
        <f>'XM.GUI MAIL'!F80</f>
        <v>6</v>
      </c>
      <c r="G80" s="110">
        <f>XM.HN!B46</f>
        <v>0</v>
      </c>
      <c r="H80" s="37">
        <f>G80*0.8</f>
        <v>0</v>
      </c>
      <c r="I80" s="49">
        <f>($F$80-H80)*4042/95*0.88</f>
        <v>224.65010526315791</v>
      </c>
      <c r="J80" s="45" t="s">
        <v>8</v>
      </c>
      <c r="K80" s="46">
        <f>IF(I80&lt;0,0,I80)</f>
        <v>224.65010526315791</v>
      </c>
      <c r="L80" s="249" t="s">
        <v>10</v>
      </c>
      <c r="M80" s="285">
        <f>XM.HN!C46</f>
        <v>0</v>
      </c>
      <c r="N80" s="37">
        <f>M80*0.8</f>
        <v>0</v>
      </c>
      <c r="O80" s="49">
        <f>($F$80-N80)*4042/95*0.88</f>
        <v>224.65010526315791</v>
      </c>
      <c r="P80" s="45" t="s">
        <v>8</v>
      </c>
      <c r="Q80" s="46">
        <f>IF(O80&lt;0,0,O80)</f>
        <v>224.65010526315791</v>
      </c>
      <c r="R80" s="249" t="s">
        <v>10</v>
      </c>
      <c r="S80" s="110">
        <f>XM.HN!D46</f>
        <v>0</v>
      </c>
      <c r="T80" s="37">
        <f>S80*0.8</f>
        <v>0</v>
      </c>
      <c r="U80" s="49">
        <f>($F$80-T80)*4042/95*0.88</f>
        <v>224.65010526315791</v>
      </c>
      <c r="V80" s="45" t="s">
        <v>8</v>
      </c>
      <c r="W80" s="46">
        <f>IF(U80&lt;0,0,U80)</f>
        <v>224.65010526315791</v>
      </c>
      <c r="X80" s="249" t="s">
        <v>10</v>
      </c>
      <c r="Y80" s="110">
        <f>XM.HN!E46</f>
        <v>0</v>
      </c>
      <c r="Z80" s="37">
        <f>Y80*0.8</f>
        <v>0</v>
      </c>
      <c r="AA80" s="49">
        <f>($F$80-Z80)*4042/95*0.88</f>
        <v>224.65010526315791</v>
      </c>
      <c r="AB80" s="45" t="s">
        <v>8</v>
      </c>
      <c r="AC80" s="46">
        <f>IF(AA80&lt;0,0,AA80)</f>
        <v>224.65010526315791</v>
      </c>
      <c r="AD80" s="249" t="s">
        <v>10</v>
      </c>
      <c r="AE80" s="110">
        <f>XM.HN!F46</f>
        <v>0</v>
      </c>
      <c r="AF80" s="37">
        <f>AE80*0.8</f>
        <v>0</v>
      </c>
      <c r="AG80" s="49">
        <f>($F$80-AF80)*4042/95*0.88</f>
        <v>224.65010526315791</v>
      </c>
      <c r="AH80" s="45" t="s">
        <v>8</v>
      </c>
      <c r="AI80" s="46">
        <f>IF(AG80&lt;0,0,AG80)</f>
        <v>224.65010526315791</v>
      </c>
      <c r="AJ80" s="249" t="s">
        <v>10</v>
      </c>
      <c r="AK80" s="110">
        <f>XM.HN!G46</f>
        <v>0</v>
      </c>
      <c r="AL80" s="37">
        <f>AK80*0.8</f>
        <v>0</v>
      </c>
      <c r="AM80" s="49">
        <f>($F$80-AL80)*4042/95*0.88</f>
        <v>224.65010526315791</v>
      </c>
      <c r="AN80" s="45" t="s">
        <v>8</v>
      </c>
      <c r="AO80" s="46">
        <f>IF(AM80&lt;0,0,AM80)</f>
        <v>224.65010526315791</v>
      </c>
      <c r="AP80" s="47" t="s">
        <v>10</v>
      </c>
    </row>
    <row r="81" spans="1:46" ht="38.25" customHeight="1">
      <c r="A81" s="324" t="s">
        <v>336</v>
      </c>
      <c r="B81" s="1147" t="s">
        <v>144</v>
      </c>
      <c r="C81" s="345" t="s">
        <v>132</v>
      </c>
      <c r="D81" s="54" t="s">
        <v>5</v>
      </c>
      <c r="E81" s="14" t="str">
        <f>'XM.GUI MAIL'!E81</f>
        <v>1.8~2.4(2.0±0.1)</v>
      </c>
      <c r="F81" s="1255">
        <f>'XM.GUI MAIL'!F81</f>
        <v>0</v>
      </c>
      <c r="G81" s="109"/>
      <c r="H81" s="42">
        <f>XM.HN!B47</f>
        <v>0</v>
      </c>
      <c r="I81" s="42"/>
      <c r="J81" s="39"/>
      <c r="K81" s="40"/>
      <c r="L81" s="42"/>
      <c r="M81" s="284"/>
      <c r="N81" s="42">
        <f>XM.HN!C47</f>
        <v>0</v>
      </c>
      <c r="O81" s="42"/>
      <c r="P81" s="39"/>
      <c r="Q81" s="40"/>
      <c r="R81" s="42"/>
      <c r="S81" s="42"/>
      <c r="T81" s="42">
        <f>XM.HN!D47</f>
        <v>0</v>
      </c>
      <c r="U81" s="42"/>
      <c r="V81" s="39"/>
      <c r="W81" s="40"/>
      <c r="X81" s="42"/>
      <c r="Y81" s="42"/>
      <c r="Z81" s="42">
        <f>XM.HN!E47</f>
        <v>0</v>
      </c>
      <c r="AA81" s="42"/>
      <c r="AB81" s="39"/>
      <c r="AC81" s="40"/>
      <c r="AD81" s="42"/>
      <c r="AE81" s="42"/>
      <c r="AF81" s="42">
        <f>XM.HN!F47</f>
        <v>0</v>
      </c>
      <c r="AG81" s="42"/>
      <c r="AH81" s="39"/>
      <c r="AI81" s="40"/>
      <c r="AJ81" s="42"/>
      <c r="AK81" s="110"/>
      <c r="AL81" s="42">
        <f>XM.HN!G47</f>
        <v>0</v>
      </c>
      <c r="AM81" s="42"/>
      <c r="AN81" s="39"/>
      <c r="AO81" s="40"/>
      <c r="AP81" s="1158"/>
    </row>
    <row r="82" spans="1:46" ht="38.25" customHeight="1">
      <c r="A82" s="1667"/>
      <c r="B82" s="1668"/>
      <c r="C82" s="1665" t="s">
        <v>1473</v>
      </c>
      <c r="D82" s="321" t="s">
        <v>3</v>
      </c>
      <c r="E82" s="14" t="str">
        <f>'XM.GUI MAIL'!E82</f>
        <v>8~16 %
(12±2%)</v>
      </c>
      <c r="F82" s="1255">
        <f>'XM.GUI MAIL'!F82</f>
        <v>12</v>
      </c>
      <c r="G82" s="110">
        <f>XM.HN!B49</f>
        <v>0</v>
      </c>
      <c r="H82" s="1409">
        <f>G82*100/6.95/10</f>
        <v>0</v>
      </c>
      <c r="I82" s="37">
        <f>($F$82-H82)*3360/100</f>
        <v>403.2</v>
      </c>
      <c r="J82" s="45" t="s">
        <v>8</v>
      </c>
      <c r="K82" s="46">
        <f t="shared" ref="K82" si="28">IF(I82&lt;0,0,I82)</f>
        <v>403.2</v>
      </c>
      <c r="L82" s="47" t="s">
        <v>10</v>
      </c>
      <c r="M82" s="107">
        <f>XM.HN!C49</f>
        <v>0</v>
      </c>
      <c r="N82" s="1409">
        <f>M82*100/6.95/10</f>
        <v>0</v>
      </c>
      <c r="O82" s="37">
        <f>($F$82-N82)*3360/100</f>
        <v>403.2</v>
      </c>
      <c r="P82" s="45" t="s">
        <v>8</v>
      </c>
      <c r="Q82" s="46">
        <f t="shared" ref="Q82" si="29">IF(O82&lt;0,0,O82)</f>
        <v>403.2</v>
      </c>
      <c r="R82" s="47" t="s">
        <v>10</v>
      </c>
      <c r="S82" s="21">
        <f>XM.HN!D49</f>
        <v>0</v>
      </c>
      <c r="T82" s="1409">
        <f>S82*100/6.95/10</f>
        <v>0</v>
      </c>
      <c r="U82" s="37">
        <f>($F$82-T82)*3360/100</f>
        <v>403.2</v>
      </c>
      <c r="V82" s="45" t="s">
        <v>8</v>
      </c>
      <c r="W82" s="46">
        <f t="shared" ref="W82" si="30">IF(U82&lt;0,0,U82)</f>
        <v>403.2</v>
      </c>
      <c r="X82" s="47" t="s">
        <v>10</v>
      </c>
      <c r="Y82" s="107">
        <f>XM.HN!E49</f>
        <v>0</v>
      </c>
      <c r="Z82" s="1409">
        <f>Y82*100/6.95/10</f>
        <v>0</v>
      </c>
      <c r="AA82" s="37">
        <f>($F$82-Z82)*3360/100</f>
        <v>403.2</v>
      </c>
      <c r="AB82" s="45" t="s">
        <v>8</v>
      </c>
      <c r="AC82" s="46">
        <f t="shared" ref="AC82" si="31">IF(AA82&lt;0,0,AA82)</f>
        <v>403.2</v>
      </c>
      <c r="AD82" s="47" t="s">
        <v>10</v>
      </c>
      <c r="AE82" s="107">
        <f>XM.HN!F49</f>
        <v>0</v>
      </c>
      <c r="AF82" s="1409">
        <f>AE82*100/6.95/10</f>
        <v>0</v>
      </c>
      <c r="AG82" s="37">
        <f>($F$82-AF82)*3360/100</f>
        <v>403.2</v>
      </c>
      <c r="AH82" s="45" t="s">
        <v>8</v>
      </c>
      <c r="AI82" s="46">
        <f t="shared" ref="AI82" si="32">IF(AG82&lt;0,0,AG82)</f>
        <v>403.2</v>
      </c>
      <c r="AJ82" s="47" t="s">
        <v>10</v>
      </c>
      <c r="AK82" s="107">
        <f>XM.HN!G49</f>
        <v>0</v>
      </c>
      <c r="AL82" s="1409">
        <f>AK82*100/6.95/10</f>
        <v>0</v>
      </c>
      <c r="AM82" s="37">
        <f>($F$82-AL82)*3360/100</f>
        <v>403.2</v>
      </c>
      <c r="AN82" s="45" t="s">
        <v>8</v>
      </c>
      <c r="AO82" s="46">
        <f t="shared" ref="AO82" si="33">IF(AM82&lt;0,0,AM82)</f>
        <v>403.2</v>
      </c>
      <c r="AP82" s="47" t="s">
        <v>10</v>
      </c>
    </row>
    <row r="83" spans="1:46" ht="38.25" customHeight="1">
      <c r="A83" s="1667"/>
      <c r="B83" s="1668"/>
      <c r="C83" s="1666" t="s">
        <v>132</v>
      </c>
      <c r="D83" s="321" t="s">
        <v>5</v>
      </c>
      <c r="E83" s="14" t="str">
        <f>'XM.GUI MAIL'!E83</f>
        <v>1.8~2.4(2.0 ±0.2 )</v>
      </c>
      <c r="F83" s="1255">
        <f>'XM.GUI MAIL'!F83</f>
        <v>0</v>
      </c>
      <c r="G83" s="109"/>
      <c r="H83" s="70">
        <f>XM.HN!B50</f>
        <v>0</v>
      </c>
      <c r="I83" s="42"/>
      <c r="J83" s="43"/>
      <c r="K83" s="44"/>
      <c r="L83" s="42"/>
      <c r="M83" s="110"/>
      <c r="N83" s="70">
        <f>XM.HN!C50</f>
        <v>0</v>
      </c>
      <c r="O83" s="36"/>
      <c r="P83" s="332"/>
      <c r="Q83" s="332"/>
      <c r="R83" s="333"/>
      <c r="S83" s="21"/>
      <c r="T83" s="70">
        <f>XM.HN!D50</f>
        <v>0</v>
      </c>
      <c r="U83" s="36"/>
      <c r="V83" s="332"/>
      <c r="W83" s="332"/>
      <c r="X83" s="333"/>
      <c r="Y83" s="107"/>
      <c r="Z83" s="70">
        <f>XM.HN!E50</f>
        <v>0</v>
      </c>
      <c r="AA83" s="36"/>
      <c r="AB83" s="332"/>
      <c r="AC83" s="332"/>
      <c r="AD83" s="333"/>
      <c r="AE83" s="107"/>
      <c r="AF83" s="70">
        <f>XM.HN!F50</f>
        <v>0</v>
      </c>
      <c r="AG83" s="36"/>
      <c r="AH83" s="332"/>
      <c r="AI83" s="332"/>
      <c r="AJ83" s="333"/>
      <c r="AK83" s="107"/>
      <c r="AL83" s="70">
        <f>XM.HN!G50</f>
        <v>0</v>
      </c>
      <c r="AM83" s="42"/>
      <c r="AN83" s="43"/>
      <c r="AO83" s="44"/>
      <c r="AP83" s="1158"/>
    </row>
    <row r="84" spans="1:46" s="104" customFormat="1" ht="33" customHeight="1">
      <c r="A84" s="324" t="s">
        <v>346</v>
      </c>
      <c r="B84" s="1147" t="s">
        <v>144</v>
      </c>
      <c r="C84" s="248" t="s">
        <v>212</v>
      </c>
      <c r="D84" s="240" t="s">
        <v>4</v>
      </c>
      <c r="E84" s="14" t="str">
        <f>'XM.GUI MAIL'!E84</f>
        <v>5~6g/L
(5.5± 1g/L)</v>
      </c>
      <c r="F84" s="1255">
        <f>'XM.GUI MAIL'!F84</f>
        <v>5.5</v>
      </c>
      <c r="G84" s="241">
        <f>XM.HN!B53</f>
        <v>0</v>
      </c>
      <c r="H84" s="64">
        <f>G84*1.3</f>
        <v>0</v>
      </c>
      <c r="I84" s="242">
        <f>($F$84-H84)*8000/1000</f>
        <v>44</v>
      </c>
      <c r="J84" s="1691" t="s">
        <v>8</v>
      </c>
      <c r="K84" s="357">
        <f t="shared" ref="K84:K87" si="34">IF(I84&lt;0,0,I84)</f>
        <v>44</v>
      </c>
      <c r="L84" s="364" t="s">
        <v>9</v>
      </c>
      <c r="M84" s="1204">
        <f>XM.HN!C53</f>
        <v>0</v>
      </c>
      <c r="N84" s="356"/>
      <c r="O84" s="356"/>
      <c r="P84" s="353"/>
      <c r="Q84" s="357"/>
      <c r="R84" s="320"/>
      <c r="S84" s="1206">
        <f>XM.HN!D53</f>
        <v>0</v>
      </c>
      <c r="T84" s="350">
        <f>S84*1.3</f>
        <v>0</v>
      </c>
      <c r="U84" s="1205">
        <f>($F$84-T84)*8000/1000</f>
        <v>44</v>
      </c>
      <c r="V84" s="353" t="s">
        <v>8</v>
      </c>
      <c r="W84" s="357">
        <f t="shared" ref="W84:W87" si="35">IF(U84&lt;0,0,U84)</f>
        <v>44</v>
      </c>
      <c r="X84" s="320" t="s">
        <v>9</v>
      </c>
      <c r="Y84" s="1207">
        <f>XM.HN!E53</f>
        <v>0</v>
      </c>
      <c r="Z84" s="350">
        <f>Y84*1.3</f>
        <v>0</v>
      </c>
      <c r="AA84" s="1205">
        <f>($F$84-Z84)*8000/1000</f>
        <v>44</v>
      </c>
      <c r="AB84" s="353" t="s">
        <v>8</v>
      </c>
      <c r="AC84" s="357">
        <f t="shared" ref="AC84:AC87" si="36">IF(AA84&lt;0,0,AA84)</f>
        <v>44</v>
      </c>
      <c r="AD84" s="320" t="s">
        <v>9</v>
      </c>
      <c r="AE84" s="1208"/>
      <c r="AF84" s="356"/>
      <c r="AG84" s="356"/>
      <c r="AH84" s="353"/>
      <c r="AI84" s="357"/>
      <c r="AJ84" s="320"/>
      <c r="AK84" s="1209">
        <f>XM.HN!G53</f>
        <v>0</v>
      </c>
      <c r="AL84" s="350">
        <f>AK84*1.3</f>
        <v>0</v>
      </c>
      <c r="AM84" s="1205">
        <f>($F$84-AL84)*8000/1000</f>
        <v>44</v>
      </c>
      <c r="AN84" s="353" t="s">
        <v>8</v>
      </c>
      <c r="AO84" s="357">
        <f t="shared" ref="AO84:AO87" si="37">IF(AM84&lt;0,0,AM84)</f>
        <v>44</v>
      </c>
      <c r="AP84" s="320" t="s">
        <v>9</v>
      </c>
      <c r="AQ84" s="308"/>
      <c r="AR84" s="308"/>
      <c r="AS84" s="308"/>
      <c r="AT84" s="308"/>
    </row>
    <row r="85" spans="1:46" s="104" customFormat="1" ht="33" hidden="1" customHeight="1">
      <c r="A85" s="324" t="s">
        <v>347</v>
      </c>
      <c r="B85" s="1147" t="s">
        <v>144</v>
      </c>
      <c r="C85" s="248" t="s">
        <v>210</v>
      </c>
      <c r="D85" s="240" t="s">
        <v>4</v>
      </c>
      <c r="E85" s="14" t="str">
        <f>'XM.GUI MAIL'!E85</f>
        <v>1.7~1.9g/L
(1.8 ± 0.1g/L)</v>
      </c>
      <c r="F85" s="1255">
        <f>'XM.GUI MAIL'!F85</f>
        <v>1.8</v>
      </c>
      <c r="G85" s="241">
        <f>XM.HN!B54</f>
        <v>0</v>
      </c>
      <c r="H85" s="70">
        <f>G85</f>
        <v>0</v>
      </c>
      <c r="I85" s="242">
        <f>($F$85-H85)*8000/1000</f>
        <v>14.4</v>
      </c>
      <c r="J85" s="45" t="s">
        <v>8</v>
      </c>
      <c r="K85" s="46">
        <f t="shared" si="34"/>
        <v>14.4</v>
      </c>
      <c r="L85" s="249" t="s">
        <v>10</v>
      </c>
      <c r="M85" s="284">
        <f>XM.HN!C54</f>
        <v>0</v>
      </c>
      <c r="N85" s="1469"/>
      <c r="O85" s="37"/>
      <c r="P85" s="45"/>
      <c r="Q85" s="46"/>
      <c r="R85" s="47"/>
      <c r="S85" s="237">
        <f>XM.HN!D54</f>
        <v>0</v>
      </c>
      <c r="T85" s="70">
        <f>S85</f>
        <v>0</v>
      </c>
      <c r="U85" s="242">
        <f>($F$85-T85)*8000/1000</f>
        <v>14.4</v>
      </c>
      <c r="V85" s="45" t="s">
        <v>8</v>
      </c>
      <c r="W85" s="46">
        <f t="shared" si="35"/>
        <v>14.4</v>
      </c>
      <c r="X85" s="47" t="s">
        <v>10</v>
      </c>
      <c r="Y85" s="243">
        <f>XM.HN!E54</f>
        <v>0</v>
      </c>
      <c r="Z85" s="70">
        <f>Y85</f>
        <v>0</v>
      </c>
      <c r="AA85" s="242">
        <f>($F$85-Z85)*8000/1000</f>
        <v>14.4</v>
      </c>
      <c r="AB85" s="45" t="s">
        <v>8</v>
      </c>
      <c r="AC85" s="46">
        <f t="shared" si="36"/>
        <v>14.4</v>
      </c>
      <c r="AD85" s="47" t="s">
        <v>10</v>
      </c>
      <c r="AE85" s="1162"/>
      <c r="AF85" s="1469"/>
      <c r="AG85" s="37"/>
      <c r="AH85" s="45"/>
      <c r="AI85" s="46"/>
      <c r="AJ85" s="47"/>
      <c r="AK85" s="238">
        <f>XM.HN!G54</f>
        <v>0</v>
      </c>
      <c r="AL85" s="70">
        <f>AK85</f>
        <v>0</v>
      </c>
      <c r="AM85" s="242">
        <f>($F$85-AL85)*8000/1000</f>
        <v>14.4</v>
      </c>
      <c r="AN85" s="45" t="s">
        <v>8</v>
      </c>
      <c r="AO85" s="46">
        <f t="shared" si="37"/>
        <v>14.4</v>
      </c>
      <c r="AP85" s="47" t="s">
        <v>10</v>
      </c>
      <c r="AQ85" s="308"/>
      <c r="AR85" s="308"/>
      <c r="AS85" s="308"/>
      <c r="AT85" s="308"/>
    </row>
    <row r="86" spans="1:46" s="104" customFormat="1" ht="33" customHeight="1">
      <c r="A86" s="324" t="s">
        <v>348</v>
      </c>
      <c r="B86" s="1147" t="s">
        <v>144</v>
      </c>
      <c r="C86" s="248" t="s">
        <v>211</v>
      </c>
      <c r="D86" s="240" t="s">
        <v>4</v>
      </c>
      <c r="E86" s="14" t="str">
        <f>'XM.GUI MAIL'!E86</f>
        <v>120~130g/L
(125 ± 5g/L)</v>
      </c>
      <c r="F86" s="1255">
        <f>'XM.GUI MAIL'!F86</f>
        <v>125</v>
      </c>
      <c r="G86" s="241">
        <f>XM.HN!B55</f>
        <v>0</v>
      </c>
      <c r="H86" s="70">
        <f>G86*8</f>
        <v>0</v>
      </c>
      <c r="I86" s="242">
        <f>($F$86-H86)*8000/1000</f>
        <v>1000</v>
      </c>
      <c r="J86" s="45" t="s">
        <v>8</v>
      </c>
      <c r="K86" s="46">
        <f t="shared" si="34"/>
        <v>1000</v>
      </c>
      <c r="L86" s="249" t="s">
        <v>9</v>
      </c>
      <c r="M86" s="284">
        <f>XM.HN!C55</f>
        <v>0</v>
      </c>
      <c r="N86" s="37"/>
      <c r="O86" s="37"/>
      <c r="P86" s="45"/>
      <c r="Q86" s="46"/>
      <c r="R86" s="47"/>
      <c r="S86" s="237">
        <f>XM.HN!D55</f>
        <v>0</v>
      </c>
      <c r="T86" s="70">
        <f>S86*8</f>
        <v>0</v>
      </c>
      <c r="U86" s="242">
        <f>($F$86-T86)*8000/1000</f>
        <v>1000</v>
      </c>
      <c r="V86" s="45" t="s">
        <v>8</v>
      </c>
      <c r="W86" s="46">
        <f t="shared" si="35"/>
        <v>1000</v>
      </c>
      <c r="X86" s="47" t="s">
        <v>9</v>
      </c>
      <c r="Y86" s="243">
        <f>XM.HN!E55</f>
        <v>0</v>
      </c>
      <c r="Z86" s="70">
        <f>Y86*8</f>
        <v>0</v>
      </c>
      <c r="AA86" s="242">
        <f>($F$86-Z86)*8000/1000</f>
        <v>1000</v>
      </c>
      <c r="AB86" s="45" t="s">
        <v>8</v>
      </c>
      <c r="AC86" s="46">
        <f t="shared" si="36"/>
        <v>1000</v>
      </c>
      <c r="AD86" s="47" t="s">
        <v>9</v>
      </c>
      <c r="AE86" s="1162"/>
      <c r="AF86" s="37"/>
      <c r="AG86" s="37"/>
      <c r="AH86" s="45"/>
      <c r="AI86" s="46"/>
      <c r="AJ86" s="47"/>
      <c r="AK86" s="238">
        <f>XM.HN!G55</f>
        <v>0</v>
      </c>
      <c r="AL86" s="70">
        <f>AK86*8</f>
        <v>0</v>
      </c>
      <c r="AM86" s="242">
        <f>($F$86-AL86)*8000/1000</f>
        <v>1000</v>
      </c>
      <c r="AN86" s="45" t="s">
        <v>8</v>
      </c>
      <c r="AO86" s="46">
        <f t="shared" si="37"/>
        <v>1000</v>
      </c>
      <c r="AP86" s="47" t="s">
        <v>9</v>
      </c>
      <c r="AQ86" s="308"/>
      <c r="AR86" s="308"/>
      <c r="AS86" s="308"/>
      <c r="AT86" s="308"/>
    </row>
    <row r="87" spans="1:46" s="104" customFormat="1" ht="33" hidden="1" customHeight="1">
      <c r="A87" s="324" t="s">
        <v>349</v>
      </c>
      <c r="B87" s="1147" t="s">
        <v>144</v>
      </c>
      <c r="C87" s="248" t="s">
        <v>213</v>
      </c>
      <c r="D87" s="240" t="s">
        <v>4</v>
      </c>
      <c r="E87" s="14" t="str">
        <f>'XM.GUI MAIL'!E87</f>
        <v>125~135g/L
(130g/L)</v>
      </c>
      <c r="F87" s="1255">
        <f>'XM.GUI MAIL'!F87</f>
        <v>130</v>
      </c>
      <c r="G87" s="286">
        <f>XM.HN!B56</f>
        <v>0</v>
      </c>
      <c r="H87" s="70">
        <f>(G87-0.5)*8.9</f>
        <v>-4.45</v>
      </c>
      <c r="I87" s="242">
        <f>($F$87-H87)*8000/1000</f>
        <v>1075.5999999999999</v>
      </c>
      <c r="J87" s="45" t="s">
        <v>8</v>
      </c>
      <c r="K87" s="46">
        <f t="shared" si="34"/>
        <v>1075.5999999999999</v>
      </c>
      <c r="L87" s="249" t="s">
        <v>10</v>
      </c>
      <c r="M87" s="284">
        <f>XM.HN!C56</f>
        <v>0</v>
      </c>
      <c r="N87" s="1693"/>
      <c r="O87" s="1694"/>
      <c r="P87" s="1695"/>
      <c r="Q87" s="1696"/>
      <c r="R87" s="249"/>
      <c r="S87" s="237">
        <f>XM.HN!D56</f>
        <v>0</v>
      </c>
      <c r="T87" s="70">
        <f>(S87-0.5)*8.9</f>
        <v>-4.45</v>
      </c>
      <c r="U87" s="242">
        <f>($F$87-T87)*8000/1000</f>
        <v>1075.5999999999999</v>
      </c>
      <c r="V87" s="45" t="s">
        <v>8</v>
      </c>
      <c r="W87" s="46">
        <f t="shared" si="35"/>
        <v>1075.5999999999999</v>
      </c>
      <c r="X87" s="249" t="s">
        <v>10</v>
      </c>
      <c r="Y87" s="243">
        <f>XM.HN!E56</f>
        <v>0</v>
      </c>
      <c r="Z87" s="70">
        <f>(Y87-0.5)*8.9</f>
        <v>-4.45</v>
      </c>
      <c r="AA87" s="242">
        <f>($F$87-Z87)*8000/1000</f>
        <v>1075.5999999999999</v>
      </c>
      <c r="AB87" s="45" t="s">
        <v>8</v>
      </c>
      <c r="AC87" s="46">
        <f t="shared" si="36"/>
        <v>1075.5999999999999</v>
      </c>
      <c r="AD87" s="249" t="s">
        <v>10</v>
      </c>
      <c r="AE87" s="1162"/>
      <c r="AF87" s="1693"/>
      <c r="AG87" s="1694"/>
      <c r="AH87" s="1695"/>
      <c r="AI87" s="1696"/>
      <c r="AJ87" s="249"/>
      <c r="AK87" s="238">
        <f>XM.HN!G56</f>
        <v>0</v>
      </c>
      <c r="AL87" s="70">
        <f>(AK87-0.5)*8.9</f>
        <v>-4.45</v>
      </c>
      <c r="AM87" s="242">
        <f>($F$87-AL87)*8000/1000</f>
        <v>1075.5999999999999</v>
      </c>
      <c r="AN87" s="45" t="s">
        <v>8</v>
      </c>
      <c r="AO87" s="46">
        <f t="shared" si="37"/>
        <v>1075.5999999999999</v>
      </c>
      <c r="AP87" s="249" t="s">
        <v>10</v>
      </c>
      <c r="AQ87" s="308"/>
      <c r="AR87" s="308"/>
      <c r="AS87" s="308"/>
      <c r="AT87" s="308"/>
    </row>
    <row r="88" spans="1:46" s="104" customFormat="1" ht="36" customHeight="1">
      <c r="A88" s="324" t="s">
        <v>350</v>
      </c>
      <c r="B88" s="1147" t="s">
        <v>144</v>
      </c>
      <c r="C88" s="245" t="s">
        <v>214</v>
      </c>
      <c r="D88" s="240" t="s">
        <v>132</v>
      </c>
      <c r="E88" s="14" t="str">
        <f>'XM.GUI MAIL'!E88</f>
        <v>3.0-4.5(4.3±0.2)</v>
      </c>
      <c r="F88" s="1255">
        <f>'XM.GUI MAIL'!F88</f>
        <v>0</v>
      </c>
      <c r="G88" s="241"/>
      <c r="H88" s="70">
        <f>XM.HN!B57</f>
        <v>0</v>
      </c>
      <c r="I88" s="243"/>
      <c r="J88" s="39"/>
      <c r="K88" s="40"/>
      <c r="L88" s="42"/>
      <c r="M88" s="284"/>
      <c r="N88" s="42"/>
      <c r="O88" s="42"/>
      <c r="P88" s="39"/>
      <c r="Q88" s="40"/>
      <c r="R88" s="42"/>
      <c r="S88" s="237"/>
      <c r="T88" s="70">
        <f>XM.HN!D57</f>
        <v>0</v>
      </c>
      <c r="U88" s="243"/>
      <c r="V88" s="39"/>
      <c r="W88" s="40"/>
      <c r="X88" s="42"/>
      <c r="Y88" s="243"/>
      <c r="Z88" s="70">
        <f>XM.HN!E57</f>
        <v>0</v>
      </c>
      <c r="AA88" s="243"/>
      <c r="AB88" s="39"/>
      <c r="AC88" s="40"/>
      <c r="AD88" s="42"/>
      <c r="AE88" s="1162"/>
      <c r="AF88" s="42"/>
      <c r="AG88" s="42"/>
      <c r="AH88" s="39"/>
      <c r="AI88" s="40"/>
      <c r="AJ88" s="42"/>
      <c r="AK88" s="1163"/>
      <c r="AL88" s="70">
        <f>XM.HN!G57</f>
        <v>0</v>
      </c>
      <c r="AM88" s="1164"/>
      <c r="AN88" s="1158"/>
      <c r="AO88" s="1158"/>
      <c r="AP88" s="1158"/>
      <c r="AQ88" s="308"/>
      <c r="AR88" s="308"/>
      <c r="AS88" s="308"/>
      <c r="AT88" s="308"/>
    </row>
    <row r="89" spans="1:46" s="233" customFormat="1" ht="54" customHeight="1">
      <c r="A89" s="335" t="s">
        <v>76</v>
      </c>
      <c r="B89" s="336"/>
      <c r="C89" s="336"/>
      <c r="D89" s="336"/>
      <c r="E89" s="349"/>
      <c r="F89" s="349"/>
      <c r="G89" s="336"/>
      <c r="H89" s="336"/>
      <c r="I89" s="336"/>
      <c r="J89" s="336"/>
      <c r="K89" s="336"/>
      <c r="L89" s="336"/>
      <c r="M89" s="336"/>
      <c r="N89" s="337"/>
      <c r="O89" s="336"/>
      <c r="P89" s="336"/>
      <c r="Q89" s="336"/>
      <c r="R89" s="337"/>
      <c r="S89" s="336"/>
      <c r="T89" s="337"/>
      <c r="U89" s="336"/>
      <c r="V89" s="336"/>
      <c r="W89" s="336"/>
      <c r="X89" s="336"/>
      <c r="Y89" s="336"/>
      <c r="Z89" s="336"/>
      <c r="AA89" s="336"/>
      <c r="AB89" s="336"/>
      <c r="AC89" s="336"/>
      <c r="AD89" s="336"/>
      <c r="AE89" s="337"/>
      <c r="AF89" s="337"/>
      <c r="AG89" s="337"/>
      <c r="AH89" s="337"/>
      <c r="AI89" s="337"/>
      <c r="AJ89" s="337"/>
      <c r="AK89" s="337"/>
      <c r="AL89" s="337"/>
      <c r="AM89" s="337"/>
      <c r="AN89" s="337"/>
      <c r="AO89" s="337"/>
      <c r="AP89" s="1165"/>
      <c r="AQ89" s="111"/>
      <c r="AR89" s="111"/>
      <c r="AS89" s="111"/>
      <c r="AT89" s="111"/>
    </row>
    <row r="90" spans="1:46" ht="48" customHeight="1">
      <c r="A90" s="1153" t="s">
        <v>276</v>
      </c>
      <c r="B90" s="1146" t="s">
        <v>359</v>
      </c>
      <c r="C90" s="327" t="s">
        <v>64</v>
      </c>
      <c r="D90" s="327" t="s">
        <v>66</v>
      </c>
      <c r="E90" s="326" t="s">
        <v>67</v>
      </c>
      <c r="F90" s="1334"/>
      <c r="G90" s="112"/>
      <c r="H90" s="329" t="s">
        <v>48</v>
      </c>
      <c r="I90" s="330"/>
      <c r="J90" s="330"/>
      <c r="K90" s="329" t="s">
        <v>65</v>
      </c>
      <c r="L90" s="346"/>
      <c r="M90" s="327"/>
      <c r="N90" s="329" t="s">
        <v>48</v>
      </c>
      <c r="O90" s="330"/>
      <c r="P90" s="330"/>
      <c r="Q90" s="329" t="s">
        <v>65</v>
      </c>
      <c r="R90" s="346"/>
      <c r="S90" s="113"/>
      <c r="T90" s="329" t="s">
        <v>48</v>
      </c>
      <c r="U90" s="330"/>
      <c r="V90" s="330"/>
      <c r="W90" s="329" t="s">
        <v>65</v>
      </c>
      <c r="X90" s="346"/>
      <c r="Y90" s="114"/>
      <c r="Z90" s="329" t="s">
        <v>48</v>
      </c>
      <c r="AA90" s="330"/>
      <c r="AB90" s="330"/>
      <c r="AC90" s="329" t="s">
        <v>65</v>
      </c>
      <c r="AD90" s="346"/>
      <c r="AE90" s="114"/>
      <c r="AF90" s="329" t="s">
        <v>48</v>
      </c>
      <c r="AG90" s="330"/>
      <c r="AH90" s="330"/>
      <c r="AI90" s="329" t="s">
        <v>65</v>
      </c>
      <c r="AJ90" s="346"/>
      <c r="AK90" s="114"/>
      <c r="AL90" s="329" t="s">
        <v>48</v>
      </c>
      <c r="AM90" s="330"/>
      <c r="AN90" s="330"/>
      <c r="AO90" s="329" t="s">
        <v>65</v>
      </c>
      <c r="AP90" s="346"/>
    </row>
    <row r="91" spans="1:46" ht="36.75" customHeight="1">
      <c r="A91" s="1147" t="s">
        <v>337</v>
      </c>
      <c r="B91" s="1147" t="s">
        <v>144</v>
      </c>
      <c r="C91" s="1669" t="s">
        <v>68</v>
      </c>
      <c r="D91" s="117" t="s">
        <v>113</v>
      </c>
      <c r="E91" s="1620" t="str">
        <f>'XM.GUI MAIL'!E91</f>
        <v>65~75ºC
(70±3OC)</v>
      </c>
      <c r="F91" s="484"/>
      <c r="G91" s="118"/>
      <c r="H91" s="1866"/>
      <c r="I91" s="1867"/>
      <c r="J91" s="1868"/>
      <c r="K91" s="1869"/>
      <c r="L91" s="1869"/>
      <c r="M91" s="114"/>
      <c r="N91" s="1866"/>
      <c r="O91" s="1867"/>
      <c r="P91" s="1868"/>
      <c r="Q91" s="1869"/>
      <c r="R91" s="1869"/>
      <c r="S91" s="114"/>
      <c r="T91" s="1866"/>
      <c r="U91" s="1867"/>
      <c r="V91" s="1868"/>
      <c r="W91" s="1869"/>
      <c r="X91" s="1869"/>
      <c r="Y91" s="114"/>
      <c r="Z91" s="1866"/>
      <c r="AA91" s="1867"/>
      <c r="AB91" s="1868"/>
      <c r="AC91" s="1869"/>
      <c r="AD91" s="1869"/>
      <c r="AE91" s="114"/>
      <c r="AF91" s="1866"/>
      <c r="AG91" s="1867"/>
      <c r="AH91" s="1868"/>
      <c r="AI91" s="1869"/>
      <c r="AJ91" s="1869"/>
      <c r="AK91" s="114"/>
      <c r="AL91" s="1866"/>
      <c r="AM91" s="1867"/>
      <c r="AN91" s="1868"/>
      <c r="AO91" s="1869"/>
      <c r="AP91" s="1869"/>
    </row>
    <row r="92" spans="1:46" ht="36.75" customHeight="1">
      <c r="A92" s="1147" t="s">
        <v>338</v>
      </c>
      <c r="B92" s="1147" t="s">
        <v>144</v>
      </c>
      <c r="C92" s="1669" t="s">
        <v>69</v>
      </c>
      <c r="D92" s="117" t="s">
        <v>113</v>
      </c>
      <c r="E92" s="1620" t="str">
        <f>'XM.GUI MAIL'!E92</f>
        <v>65~75ºC
(70±3OC)</v>
      </c>
      <c r="F92" s="484"/>
      <c r="G92" s="118"/>
      <c r="H92" s="1866"/>
      <c r="I92" s="1867"/>
      <c r="J92" s="1868"/>
      <c r="K92" s="1869"/>
      <c r="L92" s="1869"/>
      <c r="M92" s="114"/>
      <c r="N92" s="1866"/>
      <c r="O92" s="1867"/>
      <c r="P92" s="1868"/>
      <c r="Q92" s="1869"/>
      <c r="R92" s="1869"/>
      <c r="S92" s="114"/>
      <c r="T92" s="1866"/>
      <c r="U92" s="1867"/>
      <c r="V92" s="1868"/>
      <c r="W92" s="1869"/>
      <c r="X92" s="1869"/>
      <c r="Y92" s="114"/>
      <c r="Z92" s="1866"/>
      <c r="AA92" s="1867"/>
      <c r="AB92" s="1868"/>
      <c r="AC92" s="1869"/>
      <c r="AD92" s="1869"/>
      <c r="AE92" s="114"/>
      <c r="AF92" s="1866"/>
      <c r="AG92" s="1867"/>
      <c r="AH92" s="1868"/>
      <c r="AI92" s="1869"/>
      <c r="AJ92" s="1869"/>
      <c r="AK92" s="114"/>
      <c r="AL92" s="1866"/>
      <c r="AM92" s="1867"/>
      <c r="AN92" s="1868"/>
      <c r="AO92" s="1869"/>
      <c r="AP92" s="1869"/>
    </row>
    <row r="93" spans="1:46" ht="36.75" customHeight="1">
      <c r="A93" s="1147" t="s">
        <v>339</v>
      </c>
      <c r="B93" s="1147" t="s">
        <v>144</v>
      </c>
      <c r="C93" s="1669" t="s">
        <v>71</v>
      </c>
      <c r="D93" s="117" t="s">
        <v>113</v>
      </c>
      <c r="E93" s="1620" t="str">
        <f>'XM.GUI MAIL'!E93</f>
        <v>60~70ºC
(65±3OC)</v>
      </c>
      <c r="F93" s="484"/>
      <c r="G93" s="118"/>
      <c r="H93" s="1866"/>
      <c r="I93" s="1867"/>
      <c r="J93" s="1868"/>
      <c r="K93" s="1869"/>
      <c r="L93" s="1869"/>
      <c r="M93" s="114"/>
      <c r="N93" s="1866"/>
      <c r="O93" s="1867"/>
      <c r="P93" s="1868"/>
      <c r="Q93" s="1869"/>
      <c r="R93" s="1869"/>
      <c r="S93" s="114"/>
      <c r="T93" s="1866"/>
      <c r="U93" s="1867"/>
      <c r="V93" s="1868"/>
      <c r="W93" s="1869"/>
      <c r="X93" s="1869"/>
      <c r="Y93" s="114"/>
      <c r="Z93" s="1866"/>
      <c r="AA93" s="1867"/>
      <c r="AB93" s="1868"/>
      <c r="AC93" s="1869"/>
      <c r="AD93" s="1869"/>
      <c r="AE93" s="114"/>
      <c r="AF93" s="1866"/>
      <c r="AG93" s="1867"/>
      <c r="AH93" s="1868"/>
      <c r="AI93" s="1869"/>
      <c r="AJ93" s="1869"/>
      <c r="AK93" s="114"/>
      <c r="AL93" s="1866"/>
      <c r="AM93" s="1867"/>
      <c r="AN93" s="1868"/>
      <c r="AO93" s="1869"/>
      <c r="AP93" s="1869"/>
    </row>
    <row r="94" spans="1:46" ht="36.75" customHeight="1">
      <c r="A94" s="1147" t="s">
        <v>340</v>
      </c>
      <c r="B94" s="1147" t="s">
        <v>144</v>
      </c>
      <c r="C94" s="1669" t="s">
        <v>70</v>
      </c>
      <c r="D94" s="117" t="s">
        <v>113</v>
      </c>
      <c r="E94" s="1620" t="str">
        <f>'XM.GUI MAIL'!E94</f>
        <v>60~70ºC
(65±3OC)</v>
      </c>
      <c r="F94" s="1656"/>
      <c r="G94" s="115"/>
      <c r="H94" s="1866"/>
      <c r="I94" s="1867"/>
      <c r="J94" s="1868"/>
      <c r="K94" s="1869"/>
      <c r="L94" s="1869"/>
      <c r="M94" s="114"/>
      <c r="N94" s="1866"/>
      <c r="O94" s="1867"/>
      <c r="P94" s="1868"/>
      <c r="Q94" s="1869"/>
      <c r="R94" s="1869"/>
      <c r="S94" s="114"/>
      <c r="T94" s="1866"/>
      <c r="U94" s="1867"/>
      <c r="V94" s="1868"/>
      <c r="W94" s="1869"/>
      <c r="X94" s="1869"/>
      <c r="Y94" s="114"/>
      <c r="Z94" s="1866"/>
      <c r="AA94" s="1867"/>
      <c r="AB94" s="1868"/>
      <c r="AC94" s="1869"/>
      <c r="AD94" s="1869"/>
      <c r="AE94" s="114"/>
      <c r="AF94" s="1866"/>
      <c r="AG94" s="1867"/>
      <c r="AH94" s="1868"/>
      <c r="AI94" s="1869"/>
      <c r="AJ94" s="1869"/>
      <c r="AK94" s="114"/>
      <c r="AL94" s="1866"/>
      <c r="AM94" s="1867"/>
      <c r="AN94" s="1868"/>
      <c r="AO94" s="1869"/>
      <c r="AP94" s="1869"/>
    </row>
    <row r="95" spans="1:46" ht="36.75" customHeight="1">
      <c r="A95" s="1147" t="s">
        <v>354</v>
      </c>
      <c r="B95" s="1147" t="s">
        <v>144</v>
      </c>
      <c r="C95" s="1669" t="s">
        <v>72</v>
      </c>
      <c r="D95" s="117" t="s">
        <v>113</v>
      </c>
      <c r="E95" s="1620" t="str">
        <f>'XM.GUI MAIL'!E95</f>
        <v>24~26ºC
(25OC)</v>
      </c>
      <c r="F95" s="484"/>
      <c r="G95" s="118"/>
      <c r="H95" s="1866"/>
      <c r="I95" s="1867"/>
      <c r="J95" s="1868"/>
      <c r="K95" s="1866"/>
      <c r="L95" s="1868"/>
      <c r="M95" s="327"/>
      <c r="N95" s="1866"/>
      <c r="O95" s="1867"/>
      <c r="P95" s="1868"/>
      <c r="Q95" s="1866"/>
      <c r="R95" s="1868"/>
      <c r="S95" s="113"/>
      <c r="T95" s="1866"/>
      <c r="U95" s="1867"/>
      <c r="V95" s="1868"/>
      <c r="W95" s="1866"/>
      <c r="X95" s="1867"/>
      <c r="Y95" s="114"/>
      <c r="Z95" s="1866"/>
      <c r="AA95" s="1867"/>
      <c r="AB95" s="1868"/>
      <c r="AC95" s="1866"/>
      <c r="AD95" s="1867"/>
      <c r="AE95" s="114"/>
      <c r="AF95" s="1866"/>
      <c r="AG95" s="1867"/>
      <c r="AH95" s="1868"/>
      <c r="AI95" s="1866"/>
      <c r="AJ95" s="1867"/>
      <c r="AK95" s="114"/>
      <c r="AL95" s="1866"/>
      <c r="AM95" s="1867"/>
      <c r="AN95" s="1868"/>
      <c r="AO95" s="1866"/>
      <c r="AP95" s="1867"/>
    </row>
    <row r="96" spans="1:46" ht="36.75" customHeight="1">
      <c r="A96" s="324" t="s">
        <v>341</v>
      </c>
      <c r="B96" s="1147" t="s">
        <v>144</v>
      </c>
      <c r="C96" s="1669" t="s">
        <v>1478</v>
      </c>
      <c r="D96" s="117" t="s">
        <v>113</v>
      </c>
      <c r="E96" s="1620" t="str">
        <f>'XM.GUI MAIL'!E96</f>
        <v>34~36ºC
(35±1OC)</v>
      </c>
      <c r="F96" s="484"/>
      <c r="G96" s="118"/>
      <c r="H96" s="1866"/>
      <c r="I96" s="1867"/>
      <c r="J96" s="1868"/>
      <c r="K96" s="1866"/>
      <c r="L96" s="1868"/>
      <c r="M96" s="327"/>
      <c r="N96" s="1866"/>
      <c r="O96" s="1867"/>
      <c r="P96" s="1868"/>
      <c r="Q96" s="1866"/>
      <c r="R96" s="1868"/>
      <c r="S96" s="113"/>
      <c r="T96" s="1866"/>
      <c r="U96" s="1867"/>
      <c r="V96" s="1868"/>
      <c r="W96" s="1866"/>
      <c r="X96" s="1867"/>
      <c r="Y96" s="114"/>
      <c r="Z96" s="1866"/>
      <c r="AA96" s="1867"/>
      <c r="AB96" s="1868"/>
      <c r="AC96" s="1866"/>
      <c r="AD96" s="1867"/>
      <c r="AE96" s="114"/>
      <c r="AF96" s="1866"/>
      <c r="AG96" s="1867"/>
      <c r="AH96" s="1868"/>
      <c r="AI96" s="1866"/>
      <c r="AJ96" s="1867"/>
      <c r="AK96" s="114"/>
      <c r="AL96" s="1866"/>
      <c r="AM96" s="1867"/>
      <c r="AN96" s="1868"/>
      <c r="AO96" s="1866"/>
      <c r="AP96" s="1867"/>
    </row>
    <row r="97" spans="1:46" ht="36.75" customHeight="1">
      <c r="A97" s="324" t="s">
        <v>342</v>
      </c>
      <c r="B97" s="1147" t="s">
        <v>144</v>
      </c>
      <c r="C97" s="1669" t="s">
        <v>73</v>
      </c>
      <c r="D97" s="117" t="s">
        <v>113</v>
      </c>
      <c r="E97" s="1620" t="str">
        <f>'XM.GUI MAIL'!E97</f>
        <v>55~65ºC
(60±3OC)</v>
      </c>
      <c r="F97" s="484"/>
      <c r="G97" s="118"/>
      <c r="H97" s="1866"/>
      <c r="I97" s="1867"/>
      <c r="J97" s="1868"/>
      <c r="K97" s="1866"/>
      <c r="L97" s="1867"/>
      <c r="M97" s="327"/>
      <c r="N97" s="1866"/>
      <c r="O97" s="1867"/>
      <c r="P97" s="1868"/>
      <c r="Q97" s="1866"/>
      <c r="R97" s="1867"/>
      <c r="S97" s="113"/>
      <c r="T97" s="1866"/>
      <c r="U97" s="1867"/>
      <c r="V97" s="1868"/>
      <c r="W97" s="1866"/>
      <c r="X97" s="1867"/>
      <c r="Y97" s="114"/>
      <c r="Z97" s="1866"/>
      <c r="AA97" s="1867"/>
      <c r="AB97" s="1868"/>
      <c r="AC97" s="1866"/>
      <c r="AD97" s="1867"/>
      <c r="AE97" s="114"/>
      <c r="AF97" s="1866"/>
      <c r="AG97" s="1867"/>
      <c r="AH97" s="1868"/>
      <c r="AI97" s="1866"/>
      <c r="AJ97" s="1867"/>
      <c r="AK97" s="114"/>
      <c r="AL97" s="1866"/>
      <c r="AM97" s="1867"/>
      <c r="AN97" s="1868"/>
      <c r="AO97" s="1869"/>
      <c r="AP97" s="1869"/>
    </row>
    <row r="98" spans="1:46" ht="36.75" customHeight="1">
      <c r="A98" s="54" t="s">
        <v>343</v>
      </c>
      <c r="B98" s="1147" t="s">
        <v>144</v>
      </c>
      <c r="C98" s="1669" t="s">
        <v>74</v>
      </c>
      <c r="D98" s="117" t="s">
        <v>113</v>
      </c>
      <c r="E98" s="1620" t="str">
        <f>'XM.GUI MAIL'!E98</f>
        <v>65~75ºC
(70±3OC)</v>
      </c>
      <c r="F98" s="484"/>
      <c r="G98" s="118"/>
      <c r="H98" s="1870" t="s">
        <v>49</v>
      </c>
      <c r="I98" s="1871"/>
      <c r="J98" s="1872"/>
      <c r="K98" s="1869"/>
      <c r="L98" s="1869"/>
      <c r="M98" s="114"/>
      <c r="N98" s="1870" t="s">
        <v>49</v>
      </c>
      <c r="O98" s="1871"/>
      <c r="P98" s="1872"/>
      <c r="Q98" s="1869"/>
      <c r="R98" s="1869"/>
      <c r="S98" s="114"/>
      <c r="T98" s="1870" t="s">
        <v>49</v>
      </c>
      <c r="U98" s="1871"/>
      <c r="V98" s="1872"/>
      <c r="W98" s="1869"/>
      <c r="X98" s="1869"/>
      <c r="Y98" s="114"/>
      <c r="Z98" s="1870" t="s">
        <v>49</v>
      </c>
      <c r="AA98" s="1871"/>
      <c r="AB98" s="1872"/>
      <c r="AC98" s="1869"/>
      <c r="AD98" s="1869"/>
      <c r="AE98" s="114"/>
      <c r="AF98" s="1870" t="s">
        <v>49</v>
      </c>
      <c r="AG98" s="1871"/>
      <c r="AH98" s="1872"/>
      <c r="AI98" s="1869"/>
      <c r="AJ98" s="1869"/>
      <c r="AK98" s="114"/>
      <c r="AL98" s="1870" t="s">
        <v>49</v>
      </c>
      <c r="AM98" s="1871"/>
      <c r="AN98" s="1872"/>
      <c r="AO98" s="1869"/>
      <c r="AP98" s="1869"/>
    </row>
    <row r="99" spans="1:46" ht="36.75" customHeight="1">
      <c r="A99" s="324"/>
      <c r="B99" s="1147"/>
      <c r="C99" s="1669" t="s">
        <v>1077</v>
      </c>
      <c r="D99" s="22" t="s">
        <v>113</v>
      </c>
      <c r="E99" s="1620" t="str">
        <f>'XM.GUI MAIL'!E99</f>
        <v>20~30ºC</v>
      </c>
      <c r="F99" s="484"/>
      <c r="G99" s="118"/>
      <c r="H99" s="1865"/>
      <c r="I99" s="1865"/>
      <c r="J99" s="1865"/>
      <c r="K99" s="1865"/>
      <c r="L99" s="1865"/>
      <c r="T99" s="1865"/>
      <c r="U99" s="1865"/>
      <c r="V99" s="1865"/>
      <c r="W99" s="1865"/>
      <c r="X99" s="1865"/>
      <c r="Y99" s="119"/>
      <c r="Z99" s="1865"/>
      <c r="AA99" s="1865"/>
      <c r="AB99" s="1865"/>
      <c r="AC99" s="1865"/>
      <c r="AD99" s="1865"/>
      <c r="AJ99" s="308"/>
      <c r="AL99" s="1865"/>
      <c r="AM99" s="1865"/>
      <c r="AN99" s="1865"/>
      <c r="AO99" s="1865"/>
      <c r="AP99" s="1865"/>
    </row>
    <row r="100" spans="1:46" ht="36.75" customHeight="1">
      <c r="A100" s="324"/>
      <c r="B100" s="1670"/>
      <c r="C100" s="1674" t="s">
        <v>1479</v>
      </c>
      <c r="D100" s="22" t="s">
        <v>113</v>
      </c>
      <c r="E100" s="1697" t="str">
        <f>'XM.GUI MAIL'!E100</f>
        <v>35~45ºC
(40±3OC)</v>
      </c>
      <c r="F100" s="484"/>
      <c r="G100" s="118"/>
      <c r="H100" s="1866"/>
      <c r="I100" s="1867"/>
      <c r="J100" s="1868"/>
      <c r="K100" s="1866"/>
      <c r="L100" s="1867"/>
      <c r="M100" s="1868"/>
      <c r="N100" s="1866"/>
      <c r="O100" s="1867"/>
      <c r="P100" s="1868"/>
      <c r="Q100" s="1866"/>
      <c r="R100" s="1867"/>
      <c r="S100" s="1868"/>
      <c r="T100" s="1866"/>
      <c r="U100" s="1867"/>
      <c r="V100" s="1868"/>
      <c r="W100" s="1866"/>
      <c r="X100" s="1867"/>
      <c r="Y100" s="1868"/>
      <c r="Z100" s="1866"/>
      <c r="AA100" s="1867"/>
      <c r="AB100" s="1868"/>
      <c r="AC100" s="1866"/>
      <c r="AD100" s="1867"/>
      <c r="AE100" s="1868"/>
      <c r="AF100" s="1866"/>
      <c r="AG100" s="1867"/>
      <c r="AH100" s="1868"/>
      <c r="AI100" s="1866"/>
      <c r="AJ100" s="1867"/>
      <c r="AK100" s="1868"/>
      <c r="AL100" s="1866"/>
      <c r="AM100" s="1867"/>
      <c r="AN100" s="1868"/>
      <c r="AO100" s="1866"/>
      <c r="AP100" s="1867"/>
    </row>
    <row r="101" spans="1:46" s="121" customFormat="1" ht="36.75" customHeight="1">
      <c r="A101" s="324" t="s">
        <v>351</v>
      </c>
      <c r="B101" s="1147" t="s">
        <v>144</v>
      </c>
      <c r="C101" s="1179" t="s">
        <v>128</v>
      </c>
      <c r="D101" s="1180" t="s">
        <v>113</v>
      </c>
      <c r="E101" s="1620" t="str">
        <f>'XM.GUI MAIL'!E101</f>
        <v>24~28ºC
(26±2OC)</v>
      </c>
      <c r="F101" s="484"/>
      <c r="G101" s="246"/>
      <c r="H101" s="1866"/>
      <c r="I101" s="1867"/>
      <c r="J101" s="1868"/>
      <c r="K101" s="1866"/>
      <c r="L101" s="1867"/>
      <c r="M101" s="123"/>
      <c r="N101" s="113"/>
      <c r="O101" s="114"/>
      <c r="P101" s="114"/>
      <c r="Q101" s="113"/>
      <c r="R101" s="347"/>
      <c r="S101" s="113"/>
      <c r="T101" s="1866"/>
      <c r="U101" s="1867"/>
      <c r="V101" s="1868"/>
      <c r="W101" s="1866"/>
      <c r="X101" s="1867"/>
      <c r="Y101" s="114"/>
      <c r="Z101" s="1866"/>
      <c r="AA101" s="1867"/>
      <c r="AB101" s="1868"/>
      <c r="AC101" s="1866"/>
      <c r="AD101" s="1867"/>
      <c r="AE101" s="114"/>
      <c r="AF101" s="113"/>
      <c r="AG101" s="114"/>
      <c r="AH101" s="114"/>
      <c r="AI101" s="113"/>
      <c r="AJ101" s="347"/>
      <c r="AK101" s="114"/>
      <c r="AL101" s="1866"/>
      <c r="AM101" s="1867"/>
      <c r="AN101" s="1868"/>
      <c r="AO101" s="1869"/>
      <c r="AP101" s="1869"/>
      <c r="AQ101" s="308"/>
      <c r="AR101" s="308"/>
      <c r="AS101" s="308"/>
      <c r="AT101" s="308"/>
    </row>
    <row r="102" spans="1:46" s="121" customFormat="1" ht="36.75" customHeight="1">
      <c r="A102" s="324" t="s">
        <v>352</v>
      </c>
      <c r="B102" s="1147" t="s">
        <v>144</v>
      </c>
      <c r="C102" s="1179" t="s">
        <v>126</v>
      </c>
      <c r="D102" s="1180" t="s">
        <v>113</v>
      </c>
      <c r="E102" s="1620" t="str">
        <f>'XM.GUI MAIL'!E102</f>
        <v>40~60ºC
(50±10OC)</v>
      </c>
      <c r="F102" s="484"/>
      <c r="G102" s="246"/>
      <c r="H102" s="1866"/>
      <c r="I102" s="1867"/>
      <c r="J102" s="1868"/>
      <c r="K102" s="1866"/>
      <c r="L102" s="1867"/>
      <c r="M102" s="123"/>
      <c r="N102" s="113"/>
      <c r="O102" s="114"/>
      <c r="P102" s="114"/>
      <c r="Q102" s="113"/>
      <c r="R102" s="347"/>
      <c r="S102" s="113"/>
      <c r="T102" s="1866"/>
      <c r="U102" s="1867"/>
      <c r="V102" s="1868"/>
      <c r="W102" s="1866"/>
      <c r="X102" s="1867"/>
      <c r="Y102" s="114"/>
      <c r="Z102" s="1866"/>
      <c r="AA102" s="1867"/>
      <c r="AB102" s="1868"/>
      <c r="AC102" s="1866"/>
      <c r="AD102" s="1867"/>
      <c r="AE102" s="114"/>
      <c r="AF102" s="113"/>
      <c r="AG102" s="114"/>
      <c r="AH102" s="114"/>
      <c r="AI102" s="113"/>
      <c r="AJ102" s="347"/>
      <c r="AK102" s="114"/>
      <c r="AL102" s="1866"/>
      <c r="AM102" s="1867"/>
      <c r="AN102" s="1868"/>
      <c r="AO102" s="1869"/>
      <c r="AP102" s="1869"/>
      <c r="AQ102" s="308"/>
      <c r="AR102" s="308"/>
      <c r="AS102" s="308"/>
      <c r="AT102" s="308"/>
    </row>
    <row r="103" spans="1:46" s="121" customFormat="1" ht="36.75" customHeight="1">
      <c r="A103" s="324" t="s">
        <v>353</v>
      </c>
      <c r="B103" s="1147" t="s">
        <v>144</v>
      </c>
      <c r="C103" s="1179" t="s">
        <v>133</v>
      </c>
      <c r="D103" s="1180" t="s">
        <v>113</v>
      </c>
      <c r="E103" s="1620" t="str">
        <f>'XM.GUI MAIL'!E103</f>
        <v>20~30ºC
(25±5OC)</v>
      </c>
      <c r="F103" s="484"/>
      <c r="G103" s="246"/>
      <c r="H103" s="1866"/>
      <c r="I103" s="1867"/>
      <c r="J103" s="1868"/>
      <c r="K103" s="1869"/>
      <c r="L103" s="1869"/>
      <c r="M103" s="114"/>
      <c r="N103" s="113"/>
      <c r="O103" s="114"/>
      <c r="P103" s="114"/>
      <c r="Q103" s="113"/>
      <c r="R103" s="347"/>
      <c r="S103" s="114"/>
      <c r="T103" s="1866"/>
      <c r="U103" s="1867"/>
      <c r="V103" s="1868"/>
      <c r="W103" s="1869"/>
      <c r="X103" s="1869"/>
      <c r="Y103" s="114"/>
      <c r="Z103" s="1866"/>
      <c r="AA103" s="1867"/>
      <c r="AB103" s="1868"/>
      <c r="AC103" s="1869"/>
      <c r="AD103" s="1869"/>
      <c r="AE103" s="114"/>
      <c r="AF103" s="113"/>
      <c r="AG103" s="114"/>
      <c r="AH103" s="114"/>
      <c r="AI103" s="113"/>
      <c r="AJ103" s="347"/>
      <c r="AK103" s="114"/>
      <c r="AL103" s="1866"/>
      <c r="AM103" s="1867"/>
      <c r="AN103" s="1868"/>
      <c r="AO103" s="1869"/>
      <c r="AP103" s="1869"/>
      <c r="AQ103" s="308"/>
      <c r="AR103" s="308"/>
      <c r="AS103" s="308"/>
      <c r="AT103" s="308"/>
    </row>
    <row r="104" spans="1:46" s="233" customFormat="1" ht="54" customHeight="1">
      <c r="A104" s="335" t="s">
        <v>78</v>
      </c>
      <c r="B104" s="336"/>
      <c r="C104" s="336"/>
      <c r="D104" s="336"/>
      <c r="E104" s="349"/>
      <c r="F104" s="349"/>
      <c r="G104" s="336"/>
      <c r="H104" s="336"/>
      <c r="I104" s="336"/>
      <c r="J104" s="336"/>
      <c r="K104" s="336"/>
      <c r="L104" s="336"/>
      <c r="M104" s="336"/>
      <c r="N104" s="337"/>
      <c r="O104" s="336"/>
      <c r="P104" s="336"/>
      <c r="Q104" s="336"/>
      <c r="R104" s="337"/>
      <c r="S104" s="336"/>
      <c r="T104" s="337"/>
      <c r="U104" s="336"/>
      <c r="V104" s="336"/>
      <c r="W104" s="336"/>
      <c r="X104" s="336"/>
      <c r="Y104" s="336"/>
      <c r="Z104" s="336"/>
      <c r="AA104" s="336"/>
      <c r="AB104" s="336"/>
      <c r="AC104" s="336"/>
      <c r="AD104" s="336"/>
      <c r="AE104" s="337"/>
      <c r="AF104" s="337"/>
      <c r="AG104" s="337"/>
      <c r="AH104" s="337"/>
      <c r="AI104" s="337"/>
      <c r="AJ104" s="337"/>
      <c r="AK104" s="337"/>
      <c r="AL104" s="337"/>
      <c r="AM104" s="337"/>
      <c r="AN104" s="337"/>
      <c r="AO104" s="337"/>
      <c r="AP104" s="1155"/>
      <c r="AQ104" s="111"/>
      <c r="AR104" s="111"/>
      <c r="AS104" s="111"/>
      <c r="AT104" s="111"/>
    </row>
    <row r="105" spans="1:46" ht="57" customHeight="1">
      <c r="A105" s="324" t="s">
        <v>344</v>
      </c>
      <c r="B105" s="1147" t="s">
        <v>144</v>
      </c>
      <c r="C105" s="127" t="s">
        <v>1230</v>
      </c>
      <c r="D105" s="1153" t="s">
        <v>50</v>
      </c>
      <c r="E105" s="14" t="str">
        <f>'XM.GUI MAIL'!E105</f>
        <v>30~50 
(40)</v>
      </c>
      <c r="F105" s="1660"/>
      <c r="G105" s="122"/>
      <c r="H105" s="1866"/>
      <c r="I105" s="1867"/>
      <c r="J105" s="1867"/>
      <c r="K105" s="1867"/>
      <c r="L105" s="1868"/>
      <c r="M105" s="327"/>
      <c r="N105" s="1866"/>
      <c r="O105" s="1867"/>
      <c r="P105" s="1867"/>
      <c r="Q105" s="1867"/>
      <c r="R105" s="1868"/>
      <c r="T105" s="1866"/>
      <c r="U105" s="1867"/>
      <c r="V105" s="1867"/>
      <c r="W105" s="1867"/>
      <c r="X105" s="1868"/>
      <c r="Z105" s="1866"/>
      <c r="AA105" s="1867"/>
      <c r="AB105" s="1867"/>
      <c r="AC105" s="1867"/>
      <c r="AD105" s="1868"/>
      <c r="AF105" s="1866"/>
      <c r="AG105" s="1867"/>
      <c r="AH105" s="1867"/>
      <c r="AI105" s="1867"/>
      <c r="AJ105" s="1868"/>
      <c r="AL105" s="1866"/>
      <c r="AM105" s="1867"/>
      <c r="AN105" s="1867"/>
      <c r="AO105" s="1867"/>
      <c r="AP105" s="1868"/>
    </row>
    <row r="106" spans="1:46" ht="57" customHeight="1">
      <c r="A106" s="54" t="s">
        <v>345</v>
      </c>
      <c r="B106" s="1147" t="s">
        <v>144</v>
      </c>
      <c r="C106" s="127" t="s">
        <v>1231</v>
      </c>
      <c r="D106" s="1153" t="s">
        <v>50</v>
      </c>
      <c r="E106" s="14" t="str">
        <f>'XM.GUI MAIL'!E106</f>
        <v>160~220
(180)</v>
      </c>
      <c r="F106" s="1660"/>
      <c r="G106" s="122"/>
      <c r="H106" s="1866"/>
      <c r="I106" s="1867"/>
      <c r="J106" s="1867"/>
      <c r="K106" s="1867"/>
      <c r="L106" s="1868"/>
      <c r="M106" s="1531"/>
      <c r="N106" s="1866"/>
      <c r="O106" s="1867"/>
      <c r="P106" s="1867"/>
      <c r="Q106" s="1867"/>
      <c r="R106" s="1868"/>
      <c r="S106" s="1210"/>
      <c r="T106" s="1866"/>
      <c r="U106" s="1867"/>
      <c r="V106" s="1867"/>
      <c r="W106" s="1867"/>
      <c r="X106" s="1868"/>
      <c r="Y106" s="1531"/>
      <c r="Z106" s="1866"/>
      <c r="AA106" s="1867"/>
      <c r="AB106" s="1867"/>
      <c r="AC106" s="1867"/>
      <c r="AD106" s="1868"/>
      <c r="AE106" s="1530"/>
      <c r="AF106" s="1866"/>
      <c r="AG106" s="1867"/>
      <c r="AH106" s="1867"/>
      <c r="AI106" s="1867"/>
      <c r="AJ106" s="1868"/>
      <c r="AK106" s="1530"/>
      <c r="AL106" s="1866"/>
      <c r="AM106" s="1867"/>
      <c r="AN106" s="1867"/>
      <c r="AO106" s="1867"/>
      <c r="AP106" s="1868"/>
    </row>
    <row r="108" spans="1:46" ht="37.5" customHeight="1">
      <c r="C108" s="1692" t="str">
        <f>A2</f>
        <v>2022/12/03</v>
      </c>
    </row>
    <row r="109" spans="1:46" ht="35.25" customHeight="1">
      <c r="C109" s="1875" t="s">
        <v>357</v>
      </c>
      <c r="D109" s="1876" t="s">
        <v>137</v>
      </c>
      <c r="E109" s="1877" t="s">
        <v>1499</v>
      </c>
      <c r="H109" s="314" t="s">
        <v>241</v>
      </c>
      <c r="I109" s="314"/>
      <c r="J109" s="314"/>
      <c r="K109" s="314"/>
      <c r="L109" s="314"/>
      <c r="M109" s="106"/>
      <c r="N109" s="331" t="s">
        <v>243</v>
      </c>
      <c r="O109" s="314"/>
      <c r="P109" s="314"/>
      <c r="Q109" s="314"/>
      <c r="R109" s="315"/>
      <c r="S109" s="314"/>
      <c r="T109" s="314" t="s">
        <v>244</v>
      </c>
      <c r="U109" s="314"/>
      <c r="V109" s="314"/>
      <c r="W109" s="314"/>
      <c r="X109" s="314"/>
      <c r="Y109" s="106"/>
      <c r="Z109" s="331" t="s">
        <v>246</v>
      </c>
      <c r="AA109" s="314"/>
      <c r="AB109" s="314"/>
      <c r="AC109" s="314"/>
      <c r="AD109" s="315"/>
      <c r="AE109" s="314"/>
      <c r="AK109" s="314"/>
    </row>
    <row r="110" spans="1:46" ht="24" customHeight="1">
      <c r="C110" s="1875"/>
      <c r="D110" s="1876"/>
      <c r="E110" s="1877"/>
      <c r="H110" s="1240" t="s">
        <v>146</v>
      </c>
      <c r="I110" s="1241" t="s">
        <v>1</v>
      </c>
      <c r="J110" s="1242" t="s">
        <v>1</v>
      </c>
      <c r="K110" s="1242"/>
      <c r="L110" s="1243"/>
      <c r="M110" s="1244"/>
      <c r="N110" s="1240" t="s">
        <v>146</v>
      </c>
      <c r="O110" s="1241" t="s">
        <v>1</v>
      </c>
      <c r="P110" s="1242" t="s">
        <v>1</v>
      </c>
      <c r="Q110" s="1242"/>
      <c r="R110" s="1243"/>
      <c r="S110" s="1136"/>
      <c r="T110" s="1240" t="s">
        <v>146</v>
      </c>
      <c r="U110" s="1241" t="s">
        <v>1</v>
      </c>
      <c r="V110" s="1242" t="s">
        <v>1</v>
      </c>
      <c r="W110" s="1242"/>
      <c r="X110" s="1243"/>
      <c r="Y110" s="1244"/>
      <c r="Z110" s="1240" t="s">
        <v>146</v>
      </c>
      <c r="AA110" s="36" t="s">
        <v>1</v>
      </c>
      <c r="AB110" s="332" t="s">
        <v>1</v>
      </c>
      <c r="AC110" s="332"/>
      <c r="AD110" s="333"/>
      <c r="AE110" s="1244"/>
      <c r="AK110" s="1244"/>
    </row>
    <row r="111" spans="1:46" ht="37.5" customHeight="1">
      <c r="C111" s="1689" t="s">
        <v>212</v>
      </c>
      <c r="D111" s="240" t="s">
        <v>4</v>
      </c>
      <c r="E111" s="1656" t="str">
        <f>E84</f>
        <v>5~6g/L
(5.5± 1g/L)</v>
      </c>
      <c r="H111" s="64">
        <f>G84*1.3</f>
        <v>0</v>
      </c>
      <c r="I111" s="242">
        <f>($F$84-H111)*8000/1000</f>
        <v>44</v>
      </c>
      <c r="J111" s="1691" t="s">
        <v>8</v>
      </c>
      <c r="K111" s="357">
        <f t="shared" ref="K111:K113" si="38">IF(I111&lt;0,0,I111)</f>
        <v>44</v>
      </c>
      <c r="L111" s="364" t="s">
        <v>9</v>
      </c>
      <c r="N111" s="64">
        <f>S84*1.3</f>
        <v>0</v>
      </c>
      <c r="O111" s="242">
        <f>($F$84-N111)*8000/1000</f>
        <v>44</v>
      </c>
      <c r="P111" s="1691" t="s">
        <v>8</v>
      </c>
      <c r="Q111" s="357">
        <f t="shared" ref="Q111:Q113" si="39">IF(O111&lt;0,0,O111)</f>
        <v>44</v>
      </c>
      <c r="R111" s="364" t="s">
        <v>9</v>
      </c>
      <c r="S111" s="308" t="e">
        <f>XM.HN!#REF!</f>
        <v>#REF!</v>
      </c>
      <c r="T111" s="64">
        <f>Y84*1.3</f>
        <v>0</v>
      </c>
      <c r="U111" s="242">
        <f>($F$84-T111)*8000/1000</f>
        <v>44</v>
      </c>
      <c r="V111" s="1691" t="s">
        <v>8</v>
      </c>
      <c r="W111" s="357">
        <f t="shared" ref="W111:W113" si="40">IF(U111&lt;0,0,U111)</f>
        <v>44</v>
      </c>
      <c r="X111" s="364" t="s">
        <v>9</v>
      </c>
      <c r="Z111" s="64">
        <f>AK84*1.3</f>
        <v>0</v>
      </c>
      <c r="AA111" s="242"/>
      <c r="AB111" s="1691"/>
      <c r="AC111" s="357">
        <f t="shared" ref="AC111:AC113" si="41">IF(AA111&lt;0,0,AA111)</f>
        <v>0</v>
      </c>
      <c r="AD111" s="320" t="s">
        <v>9</v>
      </c>
    </row>
    <row r="112" spans="1:46" ht="37.5" hidden="1" customHeight="1">
      <c r="C112" s="1689"/>
      <c r="D112" s="240"/>
      <c r="E112" s="1656"/>
      <c r="H112" s="64"/>
      <c r="I112" s="242"/>
      <c r="J112" s="1691"/>
      <c r="K112" s="357"/>
      <c r="L112" s="364"/>
      <c r="N112" s="64"/>
      <c r="O112" s="242"/>
      <c r="P112" s="1691"/>
      <c r="Q112" s="357"/>
      <c r="R112" s="364"/>
      <c r="T112" s="64"/>
      <c r="U112" s="242"/>
      <c r="V112" s="1691"/>
      <c r="W112" s="357"/>
      <c r="X112" s="364"/>
      <c r="Z112" s="64"/>
      <c r="AA112" s="242"/>
      <c r="AB112" s="1691"/>
      <c r="AC112" s="357"/>
      <c r="AD112" s="320"/>
    </row>
    <row r="113" spans="3:31" ht="37.5" customHeight="1">
      <c r="C113" s="240" t="s">
        <v>211</v>
      </c>
      <c r="D113" s="240" t="s">
        <v>4</v>
      </c>
      <c r="E113" s="57" t="str">
        <f>E86</f>
        <v>120~130g/L
(125 ± 5g/L)</v>
      </c>
      <c r="H113" s="70">
        <f>G86*8</f>
        <v>0</v>
      </c>
      <c r="I113" s="242">
        <f>($F$85-H113)*8000/1000</f>
        <v>14.4</v>
      </c>
      <c r="J113" s="45" t="s">
        <v>8</v>
      </c>
      <c r="K113" s="46">
        <f t="shared" si="38"/>
        <v>14.4</v>
      </c>
      <c r="L113" s="249" t="s">
        <v>9</v>
      </c>
      <c r="N113" s="70">
        <f>S86*8</f>
        <v>0</v>
      </c>
      <c r="O113" s="242"/>
      <c r="P113" s="45"/>
      <c r="Q113" s="46">
        <f t="shared" si="39"/>
        <v>0</v>
      </c>
      <c r="R113" s="249" t="s">
        <v>9</v>
      </c>
      <c r="T113" s="70">
        <f>Y86*8</f>
        <v>0</v>
      </c>
      <c r="U113" s="242"/>
      <c r="V113" s="45"/>
      <c r="W113" s="46">
        <f t="shared" si="40"/>
        <v>0</v>
      </c>
      <c r="X113" s="249" t="s">
        <v>9</v>
      </c>
      <c r="Z113" s="70">
        <f>AK86*8</f>
        <v>0</v>
      </c>
      <c r="AA113" s="242"/>
      <c r="AB113" s="45"/>
      <c r="AC113" s="46">
        <f t="shared" si="41"/>
        <v>0</v>
      </c>
      <c r="AD113" s="47" t="s">
        <v>9</v>
      </c>
    </row>
    <row r="114" spans="3:31" ht="37.5" hidden="1" customHeight="1">
      <c r="C114" s="240"/>
      <c r="D114" s="240"/>
      <c r="E114" s="57"/>
      <c r="H114" s="70"/>
      <c r="I114" s="1690"/>
      <c r="J114" s="45"/>
      <c r="K114" s="46"/>
      <c r="L114" s="249"/>
      <c r="N114" s="70"/>
      <c r="O114" s="1690"/>
      <c r="P114" s="45"/>
      <c r="Q114" s="46"/>
      <c r="R114" s="249"/>
      <c r="T114" s="70"/>
      <c r="U114" s="1690"/>
      <c r="V114" s="45"/>
      <c r="W114" s="46"/>
      <c r="X114" s="249"/>
      <c r="Z114" s="70"/>
      <c r="AA114" s="1690"/>
      <c r="AB114" s="45"/>
      <c r="AC114" s="46"/>
      <c r="AD114" s="47"/>
    </row>
    <row r="115" spans="3:31" ht="37.5" customHeight="1">
      <c r="C115" s="240" t="s">
        <v>214</v>
      </c>
      <c r="D115" s="240" t="s">
        <v>132</v>
      </c>
      <c r="E115" s="1255" t="str">
        <f>E88</f>
        <v>3.0-4.5(4.3±0.2)</v>
      </c>
      <c r="H115" s="70">
        <f>XM.HN!B57</f>
        <v>0</v>
      </c>
      <c r="I115" s="243">
        <f>($F$86-H115)*8000/1000</f>
        <v>1000</v>
      </c>
      <c r="J115" s="39"/>
      <c r="K115" s="40"/>
      <c r="L115" s="42"/>
      <c r="N115" s="70">
        <f>XM.HN!D57</f>
        <v>0</v>
      </c>
      <c r="O115" s="243"/>
      <c r="P115" s="39"/>
      <c r="Q115" s="40"/>
      <c r="R115" s="42"/>
      <c r="T115" s="70">
        <f>XM.HN!E57</f>
        <v>0</v>
      </c>
      <c r="U115" s="243"/>
      <c r="V115" s="39"/>
      <c r="W115" s="40"/>
      <c r="X115" s="42"/>
      <c r="Z115" s="70">
        <f>XM.HN!G57</f>
        <v>0</v>
      </c>
      <c r="AA115" s="243"/>
      <c r="AB115" s="39"/>
      <c r="AC115" s="40"/>
      <c r="AD115" s="1158"/>
    </row>
    <row r="116" spans="3:31" ht="12.75" customHeight="1"/>
    <row r="117" spans="3:31" ht="57" customHeight="1">
      <c r="C117" s="1682" t="s">
        <v>64</v>
      </c>
      <c r="D117" s="1682" t="s">
        <v>66</v>
      </c>
      <c r="E117" s="1681" t="s">
        <v>67</v>
      </c>
      <c r="H117" s="329" t="s">
        <v>48</v>
      </c>
      <c r="I117" s="330"/>
      <c r="J117" s="330"/>
      <c r="K117" s="329" t="s">
        <v>65</v>
      </c>
      <c r="L117" s="346"/>
      <c r="M117" s="327"/>
      <c r="N117" s="329" t="s">
        <v>48</v>
      </c>
      <c r="O117" s="330"/>
      <c r="P117" s="330"/>
      <c r="Q117" s="329" t="s">
        <v>65</v>
      </c>
      <c r="R117" s="346"/>
      <c r="S117" s="113"/>
      <c r="T117" s="329" t="s">
        <v>48</v>
      </c>
      <c r="U117" s="330"/>
      <c r="V117" s="330"/>
      <c r="W117" s="329" t="s">
        <v>65</v>
      </c>
      <c r="X117" s="346"/>
      <c r="Y117" s="114"/>
      <c r="Z117" s="329" t="s">
        <v>48</v>
      </c>
      <c r="AA117" s="330"/>
      <c r="AB117" s="330"/>
      <c r="AC117" s="329" t="s">
        <v>65</v>
      </c>
      <c r="AD117" s="346"/>
      <c r="AE117" s="114"/>
    </row>
    <row r="118" spans="3:31" ht="39.75" customHeight="1">
      <c r="C118" s="1179" t="s">
        <v>128</v>
      </c>
      <c r="D118" s="1180" t="s">
        <v>113</v>
      </c>
      <c r="E118" s="1620" t="str">
        <f>E101</f>
        <v>24~28ºC
(26±2OC)</v>
      </c>
      <c r="H118" s="1866">
        <f>H101</f>
        <v>0</v>
      </c>
      <c r="I118" s="1867"/>
      <c r="J118" s="1868"/>
      <c r="K118" s="1866">
        <f>K101</f>
        <v>0</v>
      </c>
      <c r="L118" s="1867"/>
      <c r="N118" s="1866">
        <f>T101</f>
        <v>0</v>
      </c>
      <c r="O118" s="1867"/>
      <c r="P118" s="1868"/>
      <c r="Q118" s="1866">
        <f>W101</f>
        <v>0</v>
      </c>
      <c r="R118" s="1867"/>
      <c r="T118" s="1866">
        <f>Z101</f>
        <v>0</v>
      </c>
      <c r="U118" s="1867"/>
      <c r="V118" s="1868"/>
      <c r="W118" s="1866">
        <f>AC101</f>
        <v>0</v>
      </c>
      <c r="X118" s="1867"/>
      <c r="Z118" s="1866">
        <f>AL101</f>
        <v>0</v>
      </c>
      <c r="AA118" s="1867"/>
      <c r="AB118" s="1868"/>
      <c r="AC118" s="1869">
        <f>AO101</f>
        <v>0</v>
      </c>
      <c r="AD118" s="1869"/>
    </row>
    <row r="119" spans="3:31" ht="39.75" customHeight="1">
      <c r="C119" s="1179" t="s">
        <v>126</v>
      </c>
      <c r="D119" s="1180" t="s">
        <v>113</v>
      </c>
      <c r="E119" s="1620" t="str">
        <f>E102</f>
        <v>40~60ºC
(50±10OC)</v>
      </c>
      <c r="H119" s="1866">
        <f t="shared" ref="H119:H120" si="42">H102</f>
        <v>0</v>
      </c>
      <c r="I119" s="1867"/>
      <c r="J119" s="1868"/>
      <c r="K119" s="1866">
        <f t="shared" ref="K119:K120" si="43">K102</f>
        <v>0</v>
      </c>
      <c r="L119" s="1867"/>
      <c r="N119" s="1866">
        <f t="shared" ref="N119:N120" si="44">T102</f>
        <v>0</v>
      </c>
      <c r="O119" s="1867"/>
      <c r="P119" s="1868"/>
      <c r="Q119" s="1866">
        <f t="shared" ref="Q119:Q120" si="45">W102</f>
        <v>0</v>
      </c>
      <c r="R119" s="1867"/>
      <c r="T119" s="1866">
        <f t="shared" ref="T119:T120" si="46">Z102</f>
        <v>0</v>
      </c>
      <c r="U119" s="1867"/>
      <c r="V119" s="1868"/>
      <c r="W119" s="1866">
        <f t="shared" ref="W119:W120" si="47">AC102</f>
        <v>0</v>
      </c>
      <c r="X119" s="1867"/>
      <c r="Z119" s="1866">
        <f t="shared" ref="Z119:Z120" si="48">AL102</f>
        <v>0</v>
      </c>
      <c r="AA119" s="1867"/>
      <c r="AB119" s="1868"/>
      <c r="AC119" s="1869">
        <f t="shared" ref="AC119:AC120" si="49">AO102</f>
        <v>0</v>
      </c>
      <c r="AD119" s="1869"/>
    </row>
    <row r="120" spans="3:31" ht="39.75" customHeight="1">
      <c r="C120" s="1179" t="s">
        <v>133</v>
      </c>
      <c r="D120" s="1180" t="s">
        <v>113</v>
      </c>
      <c r="E120" s="1620" t="str">
        <f>E103</f>
        <v>20~30ºC
(25±5OC)</v>
      </c>
      <c r="H120" s="1866">
        <f t="shared" si="42"/>
        <v>0</v>
      </c>
      <c r="I120" s="1867"/>
      <c r="J120" s="1868"/>
      <c r="K120" s="1869">
        <f t="shared" si="43"/>
        <v>0</v>
      </c>
      <c r="L120" s="1869"/>
      <c r="N120" s="1866">
        <f t="shared" si="44"/>
        <v>0</v>
      </c>
      <c r="O120" s="1867"/>
      <c r="P120" s="1868"/>
      <c r="Q120" s="1869">
        <f t="shared" si="45"/>
        <v>0</v>
      </c>
      <c r="R120" s="1869"/>
      <c r="T120" s="1866">
        <f t="shared" si="46"/>
        <v>0</v>
      </c>
      <c r="U120" s="1867"/>
      <c r="V120" s="1868"/>
      <c r="W120" s="1869">
        <f t="shared" si="47"/>
        <v>0</v>
      </c>
      <c r="X120" s="1869"/>
      <c r="Z120" s="1866">
        <f t="shared" si="48"/>
        <v>0</v>
      </c>
      <c r="AA120" s="1867"/>
      <c r="AB120" s="1868"/>
      <c r="AC120" s="1869">
        <f t="shared" si="49"/>
        <v>0</v>
      </c>
      <c r="AD120" s="1869"/>
    </row>
  </sheetData>
  <sheetProtection formatCells="0" formatColumns="0" formatRows="0" insertColumns="0" insertRows="0" insertHyperlinks="0" deleteColumns="0" deleteRows="0" selectLockedCells="1" sort="0" autoFilter="0" pivotTables="0"/>
  <mergeCells count="392">
    <mergeCell ref="C109:C110"/>
    <mergeCell ref="D109:D110"/>
    <mergeCell ref="E109:E110"/>
    <mergeCell ref="T118:V118"/>
    <mergeCell ref="W118:X118"/>
    <mergeCell ref="T119:V119"/>
    <mergeCell ref="W119:X119"/>
    <mergeCell ref="T120:V120"/>
    <mergeCell ref="W120:X120"/>
    <mergeCell ref="Z118:AB118"/>
    <mergeCell ref="AC118:AD118"/>
    <mergeCell ref="Z119:AB119"/>
    <mergeCell ref="AC119:AD119"/>
    <mergeCell ref="Z120:AB120"/>
    <mergeCell ref="AC120:AD120"/>
    <mergeCell ref="H118:J118"/>
    <mergeCell ref="K118:L118"/>
    <mergeCell ref="H119:J119"/>
    <mergeCell ref="K119:L119"/>
    <mergeCell ref="H120:J120"/>
    <mergeCell ref="K120:L120"/>
    <mergeCell ref="N118:P118"/>
    <mergeCell ref="Q118:R118"/>
    <mergeCell ref="N119:P119"/>
    <mergeCell ref="Q119:R119"/>
    <mergeCell ref="N120:P120"/>
    <mergeCell ref="Q120:R120"/>
    <mergeCell ref="AI100:AK100"/>
    <mergeCell ref="AL100:AN100"/>
    <mergeCell ref="AO100:AP100"/>
    <mergeCell ref="H100:J100"/>
    <mergeCell ref="K100:M100"/>
    <mergeCell ref="N100:P100"/>
    <mergeCell ref="Q100:S100"/>
    <mergeCell ref="T100:V100"/>
    <mergeCell ref="W100:Y100"/>
    <mergeCell ref="Z100:AB100"/>
    <mergeCell ref="AC100:AE100"/>
    <mergeCell ref="AF100:AH100"/>
    <mergeCell ref="T103:V103"/>
    <mergeCell ref="W103:X103"/>
    <mergeCell ref="Z103:AB103"/>
    <mergeCell ref="AC103:AD103"/>
    <mergeCell ref="AL103:AN103"/>
    <mergeCell ref="AO103:AP103"/>
    <mergeCell ref="H101:J101"/>
    <mergeCell ref="K101:L101"/>
    <mergeCell ref="T101:V101"/>
    <mergeCell ref="W101:X101"/>
    <mergeCell ref="Z101:AB101"/>
    <mergeCell ref="AC101:AD101"/>
    <mergeCell ref="AL101:AN101"/>
    <mergeCell ref="AO101:AP101"/>
    <mergeCell ref="H102:J102"/>
    <mergeCell ref="K102:L102"/>
    <mergeCell ref="T102:V102"/>
    <mergeCell ref="W102:X102"/>
    <mergeCell ref="Z102:AB102"/>
    <mergeCell ref="AC102:AD102"/>
    <mergeCell ref="AL102:AN102"/>
    <mergeCell ref="AO102:AP102"/>
    <mergeCell ref="N28:P28"/>
    <mergeCell ref="N29:P29"/>
    <mergeCell ref="Q28:R28"/>
    <mergeCell ref="H106:L106"/>
    <mergeCell ref="N106:R106"/>
    <mergeCell ref="N91:P91"/>
    <mergeCell ref="Q91:R91"/>
    <mergeCell ref="H54:J54"/>
    <mergeCell ref="N54:P54"/>
    <mergeCell ref="K59:L59"/>
    <mergeCell ref="Q59:R59"/>
    <mergeCell ref="H56:J56"/>
    <mergeCell ref="N56:P56"/>
    <mergeCell ref="N94:P94"/>
    <mergeCell ref="K29:M29"/>
    <mergeCell ref="Q29:S29"/>
    <mergeCell ref="H55:J55"/>
    <mergeCell ref="H103:J103"/>
    <mergeCell ref="K103:L103"/>
    <mergeCell ref="H91:J91"/>
    <mergeCell ref="K91:L91"/>
    <mergeCell ref="K60:L60"/>
    <mergeCell ref="Q60:R60"/>
    <mergeCell ref="H53:J53"/>
    <mergeCell ref="T106:X106"/>
    <mergeCell ref="Z106:AD106"/>
    <mergeCell ref="H105:L105"/>
    <mergeCell ref="N105:R105"/>
    <mergeCell ref="T105:X105"/>
    <mergeCell ref="Z105:AD105"/>
    <mergeCell ref="H92:J92"/>
    <mergeCell ref="K92:L92"/>
    <mergeCell ref="N92:P92"/>
    <mergeCell ref="Q92:R92"/>
    <mergeCell ref="T92:V92"/>
    <mergeCell ref="W92:X92"/>
    <mergeCell ref="Z92:AB92"/>
    <mergeCell ref="H93:J93"/>
    <mergeCell ref="K93:L93"/>
    <mergeCell ref="N93:P93"/>
    <mergeCell ref="Q93:R93"/>
    <mergeCell ref="T93:V93"/>
    <mergeCell ref="K94:L94"/>
    <mergeCell ref="Q94:R94"/>
    <mergeCell ref="Z94:AB94"/>
    <mergeCell ref="H98:J98"/>
    <mergeCell ref="H97:J97"/>
    <mergeCell ref="H94:J94"/>
    <mergeCell ref="AL106:AP106"/>
    <mergeCell ref="AF31:AJ31"/>
    <mergeCell ref="AL31:AP31"/>
    <mergeCell ref="AL32:AP32"/>
    <mergeCell ref="AL105:AP105"/>
    <mergeCell ref="AF106:AJ106"/>
    <mergeCell ref="AF105:AJ105"/>
    <mergeCell ref="AL53:AN53"/>
    <mergeCell ref="AO53:AP53"/>
    <mergeCell ref="AL54:AN54"/>
    <mergeCell ref="AO54:AP54"/>
    <mergeCell ref="AL55:AN55"/>
    <mergeCell ref="AO55:AP55"/>
    <mergeCell ref="AL56:AN56"/>
    <mergeCell ref="AF53:AH53"/>
    <mergeCell ref="AO56:AP56"/>
    <mergeCell ref="AI57:AJ57"/>
    <mergeCell ref="AL57:AN57"/>
    <mergeCell ref="AO57:AP57"/>
    <mergeCell ref="AF58:AH58"/>
    <mergeCell ref="AO59:AP59"/>
    <mergeCell ref="AI58:AJ58"/>
    <mergeCell ref="AF91:AH91"/>
    <mergeCell ref="AF93:AH93"/>
    <mergeCell ref="F66:F67"/>
    <mergeCell ref="F4:F5"/>
    <mergeCell ref="AL63:AP63"/>
    <mergeCell ref="F35:F36"/>
    <mergeCell ref="H31:L31"/>
    <mergeCell ref="N31:R31"/>
    <mergeCell ref="T31:X31"/>
    <mergeCell ref="Z31:AD31"/>
    <mergeCell ref="H63:L63"/>
    <mergeCell ref="N63:R63"/>
    <mergeCell ref="Z63:AD63"/>
    <mergeCell ref="AF63:AJ63"/>
    <mergeCell ref="N62:R62"/>
    <mergeCell ref="T62:X62"/>
    <mergeCell ref="H32:L32"/>
    <mergeCell ref="N32:R32"/>
    <mergeCell ref="T32:X32"/>
    <mergeCell ref="Z32:AD32"/>
    <mergeCell ref="AF32:AJ32"/>
    <mergeCell ref="H62:L62"/>
    <mergeCell ref="AL22:AN22"/>
    <mergeCell ref="AL28:AN28"/>
    <mergeCell ref="H28:J28"/>
    <mergeCell ref="K28:L28"/>
    <mergeCell ref="AI25:AJ25"/>
    <mergeCell ref="AO22:AP22"/>
    <mergeCell ref="H23:J23"/>
    <mergeCell ref="AL23:AN23"/>
    <mergeCell ref="AO23:AP23"/>
    <mergeCell ref="W22:X22"/>
    <mergeCell ref="Z22:AB22"/>
    <mergeCell ref="AC22:AD22"/>
    <mergeCell ref="AF22:AH22"/>
    <mergeCell ref="AI22:AJ22"/>
    <mergeCell ref="H22:J22"/>
    <mergeCell ref="K22:L22"/>
    <mergeCell ref="N22:P22"/>
    <mergeCell ref="Q22:R22"/>
    <mergeCell ref="T22:V22"/>
    <mergeCell ref="K23:L23"/>
    <mergeCell ref="N23:P23"/>
    <mergeCell ref="Q23:R23"/>
    <mergeCell ref="T23:V23"/>
    <mergeCell ref="W23:X23"/>
    <mergeCell ref="Z23:AB23"/>
    <mergeCell ref="AC23:AD23"/>
    <mergeCell ref="AF23:AH23"/>
    <mergeCell ref="AI23:AJ23"/>
    <mergeCell ref="T26:V26"/>
    <mergeCell ref="AL24:AN24"/>
    <mergeCell ref="AO24:AP24"/>
    <mergeCell ref="H25:J25"/>
    <mergeCell ref="N25:P25"/>
    <mergeCell ref="T25:V25"/>
    <mergeCell ref="Z25:AB25"/>
    <mergeCell ref="AF25:AH25"/>
    <mergeCell ref="AL25:AN25"/>
    <mergeCell ref="AO25:AP25"/>
    <mergeCell ref="W24:X24"/>
    <mergeCell ref="Z24:AB24"/>
    <mergeCell ref="AC24:AD24"/>
    <mergeCell ref="AF24:AH24"/>
    <mergeCell ref="AI24:AJ24"/>
    <mergeCell ref="H24:J24"/>
    <mergeCell ref="K24:L24"/>
    <mergeCell ref="N24:P24"/>
    <mergeCell ref="Q24:R24"/>
    <mergeCell ref="T24:V24"/>
    <mergeCell ref="K25:L25"/>
    <mergeCell ref="Q25:R25"/>
    <mergeCell ref="W25:X25"/>
    <mergeCell ref="AC25:AD25"/>
    <mergeCell ref="AI56:AK56"/>
    <mergeCell ref="AL26:AN26"/>
    <mergeCell ref="AO26:AP26"/>
    <mergeCell ref="H27:J27"/>
    <mergeCell ref="K27:L27"/>
    <mergeCell ref="N27:P27"/>
    <mergeCell ref="Q27:R27"/>
    <mergeCell ref="T27:V27"/>
    <mergeCell ref="W27:X27"/>
    <mergeCell ref="Z27:AB27"/>
    <mergeCell ref="AC27:AD27"/>
    <mergeCell ref="AF27:AH27"/>
    <mergeCell ref="AI27:AJ27"/>
    <mergeCell ref="AL27:AN27"/>
    <mergeCell ref="AO27:AP27"/>
    <mergeCell ref="W26:X26"/>
    <mergeCell ref="Z26:AB26"/>
    <mergeCell ref="AC26:AD26"/>
    <mergeCell ref="AF26:AH26"/>
    <mergeCell ref="AI26:AJ26"/>
    <mergeCell ref="H26:J26"/>
    <mergeCell ref="K26:L26"/>
    <mergeCell ref="N26:P26"/>
    <mergeCell ref="Q26:R26"/>
    <mergeCell ref="AL29:AN29"/>
    <mergeCell ref="AO29:AP29"/>
    <mergeCell ref="W28:X28"/>
    <mergeCell ref="Z28:AB28"/>
    <mergeCell ref="AC28:AD28"/>
    <mergeCell ref="AF28:AH28"/>
    <mergeCell ref="AI28:AJ28"/>
    <mergeCell ref="T28:V28"/>
    <mergeCell ref="AF29:AH29"/>
    <mergeCell ref="AC29:AE29"/>
    <mergeCell ref="AI29:AK29"/>
    <mergeCell ref="AO28:AP28"/>
    <mergeCell ref="N53:P53"/>
    <mergeCell ref="H29:J29"/>
    <mergeCell ref="T29:V29"/>
    <mergeCell ref="Z29:AB29"/>
    <mergeCell ref="T53:V53"/>
    <mergeCell ref="Z53:AB53"/>
    <mergeCell ref="W29:Y29"/>
    <mergeCell ref="N55:P55"/>
    <mergeCell ref="T55:V55"/>
    <mergeCell ref="Z54:AB54"/>
    <mergeCell ref="T54:V54"/>
    <mergeCell ref="Z55:AB55"/>
    <mergeCell ref="H57:J57"/>
    <mergeCell ref="K57:L57"/>
    <mergeCell ref="N57:P57"/>
    <mergeCell ref="Q57:R57"/>
    <mergeCell ref="T57:V57"/>
    <mergeCell ref="H58:J58"/>
    <mergeCell ref="K58:L58"/>
    <mergeCell ref="N58:P58"/>
    <mergeCell ref="Q58:R58"/>
    <mergeCell ref="T56:V56"/>
    <mergeCell ref="AI94:AJ94"/>
    <mergeCell ref="AO93:AP93"/>
    <mergeCell ref="W94:X94"/>
    <mergeCell ref="AC94:AD94"/>
    <mergeCell ref="AL93:AN93"/>
    <mergeCell ref="AC91:AD91"/>
    <mergeCell ref="Z59:AB59"/>
    <mergeCell ref="Z58:AB58"/>
    <mergeCell ref="W59:X59"/>
    <mergeCell ref="W91:X91"/>
    <mergeCell ref="AO92:AP92"/>
    <mergeCell ref="AO60:AP60"/>
    <mergeCell ref="AO91:AP91"/>
    <mergeCell ref="T63:X63"/>
    <mergeCell ref="T59:V59"/>
    <mergeCell ref="AF94:AH94"/>
    <mergeCell ref="W93:X93"/>
    <mergeCell ref="Z93:AB93"/>
    <mergeCell ref="AC93:AD93"/>
    <mergeCell ref="AI59:AJ59"/>
    <mergeCell ref="AC59:AD59"/>
    <mergeCell ref="AL58:AN58"/>
    <mergeCell ref="AC56:AE56"/>
    <mergeCell ref="H59:J59"/>
    <mergeCell ref="AI93:AJ93"/>
    <mergeCell ref="T58:V58"/>
    <mergeCell ref="AL94:AN94"/>
    <mergeCell ref="T94:V94"/>
    <mergeCell ref="W58:X58"/>
    <mergeCell ref="AF56:AH56"/>
    <mergeCell ref="AC58:AD58"/>
    <mergeCell ref="AI91:AJ91"/>
    <mergeCell ref="AL91:AN91"/>
    <mergeCell ref="AC60:AD60"/>
    <mergeCell ref="AI60:AJ60"/>
    <mergeCell ref="W60:X60"/>
    <mergeCell ref="Z62:AD62"/>
    <mergeCell ref="AF62:AJ62"/>
    <mergeCell ref="AL62:AP62"/>
    <mergeCell ref="AC92:AD92"/>
    <mergeCell ref="AF92:AH92"/>
    <mergeCell ref="AI92:AJ92"/>
    <mergeCell ref="AL92:AN92"/>
    <mergeCell ref="AF59:AH59"/>
    <mergeCell ref="AL59:AN59"/>
    <mergeCell ref="W57:X57"/>
    <mergeCell ref="Z56:AB56"/>
    <mergeCell ref="Z57:AB57"/>
    <mergeCell ref="Q95:R95"/>
    <mergeCell ref="AO94:AP94"/>
    <mergeCell ref="AC57:AD57"/>
    <mergeCell ref="T97:V97"/>
    <mergeCell ref="AF57:AH57"/>
    <mergeCell ref="Z91:AB91"/>
    <mergeCell ref="T91:V91"/>
    <mergeCell ref="AO95:AP95"/>
    <mergeCell ref="W95:X95"/>
    <mergeCell ref="Z95:AB95"/>
    <mergeCell ref="AC95:AD95"/>
    <mergeCell ref="AF95:AH95"/>
    <mergeCell ref="AI95:AJ95"/>
    <mergeCell ref="AO58:AP58"/>
    <mergeCell ref="AI96:AJ96"/>
    <mergeCell ref="H96:J96"/>
    <mergeCell ref="N96:P96"/>
    <mergeCell ref="T96:V96"/>
    <mergeCell ref="W96:X96"/>
    <mergeCell ref="Z96:AB96"/>
    <mergeCell ref="AC96:AD96"/>
    <mergeCell ref="AF96:AH96"/>
    <mergeCell ref="AL96:AN96"/>
    <mergeCell ref="AO96:AP96"/>
    <mergeCell ref="AI98:AJ98"/>
    <mergeCell ref="AL98:AN98"/>
    <mergeCell ref="AO98:AP98"/>
    <mergeCell ref="W97:X97"/>
    <mergeCell ref="Z97:AB97"/>
    <mergeCell ref="AC97:AD97"/>
    <mergeCell ref="AF97:AH97"/>
    <mergeCell ref="AI97:AJ97"/>
    <mergeCell ref="K97:L97"/>
    <mergeCell ref="AF55:AH55"/>
    <mergeCell ref="AL97:AN97"/>
    <mergeCell ref="K53:M53"/>
    <mergeCell ref="Q53:S53"/>
    <mergeCell ref="W53:Y53"/>
    <mergeCell ref="AC53:AE53"/>
    <mergeCell ref="AI53:AK53"/>
    <mergeCell ref="K54:M54"/>
    <mergeCell ref="Q54:S54"/>
    <mergeCell ref="W54:Y54"/>
    <mergeCell ref="AC54:AE54"/>
    <mergeCell ref="AI54:AK54"/>
    <mergeCell ref="AF54:AH54"/>
    <mergeCell ref="K55:M55"/>
    <mergeCell ref="Q55:S55"/>
    <mergeCell ref="W55:Y55"/>
    <mergeCell ref="AC55:AE55"/>
    <mergeCell ref="AI55:AK55"/>
    <mergeCell ref="K56:M56"/>
    <mergeCell ref="K95:L95"/>
    <mergeCell ref="W56:Y56"/>
    <mergeCell ref="N59:P59"/>
    <mergeCell ref="T95:V95"/>
    <mergeCell ref="AL95:AN95"/>
    <mergeCell ref="H99:J99"/>
    <mergeCell ref="K99:L99"/>
    <mergeCell ref="T99:V99"/>
    <mergeCell ref="W99:X99"/>
    <mergeCell ref="Z99:AB99"/>
    <mergeCell ref="AC99:AD99"/>
    <mergeCell ref="AL99:AN99"/>
    <mergeCell ref="AO99:AP99"/>
    <mergeCell ref="Q56:S56"/>
    <mergeCell ref="N97:P97"/>
    <mergeCell ref="N95:P95"/>
    <mergeCell ref="K96:L96"/>
    <mergeCell ref="Q97:R97"/>
    <mergeCell ref="Q96:R96"/>
    <mergeCell ref="H95:J95"/>
    <mergeCell ref="AO97:AP97"/>
    <mergeCell ref="K98:L98"/>
    <mergeCell ref="N98:P98"/>
    <mergeCell ref="Q98:R98"/>
    <mergeCell ref="T98:V98"/>
    <mergeCell ref="W98:X98"/>
    <mergeCell ref="Z98:AB98"/>
    <mergeCell ref="AC98:AD98"/>
    <mergeCell ref="AF98:AH98"/>
  </mergeCells>
  <phoneticPr fontId="6" type="noConversion"/>
  <conditionalFormatting sqref="AL6:AL7 AF6:AF7 Z6:Z7 T6:T7 N6:N7 H6:H7">
    <cfRule type="expression" dxfId="2388" priority="6280" stopIfTrue="1">
      <formula>H6&gt;35</formula>
    </cfRule>
    <cfRule type="expression" dxfId="2387" priority="6281" stopIfTrue="1">
      <formula>H6&lt;25</formula>
    </cfRule>
  </conditionalFormatting>
  <conditionalFormatting sqref="AL8:AL9 H8:H9 N8:N9 T8:T9 Z8:Z9 AF8:AF9">
    <cfRule type="expression" dxfId="2386" priority="6276" stopIfTrue="1">
      <formula>H8&gt;80</formula>
    </cfRule>
    <cfRule type="expression" dxfId="2385" priority="6277" stopIfTrue="1">
      <formula>H8&lt;60</formula>
    </cfRule>
  </conditionalFormatting>
  <conditionalFormatting sqref="AL10 AF10 Z10 T10 N10 H10">
    <cfRule type="expression" dxfId="2384" priority="6272">
      <formula>H10&lt;130</formula>
    </cfRule>
    <cfRule type="expression" dxfId="2383" priority="6273">
      <formula>H10&gt;150</formula>
    </cfRule>
  </conditionalFormatting>
  <conditionalFormatting sqref="H76:H77 N76:N77 T76:T77 Z76:Z77 AF76:AF77 AL76:AL77">
    <cfRule type="expression" dxfId="2382" priority="6264">
      <formula>H76&lt;40%</formula>
    </cfRule>
    <cfRule type="expression" dxfId="2381" priority="6265">
      <formula>H76&gt;50%</formula>
    </cfRule>
  </conditionalFormatting>
  <conditionalFormatting sqref="AL15 AF15 Z15 T15 N15 H15 H46 N46 T46 Z46 AF46 AL46">
    <cfRule type="expression" dxfId="2380" priority="6262">
      <formula>H15&lt;15%</formula>
    </cfRule>
    <cfRule type="expression" dxfId="2379" priority="6263">
      <formula>H15&gt;30%</formula>
    </cfRule>
  </conditionalFormatting>
  <conditionalFormatting sqref="AL17 AF17 Z17 T17 N17 H17 Z79 T79 N79 AL79 H79 AF79">
    <cfRule type="expression" dxfId="2378" priority="6260">
      <formula>H17&lt;0.5%</formula>
    </cfRule>
    <cfRule type="expression" dxfId="2377" priority="6261">
      <formula>H17&gt;1.5%</formula>
    </cfRule>
  </conditionalFormatting>
  <conditionalFormatting sqref="H82 N82 T82 Z82 AF82 AL82">
    <cfRule type="expression" dxfId="2376" priority="6136">
      <formula>H82&lt;8</formula>
    </cfRule>
    <cfRule type="expression" dxfId="2375" priority="6137">
      <formula>H82&gt;16</formula>
    </cfRule>
  </conditionalFormatting>
  <conditionalFormatting sqref="H84 Z84 T84 AL84">
    <cfRule type="expression" dxfId="2374" priority="4916" stopIfTrue="1">
      <formula>H84&gt;6</formula>
    </cfRule>
    <cfRule type="expression" dxfId="2373" priority="4917" stopIfTrue="1">
      <formula>H84&lt;5</formula>
    </cfRule>
  </conditionalFormatting>
  <conditionalFormatting sqref="H85 Z85 T85 AL85">
    <cfRule type="expression" dxfId="2372" priority="4914" stopIfTrue="1">
      <formula>H85&gt;1.9</formula>
    </cfRule>
    <cfRule type="expression" dxfId="2371" priority="4915" stopIfTrue="1">
      <formula>H85&lt;1.7</formula>
    </cfRule>
  </conditionalFormatting>
  <conditionalFormatting sqref="H86 Z86 T86 AL86">
    <cfRule type="expression" dxfId="2370" priority="4912" stopIfTrue="1">
      <formula>H86&gt;130</formula>
    </cfRule>
    <cfRule type="expression" dxfId="2369" priority="4913" stopIfTrue="1">
      <formula>H86&lt;120</formula>
    </cfRule>
  </conditionalFormatting>
  <conditionalFormatting sqref="H87 Z87 T87 AL87">
    <cfRule type="expression" dxfId="2368" priority="4910" stopIfTrue="1">
      <formula>H87&gt;135</formula>
    </cfRule>
    <cfRule type="expression" dxfId="2367" priority="4911" stopIfTrue="1">
      <formula>H87&lt;125</formula>
    </cfRule>
  </conditionalFormatting>
  <conditionalFormatting sqref="H88 Z88 T88 AL88">
    <cfRule type="expression" dxfId="2366" priority="4908" stopIfTrue="1">
      <formula>H88&gt;4.5</formula>
    </cfRule>
    <cfRule type="expression" dxfId="2365" priority="4909" stopIfTrue="1">
      <formula>H88&lt;3</formula>
    </cfRule>
  </conditionalFormatting>
  <conditionalFormatting sqref="AL13 H13 N13 T13 Z13 AF13">
    <cfRule type="expression" dxfId="2364" priority="3281">
      <formula>H13&lt;1.6</formula>
    </cfRule>
    <cfRule type="expression" dxfId="2363" priority="3282">
      <formula>H13&gt;2.2</formula>
    </cfRule>
  </conditionalFormatting>
  <conditionalFormatting sqref="N42 T42 Z42 AF42 AL42 H11 H42 N11 T11 Z11 AF11 AL11">
    <cfRule type="expression" dxfId="2362" priority="3251" stopIfTrue="1">
      <formula>H11&gt;12</formula>
    </cfRule>
    <cfRule type="expression" dxfId="2361" priority="3252" stopIfTrue="1">
      <formula>H11&lt;7</formula>
    </cfRule>
  </conditionalFormatting>
  <conditionalFormatting sqref="W91:X92 T91:T92 AC91:AD92 Z91:Z92 AI91:AJ92 AF91:AF92 AO91:AP92 AL91:AL92 K91:L92 H91:H92 Q91:R92 N91:N92 K98:L98 Q98:R98 W98:X98 AC98:AD98 AI98:AJ98 AO98:AP98 W22:X23 T22:T23 AC22:AD23 Z22:Z23 AI22:AJ23 AF22:AF23 AO22:AP23 AL22:AL23 K22:L23 H22:H23 Q22:R23 N22:N23 K60 AO60 AI60 AC60 W60 Q60 K29 Q29 W29 AC29 AI29 AO29">
    <cfRule type="expression" dxfId="2360" priority="2281">
      <formula>H22&lt;65</formula>
    </cfRule>
    <cfRule type="expression" dxfId="2359" priority="2282">
      <formula>H22&gt;75</formula>
    </cfRule>
  </conditionalFormatting>
  <conditionalFormatting sqref="W26:X26 T26 AC26:AD26 Z26 AI26:AJ26 AF26 AO26:AP26 AL26 K26:L26 H26 Q26:R26 N26 W103:X103 T103 AC103:AD103 Z103 K103:L103 H103 AO103:AP103 AL103">
    <cfRule type="expression" dxfId="2358" priority="2275">
      <formula>H26&lt;20</formula>
    </cfRule>
    <cfRule type="expression" dxfId="2357" priority="2276">
      <formula>H26&gt;30</formula>
    </cfRule>
  </conditionalFormatting>
  <conditionalFormatting sqref="W24:W25 T24:T25 AC24:AC25 Z24:Z25 AI24:AI25 AF24:AF25 AO24:AO25 AL24:AL25 K24:K25 H24:H25 Q24:Q25 N24:N25">
    <cfRule type="expression" dxfId="2356" priority="2273">
      <formula>H24&lt;50</formula>
    </cfRule>
    <cfRule type="expression" dxfId="2355" priority="2274">
      <formula>H24&gt;60</formula>
    </cfRule>
  </conditionalFormatting>
  <conditionalFormatting sqref="W27 T27 AC27 Z27 AI27 AF27 AO27 AL27 K27 H27 Q27 N27 H100 K100 N100 Q100 T100 W100 Z100 AC100 AF100 AI100 AL100 AO100">
    <cfRule type="expression" dxfId="2354" priority="2271">
      <formula>H27&lt;35</formula>
    </cfRule>
    <cfRule type="expression" dxfId="2353" priority="2272">
      <formula>H27&gt;45</formula>
    </cfRule>
  </conditionalFormatting>
  <conditionalFormatting sqref="H97 K97 N97 Q97 T97 W97 Z97 AC97 AF97 AI97 AL97 AO97 W28 T28 AC28 Z28 AI28 AF28 AO28 AL28 K28 H28 Q28 N28 K59 H59 AO59 AI59 AC59 W59 Q59 N59 T59 Z59 AF59 AL59">
    <cfRule type="expression" dxfId="2352" priority="2269">
      <formula>H28&lt;55</formula>
    </cfRule>
    <cfRule type="expression" dxfId="2351" priority="2270">
      <formula>H28&gt;65</formula>
    </cfRule>
  </conditionalFormatting>
  <conditionalFormatting sqref="AL31 AF31 Z31 T31 H31 N31">
    <cfRule type="expression" dxfId="2350" priority="2123">
      <formula>H31&lt;300</formula>
    </cfRule>
    <cfRule type="expression" dxfId="2349" priority="2124">
      <formula>H31&gt;360</formula>
    </cfRule>
  </conditionalFormatting>
  <conditionalFormatting sqref="AL32 AF32 Z32 T32 H32 N32 H105 Z105 T105 N105 AF105 AL105">
    <cfRule type="expression" dxfId="2348" priority="2121">
      <formula>H32&lt;30</formula>
    </cfRule>
    <cfRule type="expression" dxfId="2347" priority="2122">
      <formula>H32&gt;50</formula>
    </cfRule>
  </conditionalFormatting>
  <conditionalFormatting sqref="W93:X94 T93:T94 AC93:AD94 Z93:Z94 AI93:AJ94 AF93:AF94 AO93:AP94 AL93:AL94 K93:L94 H93:H94 Q93:R94 N93:N94">
    <cfRule type="expression" dxfId="2346" priority="1911">
      <formula>H93&lt;60</formula>
    </cfRule>
    <cfRule type="expression" dxfId="2345" priority="1912">
      <formula>H93&gt;70</formula>
    </cfRule>
  </conditionalFormatting>
  <conditionalFormatting sqref="H12 N12 T12 Z12 AF12 AL12">
    <cfRule type="expression" dxfId="2344" priority="1711" stopIfTrue="1">
      <formula>H12&gt;18</formula>
    </cfRule>
    <cfRule type="expression" dxfId="2343" priority="1712" stopIfTrue="1">
      <formula>H12&lt;12</formula>
    </cfRule>
  </conditionalFormatting>
  <conditionalFormatting sqref="H43 T43 Z43 AF43 AL43 N43">
    <cfRule type="expression" dxfId="2342" priority="1431" stopIfTrue="1">
      <formula>H43&gt;10</formula>
    </cfRule>
    <cfRule type="expression" dxfId="2341" priority="1432" stopIfTrue="1">
      <formula>H43&lt;6</formula>
    </cfRule>
  </conditionalFormatting>
  <conditionalFormatting sqref="H70:H71 N70:N71 T70:T71 Z70:Z71 AF70:AF71 AL70:AL71 H39:H40 N39:N40 T39:T40 Z39:Z40 AF39:AF40 AL39:AL40">
    <cfRule type="expression" dxfId="2340" priority="1672" stopIfTrue="1">
      <formula>H39&lt;50</formula>
    </cfRule>
  </conditionalFormatting>
  <conditionalFormatting sqref="H70:H71 N70:N71 T70:T71 Z70:Z71 AF70:AF71 AL70:AL71 H39:H40 N39:N40 T39:T40 Z39:Z40 AF39:AF40 AL39:AL40">
    <cfRule type="expression" dxfId="2339" priority="1671" stopIfTrue="1">
      <formula>H39&gt;70</formula>
    </cfRule>
  </conditionalFormatting>
  <conditionalFormatting sqref="H16 N16 T16 Z16 AF16 AL16 H47 N47 T47 Z47 AF47 AL47">
    <cfRule type="expression" dxfId="2338" priority="6282">
      <formula>H16&lt;5%</formula>
    </cfRule>
    <cfRule type="expression" dxfId="2337" priority="6282">
      <formula>H16&gt;15%</formula>
    </cfRule>
  </conditionalFormatting>
  <conditionalFormatting sqref="K58 H58 AO58 AI58 AC58 W58 Q58 N58 T58 Z58 AF58 AL58">
    <cfRule type="expression" dxfId="2336" priority="1213">
      <formula>H58&lt;30</formula>
    </cfRule>
    <cfRule type="expression" dxfId="2335" priority="1214">
      <formula>H58&gt;38</formula>
    </cfRule>
  </conditionalFormatting>
  <conditionalFormatting sqref="H62 N62 S62:T62 AL62 Z62 AF62">
    <cfRule type="expression" dxfId="2334" priority="1215">
      <formula>H62&lt;100</formula>
    </cfRule>
    <cfRule type="expression" dxfId="2333" priority="1216">
      <formula>H62&gt;200</formula>
    </cfRule>
  </conditionalFormatting>
  <conditionalFormatting sqref="H63 N63 Z63 AF63 AL63 S63:T63">
    <cfRule type="expression" dxfId="2332" priority="6283">
      <formula>H63&lt;20</formula>
    </cfRule>
    <cfRule type="expression" dxfId="2331" priority="6283">
      <formula>H63&gt;50</formula>
    </cfRule>
  </conditionalFormatting>
  <conditionalFormatting sqref="H45 N45 T45 Z45 AF45 AL45">
    <cfRule type="expression" dxfId="2330" priority="1184">
      <formula>H45&gt;60%</formula>
    </cfRule>
  </conditionalFormatting>
  <conditionalFormatting sqref="H45 N45 T45 Z45 AF45 AL45">
    <cfRule type="expression" dxfId="2329" priority="1183">
      <formula>H45&lt;30%</formula>
    </cfRule>
  </conditionalFormatting>
  <conditionalFormatting sqref="H48 N48 T48 Z48 AF48 AL48">
    <cfRule type="expression" dxfId="2328" priority="1182">
      <formula>H48&gt;1.5%</formula>
    </cfRule>
  </conditionalFormatting>
  <conditionalFormatting sqref="H48 N48 T48 Z48 AF48 AL48">
    <cfRule type="expression" dxfId="2327" priority="1181">
      <formula>H48&lt;0.5%</formula>
    </cfRule>
  </conditionalFormatting>
  <conditionalFormatting sqref="H41 N41 T41 Z41 AF41 AL41">
    <cfRule type="expression" dxfId="2326" priority="1178" stopIfTrue="1">
      <formula>H41&lt;130</formula>
    </cfRule>
  </conditionalFormatting>
  <conditionalFormatting sqref="H41 N41 T41 Z41 AF41 AL41">
    <cfRule type="expression" dxfId="2325" priority="1177" stopIfTrue="1">
      <formula>H41&gt;150</formula>
    </cfRule>
  </conditionalFormatting>
  <conditionalFormatting sqref="K57 H57 AO57 AI57 AC57 W57 Q57 N57 T57 Z57 AF57 AL57">
    <cfRule type="expression" dxfId="2324" priority="1057">
      <formula>H57&lt;22</formula>
    </cfRule>
    <cfRule type="expression" dxfId="2323" priority="1058">
      <formula>H57&gt;30</formula>
    </cfRule>
  </conditionalFormatting>
  <conditionalFormatting sqref="N44 T44 Z44 AF44 AL44 H44">
    <cfRule type="expression" dxfId="2322" priority="779">
      <formula>H44&lt;2</formula>
    </cfRule>
    <cfRule type="expression" dxfId="2321" priority="780">
      <formula>H44&gt;2.5</formula>
    </cfRule>
  </conditionalFormatting>
  <conditionalFormatting sqref="H101 K101 T101 W101 Z101 AC101 AL101 AO101">
    <cfRule type="expression" dxfId="2320" priority="727">
      <formula>H101&lt;24</formula>
    </cfRule>
    <cfRule type="expression" dxfId="2319" priority="728">
      <formula>H101&gt;28</formula>
    </cfRule>
  </conditionalFormatting>
  <conditionalFormatting sqref="H102 K102 T102 W102 Z102 AC102 AL102 AO102">
    <cfRule type="expression" dxfId="2318" priority="709">
      <formula>H102&lt;40</formula>
    </cfRule>
    <cfRule type="expression" dxfId="2317" priority="710">
      <formula>H102&gt;60</formula>
    </cfRule>
  </conditionalFormatting>
  <conditionalFormatting sqref="H53:H56 K53:K56 N53:N56 Q53:Q56 T53:T56 W53:W56 Z53:Z56 AC53:AC56 AF53:AF56 AI53:AI56 AL53:AL56 AO53:AO56">
    <cfRule type="expression" dxfId="2316" priority="693">
      <formula>H53&lt;50</formula>
    </cfRule>
    <cfRule type="expression" dxfId="2315" priority="694">
      <formula>H53&gt;70</formula>
    </cfRule>
  </conditionalFormatting>
  <conditionalFormatting sqref="H37:H38 N37:N38 T37:T38 Z37:Z38 AF37:AF38 AL37:AL38">
    <cfRule type="expression" dxfId="2314" priority="646" stopIfTrue="1">
      <formula>H37&lt;60</formula>
    </cfRule>
  </conditionalFormatting>
  <conditionalFormatting sqref="H37:H38 N37:N38 T37:T38 Z37:Z38 AF37:AF38 AL37:AL38">
    <cfRule type="expression" dxfId="2313" priority="645" stopIfTrue="1">
      <formula>H37&gt;80</formula>
    </cfRule>
  </conditionalFormatting>
  <conditionalFormatting sqref="H14 N14 T14 Z14 AF14 AL14">
    <cfRule type="expression" dxfId="2312" priority="609">
      <formula>H14&lt;30%</formula>
    </cfRule>
    <cfRule type="expression" dxfId="2311" priority="610">
      <formula>H14&gt;60%</formula>
    </cfRule>
  </conditionalFormatting>
  <conditionalFormatting sqref="H83 N83 T83 Z83 AF83 AL83">
    <cfRule type="expression" dxfId="2310" priority="473">
      <formula>H83&lt;1.8</formula>
    </cfRule>
    <cfRule type="expression" dxfId="2309" priority="474">
      <formula>H83&gt;2.4</formula>
    </cfRule>
  </conditionalFormatting>
  <conditionalFormatting sqref="H68:H69 N68:N69 T68:T69 Z68:Z69 AF68:AF69 AL68:AL69">
    <cfRule type="expression" dxfId="2308" priority="354" stopIfTrue="1">
      <formula>H68&lt;40</formula>
    </cfRule>
  </conditionalFormatting>
  <conditionalFormatting sqref="H68:H69 N68:N69 T68:T69 Z68:Z69 AF68:AF69 AL68:AL69">
    <cfRule type="expression" dxfId="2307" priority="353" stopIfTrue="1">
      <formula>H68&gt;60</formula>
    </cfRule>
  </conditionalFormatting>
  <conditionalFormatting sqref="H78 N78 T78 Z78 AF78 AL78">
    <cfRule type="expression" dxfId="2306" priority="329">
      <formula>H78&lt;20%</formula>
    </cfRule>
    <cfRule type="expression" dxfId="2305" priority="330">
      <formula>H78&gt;40%</formula>
    </cfRule>
  </conditionalFormatting>
  <conditionalFormatting sqref="H106 Z106 T106 N106 AF106 AL106">
    <cfRule type="expression" dxfId="2304" priority="221">
      <formula>H106&lt;160</formula>
    </cfRule>
    <cfRule type="expression" dxfId="2303" priority="222">
      <formula>H106&gt;220</formula>
    </cfRule>
  </conditionalFormatting>
  <conditionalFormatting sqref="H72 AL72 N72 AF72 Z72 T72">
    <cfRule type="expression" dxfId="2302" priority="200" stopIfTrue="1">
      <formula>H72&lt;135</formula>
    </cfRule>
  </conditionalFormatting>
  <conditionalFormatting sqref="H72 AL72 N72 AF72 Z72 T72">
    <cfRule type="expression" dxfId="2301" priority="199" stopIfTrue="1">
      <formula>H72&gt;145</formula>
    </cfRule>
  </conditionalFormatting>
  <conditionalFormatting sqref="H73 AL73 N73 AF73 Z73 T73">
    <cfRule type="expression" dxfId="2300" priority="198" stopIfTrue="1">
      <formula>H73&lt;6</formula>
    </cfRule>
  </conditionalFormatting>
  <conditionalFormatting sqref="H73 AL73 N73 AF73 Z73 T73">
    <cfRule type="expression" dxfId="2299" priority="197" stopIfTrue="1">
      <formula>H73&gt;8</formula>
    </cfRule>
  </conditionalFormatting>
  <conditionalFormatting sqref="H74 AL74 N74 AF74 Z74 T74">
    <cfRule type="expression" dxfId="2298" priority="195">
      <formula>H74&lt;5</formula>
    </cfRule>
    <cfRule type="expression" dxfId="2297" priority="196">
      <formula>H74&gt;8</formula>
    </cfRule>
  </conditionalFormatting>
  <conditionalFormatting sqref="H75 N75 T75 Z75 AF75 AL75">
    <cfRule type="expression" dxfId="2296" priority="163">
      <formula>H75&lt;2</formula>
    </cfRule>
    <cfRule type="expression" dxfId="2295" priority="164">
      <formula>H75&gt;2.4</formula>
    </cfRule>
  </conditionalFormatting>
  <conditionalFormatting sqref="H95 K95 N95 Q95 T95 W95 Z95 AC95 AF95 AI95 AL95 AO95">
    <cfRule type="expression" dxfId="2294" priority="151">
      <formula>H95&lt;24</formula>
    </cfRule>
    <cfRule type="expression" dxfId="2293" priority="152">
      <formula>H95&gt;26</formula>
    </cfRule>
  </conditionalFormatting>
  <conditionalFormatting sqref="H96 K96 N96 Q96 T96 W96 Z96 AC96 AF96 AI96 AL96 AO96">
    <cfRule type="expression" dxfId="2292" priority="149">
      <formula>H96&lt;34</formula>
    </cfRule>
    <cfRule type="expression" dxfId="2291" priority="150">
      <formula>H96&gt;36</formula>
    </cfRule>
  </conditionalFormatting>
  <conditionalFormatting sqref="H111:H112">
    <cfRule type="expression" dxfId="2290" priority="47" stopIfTrue="1">
      <formula>H111&gt;6</formula>
    </cfRule>
    <cfRule type="expression" dxfId="2289" priority="48" stopIfTrue="1">
      <formula>H111&lt;5</formula>
    </cfRule>
  </conditionalFormatting>
  <conditionalFormatting sqref="Z111:Z112">
    <cfRule type="expression" dxfId="2288" priority="41" stopIfTrue="1">
      <formula>Z111&gt;6</formula>
    </cfRule>
    <cfRule type="expression" dxfId="2287" priority="42" stopIfTrue="1">
      <formula>Z111&lt;5</formula>
    </cfRule>
  </conditionalFormatting>
  <conditionalFormatting sqref="Z113:Z114">
    <cfRule type="expression" dxfId="2286" priority="33" stopIfTrue="1">
      <formula>Z113&gt;130</formula>
    </cfRule>
    <cfRule type="expression" dxfId="2285" priority="34" stopIfTrue="1">
      <formula>Z113&lt;120</formula>
    </cfRule>
  </conditionalFormatting>
  <conditionalFormatting sqref="H115">
    <cfRule type="expression" dxfId="2284" priority="31" stopIfTrue="1">
      <formula>H115&gt;4.5</formula>
    </cfRule>
    <cfRule type="expression" dxfId="2283" priority="32" stopIfTrue="1">
      <formula>H115&lt;3</formula>
    </cfRule>
  </conditionalFormatting>
  <conditionalFormatting sqref="Z115">
    <cfRule type="expression" dxfId="2282" priority="25" stopIfTrue="1">
      <formula>Z115&gt;4.5</formula>
    </cfRule>
    <cfRule type="expression" dxfId="2281" priority="26" stopIfTrue="1">
      <formula>Z115&lt;3</formula>
    </cfRule>
  </conditionalFormatting>
  <conditionalFormatting sqref="N111:N112">
    <cfRule type="expression" dxfId="2280" priority="45" stopIfTrue="1">
      <formula>N111&gt;6</formula>
    </cfRule>
    <cfRule type="expression" dxfId="2279" priority="46" stopIfTrue="1">
      <formula>N111&lt;5</formula>
    </cfRule>
  </conditionalFormatting>
  <conditionalFormatting sqref="T111:T112">
    <cfRule type="expression" dxfId="2278" priority="43" stopIfTrue="1">
      <formula>T111&gt;6</formula>
    </cfRule>
    <cfRule type="expression" dxfId="2277" priority="44" stopIfTrue="1">
      <formula>T111&lt;5</formula>
    </cfRule>
  </conditionalFormatting>
  <conditionalFormatting sqref="H113:H114">
    <cfRule type="expression" dxfId="2276" priority="39" stopIfTrue="1">
      <formula>H113&gt;130</formula>
    </cfRule>
    <cfRule type="expression" dxfId="2275" priority="40" stopIfTrue="1">
      <formula>H113&lt;120</formula>
    </cfRule>
  </conditionalFormatting>
  <conditionalFormatting sqref="N113:N114">
    <cfRule type="expression" dxfId="2274" priority="37" stopIfTrue="1">
      <formula>N113&gt;130</formula>
    </cfRule>
    <cfRule type="expression" dxfId="2273" priority="38" stopIfTrue="1">
      <formula>N113&lt;120</formula>
    </cfRule>
  </conditionalFormatting>
  <conditionalFormatting sqref="T113:T114">
    <cfRule type="expression" dxfId="2272" priority="35" stopIfTrue="1">
      <formula>T113&gt;130</formula>
    </cfRule>
    <cfRule type="expression" dxfId="2271" priority="36" stopIfTrue="1">
      <formula>T113&lt;120</formula>
    </cfRule>
  </conditionalFormatting>
  <conditionalFormatting sqref="N115">
    <cfRule type="expression" dxfId="2270" priority="29" stopIfTrue="1">
      <formula>N115&gt;4.5</formula>
    </cfRule>
    <cfRule type="expression" dxfId="2269" priority="30" stopIfTrue="1">
      <formula>N115&lt;3</formula>
    </cfRule>
  </conditionalFormatting>
  <conditionalFormatting sqref="T115">
    <cfRule type="expression" dxfId="2268" priority="27" stopIfTrue="1">
      <formula>T115&gt;4.5</formula>
    </cfRule>
    <cfRule type="expression" dxfId="2267" priority="28" stopIfTrue="1">
      <formula>T115&lt;3</formula>
    </cfRule>
  </conditionalFormatting>
  <conditionalFormatting sqref="K120:L120 H120">
    <cfRule type="expression" dxfId="2266" priority="23">
      <formula>H120&lt;20</formula>
    </cfRule>
    <cfRule type="expression" dxfId="2265" priority="24">
      <formula>H120&gt;30</formula>
    </cfRule>
  </conditionalFormatting>
  <conditionalFormatting sqref="H118 K118">
    <cfRule type="expression" dxfId="2264" priority="21">
      <formula>H118&lt;24</formula>
    </cfRule>
    <cfRule type="expression" dxfId="2263" priority="22">
      <formula>H118&gt;28</formula>
    </cfRule>
  </conditionalFormatting>
  <conditionalFormatting sqref="H119 K119">
    <cfRule type="expression" dxfId="2262" priority="19">
      <formula>H119&lt;40</formula>
    </cfRule>
    <cfRule type="expression" dxfId="2261" priority="20">
      <formula>H119&gt;60</formula>
    </cfRule>
  </conditionalFormatting>
  <conditionalFormatting sqref="Q120:R120 N120">
    <cfRule type="expression" dxfId="2260" priority="17">
      <formula>N120&lt;20</formula>
    </cfRule>
    <cfRule type="expression" dxfId="2259" priority="18">
      <formula>N120&gt;30</formula>
    </cfRule>
  </conditionalFormatting>
  <conditionalFormatting sqref="N118 Q118">
    <cfRule type="expression" dxfId="2258" priority="15">
      <formula>N118&lt;24</formula>
    </cfRule>
    <cfRule type="expression" dxfId="2257" priority="16">
      <formula>N118&gt;28</formula>
    </cfRule>
  </conditionalFormatting>
  <conditionalFormatting sqref="N119 Q119">
    <cfRule type="expression" dxfId="2256" priority="13">
      <formula>N119&lt;40</formula>
    </cfRule>
    <cfRule type="expression" dxfId="2255" priority="14">
      <formula>N119&gt;60</formula>
    </cfRule>
  </conditionalFormatting>
  <conditionalFormatting sqref="W120:X120 T120">
    <cfRule type="expression" dxfId="2254" priority="11">
      <formula>T120&lt;20</formula>
    </cfRule>
    <cfRule type="expression" dxfId="2253" priority="12">
      <formula>T120&gt;30</formula>
    </cfRule>
  </conditionalFormatting>
  <conditionalFormatting sqref="T118 W118">
    <cfRule type="expression" dxfId="2252" priority="9">
      <formula>T118&lt;24</formula>
    </cfRule>
    <cfRule type="expression" dxfId="2251" priority="10">
      <formula>T118&gt;28</formula>
    </cfRule>
  </conditionalFormatting>
  <conditionalFormatting sqref="T119 W119">
    <cfRule type="expression" dxfId="2250" priority="7">
      <formula>T119&lt;40</formula>
    </cfRule>
    <cfRule type="expression" dxfId="2249" priority="8">
      <formula>T119&gt;60</formula>
    </cfRule>
  </conditionalFormatting>
  <conditionalFormatting sqref="AC120:AD120 Z120">
    <cfRule type="expression" dxfId="2248" priority="5">
      <formula>Z120&lt;20</formula>
    </cfRule>
    <cfRule type="expression" dxfId="2247" priority="6">
      <formula>Z120&gt;30</formula>
    </cfRule>
  </conditionalFormatting>
  <conditionalFormatting sqref="Z118 AC118">
    <cfRule type="expression" dxfId="2246" priority="3">
      <formula>Z118&lt;24</formula>
    </cfRule>
    <cfRule type="expression" dxfId="2245" priority="4">
      <formula>Z118&gt;28</formula>
    </cfRule>
  </conditionalFormatting>
  <conditionalFormatting sqref="Z119 AC119">
    <cfRule type="expression" dxfId="2244" priority="1">
      <formula>Z119&lt;40</formula>
    </cfRule>
    <cfRule type="expression" dxfId="2243" priority="2">
      <formula>Z119&gt;60</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4.xml><?xml version="1.0" encoding="utf-8"?>
<worksheet xmlns="http://schemas.openxmlformats.org/spreadsheetml/2006/main" xmlns:r="http://schemas.openxmlformats.org/officeDocument/2006/relationships">
  <sheetPr codeName="Sheet4">
    <tabColor rgb="FFFFC000"/>
  </sheetPr>
  <dimension ref="A1:AF75"/>
  <sheetViews>
    <sheetView view="pageBreakPreview" topLeftCell="A61" zoomScale="55" zoomScaleNormal="55" zoomScaleSheetLayoutView="55" workbookViewId="0">
      <selection activeCell="AJ59" sqref="AJ59"/>
    </sheetView>
  </sheetViews>
  <sheetFormatPr defaultRowHeight="15"/>
  <cols>
    <col min="1" max="1" width="3.5" style="1096" customWidth="1"/>
    <col min="2" max="2" width="7.375" style="1096" customWidth="1"/>
    <col min="3" max="3" width="4.375" style="1096" customWidth="1"/>
    <col min="4" max="4" width="7.875" style="1096" customWidth="1"/>
    <col min="5" max="5" width="6" style="1096" customWidth="1"/>
    <col min="6" max="6" width="7.875" style="1096" customWidth="1"/>
    <col min="7" max="7" width="13" style="1105" customWidth="1"/>
    <col min="8" max="8" width="6.875" style="1096" customWidth="1"/>
    <col min="9" max="9" width="3.625" style="16" customWidth="1"/>
    <col min="10" max="10" width="7.125" style="16" customWidth="1"/>
    <col min="11" max="11" width="3.875" style="16" customWidth="1"/>
    <col min="12" max="12" width="8.5" style="1065" customWidth="1"/>
    <col min="13" max="13" width="3" style="1065" customWidth="1"/>
    <col min="14" max="14" width="8.375" style="1065" customWidth="1"/>
    <col min="15" max="15" width="4.75" style="1065" customWidth="1"/>
    <col min="16" max="16" width="7.125" style="1096" customWidth="1"/>
    <col min="17" max="17" width="3.375" style="1096" customWidth="1"/>
    <col min="18" max="18" width="7.875" style="1096" customWidth="1"/>
    <col min="19" max="19" width="4.375" style="1096" customWidth="1"/>
    <col min="20" max="20" width="7.625" style="1065" customWidth="1"/>
    <col min="21" max="21" width="3.875" style="1065" customWidth="1"/>
    <col min="22" max="22" width="7" style="1065" customWidth="1"/>
    <col min="23" max="23" width="4.375" style="1065" customWidth="1"/>
    <col min="24" max="24" width="7" style="1096" customWidth="1"/>
    <col min="25" max="25" width="3.125" style="1096" customWidth="1"/>
    <col min="26" max="26" width="7.625" style="1096" customWidth="1"/>
    <col min="27" max="27" width="4.5" style="1096" customWidth="1"/>
    <col min="28" max="28" width="7" style="1065" customWidth="1"/>
    <col min="29" max="29" width="3.75" style="1065" customWidth="1"/>
    <col min="30" max="30" width="6.5" style="1065" customWidth="1"/>
    <col min="31" max="31" width="4.75" style="1065" customWidth="1"/>
    <col min="32" max="32" width="10.625" style="16" customWidth="1"/>
    <col min="33" max="16384" width="9" style="16"/>
  </cols>
  <sheetData>
    <row r="1" spans="1:32" ht="33.75" customHeight="1">
      <c r="A1" s="1941" t="s">
        <v>147</v>
      </c>
      <c r="B1" s="1941"/>
      <c r="C1" s="1941"/>
      <c r="D1" s="1941"/>
      <c r="E1" s="1941"/>
      <c r="F1" s="1941"/>
      <c r="G1" s="1941"/>
      <c r="H1" s="1941"/>
      <c r="I1" s="1941"/>
      <c r="J1" s="1941"/>
      <c r="K1" s="1941"/>
      <c r="L1" s="1941"/>
      <c r="M1" s="1941"/>
      <c r="N1" s="1941"/>
      <c r="O1" s="1941"/>
      <c r="P1" s="1941"/>
      <c r="Q1" s="1941"/>
      <c r="R1" s="1941"/>
      <c r="S1" s="1941"/>
      <c r="T1" s="1941"/>
      <c r="U1" s="1941"/>
      <c r="V1" s="1941"/>
      <c r="W1" s="1941"/>
      <c r="X1" s="1941"/>
      <c r="Y1" s="1941"/>
      <c r="Z1" s="98"/>
      <c r="AA1" s="98"/>
      <c r="AB1" s="1066"/>
      <c r="AC1" s="1066"/>
      <c r="AD1" s="1066"/>
      <c r="AE1" s="1066"/>
      <c r="AF1" s="1030"/>
    </row>
    <row r="2" spans="1:32" ht="54.75" customHeight="1">
      <c r="A2" s="1889" t="s">
        <v>240</v>
      </c>
      <c r="B2" s="1889"/>
      <c r="C2" s="1889"/>
      <c r="D2" s="1889"/>
      <c r="E2" s="1889"/>
      <c r="F2" s="1889"/>
      <c r="G2" s="1889"/>
      <c r="H2" s="1889"/>
      <c r="I2" s="1889"/>
      <c r="J2" s="1889"/>
      <c r="K2" s="1889"/>
      <c r="L2" s="1889"/>
      <c r="M2" s="1889"/>
      <c r="N2" s="1889"/>
      <c r="O2" s="1889"/>
      <c r="P2" s="1889"/>
      <c r="Q2" s="1889"/>
      <c r="R2" s="1889"/>
      <c r="S2" s="1889"/>
      <c r="T2" s="1889"/>
      <c r="U2" s="1889"/>
      <c r="V2" s="1889"/>
      <c r="W2" s="1889"/>
      <c r="X2" s="1889"/>
      <c r="Y2" s="1889"/>
      <c r="Z2" s="1889"/>
      <c r="AA2" s="1889"/>
      <c r="AB2" s="1890"/>
      <c r="AC2" s="1886" t="s">
        <v>96</v>
      </c>
      <c r="AD2" s="1886"/>
      <c r="AE2" s="1887" t="s">
        <v>97</v>
      </c>
      <c r="AF2" s="1888"/>
    </row>
    <row r="3" spans="1:32" ht="42.75" customHeight="1">
      <c r="B3" s="1919" t="s">
        <v>234</v>
      </c>
      <c r="C3" s="1919"/>
      <c r="D3" s="1919"/>
      <c r="E3" s="1919"/>
      <c r="F3" s="1097"/>
      <c r="G3" s="856" t="str">
        <f>MENU!AC9</f>
        <v>2022/12/03</v>
      </c>
      <c r="H3" s="1920"/>
      <c r="I3" s="1920"/>
      <c r="J3" s="1920"/>
      <c r="K3" s="1920"/>
      <c r="L3" s="1033"/>
      <c r="M3" s="1033"/>
      <c r="N3" s="1033"/>
      <c r="O3" s="1033"/>
      <c r="P3" s="1086"/>
      <c r="Q3" s="1086"/>
      <c r="R3" s="1086"/>
      <c r="S3" s="1086"/>
      <c r="T3" s="1033"/>
      <c r="U3" s="1033"/>
      <c r="V3" s="1033"/>
      <c r="W3" s="1033"/>
      <c r="X3" s="1086"/>
      <c r="Y3" s="1086"/>
      <c r="AC3" s="1878" t="str">
        <f>MENU!AD6</f>
        <v>L.Yen</v>
      </c>
      <c r="AD3" s="1878"/>
      <c r="AE3" s="1879" t="s">
        <v>11</v>
      </c>
      <c r="AF3" s="1880"/>
    </row>
    <row r="4" spans="1:32" s="17" customFormat="1" ht="44.25" customHeight="1">
      <c r="A4" s="1935" t="s">
        <v>7</v>
      </c>
      <c r="B4" s="1904" t="s">
        <v>79</v>
      </c>
      <c r="C4" s="1905"/>
      <c r="D4" s="1905"/>
      <c r="E4" s="1906"/>
      <c r="F4" s="1902" t="s">
        <v>137</v>
      </c>
      <c r="G4" s="1938" t="s">
        <v>67</v>
      </c>
      <c r="H4" s="1921">
        <v>0.26041666666666669</v>
      </c>
      <c r="I4" s="1922"/>
      <c r="J4" s="1922"/>
      <c r="K4" s="1923"/>
      <c r="L4" s="1881" t="s">
        <v>1014</v>
      </c>
      <c r="M4" s="1882"/>
      <c r="N4" s="1882"/>
      <c r="O4" s="1883"/>
      <c r="P4" s="1924">
        <v>0.42708333333333331</v>
      </c>
      <c r="Q4" s="1925"/>
      <c r="R4" s="1925"/>
      <c r="S4" s="1926"/>
      <c r="T4" s="1881" t="s">
        <v>1014</v>
      </c>
      <c r="U4" s="1882"/>
      <c r="V4" s="1882"/>
      <c r="W4" s="1883"/>
      <c r="X4" s="1924">
        <v>0.59375</v>
      </c>
      <c r="Y4" s="1925"/>
      <c r="Z4" s="1925"/>
      <c r="AA4" s="1926"/>
      <c r="AB4" s="1881" t="s">
        <v>1012</v>
      </c>
      <c r="AC4" s="1882"/>
      <c r="AD4" s="1882"/>
      <c r="AE4" s="1883"/>
      <c r="AF4" s="1029" t="s">
        <v>98</v>
      </c>
    </row>
    <row r="5" spans="1:32" s="17" customFormat="1" ht="44.25" customHeight="1">
      <c r="A5" s="1937"/>
      <c r="B5" s="1907"/>
      <c r="C5" s="1908"/>
      <c r="D5" s="1908"/>
      <c r="E5" s="1909"/>
      <c r="F5" s="1903"/>
      <c r="G5" s="1939"/>
      <c r="H5" s="1087" t="s">
        <v>146</v>
      </c>
      <c r="I5" s="1927" t="s">
        <v>1</v>
      </c>
      <c r="J5" s="1928"/>
      <c r="K5" s="1929"/>
      <c r="L5" s="1034" t="s">
        <v>1015</v>
      </c>
      <c r="M5" s="1884" t="s">
        <v>1</v>
      </c>
      <c r="N5" s="1884"/>
      <c r="O5" s="1885"/>
      <c r="P5" s="1087" t="s">
        <v>146</v>
      </c>
      <c r="Q5" s="1930" t="s">
        <v>1</v>
      </c>
      <c r="R5" s="1931"/>
      <c r="S5" s="1932"/>
      <c r="T5" s="1034" t="s">
        <v>1015</v>
      </c>
      <c r="U5" s="1884" t="s">
        <v>1</v>
      </c>
      <c r="V5" s="1884"/>
      <c r="W5" s="1885"/>
      <c r="X5" s="1087" t="s">
        <v>146</v>
      </c>
      <c r="Y5" s="1930" t="s">
        <v>1</v>
      </c>
      <c r="Z5" s="1931"/>
      <c r="AA5" s="1932"/>
      <c r="AB5" s="1034" t="s">
        <v>1016</v>
      </c>
      <c r="AC5" s="1884" t="s">
        <v>1</v>
      </c>
      <c r="AD5" s="1884"/>
      <c r="AE5" s="1885"/>
      <c r="AF5" s="4" t="s">
        <v>99</v>
      </c>
    </row>
    <row r="6" spans="1:32" ht="44.25" customHeight="1">
      <c r="A6" s="1935">
        <v>1</v>
      </c>
      <c r="B6" s="1904" t="s">
        <v>148</v>
      </c>
      <c r="C6" s="1910"/>
      <c r="D6" s="1917" t="s">
        <v>108</v>
      </c>
      <c r="E6" s="1918"/>
      <c r="F6" s="56" t="s">
        <v>4</v>
      </c>
      <c r="G6" s="1025" t="str">
        <f>'XM.GUI MAIL'!$E$6</f>
        <v>25~35g/L
(30±2g/L)</v>
      </c>
      <c r="H6" s="350">
        <f>'XM.FILE GOC'!H6</f>
        <v>30</v>
      </c>
      <c r="I6" s="18" t="s">
        <v>8</v>
      </c>
      <c r="J6" s="29">
        <f>'XM.FILE GOC'!K6</f>
        <v>0</v>
      </c>
      <c r="K6" s="19" t="s">
        <v>9</v>
      </c>
      <c r="L6" s="1035"/>
      <c r="M6" s="1036"/>
      <c r="N6" s="1037"/>
      <c r="O6" s="1038"/>
      <c r="P6" s="350">
        <f>'XM.FILE GOC'!N6</f>
        <v>29.6</v>
      </c>
      <c r="Q6" s="1088" t="s">
        <v>8</v>
      </c>
      <c r="R6" s="1089">
        <f>'XM.FILE GOC'!Q6</f>
        <v>1.0771999999999962</v>
      </c>
      <c r="S6" s="1090" t="s">
        <v>9</v>
      </c>
      <c r="T6" s="1035">
        <v>31</v>
      </c>
      <c r="U6" s="1036"/>
      <c r="V6" s="1037"/>
      <c r="W6" s="1038"/>
      <c r="X6" s="350">
        <f>'XM.FILE GOC'!T6</f>
        <v>31</v>
      </c>
      <c r="Y6" s="1088" t="s">
        <v>8</v>
      </c>
      <c r="Z6" s="1089">
        <f>'XM.FILE GOC'!W6</f>
        <v>0</v>
      </c>
      <c r="AA6" s="1090" t="s">
        <v>9</v>
      </c>
      <c r="AB6" s="1035"/>
      <c r="AC6" s="1036"/>
      <c r="AD6" s="1037"/>
      <c r="AE6" s="1038"/>
      <c r="AF6" s="96" t="s">
        <v>42</v>
      </c>
    </row>
    <row r="7" spans="1:32" ht="44.25" customHeight="1">
      <c r="A7" s="1936"/>
      <c r="B7" s="1911"/>
      <c r="C7" s="1912"/>
      <c r="D7" s="1896" t="s">
        <v>109</v>
      </c>
      <c r="E7" s="1898"/>
      <c r="F7" s="56" t="s">
        <v>58</v>
      </c>
      <c r="G7" s="1025" t="s">
        <v>110</v>
      </c>
      <c r="H7" s="350"/>
      <c r="I7" s="65" t="s">
        <v>8</v>
      </c>
      <c r="J7" s="68">
        <f>J6/25*840/1000</f>
        <v>0</v>
      </c>
      <c r="K7" s="67" t="s">
        <v>10</v>
      </c>
      <c r="L7" s="1035"/>
      <c r="M7" s="1039"/>
      <c r="N7" s="1040"/>
      <c r="O7" s="1041"/>
      <c r="P7" s="350"/>
      <c r="Q7" s="69" t="s">
        <v>8</v>
      </c>
      <c r="R7" s="1091">
        <f>R6/25*840/1000</f>
        <v>3.6193919999999873E-2</v>
      </c>
      <c r="S7" s="677" t="s">
        <v>10</v>
      </c>
      <c r="T7" s="1035"/>
      <c r="U7" s="1039"/>
      <c r="V7" s="1040"/>
      <c r="W7" s="1041"/>
      <c r="X7" s="350"/>
      <c r="Y7" s="69" t="s">
        <v>8</v>
      </c>
      <c r="Z7" s="1091">
        <f>Z6/25*840/1000</f>
        <v>0</v>
      </c>
      <c r="AA7" s="677" t="s">
        <v>10</v>
      </c>
      <c r="AB7" s="1035"/>
      <c r="AC7" s="1039"/>
      <c r="AD7" s="1040"/>
      <c r="AE7" s="1041"/>
      <c r="AF7" s="129"/>
    </row>
    <row r="8" spans="1:32" ht="44.25" customHeight="1">
      <c r="A8" s="1937"/>
      <c r="B8" s="1913"/>
      <c r="C8" s="1914"/>
      <c r="D8" s="1896" t="s">
        <v>111</v>
      </c>
      <c r="E8" s="1898"/>
      <c r="F8" s="56" t="s">
        <v>58</v>
      </c>
      <c r="G8" s="1025" t="s">
        <v>110</v>
      </c>
      <c r="H8" s="350"/>
      <c r="I8" s="65" t="s">
        <v>8</v>
      </c>
      <c r="J8" s="68">
        <f>J7*10</f>
        <v>0</v>
      </c>
      <c r="K8" s="67" t="s">
        <v>10</v>
      </c>
      <c r="L8" s="1035"/>
      <c r="M8" s="1036"/>
      <c r="N8" s="1040"/>
      <c r="O8" s="1038"/>
      <c r="P8" s="350"/>
      <c r="Q8" s="69" t="s">
        <v>8</v>
      </c>
      <c r="R8" s="1091">
        <f>R7*10</f>
        <v>0.36193919999999874</v>
      </c>
      <c r="S8" s="677" t="s">
        <v>10</v>
      </c>
      <c r="T8" s="1035"/>
      <c r="U8" s="1036"/>
      <c r="V8" s="1040"/>
      <c r="W8" s="1038"/>
      <c r="X8" s="350"/>
      <c r="Y8" s="69" t="s">
        <v>8</v>
      </c>
      <c r="Z8" s="1091">
        <f>Z7*10</f>
        <v>0</v>
      </c>
      <c r="AA8" s="677" t="s">
        <v>10</v>
      </c>
      <c r="AB8" s="1035"/>
      <c r="AC8" s="1036"/>
      <c r="AD8" s="1040"/>
      <c r="AE8" s="1038"/>
      <c r="AF8" s="96"/>
    </row>
    <row r="9" spans="1:32" ht="44.25" customHeight="1">
      <c r="A9" s="1935">
        <v>2</v>
      </c>
      <c r="B9" s="1904" t="s">
        <v>149</v>
      </c>
      <c r="C9" s="1910"/>
      <c r="D9" s="1917" t="s">
        <v>108</v>
      </c>
      <c r="E9" s="1918"/>
      <c r="F9" s="56" t="s">
        <v>4</v>
      </c>
      <c r="G9" s="1025" t="str">
        <f>'XM.GUI MAIL'!$E$7</f>
        <v>25~35g/L
(30±2g/L)</v>
      </c>
      <c r="H9" s="350">
        <f>'XM.FILE GOC'!H7</f>
        <v>30.8</v>
      </c>
      <c r="I9" s="18" t="s">
        <v>8</v>
      </c>
      <c r="J9" s="29">
        <f>'XM.FILE GOC'!K7</f>
        <v>0</v>
      </c>
      <c r="K9" s="19" t="s">
        <v>9</v>
      </c>
      <c r="L9" s="1035"/>
      <c r="M9" s="1039"/>
      <c r="N9" s="1037"/>
      <c r="O9" s="1041"/>
      <c r="P9" s="350">
        <f>'XM.FILE GOC'!N7</f>
        <v>30</v>
      </c>
      <c r="Q9" s="1088" t="s">
        <v>8</v>
      </c>
      <c r="R9" s="1089">
        <f>'XM.FILE GOC'!Q7</f>
        <v>0</v>
      </c>
      <c r="S9" s="1090" t="s">
        <v>9</v>
      </c>
      <c r="T9" s="1035"/>
      <c r="U9" s="1039"/>
      <c r="V9" s="1037"/>
      <c r="W9" s="1041"/>
      <c r="X9" s="350">
        <f>'XM.FILE GOC'!T7</f>
        <v>29.6</v>
      </c>
      <c r="Y9" s="1088" t="s">
        <v>8</v>
      </c>
      <c r="Z9" s="1089">
        <f>'XM.FILE GOC'!W7</f>
        <v>1.3219999999999952</v>
      </c>
      <c r="AA9" s="1090" t="s">
        <v>9</v>
      </c>
      <c r="AB9" s="1035">
        <v>31.2</v>
      </c>
      <c r="AC9" s="1039"/>
      <c r="AD9" s="1037"/>
      <c r="AE9" s="1041"/>
      <c r="AF9" s="96" t="s">
        <v>42</v>
      </c>
    </row>
    <row r="10" spans="1:32" ht="44.25" customHeight="1">
      <c r="A10" s="1936"/>
      <c r="B10" s="1911"/>
      <c r="C10" s="1912"/>
      <c r="D10" s="1896" t="s">
        <v>109</v>
      </c>
      <c r="E10" s="1898"/>
      <c r="F10" s="56" t="s">
        <v>58</v>
      </c>
      <c r="G10" s="1025" t="s">
        <v>110</v>
      </c>
      <c r="H10" s="350"/>
      <c r="I10" s="65" t="s">
        <v>8</v>
      </c>
      <c r="J10" s="68">
        <f>J9/25*840/1000</f>
        <v>0</v>
      </c>
      <c r="K10" s="67" t="s">
        <v>10</v>
      </c>
      <c r="L10" s="1035"/>
      <c r="M10" s="1036"/>
      <c r="N10" s="1040"/>
      <c r="O10" s="1038"/>
      <c r="P10" s="350"/>
      <c r="Q10" s="69" t="s">
        <v>8</v>
      </c>
      <c r="R10" s="1091">
        <f>R9/25*840/1000</f>
        <v>0</v>
      </c>
      <c r="S10" s="677" t="s">
        <v>10</v>
      </c>
      <c r="T10" s="1035"/>
      <c r="U10" s="1039"/>
      <c r="V10" s="1040"/>
      <c r="W10" s="1041"/>
      <c r="X10" s="350"/>
      <c r="Y10" s="69" t="s">
        <v>8</v>
      </c>
      <c r="Z10" s="1091">
        <f>Z9/25*840/1000</f>
        <v>4.4419199999999839E-2</v>
      </c>
      <c r="AA10" s="677" t="s">
        <v>10</v>
      </c>
      <c r="AB10" s="1035"/>
      <c r="AC10" s="1039"/>
      <c r="AD10" s="1040"/>
      <c r="AE10" s="1041"/>
      <c r="AF10" s="129"/>
    </row>
    <row r="11" spans="1:32" ht="44.25" customHeight="1">
      <c r="A11" s="1937"/>
      <c r="B11" s="1913"/>
      <c r="C11" s="1914"/>
      <c r="D11" s="1896" t="s">
        <v>111</v>
      </c>
      <c r="E11" s="1898"/>
      <c r="F11" s="56" t="s">
        <v>58</v>
      </c>
      <c r="G11" s="1025" t="s">
        <v>110</v>
      </c>
      <c r="H11" s="350"/>
      <c r="I11" s="65" t="s">
        <v>8</v>
      </c>
      <c r="J11" s="68">
        <f>J10*10</f>
        <v>0</v>
      </c>
      <c r="K11" s="67" t="s">
        <v>10</v>
      </c>
      <c r="L11" s="1035"/>
      <c r="M11" s="1039"/>
      <c r="N11" s="1040"/>
      <c r="O11" s="1041"/>
      <c r="P11" s="350"/>
      <c r="Q11" s="69" t="s">
        <v>8</v>
      </c>
      <c r="R11" s="1091">
        <f>R10*10</f>
        <v>0</v>
      </c>
      <c r="S11" s="677" t="s">
        <v>10</v>
      </c>
      <c r="T11" s="1035"/>
      <c r="U11" s="1036"/>
      <c r="V11" s="1040"/>
      <c r="W11" s="1038"/>
      <c r="X11" s="350"/>
      <c r="Y11" s="69" t="s">
        <v>8</v>
      </c>
      <c r="Z11" s="1091">
        <f>Z10*10</f>
        <v>0.44419199999999837</v>
      </c>
      <c r="AA11" s="677" t="s">
        <v>10</v>
      </c>
      <c r="AB11" s="1035"/>
      <c r="AC11" s="1036"/>
      <c r="AD11" s="1040"/>
      <c r="AE11" s="1038"/>
      <c r="AF11" s="129"/>
    </row>
    <row r="12" spans="1:32" ht="44.25" customHeight="1">
      <c r="A12" s="1935">
        <v>3</v>
      </c>
      <c r="B12" s="1915" t="s">
        <v>150</v>
      </c>
      <c r="C12" s="1916"/>
      <c r="D12" s="1917" t="s">
        <v>108</v>
      </c>
      <c r="E12" s="1918"/>
      <c r="F12" s="56" t="s">
        <v>4</v>
      </c>
      <c r="G12" s="1025" t="str">
        <f>'XM.GUI MAIL'!$E$8</f>
        <v>60~80g/L
(70±10g/L)</v>
      </c>
      <c r="H12" s="350">
        <f>'XM.FILE GOC'!H8</f>
        <v>70.2</v>
      </c>
      <c r="I12" s="18" t="s">
        <v>8</v>
      </c>
      <c r="J12" s="29">
        <f>'XM.FILE GOC'!K8</f>
        <v>0</v>
      </c>
      <c r="K12" s="19" t="s">
        <v>9</v>
      </c>
      <c r="L12" s="1035"/>
      <c r="M12" s="1036"/>
      <c r="N12" s="1037"/>
      <c r="O12" s="1038"/>
      <c r="P12" s="350">
        <f>'XM.FILE GOC'!N8</f>
        <v>69.2</v>
      </c>
      <c r="Q12" s="1088" t="s">
        <v>8</v>
      </c>
      <c r="R12" s="1089">
        <f>'XM.FILE GOC'!Q8</f>
        <v>0.92479999999999674</v>
      </c>
      <c r="S12" s="1090" t="s">
        <v>9</v>
      </c>
      <c r="T12" s="1035">
        <v>71</v>
      </c>
      <c r="U12" s="1036"/>
      <c r="V12" s="1037"/>
      <c r="W12" s="1038"/>
      <c r="X12" s="350">
        <f>'XM.FILE GOC'!T8</f>
        <v>71.3</v>
      </c>
      <c r="Y12" s="1088" t="s">
        <v>8</v>
      </c>
      <c r="Z12" s="1089">
        <f>'XM.FILE GOC'!W8</f>
        <v>0</v>
      </c>
      <c r="AA12" s="1090" t="s">
        <v>9</v>
      </c>
      <c r="AB12" s="1035"/>
      <c r="AC12" s="1036"/>
      <c r="AD12" s="1037"/>
      <c r="AE12" s="1038"/>
      <c r="AF12" s="96" t="s">
        <v>42</v>
      </c>
    </row>
    <row r="13" spans="1:32" ht="44.25" customHeight="1">
      <c r="A13" s="1937"/>
      <c r="B13" s="1916"/>
      <c r="C13" s="1916"/>
      <c r="D13" s="1896" t="s">
        <v>112</v>
      </c>
      <c r="E13" s="1898"/>
      <c r="F13" s="56" t="s">
        <v>58</v>
      </c>
      <c r="G13" s="1025" t="s">
        <v>110</v>
      </c>
      <c r="H13" s="350"/>
      <c r="I13" s="65" t="s">
        <v>8</v>
      </c>
      <c r="J13" s="68">
        <f>J12/25*7.5</f>
        <v>0</v>
      </c>
      <c r="K13" s="67" t="s">
        <v>10</v>
      </c>
      <c r="L13" s="1035"/>
      <c r="M13" s="1039"/>
      <c r="N13" s="1040"/>
      <c r="O13" s="1041"/>
      <c r="P13" s="350"/>
      <c r="Q13" s="69" t="s">
        <v>8</v>
      </c>
      <c r="R13" s="1091">
        <f>R12/25*7.5</f>
        <v>0.27743999999999902</v>
      </c>
      <c r="S13" s="677" t="s">
        <v>10</v>
      </c>
      <c r="T13" s="1035"/>
      <c r="U13" s="1039"/>
      <c r="V13" s="1040"/>
      <c r="W13" s="1041"/>
      <c r="X13" s="350"/>
      <c r="Y13" s="69" t="s">
        <v>8</v>
      </c>
      <c r="Z13" s="1091">
        <f>Z12/25*7.5</f>
        <v>0</v>
      </c>
      <c r="AA13" s="677" t="s">
        <v>10</v>
      </c>
      <c r="AB13" s="1035"/>
      <c r="AC13" s="1039"/>
      <c r="AD13" s="1040"/>
      <c r="AE13" s="1041"/>
      <c r="AF13" s="96"/>
    </row>
    <row r="14" spans="1:32" ht="44.25" customHeight="1">
      <c r="A14" s="1935">
        <v>4</v>
      </c>
      <c r="B14" s="1915" t="s">
        <v>151</v>
      </c>
      <c r="C14" s="1916"/>
      <c r="D14" s="1917" t="s">
        <v>108</v>
      </c>
      <c r="E14" s="1918"/>
      <c r="F14" s="56" t="s">
        <v>4</v>
      </c>
      <c r="G14" s="1025" t="str">
        <f>'XM.GUI MAIL'!$E$9</f>
        <v>60~80g/L
(70±10g/L)</v>
      </c>
      <c r="H14" s="350">
        <f>'XM.FILE GOC'!H9</f>
        <v>72.8</v>
      </c>
      <c r="I14" s="18" t="s">
        <v>8</v>
      </c>
      <c r="J14" s="29">
        <f>'XM.FILE GOC'!K9</f>
        <v>0</v>
      </c>
      <c r="K14" s="19" t="s">
        <v>9</v>
      </c>
      <c r="L14" s="1035"/>
      <c r="M14" s="1036"/>
      <c r="N14" s="1037"/>
      <c r="O14" s="1038"/>
      <c r="P14" s="350">
        <f>'XM.FILE GOC'!N9</f>
        <v>71.2</v>
      </c>
      <c r="Q14" s="1088" t="s">
        <v>8</v>
      </c>
      <c r="R14" s="1089">
        <f>'XM.FILE GOC'!Q9</f>
        <v>0</v>
      </c>
      <c r="S14" s="1090" t="s">
        <v>9</v>
      </c>
      <c r="T14" s="1035"/>
      <c r="U14" s="1036"/>
      <c r="V14" s="1037"/>
      <c r="W14" s="1038"/>
      <c r="X14" s="350">
        <f>'XM.FILE GOC'!T9</f>
        <v>71</v>
      </c>
      <c r="Y14" s="1088" t="s">
        <v>8</v>
      </c>
      <c r="Z14" s="1089">
        <f>'XM.FILE GOC'!W9</f>
        <v>0</v>
      </c>
      <c r="AA14" s="1090" t="s">
        <v>9</v>
      </c>
      <c r="AB14" s="1035"/>
      <c r="AC14" s="1036"/>
      <c r="AD14" s="1037"/>
      <c r="AE14" s="1038"/>
      <c r="AF14" s="96" t="s">
        <v>42</v>
      </c>
    </row>
    <row r="15" spans="1:32" ht="44.25" customHeight="1">
      <c r="A15" s="1937"/>
      <c r="B15" s="1916"/>
      <c r="C15" s="1916"/>
      <c r="D15" s="1896" t="s">
        <v>112</v>
      </c>
      <c r="E15" s="1898"/>
      <c r="F15" s="56" t="s">
        <v>58</v>
      </c>
      <c r="G15" s="1025" t="s">
        <v>110</v>
      </c>
      <c r="H15" s="350"/>
      <c r="I15" s="65" t="s">
        <v>8</v>
      </c>
      <c r="J15" s="68">
        <f>J14/25*7.5</f>
        <v>0</v>
      </c>
      <c r="K15" s="67" t="s">
        <v>10</v>
      </c>
      <c r="L15" s="1035"/>
      <c r="M15" s="1036"/>
      <c r="N15" s="1040"/>
      <c r="O15" s="1038"/>
      <c r="P15" s="350"/>
      <c r="Q15" s="69" t="s">
        <v>8</v>
      </c>
      <c r="R15" s="1091">
        <f>R14/25*7.5</f>
        <v>0</v>
      </c>
      <c r="S15" s="677" t="s">
        <v>10</v>
      </c>
      <c r="T15" s="1035"/>
      <c r="U15" s="1039"/>
      <c r="V15" s="1040"/>
      <c r="W15" s="1041"/>
      <c r="X15" s="350"/>
      <c r="Y15" s="69" t="s">
        <v>8</v>
      </c>
      <c r="Z15" s="1091">
        <f>Z14/25*7.5</f>
        <v>0</v>
      </c>
      <c r="AA15" s="677" t="s">
        <v>10</v>
      </c>
      <c r="AB15" s="1035"/>
      <c r="AC15" s="1039"/>
      <c r="AD15" s="1040"/>
      <c r="AE15" s="1041"/>
      <c r="AF15" s="96"/>
    </row>
    <row r="16" spans="1:32" ht="44.25" customHeight="1">
      <c r="A16" s="1935">
        <v>5</v>
      </c>
      <c r="B16" s="1896" t="s">
        <v>82</v>
      </c>
      <c r="C16" s="1897"/>
      <c r="D16" s="1897"/>
      <c r="E16" s="1898"/>
      <c r="F16" s="56" t="s">
        <v>4</v>
      </c>
      <c r="G16" s="1168" t="str">
        <f>'XM.GUI MAIL'!$E$10</f>
        <v>130 - 150g/L
(140±5g/L)</v>
      </c>
      <c r="H16" s="352">
        <f>'XM.FILE GOC'!H10</f>
        <v>140</v>
      </c>
      <c r="I16" s="18" t="s">
        <v>8</v>
      </c>
      <c r="J16" s="29">
        <f>'XM.FILE GOC'!K10</f>
        <v>0</v>
      </c>
      <c r="K16" s="19" t="s">
        <v>9</v>
      </c>
      <c r="L16" s="1035"/>
      <c r="M16" s="1039"/>
      <c r="N16" s="1037"/>
      <c r="O16" s="1041"/>
      <c r="P16" s="352">
        <f>'XM.FILE GOC'!N10</f>
        <v>139.19999999999999</v>
      </c>
      <c r="Q16" s="1088" t="s">
        <v>8</v>
      </c>
      <c r="R16" s="1089">
        <f>'XM.FILE GOC'!Q10</f>
        <v>15.960800000000226</v>
      </c>
      <c r="S16" s="1090" t="s">
        <v>9</v>
      </c>
      <c r="T16" s="1035">
        <v>140.80000000000001</v>
      </c>
      <c r="U16" s="1039"/>
      <c r="V16" s="1037"/>
      <c r="W16" s="1041"/>
      <c r="X16" s="352">
        <f>'XM.FILE GOC'!T10</f>
        <v>140.80000000000001</v>
      </c>
      <c r="Y16" s="1088" t="s">
        <v>8</v>
      </c>
      <c r="Z16" s="1089">
        <f>'XM.FILE GOC'!W10</f>
        <v>0</v>
      </c>
      <c r="AA16" s="1090" t="s">
        <v>9</v>
      </c>
      <c r="AB16" s="1035"/>
      <c r="AC16" s="1039"/>
      <c r="AD16" s="1037"/>
      <c r="AE16" s="1041"/>
      <c r="AF16" s="96" t="s">
        <v>43</v>
      </c>
    </row>
    <row r="17" spans="1:32" ht="44.25" customHeight="1">
      <c r="A17" s="1937"/>
      <c r="B17" s="1896" t="s">
        <v>60</v>
      </c>
      <c r="C17" s="1897"/>
      <c r="D17" s="1897"/>
      <c r="E17" s="1898"/>
      <c r="F17" s="56" t="s">
        <v>4</v>
      </c>
      <c r="G17" s="1168" t="str">
        <f>'XM.GUI MAIL'!$E$11</f>
        <v>7-12g/l
(9g±1g/l)</v>
      </c>
      <c r="H17" s="350">
        <f>'XM.FILE GOC'!H11</f>
        <v>10.01</v>
      </c>
      <c r="I17" s="18" t="s">
        <v>8</v>
      </c>
      <c r="J17" s="29">
        <f>'XM.FILE GOC'!K11</f>
        <v>0</v>
      </c>
      <c r="K17" s="19" t="s">
        <v>9</v>
      </c>
      <c r="L17" s="1035"/>
      <c r="M17" s="1042"/>
      <c r="N17" s="1037"/>
      <c r="O17" s="1043"/>
      <c r="P17" s="350">
        <f>'XM.FILE GOC'!N11</f>
        <v>10.01</v>
      </c>
      <c r="Q17" s="1088" t="s">
        <v>8</v>
      </c>
      <c r="R17" s="1089">
        <f>'XM.FILE GOC'!Q11</f>
        <v>0</v>
      </c>
      <c r="S17" s="19" t="s">
        <v>9</v>
      </c>
      <c r="T17" s="1035"/>
      <c r="U17" s="1042"/>
      <c r="V17" s="1037"/>
      <c r="W17" s="1043"/>
      <c r="X17" s="350">
        <f>'XM.FILE GOC'!T11</f>
        <v>9.75</v>
      </c>
      <c r="Y17" s="1088" t="s">
        <v>8</v>
      </c>
      <c r="Z17" s="1089">
        <f>'XM.FILE GOC'!W11</f>
        <v>0</v>
      </c>
      <c r="AA17" s="19" t="s">
        <v>9</v>
      </c>
      <c r="AB17" s="1035"/>
      <c r="AC17" s="1042"/>
      <c r="AD17" s="1037"/>
      <c r="AE17" s="1043"/>
      <c r="AF17" s="96" t="s">
        <v>44</v>
      </c>
    </row>
    <row r="18" spans="1:32" ht="44.25" customHeight="1">
      <c r="A18" s="1935">
        <v>6</v>
      </c>
      <c r="B18" s="1904" t="s">
        <v>1019</v>
      </c>
      <c r="C18" s="1905"/>
      <c r="D18" s="1905"/>
      <c r="E18" s="1906"/>
      <c r="F18" s="56" t="s">
        <v>3</v>
      </c>
      <c r="G18" s="1168" t="str">
        <f>'XM.GUI MAIL'!$E$12</f>
        <v>12~18 %
(14±2%)</v>
      </c>
      <c r="H18" s="350">
        <f>'XM.FILE GOC'!H12</f>
        <v>13.669064748201439</v>
      </c>
      <c r="I18" s="65" t="s">
        <v>8</v>
      </c>
      <c r="J18" s="66">
        <f>'XM.FILE GOC'!K12</f>
        <v>1.902877697841725</v>
      </c>
      <c r="K18" s="67" t="s">
        <v>10</v>
      </c>
      <c r="L18" s="1035">
        <v>14</v>
      </c>
      <c r="M18" s="1036"/>
      <c r="N18" s="1044"/>
      <c r="O18" s="1038"/>
      <c r="P18" s="350">
        <f>'XM.FILE GOC'!N12</f>
        <v>14.388489208633093</v>
      </c>
      <c r="Q18" s="69" t="s">
        <v>8</v>
      </c>
      <c r="R18" s="676">
        <f>'XM.FILE GOC'!Q12</f>
        <v>0</v>
      </c>
      <c r="S18" s="677" t="s">
        <v>10</v>
      </c>
      <c r="T18" s="1035"/>
      <c r="U18" s="1036"/>
      <c r="V18" s="1044"/>
      <c r="W18" s="1038"/>
      <c r="X18" s="350">
        <f>'XM.FILE GOC'!T12</f>
        <v>14</v>
      </c>
      <c r="Y18" s="69" t="s">
        <v>8</v>
      </c>
      <c r="Z18" s="676">
        <f>'XM.FILE GOC'!W12</f>
        <v>0</v>
      </c>
      <c r="AA18" s="677" t="s">
        <v>10</v>
      </c>
      <c r="AB18" s="1035"/>
      <c r="AC18" s="1036"/>
      <c r="AD18" s="1044"/>
      <c r="AE18" s="1038"/>
      <c r="AF18" s="96" t="s">
        <v>45</v>
      </c>
    </row>
    <row r="19" spans="1:32" ht="44.25" customHeight="1">
      <c r="A19" s="1937"/>
      <c r="B19" s="1907"/>
      <c r="C19" s="1908"/>
      <c r="D19" s="1908"/>
      <c r="E19" s="1909"/>
      <c r="F19" s="56" t="s">
        <v>5</v>
      </c>
      <c r="G19" s="1168" t="str">
        <f>'XM.GUI MAIL'!$E$13</f>
        <v>1.6~2.2(1.8±0.1 )</v>
      </c>
      <c r="H19" s="354">
        <f>'XM.FILE GOC'!H13</f>
        <v>1.76</v>
      </c>
      <c r="I19" s="6"/>
      <c r="J19" s="29">
        <f>'XM.FILE GOC'!K13</f>
        <v>0</v>
      </c>
      <c r="K19" s="7"/>
      <c r="L19" s="1035"/>
      <c r="M19" s="1039"/>
      <c r="N19" s="1037"/>
      <c r="O19" s="1041"/>
      <c r="P19" s="354">
        <f>'XM.FILE GOC'!N13</f>
        <v>1.75</v>
      </c>
      <c r="Q19" s="1092"/>
      <c r="R19" s="1089">
        <f>'XM.FILE GOC'!Q13</f>
        <v>0</v>
      </c>
      <c r="S19" s="1093"/>
      <c r="T19" s="1035"/>
      <c r="U19" s="1039"/>
      <c r="V19" s="1037"/>
      <c r="W19" s="1041"/>
      <c r="X19" s="354">
        <f>'XM.FILE GOC'!T13</f>
        <v>1.89</v>
      </c>
      <c r="Y19" s="1092"/>
      <c r="Z19" s="1089">
        <f>'XM.FILE GOC'!W13</f>
        <v>0</v>
      </c>
      <c r="AA19" s="1093"/>
      <c r="AB19" s="1035"/>
      <c r="AC19" s="1039"/>
      <c r="AD19" s="1037"/>
      <c r="AE19" s="1041"/>
      <c r="AF19" s="96"/>
    </row>
    <row r="20" spans="1:32" ht="44.25" customHeight="1">
      <c r="A20" s="1098">
        <v>7</v>
      </c>
      <c r="B20" s="1896" t="s">
        <v>61</v>
      </c>
      <c r="C20" s="1897"/>
      <c r="D20" s="1897"/>
      <c r="E20" s="1898"/>
      <c r="F20" s="1099" t="s">
        <v>6</v>
      </c>
      <c r="G20" s="1168" t="str">
        <f>'XM.GUI MAIL'!$E$14</f>
        <v>30~60 %V/V
(45±5% V/V)</v>
      </c>
      <c r="H20" s="355">
        <f>'XM.FILE GOC'!H14</f>
        <v>0.46</v>
      </c>
      <c r="I20" s="18" t="s">
        <v>8</v>
      </c>
      <c r="J20" s="29">
        <f>'XM.FILE GOC'!K14</f>
        <v>0</v>
      </c>
      <c r="K20" s="19" t="s">
        <v>10</v>
      </c>
      <c r="L20" s="1045"/>
      <c r="M20" s="1036"/>
      <c r="N20" s="1037"/>
      <c r="O20" s="1038"/>
      <c r="P20" s="355">
        <f>'XM.FILE GOC'!N14</f>
        <v>0.45624999999999999</v>
      </c>
      <c r="Q20" s="1088" t="s">
        <v>8</v>
      </c>
      <c r="R20" s="1089">
        <f>'XM.FILE GOC'!Q14</f>
        <v>0</v>
      </c>
      <c r="S20" s="1090" t="s">
        <v>10</v>
      </c>
      <c r="T20" s="1045"/>
      <c r="U20" s="1036"/>
      <c r="V20" s="1037"/>
      <c r="W20" s="1038"/>
      <c r="X20" s="355">
        <f>'XM.FILE GOC'!T14</f>
        <v>0.45200000000000001</v>
      </c>
      <c r="Y20" s="1088" t="s">
        <v>8</v>
      </c>
      <c r="Z20" s="1089">
        <f>'XM.FILE GOC'!W14</f>
        <v>0</v>
      </c>
      <c r="AA20" s="1090" t="s">
        <v>10</v>
      </c>
      <c r="AB20" s="1045"/>
      <c r="AC20" s="1036"/>
      <c r="AD20" s="1037"/>
      <c r="AE20" s="1038"/>
      <c r="AF20" s="96" t="s">
        <v>46</v>
      </c>
    </row>
    <row r="21" spans="1:32" ht="44.25" customHeight="1">
      <c r="A21" s="1098">
        <v>8</v>
      </c>
      <c r="B21" s="1896" t="s">
        <v>62</v>
      </c>
      <c r="C21" s="1897"/>
      <c r="D21" s="1897"/>
      <c r="E21" s="1898"/>
      <c r="F21" s="1099" t="s">
        <v>6</v>
      </c>
      <c r="G21" s="1168" t="str">
        <f>'XM.GUI MAIL'!$E$15</f>
        <v>15~30 %V/V
(22±5 V/V)</v>
      </c>
      <c r="H21" s="355">
        <f>'XM.FILE GOC'!H15</f>
        <v>0.252</v>
      </c>
      <c r="I21" s="69" t="s">
        <v>8</v>
      </c>
      <c r="J21" s="66">
        <f>'XM.FILE GOC'!K15</f>
        <v>0</v>
      </c>
      <c r="K21" s="67" t="s">
        <v>10</v>
      </c>
      <c r="L21" s="1045"/>
      <c r="M21" s="1036"/>
      <c r="N21" s="1044"/>
      <c r="O21" s="1038"/>
      <c r="P21" s="355">
        <f>'XM.FILE GOC'!N15</f>
        <v>0.24199999999999999</v>
      </c>
      <c r="Q21" s="69" t="s">
        <v>8</v>
      </c>
      <c r="R21" s="676">
        <f>'XM.FILE GOC'!Q15</f>
        <v>0</v>
      </c>
      <c r="S21" s="677" t="s">
        <v>10</v>
      </c>
      <c r="T21" s="1045"/>
      <c r="U21" s="1036"/>
      <c r="V21" s="1044"/>
      <c r="W21" s="1038"/>
      <c r="X21" s="355">
        <f>'XM.FILE GOC'!T15</f>
        <v>0.23300000000000001</v>
      </c>
      <c r="Y21" s="69" t="s">
        <v>8</v>
      </c>
      <c r="Z21" s="676">
        <f>'XM.FILE GOC'!W15</f>
        <v>0</v>
      </c>
      <c r="AA21" s="1090" t="s">
        <v>10</v>
      </c>
      <c r="AB21" s="1045"/>
      <c r="AC21" s="1036"/>
      <c r="AD21" s="1044"/>
      <c r="AE21" s="1038"/>
      <c r="AF21" s="96" t="s">
        <v>46</v>
      </c>
    </row>
    <row r="22" spans="1:32" ht="44.25" customHeight="1">
      <c r="A22" s="1098">
        <v>9</v>
      </c>
      <c r="B22" s="1896" t="s">
        <v>116</v>
      </c>
      <c r="C22" s="1897"/>
      <c r="D22" s="1897"/>
      <c r="E22" s="1898"/>
      <c r="F22" s="1099" t="s">
        <v>6</v>
      </c>
      <c r="G22" s="1168" t="str">
        <f>'XM.GUI MAIL'!$E$16</f>
        <v>5~15 %V/V
(10±3% V/V)</v>
      </c>
      <c r="H22" s="355">
        <f>'XM.FILE GOC'!H16</f>
        <v>0.1140625</v>
      </c>
      <c r="I22" s="18" t="s">
        <v>8</v>
      </c>
      <c r="J22" s="29">
        <f>'XM.FILE GOC'!K16</f>
        <v>0</v>
      </c>
      <c r="K22" s="19" t="s">
        <v>10</v>
      </c>
      <c r="L22" s="1045"/>
      <c r="M22" s="1036"/>
      <c r="N22" s="1037"/>
      <c r="O22" s="1038"/>
      <c r="P22" s="355">
        <f>'XM.FILE GOC'!N16</f>
        <v>0.10493749999999999</v>
      </c>
      <c r="Q22" s="1088" t="s">
        <v>8</v>
      </c>
      <c r="R22" s="1089">
        <f>'XM.FILE GOC'!Q16</f>
        <v>0</v>
      </c>
      <c r="S22" s="1090" t="s">
        <v>10</v>
      </c>
      <c r="T22" s="1045"/>
      <c r="U22" s="1036"/>
      <c r="V22" s="1037"/>
      <c r="W22" s="1038"/>
      <c r="X22" s="355">
        <f>'XM.FILE GOC'!T16</f>
        <v>9.3531249999999982E-2</v>
      </c>
      <c r="Y22" s="1088" t="s">
        <v>8</v>
      </c>
      <c r="Z22" s="1089">
        <f>'XM.FILE GOC'!W16</f>
        <v>3.7195312500000135</v>
      </c>
      <c r="AA22" s="1090" t="s">
        <v>10</v>
      </c>
      <c r="AB22" s="1045">
        <v>0.106</v>
      </c>
      <c r="AC22" s="1036"/>
      <c r="AD22" s="1037"/>
      <c r="AE22" s="1038"/>
      <c r="AF22" s="96" t="s">
        <v>47</v>
      </c>
    </row>
    <row r="23" spans="1:32" ht="44.25" customHeight="1">
      <c r="A23" s="1098">
        <v>10</v>
      </c>
      <c r="B23" s="1896" t="s">
        <v>1020</v>
      </c>
      <c r="C23" s="1897"/>
      <c r="D23" s="1897"/>
      <c r="E23" s="1898"/>
      <c r="F23" s="1099" t="s">
        <v>3</v>
      </c>
      <c r="G23" s="1168" t="str">
        <f>'XM.GUI MAIL'!$E$17</f>
        <v>0.5~1.5%
(1±0.4%)</v>
      </c>
      <c r="H23" s="358">
        <f>'XM.FILE GOC'!H17</f>
        <v>1.1341800000000003E-2</v>
      </c>
      <c r="I23" s="18" t="s">
        <v>8</v>
      </c>
      <c r="J23" s="53">
        <f>'XM.FILE GOC'!K17</f>
        <v>0</v>
      </c>
      <c r="K23" s="19" t="s">
        <v>10</v>
      </c>
      <c r="L23" s="1046"/>
      <c r="M23" s="1047"/>
      <c r="N23" s="1048"/>
      <c r="O23" s="1049"/>
      <c r="P23" s="358">
        <f>'XM.FILE GOC'!N17</f>
        <v>1.0081600000000001E-2</v>
      </c>
      <c r="Q23" s="1088" t="s">
        <v>8</v>
      </c>
      <c r="R23" s="1094">
        <f>'XM.FILE GOC'!Q17</f>
        <v>0</v>
      </c>
      <c r="S23" s="1090" t="s">
        <v>10</v>
      </c>
      <c r="T23" s="1046"/>
      <c r="U23" s="1047"/>
      <c r="V23" s="1048"/>
      <c r="W23" s="1049"/>
      <c r="X23" s="358">
        <f>'XM.FILE GOC'!T17</f>
        <v>1.1341800000000003E-2</v>
      </c>
      <c r="Y23" s="1088" t="s">
        <v>8</v>
      </c>
      <c r="Z23" s="1094">
        <f>'XM.FILE GOC'!W17</f>
        <v>0</v>
      </c>
      <c r="AA23" s="1090" t="s">
        <v>10</v>
      </c>
      <c r="AB23" s="1046"/>
      <c r="AC23" s="1047"/>
      <c r="AD23" s="1048"/>
      <c r="AE23" s="1049"/>
      <c r="AF23" s="96" t="s">
        <v>47</v>
      </c>
    </row>
    <row r="24" spans="1:32" ht="44.25" customHeight="1">
      <c r="A24" s="1887" t="s">
        <v>76</v>
      </c>
      <c r="B24" s="1933"/>
      <c r="C24" s="1933"/>
      <c r="D24" s="1933"/>
      <c r="E24" s="1933"/>
      <c r="F24" s="1933"/>
      <c r="G24" s="1933"/>
      <c r="H24" s="1933"/>
      <c r="I24" s="1933"/>
      <c r="J24" s="1933"/>
      <c r="K24" s="1933"/>
      <c r="L24" s="1948"/>
      <c r="M24" s="1948"/>
      <c r="N24" s="1948"/>
      <c r="O24" s="1948"/>
      <c r="P24" s="1933"/>
      <c r="Q24" s="1933"/>
      <c r="R24" s="1933"/>
      <c r="S24" s="1933"/>
      <c r="T24" s="1933"/>
      <c r="U24" s="1933"/>
      <c r="V24" s="1933"/>
      <c r="W24" s="1933"/>
      <c r="X24" s="1933"/>
      <c r="Y24" s="1933"/>
      <c r="Z24" s="1933"/>
      <c r="AA24" s="1933"/>
      <c r="AB24" s="1933"/>
      <c r="AC24" s="1933"/>
      <c r="AD24" s="1933"/>
      <c r="AE24" s="1933"/>
      <c r="AF24" s="1888"/>
    </row>
    <row r="25" spans="1:32" ht="44.25" customHeight="1">
      <c r="A25" s="1098" t="s">
        <v>7</v>
      </c>
      <c r="B25" s="1896" t="s">
        <v>64</v>
      </c>
      <c r="C25" s="1897"/>
      <c r="D25" s="1897"/>
      <c r="E25" s="1898"/>
      <c r="F25" s="291" t="s">
        <v>66</v>
      </c>
      <c r="G25" s="1100" t="s">
        <v>67</v>
      </c>
      <c r="H25" s="1934" t="s">
        <v>48</v>
      </c>
      <c r="I25" s="1934"/>
      <c r="J25" s="1934" t="s">
        <v>65</v>
      </c>
      <c r="K25" s="1944"/>
      <c r="L25" s="1050"/>
      <c r="M25" s="1051"/>
      <c r="N25" s="1051"/>
      <c r="O25" s="1052"/>
      <c r="P25" s="1894" t="s">
        <v>48</v>
      </c>
      <c r="Q25" s="1895"/>
      <c r="R25" s="1895" t="s">
        <v>65</v>
      </c>
      <c r="S25" s="1895"/>
      <c r="T25" s="1050"/>
      <c r="U25" s="1051"/>
      <c r="V25" s="1051"/>
      <c r="W25" s="1052"/>
      <c r="X25" s="1895" t="s">
        <v>48</v>
      </c>
      <c r="Y25" s="1895"/>
      <c r="Z25" s="1895" t="s">
        <v>65</v>
      </c>
      <c r="AA25" s="1895"/>
      <c r="AB25" s="1050"/>
      <c r="AC25" s="1051"/>
      <c r="AD25" s="1051"/>
      <c r="AE25" s="1052"/>
      <c r="AF25" s="95"/>
    </row>
    <row r="26" spans="1:32" ht="44.25" customHeight="1">
      <c r="A26" s="1098">
        <v>1</v>
      </c>
      <c r="B26" s="1896" t="s">
        <v>68</v>
      </c>
      <c r="C26" s="1897"/>
      <c r="D26" s="1897"/>
      <c r="E26" s="1898"/>
      <c r="F26" s="290" t="s">
        <v>216</v>
      </c>
      <c r="G26" s="1169" t="str">
        <f>'XM.GUI MAIL'!$E$22</f>
        <v>65~75ºC
(70±3OC)</v>
      </c>
      <c r="H26" s="1869">
        <f>'XM.FILE GOC'!H22</f>
        <v>69</v>
      </c>
      <c r="I26" s="1869"/>
      <c r="J26" s="1869">
        <f>'XM.FILE GOC'!K22</f>
        <v>68</v>
      </c>
      <c r="K26" s="1866"/>
      <c r="L26" s="1053"/>
      <c r="M26" s="1054"/>
      <c r="N26" s="1054"/>
      <c r="O26" s="1055"/>
      <c r="P26" s="1940">
        <v>68</v>
      </c>
      <c r="Q26" s="1893"/>
      <c r="R26" s="1893">
        <v>69</v>
      </c>
      <c r="S26" s="1893"/>
      <c r="T26" s="1053"/>
      <c r="U26" s="1054"/>
      <c r="V26" s="1054"/>
      <c r="W26" s="1055"/>
      <c r="X26" s="1893">
        <v>67</v>
      </c>
      <c r="Y26" s="1893"/>
      <c r="Z26" s="1893">
        <v>68</v>
      </c>
      <c r="AA26" s="1893"/>
      <c r="AB26" s="1053"/>
      <c r="AC26" s="1054"/>
      <c r="AD26" s="1054"/>
      <c r="AE26" s="1055"/>
      <c r="AF26" s="96"/>
    </row>
    <row r="27" spans="1:32" ht="44.25" customHeight="1">
      <c r="A27" s="1098">
        <v>2</v>
      </c>
      <c r="B27" s="1896" t="s">
        <v>69</v>
      </c>
      <c r="C27" s="1897" t="s">
        <v>69</v>
      </c>
      <c r="D27" s="1897" t="s">
        <v>69</v>
      </c>
      <c r="E27" s="1898" t="s">
        <v>69</v>
      </c>
      <c r="F27" s="290" t="s">
        <v>216</v>
      </c>
      <c r="G27" s="1169" t="str">
        <f>'XM.GUI MAIL'!$E$23</f>
        <v>65~75ºC
(70±3OC)</v>
      </c>
      <c r="H27" s="1869">
        <f>'XM.FILE GOC'!H23</f>
        <v>71</v>
      </c>
      <c r="I27" s="1869"/>
      <c r="J27" s="1869">
        <f>'XM.FILE GOC'!K23</f>
        <v>70</v>
      </c>
      <c r="K27" s="1866"/>
      <c r="L27" s="1053"/>
      <c r="M27" s="1054"/>
      <c r="N27" s="1054"/>
      <c r="O27" s="1055"/>
      <c r="P27" s="1940">
        <f>'XM.FILE GOC'!N23</f>
        <v>71</v>
      </c>
      <c r="Q27" s="1893"/>
      <c r="R27" s="1893">
        <f>'XM.FILE GOC'!Q23</f>
        <v>70</v>
      </c>
      <c r="S27" s="1893"/>
      <c r="T27" s="1053"/>
      <c r="U27" s="1054"/>
      <c r="V27" s="1054"/>
      <c r="W27" s="1055"/>
      <c r="X27" s="1893">
        <f>'XM.FILE GOC'!T23</f>
        <v>71</v>
      </c>
      <c r="Y27" s="1893"/>
      <c r="Z27" s="1893">
        <f>'XM.FILE GOC'!W23</f>
        <v>70</v>
      </c>
      <c r="AA27" s="1893"/>
      <c r="AB27" s="1053"/>
      <c r="AC27" s="1054"/>
      <c r="AD27" s="1054"/>
      <c r="AE27" s="1055"/>
      <c r="AF27" s="96"/>
    </row>
    <row r="28" spans="1:32" ht="44.25" customHeight="1">
      <c r="A28" s="1098">
        <v>3</v>
      </c>
      <c r="B28" s="1896" t="s">
        <v>71</v>
      </c>
      <c r="C28" s="1897" t="s">
        <v>71</v>
      </c>
      <c r="D28" s="1897" t="s">
        <v>71</v>
      </c>
      <c r="E28" s="1898" t="s">
        <v>71</v>
      </c>
      <c r="F28" s="290" t="s">
        <v>216</v>
      </c>
      <c r="G28" s="1169" t="str">
        <f>'XM.GUI MAIL'!$E$24</f>
        <v>50~60ºC
(55±3OC)</v>
      </c>
      <c r="H28" s="1866">
        <f>'XM.FILE GOC'!H24</f>
        <v>58</v>
      </c>
      <c r="I28" s="1867"/>
      <c r="J28" s="1866">
        <f>'XM.FILE GOC'!K24</f>
        <v>57</v>
      </c>
      <c r="K28" s="1867"/>
      <c r="L28" s="1053"/>
      <c r="M28" s="1054"/>
      <c r="N28" s="1054"/>
      <c r="O28" s="1055"/>
      <c r="P28" s="1892">
        <f>'XM.FILE GOC'!N24</f>
        <v>58</v>
      </c>
      <c r="Q28" s="1892"/>
      <c r="R28" s="1891">
        <f>'XM.FILE GOC'!Q24</f>
        <v>57</v>
      </c>
      <c r="S28" s="1892"/>
      <c r="T28" s="1053"/>
      <c r="U28" s="1054"/>
      <c r="V28" s="1054"/>
      <c r="W28" s="1055"/>
      <c r="X28" s="1891">
        <f>'XM.FILE GOC'!T24</f>
        <v>58</v>
      </c>
      <c r="Y28" s="1892"/>
      <c r="Z28" s="1891">
        <f>'XM.FILE GOC'!W24</f>
        <v>60</v>
      </c>
      <c r="AA28" s="1892"/>
      <c r="AB28" s="1053"/>
      <c r="AC28" s="1054"/>
      <c r="AD28" s="1054"/>
      <c r="AE28" s="1055"/>
      <c r="AF28" s="96"/>
    </row>
    <row r="29" spans="1:32" ht="44.25" customHeight="1">
      <c r="A29" s="1098">
        <v>4</v>
      </c>
      <c r="B29" s="1896" t="s">
        <v>70</v>
      </c>
      <c r="C29" s="1897" t="s">
        <v>70</v>
      </c>
      <c r="D29" s="1897" t="s">
        <v>70</v>
      </c>
      <c r="E29" s="1898" t="s">
        <v>70</v>
      </c>
      <c r="F29" s="290" t="s">
        <v>216</v>
      </c>
      <c r="G29" s="1169" t="str">
        <f>'XM.GUI MAIL'!$E$25</f>
        <v>50~60ºC
(55±3OC)</v>
      </c>
      <c r="H29" s="1866">
        <f>'XM.FILE GOC'!H25</f>
        <v>55</v>
      </c>
      <c r="I29" s="1867"/>
      <c r="J29" s="1866">
        <f>'XM.FILE GOC'!K25</f>
        <v>54</v>
      </c>
      <c r="K29" s="1867"/>
      <c r="L29" s="1053"/>
      <c r="M29" s="1054"/>
      <c r="N29" s="1054"/>
      <c r="O29" s="1055"/>
      <c r="P29" s="1892">
        <f>'XM.FILE GOC'!N25</f>
        <v>56</v>
      </c>
      <c r="Q29" s="1892"/>
      <c r="R29" s="1891">
        <f>'XM.FILE GOC'!Q25</f>
        <v>55</v>
      </c>
      <c r="S29" s="1892"/>
      <c r="T29" s="1053"/>
      <c r="U29" s="1054"/>
      <c r="V29" s="1054"/>
      <c r="W29" s="1055"/>
      <c r="X29" s="1891">
        <f>'XM.FILE GOC'!T25</f>
        <v>56</v>
      </c>
      <c r="Y29" s="1892"/>
      <c r="Z29" s="1891">
        <f>'XM.FILE GOC'!W25</f>
        <v>54</v>
      </c>
      <c r="AA29" s="1892"/>
      <c r="AB29" s="1053"/>
      <c r="AC29" s="1054"/>
      <c r="AD29" s="1054"/>
      <c r="AE29" s="1055"/>
      <c r="AF29" s="96"/>
    </row>
    <row r="30" spans="1:32" ht="44.25" customHeight="1">
      <c r="A30" s="1098">
        <v>5</v>
      </c>
      <c r="B30" s="1896" t="s">
        <v>72</v>
      </c>
      <c r="C30" s="1897" t="s">
        <v>72</v>
      </c>
      <c r="D30" s="1897" t="s">
        <v>72</v>
      </c>
      <c r="E30" s="1898" t="s">
        <v>72</v>
      </c>
      <c r="F30" s="290" t="s">
        <v>216</v>
      </c>
      <c r="G30" s="1169" t="str">
        <f>'XM.GUI MAIL'!$E$26</f>
        <v>20~30ºC
(25±3OC)</v>
      </c>
      <c r="H30" s="1869">
        <v>25</v>
      </c>
      <c r="I30" s="1869"/>
      <c r="J30" s="1869">
        <v>26</v>
      </c>
      <c r="K30" s="1866"/>
      <c r="L30" s="1053"/>
      <c r="M30" s="1054"/>
      <c r="N30" s="1054"/>
      <c r="O30" s="1055"/>
      <c r="P30" s="1940">
        <v>26</v>
      </c>
      <c r="Q30" s="1893"/>
      <c r="R30" s="1893">
        <v>27</v>
      </c>
      <c r="S30" s="1893"/>
      <c r="T30" s="1053"/>
      <c r="U30" s="1054"/>
      <c r="V30" s="1054"/>
      <c r="W30" s="1055"/>
      <c r="X30" s="1893">
        <v>25</v>
      </c>
      <c r="Y30" s="1893"/>
      <c r="Z30" s="1893">
        <v>26</v>
      </c>
      <c r="AA30" s="1893"/>
      <c r="AB30" s="1053"/>
      <c r="AC30" s="1054"/>
      <c r="AD30" s="1054"/>
      <c r="AE30" s="1055"/>
      <c r="AF30" s="96"/>
    </row>
    <row r="31" spans="1:32" ht="44.25" customHeight="1">
      <c r="A31" s="1098">
        <v>6</v>
      </c>
      <c r="B31" s="1896" t="s">
        <v>1021</v>
      </c>
      <c r="C31" s="1897" t="s">
        <v>1021</v>
      </c>
      <c r="D31" s="1897" t="s">
        <v>1021</v>
      </c>
      <c r="E31" s="1898" t="s">
        <v>1021</v>
      </c>
      <c r="F31" s="290" t="s">
        <v>216</v>
      </c>
      <c r="G31" s="1169" t="str">
        <f>'XM.GUI MAIL'!$E$27</f>
        <v>35-45ºC
(40±3OC)</v>
      </c>
      <c r="H31" s="1866">
        <f>'XM.FILE GOC'!H27</f>
        <v>42</v>
      </c>
      <c r="I31" s="1867"/>
      <c r="J31" s="1866">
        <f>'XM.FILE GOC'!K27</f>
        <v>41</v>
      </c>
      <c r="K31" s="1867"/>
      <c r="L31" s="1053"/>
      <c r="M31" s="1054"/>
      <c r="N31" s="1054"/>
      <c r="O31" s="1055"/>
      <c r="P31" s="1892">
        <f>'XM.FILE GOC'!N27</f>
        <v>42</v>
      </c>
      <c r="Q31" s="1892"/>
      <c r="R31" s="1891">
        <f>'XM.FILE GOC'!Q27</f>
        <v>41</v>
      </c>
      <c r="S31" s="1892"/>
      <c r="T31" s="1053"/>
      <c r="U31" s="1054"/>
      <c r="V31" s="1054"/>
      <c r="W31" s="1055"/>
      <c r="X31" s="1891">
        <f>'XM.FILE GOC'!T27</f>
        <v>42</v>
      </c>
      <c r="Y31" s="1892"/>
      <c r="Z31" s="1891">
        <f>'XM.FILE GOC'!W27</f>
        <v>41</v>
      </c>
      <c r="AA31" s="1892"/>
      <c r="AB31" s="1053"/>
      <c r="AC31" s="1054"/>
      <c r="AD31" s="1054"/>
      <c r="AE31" s="1055"/>
      <c r="AF31" s="96"/>
    </row>
    <row r="32" spans="1:32" ht="44.25" customHeight="1">
      <c r="A32" s="1098">
        <v>7</v>
      </c>
      <c r="B32" s="1896" t="s">
        <v>73</v>
      </c>
      <c r="C32" s="1897" t="s">
        <v>73</v>
      </c>
      <c r="D32" s="1897" t="s">
        <v>73</v>
      </c>
      <c r="E32" s="1898" t="s">
        <v>73</v>
      </c>
      <c r="F32" s="290" t="s">
        <v>216</v>
      </c>
      <c r="G32" s="1169" t="str">
        <f>'XM.GUI MAIL'!$E$28</f>
        <v>55~65ºC
(60±3OC)</v>
      </c>
      <c r="H32" s="1866">
        <f>'XM.FILE GOC'!H28</f>
        <v>57</v>
      </c>
      <c r="I32" s="1867"/>
      <c r="J32" s="1866">
        <f>'XM.FILE GOC'!K28</f>
        <v>56</v>
      </c>
      <c r="K32" s="1867"/>
      <c r="L32" s="1053"/>
      <c r="M32" s="1054"/>
      <c r="N32" s="1054"/>
      <c r="O32" s="1055"/>
      <c r="P32" s="1892">
        <f>'XM.FILE GOC'!N28</f>
        <v>58</v>
      </c>
      <c r="Q32" s="1892"/>
      <c r="R32" s="1891">
        <f>'XM.FILE GOC'!Q28</f>
        <v>57</v>
      </c>
      <c r="S32" s="1892"/>
      <c r="T32" s="1053"/>
      <c r="U32" s="1054"/>
      <c r="V32" s="1054"/>
      <c r="W32" s="1055"/>
      <c r="X32" s="1891">
        <f>'XM.FILE GOC'!T28</f>
        <v>58</v>
      </c>
      <c r="Y32" s="1892"/>
      <c r="Z32" s="1891">
        <f>'XM.FILE GOC'!W28</f>
        <v>57</v>
      </c>
      <c r="AA32" s="1892"/>
      <c r="AB32" s="1053"/>
      <c r="AC32" s="1054"/>
      <c r="AD32" s="1054"/>
      <c r="AE32" s="1055"/>
      <c r="AF32" s="96"/>
    </row>
    <row r="33" spans="1:32" ht="44.25" customHeight="1">
      <c r="A33" s="1098">
        <v>8</v>
      </c>
      <c r="B33" s="1899" t="s">
        <v>74</v>
      </c>
      <c r="C33" s="1900" t="s">
        <v>74</v>
      </c>
      <c r="D33" s="1900" t="s">
        <v>74</v>
      </c>
      <c r="E33" s="1901" t="s">
        <v>74</v>
      </c>
      <c r="F33" s="290" t="s">
        <v>216</v>
      </c>
      <c r="G33" s="1169" t="str">
        <f>'XM.GUI MAIL'!$E$29</f>
        <v>65~75ºC
(70±3OC)</v>
      </c>
      <c r="H33" s="1934" t="str">
        <f>'XM.FILE GOC'!H29</f>
        <v>\</v>
      </c>
      <c r="I33" s="1934"/>
      <c r="J33" s="1869">
        <f>'XM.FILE GOC'!K29</f>
        <v>73</v>
      </c>
      <c r="K33" s="1866"/>
      <c r="L33" s="1056"/>
      <c r="M33" s="1057"/>
      <c r="N33" s="1057"/>
      <c r="O33" s="1058"/>
      <c r="P33" s="1894" t="str">
        <f>'XM.FILE GOC'!N29</f>
        <v>\</v>
      </c>
      <c r="Q33" s="1895"/>
      <c r="R33" s="1893">
        <f>'XM.FILE GOC'!Q29</f>
        <v>74</v>
      </c>
      <c r="S33" s="1893"/>
      <c r="T33" s="1056"/>
      <c r="U33" s="1057"/>
      <c r="V33" s="1057"/>
      <c r="W33" s="1058"/>
      <c r="X33" s="1895" t="str">
        <f>'XM.FILE GOC'!T29</f>
        <v>\</v>
      </c>
      <c r="Y33" s="1895"/>
      <c r="Z33" s="1893">
        <f>'XM.FILE GOC'!W29</f>
        <v>70</v>
      </c>
      <c r="AA33" s="1893"/>
      <c r="AB33" s="1056"/>
      <c r="AC33" s="1057"/>
      <c r="AD33" s="1057"/>
      <c r="AE33" s="1058"/>
      <c r="AF33" s="96"/>
    </row>
    <row r="34" spans="1:32" ht="52.5" customHeight="1">
      <c r="A34" s="1887" t="s">
        <v>217</v>
      </c>
      <c r="B34" s="1933"/>
      <c r="C34" s="1933"/>
      <c r="D34" s="1933"/>
      <c r="E34" s="1933"/>
      <c r="F34" s="1933"/>
      <c r="G34" s="1933"/>
      <c r="H34" s="1933"/>
      <c r="I34" s="1933"/>
      <c r="J34" s="1933"/>
      <c r="K34" s="1933"/>
      <c r="L34" s="1947"/>
      <c r="M34" s="1947"/>
      <c r="N34" s="1947"/>
      <c r="O34" s="1947"/>
      <c r="P34" s="1933"/>
      <c r="Q34" s="1933"/>
      <c r="R34" s="1933"/>
      <c r="S34" s="1933"/>
      <c r="T34" s="1933"/>
      <c r="U34" s="1933"/>
      <c r="V34" s="1933"/>
      <c r="W34" s="1933"/>
      <c r="X34" s="1933"/>
      <c r="Y34" s="1933"/>
      <c r="Z34" s="1933"/>
      <c r="AA34" s="1933"/>
      <c r="AB34" s="1933"/>
      <c r="AC34" s="1933"/>
      <c r="AD34" s="1933"/>
      <c r="AE34" s="1933"/>
      <c r="AF34" s="1888"/>
    </row>
    <row r="35" spans="1:32" ht="52.5" customHeight="1">
      <c r="A35" s="1098" t="s">
        <v>7</v>
      </c>
      <c r="B35" s="1896" t="s">
        <v>100</v>
      </c>
      <c r="C35" s="1897"/>
      <c r="D35" s="1897"/>
      <c r="E35" s="1898"/>
      <c r="F35" s="661" t="s">
        <v>101</v>
      </c>
      <c r="G35" s="1100" t="s">
        <v>67</v>
      </c>
      <c r="H35" s="1944" t="s">
        <v>119</v>
      </c>
      <c r="I35" s="1945"/>
      <c r="J35" s="1945"/>
      <c r="K35" s="1945"/>
      <c r="L35" s="1050"/>
      <c r="M35" s="1051"/>
      <c r="N35" s="1051"/>
      <c r="O35" s="1052"/>
      <c r="P35" s="1943" t="s">
        <v>119</v>
      </c>
      <c r="Q35" s="1943"/>
      <c r="R35" s="1943"/>
      <c r="S35" s="1894"/>
      <c r="T35" s="1050"/>
      <c r="U35" s="1051"/>
      <c r="V35" s="1051"/>
      <c r="W35" s="1052"/>
      <c r="X35" s="1942" t="s">
        <v>119</v>
      </c>
      <c r="Y35" s="1943"/>
      <c r="Z35" s="1943"/>
      <c r="AA35" s="1894"/>
      <c r="AB35" s="1050"/>
      <c r="AC35" s="1051"/>
      <c r="AD35" s="1051"/>
      <c r="AE35" s="1052"/>
      <c r="AF35" s="95"/>
    </row>
    <row r="36" spans="1:32" ht="56.25" customHeight="1">
      <c r="A36" s="1098">
        <v>1</v>
      </c>
      <c r="B36" s="1896" t="s">
        <v>54</v>
      </c>
      <c r="C36" s="1897"/>
      <c r="D36" s="1897"/>
      <c r="E36" s="1898"/>
      <c r="F36" s="1101" t="s">
        <v>50</v>
      </c>
      <c r="G36" s="305" t="str">
        <f>'XM.GUI MAIL'!$E$31</f>
        <v>300-360</v>
      </c>
      <c r="H36" s="1869">
        <f>'XM.FILE GOC'!H31</f>
        <v>350</v>
      </c>
      <c r="I36" s="1869"/>
      <c r="J36" s="1869"/>
      <c r="K36" s="1866"/>
      <c r="L36" s="1059"/>
      <c r="M36" s="1032"/>
      <c r="N36" s="1032"/>
      <c r="O36" s="1060"/>
      <c r="P36" s="1940">
        <f>'XM.FILE GOC'!N31</f>
        <v>345</v>
      </c>
      <c r="Q36" s="1893"/>
      <c r="R36" s="1893"/>
      <c r="S36" s="1893"/>
      <c r="T36" s="1059"/>
      <c r="U36" s="1032"/>
      <c r="V36" s="1032"/>
      <c r="W36" s="1060"/>
      <c r="X36" s="1893">
        <f>'XM.FILE GOC'!T31</f>
        <v>330</v>
      </c>
      <c r="Y36" s="1893"/>
      <c r="Z36" s="1893"/>
      <c r="AA36" s="1893"/>
      <c r="AB36" s="1059"/>
      <c r="AC36" s="1032"/>
      <c r="AD36" s="1032"/>
      <c r="AE36" s="1060"/>
      <c r="AF36" s="96"/>
    </row>
    <row r="37" spans="1:32" ht="55.5" customHeight="1">
      <c r="A37" s="1098">
        <v>2</v>
      </c>
      <c r="B37" s="1896" t="s">
        <v>94</v>
      </c>
      <c r="C37" s="1897"/>
      <c r="D37" s="1897"/>
      <c r="E37" s="1898"/>
      <c r="F37" s="1101" t="s">
        <v>50</v>
      </c>
      <c r="G37" s="306" t="str">
        <f>'XM.GUI MAIL'!$E$32</f>
        <v>30-50</v>
      </c>
      <c r="H37" s="1869">
        <f>'XM.FILE GOC'!H32</f>
        <v>44</v>
      </c>
      <c r="I37" s="1869"/>
      <c r="J37" s="1869"/>
      <c r="K37" s="1866"/>
      <c r="L37" s="1061"/>
      <c r="M37" s="1062"/>
      <c r="N37" s="1062"/>
      <c r="O37" s="1063"/>
      <c r="P37" s="1940">
        <f>'XM.FILE GOC'!N32</f>
        <v>42</v>
      </c>
      <c r="Q37" s="1893"/>
      <c r="R37" s="1893"/>
      <c r="S37" s="1893"/>
      <c r="T37" s="1061"/>
      <c r="U37" s="1062"/>
      <c r="V37" s="1062"/>
      <c r="W37" s="1063"/>
      <c r="X37" s="1893">
        <f>'XM.FILE GOC'!T32</f>
        <v>42</v>
      </c>
      <c r="Y37" s="1893"/>
      <c r="Z37" s="1893"/>
      <c r="AA37" s="1893"/>
      <c r="AB37" s="1061"/>
      <c r="AC37" s="1062"/>
      <c r="AD37" s="1062"/>
      <c r="AE37" s="1063"/>
      <c r="AF37" s="96"/>
    </row>
    <row r="38" spans="1:32" ht="62.25" hidden="1" customHeight="1">
      <c r="A38" s="1102"/>
      <c r="B38" s="1103"/>
      <c r="C38" s="1103"/>
      <c r="D38" s="1103"/>
      <c r="E38" s="1103"/>
      <c r="F38" s="1095"/>
      <c r="G38" s="1095"/>
      <c r="H38" s="1095"/>
      <c r="I38" s="1027"/>
      <c r="J38" s="1027"/>
      <c r="K38" s="1027"/>
      <c r="L38" s="1064"/>
      <c r="M38" s="1064"/>
      <c r="N38" s="1064"/>
      <c r="O38" s="1064"/>
      <c r="P38" s="1095"/>
      <c r="Q38" s="1095"/>
      <c r="R38" s="1095"/>
      <c r="S38" s="1095"/>
      <c r="T38" s="1064"/>
      <c r="U38" s="1064"/>
      <c r="V38" s="1064"/>
      <c r="W38" s="1064"/>
      <c r="X38" s="1095"/>
      <c r="Y38" s="1095"/>
      <c r="Z38" s="1095"/>
      <c r="AA38" s="1095"/>
      <c r="AB38" s="1064"/>
      <c r="AC38" s="1064"/>
      <c r="AD38" s="1064"/>
      <c r="AE38" s="1064"/>
      <c r="AF38" s="1027"/>
    </row>
    <row r="39" spans="1:32" ht="40.5" customHeight="1">
      <c r="A39" s="1941" t="s">
        <v>147</v>
      </c>
      <c r="B39" s="1941"/>
      <c r="C39" s="1941"/>
      <c r="D39" s="1941"/>
      <c r="E39" s="1941"/>
      <c r="F39" s="1941"/>
      <c r="G39" s="1941"/>
      <c r="H39" s="1941"/>
      <c r="I39" s="1941"/>
      <c r="J39" s="1941"/>
      <c r="K39" s="1941"/>
      <c r="L39" s="1941"/>
      <c r="M39" s="1941"/>
      <c r="N39" s="1941"/>
      <c r="O39" s="1941"/>
      <c r="P39" s="1941"/>
      <c r="Q39" s="1941"/>
      <c r="R39" s="1941"/>
      <c r="S39" s="1941"/>
      <c r="T39" s="1941"/>
      <c r="U39" s="1941"/>
      <c r="V39" s="1941"/>
      <c r="W39" s="1941"/>
      <c r="X39" s="1941"/>
      <c r="Y39" s="1941"/>
      <c r="Z39" s="98"/>
      <c r="AA39" s="98"/>
      <c r="AB39" s="1066"/>
      <c r="AC39" s="1066"/>
      <c r="AD39" s="1066"/>
      <c r="AE39" s="1066"/>
      <c r="AF39" s="1030"/>
    </row>
    <row r="40" spans="1:32" ht="60.75" customHeight="1">
      <c r="A40" s="1889" t="s">
        <v>240</v>
      </c>
      <c r="B40" s="1889"/>
      <c r="C40" s="1889"/>
      <c r="D40" s="1889"/>
      <c r="E40" s="1889"/>
      <c r="F40" s="1889"/>
      <c r="G40" s="1889"/>
      <c r="H40" s="1889"/>
      <c r="I40" s="1889"/>
      <c r="J40" s="1889"/>
      <c r="K40" s="1889"/>
      <c r="L40" s="1889"/>
      <c r="M40" s="1889"/>
      <c r="N40" s="1889"/>
      <c r="O40" s="1889"/>
      <c r="P40" s="1889"/>
      <c r="Q40" s="1889"/>
      <c r="R40" s="1889"/>
      <c r="S40" s="1889"/>
      <c r="T40" s="1889"/>
      <c r="U40" s="1889"/>
      <c r="V40" s="1889"/>
      <c r="W40" s="1889"/>
      <c r="X40" s="1889"/>
      <c r="Y40" s="1889"/>
      <c r="Z40" s="1889"/>
      <c r="AA40" s="1889"/>
      <c r="AB40" s="1890"/>
      <c r="AC40" s="1886" t="s">
        <v>96</v>
      </c>
      <c r="AD40" s="1886"/>
      <c r="AE40" s="1887" t="s">
        <v>97</v>
      </c>
      <c r="AF40" s="1888"/>
    </row>
    <row r="41" spans="1:32" ht="45" customHeight="1">
      <c r="B41" s="1919" t="s">
        <v>234</v>
      </c>
      <c r="C41" s="1919"/>
      <c r="D41" s="1919"/>
      <c r="E41" s="1919"/>
      <c r="F41" s="1097"/>
      <c r="G41" s="1104" t="str">
        <f>$G$3</f>
        <v>2022/12/03</v>
      </c>
      <c r="H41" s="1920"/>
      <c r="I41" s="1920"/>
      <c r="J41" s="1920"/>
      <c r="K41" s="1920"/>
      <c r="L41" s="1033"/>
      <c r="M41" s="1033"/>
      <c r="N41" s="1033"/>
      <c r="O41" s="1033"/>
      <c r="P41" s="1086"/>
      <c r="Q41" s="1086"/>
      <c r="R41" s="1086"/>
      <c r="S41" s="1086"/>
      <c r="T41" s="1033"/>
      <c r="U41" s="1033"/>
      <c r="V41" s="1033"/>
      <c r="W41" s="1033"/>
      <c r="X41" s="1086"/>
      <c r="Y41" s="1086"/>
      <c r="AC41" s="1878" t="str">
        <f>MENU!AD7</f>
        <v>Trang</v>
      </c>
      <c r="AD41" s="1878"/>
      <c r="AE41" s="1879" t="s">
        <v>11</v>
      </c>
      <c r="AF41" s="1880"/>
    </row>
    <row r="42" spans="1:32" s="17" customFormat="1" ht="45" customHeight="1">
      <c r="A42" s="1935" t="s">
        <v>7</v>
      </c>
      <c r="B42" s="1904" t="s">
        <v>79</v>
      </c>
      <c r="C42" s="1905"/>
      <c r="D42" s="1905"/>
      <c r="E42" s="1906"/>
      <c r="F42" s="1902" t="s">
        <v>137</v>
      </c>
      <c r="G42" s="1938" t="s">
        <v>67</v>
      </c>
      <c r="H42" s="1921">
        <v>0.76041666666666663</v>
      </c>
      <c r="I42" s="1922"/>
      <c r="J42" s="1922"/>
      <c r="K42" s="1923"/>
      <c r="L42" s="1881" t="s">
        <v>1014</v>
      </c>
      <c r="M42" s="1882"/>
      <c r="N42" s="1882"/>
      <c r="O42" s="1883"/>
      <c r="P42" s="1924">
        <v>0.92708333333333337</v>
      </c>
      <c r="Q42" s="1925"/>
      <c r="R42" s="1925"/>
      <c r="S42" s="1926"/>
      <c r="T42" s="1881" t="s">
        <v>1014</v>
      </c>
      <c r="U42" s="1882"/>
      <c r="V42" s="1882"/>
      <c r="W42" s="1883"/>
      <c r="X42" s="1924">
        <v>9.375E-2</v>
      </c>
      <c r="Y42" s="1925"/>
      <c r="Z42" s="1925"/>
      <c r="AA42" s="1926"/>
      <c r="AB42" s="1881" t="s">
        <v>1017</v>
      </c>
      <c r="AC42" s="1882"/>
      <c r="AD42" s="1882"/>
      <c r="AE42" s="1883"/>
      <c r="AF42" s="97" t="s">
        <v>98</v>
      </c>
    </row>
    <row r="43" spans="1:32" s="17" customFormat="1" ht="45" customHeight="1">
      <c r="A43" s="1937"/>
      <c r="B43" s="1907"/>
      <c r="C43" s="1908"/>
      <c r="D43" s="1908"/>
      <c r="E43" s="1909"/>
      <c r="F43" s="1903"/>
      <c r="G43" s="1939"/>
      <c r="H43" s="1087" t="s">
        <v>146</v>
      </c>
      <c r="I43" s="1927" t="s">
        <v>1</v>
      </c>
      <c r="J43" s="1928"/>
      <c r="K43" s="1929"/>
      <c r="L43" s="1034" t="s">
        <v>1015</v>
      </c>
      <c r="M43" s="1884" t="s">
        <v>1</v>
      </c>
      <c r="N43" s="1884"/>
      <c r="O43" s="1885"/>
      <c r="P43" s="1087" t="s">
        <v>146</v>
      </c>
      <c r="Q43" s="1930" t="s">
        <v>1</v>
      </c>
      <c r="R43" s="1931"/>
      <c r="S43" s="1932"/>
      <c r="T43" s="1034" t="s">
        <v>1015</v>
      </c>
      <c r="U43" s="1884" t="s">
        <v>1</v>
      </c>
      <c r="V43" s="1884"/>
      <c r="W43" s="1885"/>
      <c r="X43" s="1087" t="s">
        <v>146</v>
      </c>
      <c r="Y43" s="1930" t="s">
        <v>1</v>
      </c>
      <c r="Z43" s="1931"/>
      <c r="AA43" s="1932"/>
      <c r="AB43" s="1034" t="s">
        <v>1018</v>
      </c>
      <c r="AC43" s="1884" t="s">
        <v>1</v>
      </c>
      <c r="AD43" s="1884"/>
      <c r="AE43" s="1885"/>
      <c r="AF43" s="4" t="s">
        <v>99</v>
      </c>
    </row>
    <row r="44" spans="1:32" ht="45" customHeight="1">
      <c r="A44" s="1935">
        <v>1</v>
      </c>
      <c r="B44" s="1904" t="s">
        <v>148</v>
      </c>
      <c r="C44" s="1910"/>
      <c r="D44" s="1917" t="s">
        <v>108</v>
      </c>
      <c r="E44" s="1918"/>
      <c r="F44" s="56" t="s">
        <v>4</v>
      </c>
      <c r="G44" s="1025" t="str">
        <f>'XM.GUI MAIL'!$E$6</f>
        <v>25~35g/L
(30±2g/L)</v>
      </c>
      <c r="H44" s="350">
        <f>'XM.FILE GOC'!Z6</f>
        <v>30</v>
      </c>
      <c r="I44" s="18" t="s">
        <v>8</v>
      </c>
      <c r="J44" s="29">
        <f>'XM.FILE GOC'!AC6</f>
        <v>0</v>
      </c>
      <c r="K44" s="19" t="s">
        <v>9</v>
      </c>
      <c r="L44" s="1035"/>
      <c r="M44" s="1036"/>
      <c r="N44" s="1037"/>
      <c r="O44" s="1038"/>
      <c r="P44" s="350">
        <f>'XM.FILE GOC'!AF6</f>
        <v>29.5</v>
      </c>
      <c r="Q44" s="1088" t="s">
        <v>8</v>
      </c>
      <c r="R44" s="1089">
        <f>'XM.FILE GOC'!AI6</f>
        <v>1.3465</v>
      </c>
      <c r="S44" s="1090" t="s">
        <v>9</v>
      </c>
      <c r="T44" s="1035"/>
      <c r="U44" s="1036"/>
      <c r="V44" s="1037"/>
      <c r="W44" s="1038"/>
      <c r="X44" s="350">
        <f>'XM.FILE GOC'!AL6</f>
        <v>29.2</v>
      </c>
      <c r="Y44" s="1088" t="s">
        <v>8</v>
      </c>
      <c r="Z44" s="1089">
        <f>'XM.FILE GOC'!AO6</f>
        <v>2.1544000000000021</v>
      </c>
      <c r="AA44" s="1090" t="s">
        <v>9</v>
      </c>
      <c r="AB44" s="1035">
        <v>30</v>
      </c>
      <c r="AC44" s="1036" t="s">
        <v>8</v>
      </c>
      <c r="AD44" s="1037">
        <f>('XM.FILE GOC'!$F$6-AB44)*2693/1000</f>
        <v>0</v>
      </c>
      <c r="AE44" s="1038" t="s">
        <v>9</v>
      </c>
      <c r="AF44" s="96" t="s">
        <v>42</v>
      </c>
    </row>
    <row r="45" spans="1:32" ht="45" customHeight="1">
      <c r="A45" s="1936"/>
      <c r="B45" s="1911"/>
      <c r="C45" s="1912"/>
      <c r="D45" s="1896" t="s">
        <v>109</v>
      </c>
      <c r="E45" s="1898"/>
      <c r="F45" s="56" t="s">
        <v>58</v>
      </c>
      <c r="G45" s="1025" t="s">
        <v>110</v>
      </c>
      <c r="H45" s="350"/>
      <c r="I45" s="65" t="s">
        <v>8</v>
      </c>
      <c r="J45" s="68">
        <f>J44/25*840/1000</f>
        <v>0</v>
      </c>
      <c r="K45" s="67" t="s">
        <v>10</v>
      </c>
      <c r="L45" s="1035"/>
      <c r="M45" s="1039"/>
      <c r="N45" s="1040"/>
      <c r="O45" s="1041"/>
      <c r="P45" s="350"/>
      <c r="Q45" s="69" t="s">
        <v>8</v>
      </c>
      <c r="R45" s="1091">
        <f>R44/25*840/1000</f>
        <v>4.5242399999999995E-2</v>
      </c>
      <c r="S45" s="677" t="s">
        <v>10</v>
      </c>
      <c r="T45" s="1035"/>
      <c r="U45" s="1039"/>
      <c r="V45" s="1040"/>
      <c r="W45" s="1041"/>
      <c r="X45" s="350"/>
      <c r="Y45" s="69" t="s">
        <v>8</v>
      </c>
      <c r="Z45" s="1091">
        <f>Z44/25*840/1000</f>
        <v>7.2387840000000064E-2</v>
      </c>
      <c r="AA45" s="677" t="s">
        <v>10</v>
      </c>
      <c r="AB45" s="1035"/>
      <c r="AC45" s="1039"/>
      <c r="AD45" s="1040"/>
      <c r="AE45" s="1041"/>
      <c r="AF45" s="129"/>
    </row>
    <row r="46" spans="1:32" ht="45" customHeight="1">
      <c r="A46" s="1937"/>
      <c r="B46" s="1913"/>
      <c r="C46" s="1914"/>
      <c r="D46" s="1896" t="s">
        <v>111</v>
      </c>
      <c r="E46" s="1898"/>
      <c r="F46" s="56" t="s">
        <v>58</v>
      </c>
      <c r="G46" s="1025" t="s">
        <v>110</v>
      </c>
      <c r="H46" s="350"/>
      <c r="I46" s="65" t="s">
        <v>8</v>
      </c>
      <c r="J46" s="68">
        <f>J45*10</f>
        <v>0</v>
      </c>
      <c r="K46" s="67" t="s">
        <v>10</v>
      </c>
      <c r="L46" s="1035"/>
      <c r="M46" s="1036"/>
      <c r="N46" s="1040"/>
      <c r="O46" s="1038"/>
      <c r="P46" s="350"/>
      <c r="Q46" s="69" t="s">
        <v>8</v>
      </c>
      <c r="R46" s="1091">
        <f>R45*10</f>
        <v>0.45242399999999994</v>
      </c>
      <c r="S46" s="677" t="s">
        <v>10</v>
      </c>
      <c r="T46" s="1035"/>
      <c r="U46" s="1036"/>
      <c r="V46" s="1040"/>
      <c r="W46" s="1038"/>
      <c r="X46" s="350"/>
      <c r="Y46" s="69" t="s">
        <v>8</v>
      </c>
      <c r="Z46" s="1091">
        <f>Z45*10</f>
        <v>0.7238784000000007</v>
      </c>
      <c r="AA46" s="677" t="s">
        <v>10</v>
      </c>
      <c r="AB46" s="1035"/>
      <c r="AC46" s="1036"/>
      <c r="AD46" s="1040"/>
      <c r="AE46" s="1038"/>
      <c r="AF46" s="96"/>
    </row>
    <row r="47" spans="1:32" ht="45" customHeight="1">
      <c r="A47" s="1935">
        <v>2</v>
      </c>
      <c r="B47" s="1904" t="s">
        <v>149</v>
      </c>
      <c r="C47" s="1910"/>
      <c r="D47" s="1917" t="s">
        <v>108</v>
      </c>
      <c r="E47" s="1918"/>
      <c r="F47" s="56" t="s">
        <v>4</v>
      </c>
      <c r="G47" s="1025" t="str">
        <f>'XM.GUI MAIL'!$E$7</f>
        <v>25~35g/L
(30±2g/L)</v>
      </c>
      <c r="H47" s="350">
        <f>'XM.FILE GOC'!Z7</f>
        <v>31.6</v>
      </c>
      <c r="I47" s="18" t="s">
        <v>8</v>
      </c>
      <c r="J47" s="29">
        <f>'XM.FILE GOC'!AC7</f>
        <v>0</v>
      </c>
      <c r="K47" s="19" t="s">
        <v>9</v>
      </c>
      <c r="L47" s="1035"/>
      <c r="M47" s="1039"/>
      <c r="N47" s="1037"/>
      <c r="O47" s="1041"/>
      <c r="P47" s="350">
        <f>'XM.FILE GOC'!AF7</f>
        <v>31.2</v>
      </c>
      <c r="Q47" s="1088" t="s">
        <v>8</v>
      </c>
      <c r="R47" s="1089">
        <f>'XM.FILE GOC'!AI7</f>
        <v>0</v>
      </c>
      <c r="S47" s="1090" t="s">
        <v>9</v>
      </c>
      <c r="T47" s="1035"/>
      <c r="U47" s="1039"/>
      <c r="V47" s="1037"/>
      <c r="W47" s="1041"/>
      <c r="X47" s="350">
        <f>'XM.FILE GOC'!AL7</f>
        <v>30.8</v>
      </c>
      <c r="Y47" s="1088" t="s">
        <v>8</v>
      </c>
      <c r="Z47" s="1089">
        <f>'XM.FILE GOC'!AO7</f>
        <v>0</v>
      </c>
      <c r="AA47" s="1090" t="s">
        <v>9</v>
      </c>
      <c r="AB47" s="1035"/>
      <c r="AC47" s="1039"/>
      <c r="AD47" s="1037"/>
      <c r="AE47" s="1041"/>
      <c r="AF47" s="96" t="s">
        <v>42</v>
      </c>
    </row>
    <row r="48" spans="1:32" ht="45" customHeight="1">
      <c r="A48" s="1936"/>
      <c r="B48" s="1911"/>
      <c r="C48" s="1912"/>
      <c r="D48" s="1896" t="s">
        <v>109</v>
      </c>
      <c r="E48" s="1898"/>
      <c r="F48" s="56" t="s">
        <v>58</v>
      </c>
      <c r="G48" s="1025" t="s">
        <v>110</v>
      </c>
      <c r="H48" s="350"/>
      <c r="I48" s="65" t="s">
        <v>8</v>
      </c>
      <c r="J48" s="68">
        <f>J47/25*840/1000</f>
        <v>0</v>
      </c>
      <c r="K48" s="67" t="s">
        <v>10</v>
      </c>
      <c r="L48" s="1035"/>
      <c r="M48" s="1039"/>
      <c r="N48" s="1040"/>
      <c r="O48" s="1041"/>
      <c r="P48" s="350"/>
      <c r="Q48" s="69" t="s">
        <v>8</v>
      </c>
      <c r="R48" s="1091">
        <f>R47/25*840/1000</f>
        <v>0</v>
      </c>
      <c r="S48" s="677" t="s">
        <v>10</v>
      </c>
      <c r="T48" s="1035"/>
      <c r="U48" s="1039"/>
      <c r="V48" s="1040"/>
      <c r="W48" s="1041"/>
      <c r="X48" s="350"/>
      <c r="Y48" s="69" t="s">
        <v>8</v>
      </c>
      <c r="Z48" s="1091">
        <f>Z47/25*840/1000</f>
        <v>0</v>
      </c>
      <c r="AA48" s="677" t="s">
        <v>10</v>
      </c>
      <c r="AB48" s="1035"/>
      <c r="AC48" s="1039"/>
      <c r="AD48" s="1040"/>
      <c r="AE48" s="1041"/>
      <c r="AF48" s="129"/>
    </row>
    <row r="49" spans="1:32" ht="45" customHeight="1">
      <c r="A49" s="1937"/>
      <c r="B49" s="1913"/>
      <c r="C49" s="1914"/>
      <c r="D49" s="1896" t="s">
        <v>111</v>
      </c>
      <c r="E49" s="1898"/>
      <c r="F49" s="56" t="s">
        <v>58</v>
      </c>
      <c r="G49" s="1025" t="s">
        <v>110</v>
      </c>
      <c r="H49" s="350"/>
      <c r="I49" s="65" t="s">
        <v>8</v>
      </c>
      <c r="J49" s="68">
        <f>J48*10</f>
        <v>0</v>
      </c>
      <c r="K49" s="67" t="s">
        <v>10</v>
      </c>
      <c r="L49" s="1035"/>
      <c r="M49" s="1036"/>
      <c r="N49" s="1040"/>
      <c r="O49" s="1038"/>
      <c r="P49" s="350"/>
      <c r="Q49" s="69" t="s">
        <v>8</v>
      </c>
      <c r="R49" s="1091">
        <f>R48*10</f>
        <v>0</v>
      </c>
      <c r="S49" s="677" t="s">
        <v>10</v>
      </c>
      <c r="T49" s="1035"/>
      <c r="U49" s="1036"/>
      <c r="V49" s="1040"/>
      <c r="W49" s="1038"/>
      <c r="X49" s="350"/>
      <c r="Y49" s="69" t="s">
        <v>8</v>
      </c>
      <c r="Z49" s="1091">
        <f>Z48*10</f>
        <v>0</v>
      </c>
      <c r="AA49" s="677" t="s">
        <v>10</v>
      </c>
      <c r="AB49" s="1035"/>
      <c r="AC49" s="1036"/>
      <c r="AD49" s="1040"/>
      <c r="AE49" s="1038"/>
      <c r="AF49" s="96"/>
    </row>
    <row r="50" spans="1:32" ht="45" customHeight="1">
      <c r="A50" s="1935">
        <v>3</v>
      </c>
      <c r="B50" s="1915" t="s">
        <v>150</v>
      </c>
      <c r="C50" s="1916"/>
      <c r="D50" s="1917" t="s">
        <v>108</v>
      </c>
      <c r="E50" s="1918"/>
      <c r="F50" s="56" t="s">
        <v>4</v>
      </c>
      <c r="G50" s="1025" t="str">
        <f>'XM.GUI MAIL'!$E$8</f>
        <v>60~80g/L
(70±10g/L)</v>
      </c>
      <c r="H50" s="350">
        <f>'XM.FILE GOC'!Z8</f>
        <v>71</v>
      </c>
      <c r="I50" s="18" t="s">
        <v>8</v>
      </c>
      <c r="J50" s="29">
        <f>'XM.FILE GOC'!AC8</f>
        <v>0</v>
      </c>
      <c r="K50" s="19" t="s">
        <v>9</v>
      </c>
      <c r="L50" s="1035"/>
      <c r="M50" s="1036"/>
      <c r="N50" s="1037"/>
      <c r="O50" s="1038"/>
      <c r="P50" s="350">
        <f>'XM.FILE GOC'!AF8</f>
        <v>70.599999999999994</v>
      </c>
      <c r="Q50" s="1088" t="s">
        <v>8</v>
      </c>
      <c r="R50" s="1089">
        <f>'XM.FILE GOC'!AI8</f>
        <v>0</v>
      </c>
      <c r="S50" s="1090" t="s">
        <v>9</v>
      </c>
      <c r="T50" s="1035"/>
      <c r="U50" s="1036"/>
      <c r="V50" s="1037"/>
      <c r="W50" s="1038"/>
      <c r="X50" s="350">
        <f>'XM.FILE GOC'!AL8</f>
        <v>70</v>
      </c>
      <c r="Y50" s="1088" t="s">
        <v>8</v>
      </c>
      <c r="Z50" s="1089">
        <f>'XM.FILE GOC'!AO8</f>
        <v>0</v>
      </c>
      <c r="AA50" s="1090" t="s">
        <v>9</v>
      </c>
      <c r="AB50" s="1035"/>
      <c r="AC50" s="1036"/>
      <c r="AD50" s="1037"/>
      <c r="AE50" s="1038"/>
      <c r="AF50" s="96" t="s">
        <v>42</v>
      </c>
    </row>
    <row r="51" spans="1:32" ht="45" customHeight="1">
      <c r="A51" s="1937"/>
      <c r="B51" s="1916"/>
      <c r="C51" s="1916"/>
      <c r="D51" s="1896" t="s">
        <v>112</v>
      </c>
      <c r="E51" s="1898"/>
      <c r="F51" s="56" t="s">
        <v>58</v>
      </c>
      <c r="G51" s="1025" t="s">
        <v>110</v>
      </c>
      <c r="H51" s="350"/>
      <c r="I51" s="65" t="s">
        <v>8</v>
      </c>
      <c r="J51" s="68">
        <f>J50/25*7.5</f>
        <v>0</v>
      </c>
      <c r="K51" s="67" t="s">
        <v>10</v>
      </c>
      <c r="L51" s="1035"/>
      <c r="M51" s="1039"/>
      <c r="N51" s="1040"/>
      <c r="O51" s="1041"/>
      <c r="P51" s="350"/>
      <c r="Q51" s="69" t="s">
        <v>8</v>
      </c>
      <c r="R51" s="1091">
        <f>R50/25*7.5</f>
        <v>0</v>
      </c>
      <c r="S51" s="677" t="s">
        <v>10</v>
      </c>
      <c r="T51" s="1035"/>
      <c r="U51" s="1039"/>
      <c r="V51" s="1040"/>
      <c r="W51" s="1041"/>
      <c r="X51" s="350"/>
      <c r="Y51" s="69" t="s">
        <v>8</v>
      </c>
      <c r="Z51" s="1091">
        <f>Z50/25*7.5</f>
        <v>0</v>
      </c>
      <c r="AA51" s="677" t="s">
        <v>10</v>
      </c>
      <c r="AB51" s="1035"/>
      <c r="AC51" s="1039"/>
      <c r="AD51" s="1040"/>
      <c r="AE51" s="1041"/>
      <c r="AF51" s="96"/>
    </row>
    <row r="52" spans="1:32" ht="45" customHeight="1">
      <c r="A52" s="1935">
        <v>4</v>
      </c>
      <c r="B52" s="1915" t="s">
        <v>151</v>
      </c>
      <c r="C52" s="1916"/>
      <c r="D52" s="1917" t="s">
        <v>108</v>
      </c>
      <c r="E52" s="1918"/>
      <c r="F52" s="56" t="s">
        <v>4</v>
      </c>
      <c r="G52" s="1025" t="str">
        <f>'XM.GUI MAIL'!$E$9</f>
        <v>60~80g/L
(70±10g/L)</v>
      </c>
      <c r="H52" s="350">
        <f>'XM.FILE GOC'!Z9</f>
        <v>70.400000000000006</v>
      </c>
      <c r="I52" s="18" t="s">
        <v>8</v>
      </c>
      <c r="J52" s="29">
        <f>'XM.FILE GOC'!AC9</f>
        <v>0</v>
      </c>
      <c r="K52" s="19" t="s">
        <v>9</v>
      </c>
      <c r="L52" s="1035"/>
      <c r="M52" s="1036"/>
      <c r="N52" s="1037"/>
      <c r="O52" s="1038"/>
      <c r="P52" s="350">
        <f>'XM.FILE GOC'!AF9</f>
        <v>70</v>
      </c>
      <c r="Q52" s="1088" t="s">
        <v>8</v>
      </c>
      <c r="R52" s="1089">
        <f>'XM.FILE GOC'!AI9</f>
        <v>0</v>
      </c>
      <c r="S52" s="1090" t="s">
        <v>9</v>
      </c>
      <c r="T52" s="1035"/>
      <c r="U52" s="1036"/>
      <c r="V52" s="1037"/>
      <c r="W52" s="1038"/>
      <c r="X52" s="350">
        <f>'XM.FILE GOC'!AL9</f>
        <v>69.5</v>
      </c>
      <c r="Y52" s="1088" t="s">
        <v>8</v>
      </c>
      <c r="Z52" s="1089">
        <f>'XM.FILE GOC'!AO9</f>
        <v>0.72950000000000004</v>
      </c>
      <c r="AA52" s="1090" t="s">
        <v>9</v>
      </c>
      <c r="AB52" s="1035"/>
      <c r="AC52" s="1036"/>
      <c r="AD52" s="1037"/>
      <c r="AE52" s="1038"/>
      <c r="AF52" s="96" t="s">
        <v>42</v>
      </c>
    </row>
    <row r="53" spans="1:32" ht="45" customHeight="1">
      <c r="A53" s="1937"/>
      <c r="B53" s="1916"/>
      <c r="C53" s="1916"/>
      <c r="D53" s="1896" t="s">
        <v>112</v>
      </c>
      <c r="E53" s="1898"/>
      <c r="F53" s="56" t="s">
        <v>58</v>
      </c>
      <c r="G53" s="1025" t="s">
        <v>110</v>
      </c>
      <c r="H53" s="350"/>
      <c r="I53" s="65" t="s">
        <v>8</v>
      </c>
      <c r="J53" s="68">
        <f>J52/25*7.5</f>
        <v>0</v>
      </c>
      <c r="K53" s="67" t="s">
        <v>10</v>
      </c>
      <c r="L53" s="1035"/>
      <c r="M53" s="1039"/>
      <c r="N53" s="1040"/>
      <c r="O53" s="1041"/>
      <c r="P53" s="350"/>
      <c r="Q53" s="69" t="s">
        <v>8</v>
      </c>
      <c r="R53" s="1091">
        <f>R52/25*7.5</f>
        <v>0</v>
      </c>
      <c r="S53" s="677" t="s">
        <v>10</v>
      </c>
      <c r="T53" s="1035"/>
      <c r="U53" s="1039"/>
      <c r="V53" s="1040"/>
      <c r="W53" s="1041"/>
      <c r="X53" s="350"/>
      <c r="Y53" s="69" t="s">
        <v>8</v>
      </c>
      <c r="Z53" s="1091">
        <f>Z52/25*7.5</f>
        <v>0.21885000000000002</v>
      </c>
      <c r="AA53" s="677" t="s">
        <v>10</v>
      </c>
      <c r="AB53" s="1035"/>
      <c r="AC53" s="1039"/>
      <c r="AD53" s="1040"/>
      <c r="AE53" s="1041"/>
      <c r="AF53" s="96"/>
    </row>
    <row r="54" spans="1:32" ht="45" customHeight="1">
      <c r="A54" s="1935">
        <v>5</v>
      </c>
      <c r="B54" s="1896" t="s">
        <v>82</v>
      </c>
      <c r="C54" s="1897"/>
      <c r="D54" s="1897"/>
      <c r="E54" s="1898"/>
      <c r="F54" s="56" t="s">
        <v>4</v>
      </c>
      <c r="G54" s="1168" t="str">
        <f>'XM.GUI MAIL'!$E$10</f>
        <v>130 - 150g/L
(140±5g/L)</v>
      </c>
      <c r="H54" s="352">
        <f>'XM.FILE GOC'!Z10</f>
        <v>140.80000000000001</v>
      </c>
      <c r="I54" s="18" t="s">
        <v>8</v>
      </c>
      <c r="J54" s="29">
        <f>'XM.FILE GOC'!AC10</f>
        <v>0</v>
      </c>
      <c r="K54" s="19" t="s">
        <v>9</v>
      </c>
      <c r="L54" s="1035"/>
      <c r="M54" s="1039"/>
      <c r="N54" s="1037"/>
      <c r="O54" s="1041"/>
      <c r="P54" s="352">
        <f>'XM.FILE GOC'!AF10</f>
        <v>140.4</v>
      </c>
      <c r="Q54" s="1088" t="s">
        <v>8</v>
      </c>
      <c r="R54" s="1089">
        <f>'XM.FILE GOC'!AI10</f>
        <v>0</v>
      </c>
      <c r="S54" s="1090" t="s">
        <v>9</v>
      </c>
      <c r="T54" s="1035"/>
      <c r="U54" s="1039"/>
      <c r="V54" s="1037"/>
      <c r="W54" s="1041"/>
      <c r="X54" s="352">
        <f>'XM.FILE GOC'!AL10</f>
        <v>139.19999999999999</v>
      </c>
      <c r="Y54" s="1088" t="s">
        <v>8</v>
      </c>
      <c r="Z54" s="1089">
        <f>'XM.FILE GOC'!AO10</f>
        <v>15.960800000000226</v>
      </c>
      <c r="AA54" s="1090" t="s">
        <v>9</v>
      </c>
      <c r="AB54" s="1035">
        <v>140</v>
      </c>
      <c r="AC54" s="1039" t="s">
        <v>8</v>
      </c>
      <c r="AD54" s="1037">
        <f>('XM.FILE GOC'!$F$10-AB54)*19951/1000</f>
        <v>0</v>
      </c>
      <c r="AE54" s="1041" t="s">
        <v>9</v>
      </c>
      <c r="AF54" s="96" t="s">
        <v>43</v>
      </c>
    </row>
    <row r="55" spans="1:32" ht="45" customHeight="1">
      <c r="A55" s="1937"/>
      <c r="B55" s="1896" t="s">
        <v>60</v>
      </c>
      <c r="C55" s="1897"/>
      <c r="D55" s="1897"/>
      <c r="E55" s="1898"/>
      <c r="F55" s="56" t="s">
        <v>4</v>
      </c>
      <c r="G55" s="1168" t="str">
        <f>'XM.GUI MAIL'!$E$11</f>
        <v>7-12g/l
(9g±1g/l)</v>
      </c>
      <c r="H55" s="350">
        <f>'XM.FILE GOC'!Z11</f>
        <v>9.879999999999999</v>
      </c>
      <c r="I55" s="18" t="s">
        <v>8</v>
      </c>
      <c r="J55" s="29">
        <f>'XM.FILE GOC'!AC11</f>
        <v>0</v>
      </c>
      <c r="K55" s="19" t="s">
        <v>9</v>
      </c>
      <c r="L55" s="1035"/>
      <c r="M55" s="1042"/>
      <c r="N55" s="1037"/>
      <c r="O55" s="19"/>
      <c r="P55" s="350">
        <f>'XM.FILE GOC'!AF11</f>
        <v>10</v>
      </c>
      <c r="Q55" s="1088" t="s">
        <v>8</v>
      </c>
      <c r="R55" s="1089">
        <f>'XM.FILE GOC'!AI11</f>
        <v>0</v>
      </c>
      <c r="S55" s="19" t="s">
        <v>9</v>
      </c>
      <c r="T55" s="1035"/>
      <c r="U55" s="1042"/>
      <c r="V55" s="1037"/>
      <c r="W55" s="19"/>
      <c r="X55" s="350">
        <f>'XM.FILE GOC'!AL11</f>
        <v>10.1</v>
      </c>
      <c r="Y55" s="1088" t="s">
        <v>8</v>
      </c>
      <c r="Z55" s="1089">
        <f>'XM.FILE GOC'!AO11</f>
        <v>0</v>
      </c>
      <c r="AA55" s="19" t="s">
        <v>9</v>
      </c>
      <c r="AB55" s="1035"/>
      <c r="AC55" s="1042"/>
      <c r="AD55" s="1037"/>
      <c r="AE55" s="19"/>
      <c r="AF55" s="96" t="s">
        <v>44</v>
      </c>
    </row>
    <row r="56" spans="1:32" ht="45" customHeight="1">
      <c r="A56" s="1935">
        <v>6</v>
      </c>
      <c r="B56" s="1904" t="s">
        <v>1019</v>
      </c>
      <c r="C56" s="1905"/>
      <c r="D56" s="1905"/>
      <c r="E56" s="1906"/>
      <c r="F56" s="56" t="s">
        <v>3</v>
      </c>
      <c r="G56" s="1168" t="str">
        <f>'XM.GUI MAIL'!$E$12</f>
        <v>12~18 %
(14±2%)</v>
      </c>
      <c r="H56" s="350">
        <f>'XM.FILE GOC'!Z12</f>
        <v>13.8</v>
      </c>
      <c r="I56" s="65" t="s">
        <v>8</v>
      </c>
      <c r="J56" s="66">
        <f>'XM.FILE GOC'!AC12</f>
        <v>1.1499999999999959</v>
      </c>
      <c r="K56" s="67" t="s">
        <v>10</v>
      </c>
      <c r="L56" s="1035"/>
      <c r="M56" s="1036"/>
      <c r="N56" s="1044"/>
      <c r="O56" s="1038"/>
      <c r="P56" s="350">
        <f>'XM.FILE GOC'!AF12</f>
        <v>13.5</v>
      </c>
      <c r="Q56" s="69" t="s">
        <v>8</v>
      </c>
      <c r="R56" s="676">
        <f>'XM.FILE GOC'!AI12</f>
        <v>2.875</v>
      </c>
      <c r="S56" s="677" t="s">
        <v>10</v>
      </c>
      <c r="T56" s="1035">
        <v>14.2</v>
      </c>
      <c r="U56" s="1036" t="s">
        <v>8</v>
      </c>
      <c r="V56" s="1044">
        <f>('XM.FILE GOC'!$F$12-T56)*575/95-4</f>
        <v>-5.210526315789469</v>
      </c>
      <c r="W56" s="1038" t="s">
        <v>10</v>
      </c>
      <c r="X56" s="350">
        <f>'XM.FILE GOC'!AL12</f>
        <v>13.381294964028777</v>
      </c>
      <c r="Y56" s="69" t="s">
        <v>8</v>
      </c>
      <c r="Z56" s="676">
        <f>'XM.FILE GOC'!AO12</f>
        <v>3.5575539568345307</v>
      </c>
      <c r="AA56" s="677" t="s">
        <v>10</v>
      </c>
      <c r="AB56" s="1035">
        <v>14.1</v>
      </c>
      <c r="AC56" s="1036" t="s">
        <v>8</v>
      </c>
      <c r="AD56" s="1044">
        <f>('XM.FILE GOC'!$F$12-AB56)*575/95-4</f>
        <v>-4.6052631578947345</v>
      </c>
      <c r="AE56" s="1038" t="s">
        <v>10</v>
      </c>
      <c r="AF56" s="96" t="s">
        <v>45</v>
      </c>
    </row>
    <row r="57" spans="1:32" ht="45" customHeight="1">
      <c r="A57" s="1937"/>
      <c r="B57" s="1907"/>
      <c r="C57" s="1908"/>
      <c r="D57" s="1908"/>
      <c r="E57" s="1909"/>
      <c r="F57" s="56" t="s">
        <v>5</v>
      </c>
      <c r="G57" s="1168" t="str">
        <f>'XM.GUI MAIL'!$E$13</f>
        <v>1.6~2.2(1.8±0.1 )</v>
      </c>
      <c r="H57" s="354">
        <f>'XM.FILE GOC'!Z13</f>
        <v>1.78</v>
      </c>
      <c r="I57" s="6"/>
      <c r="J57" s="29">
        <f>'XM.FILE GOC'!AC13</f>
        <v>0</v>
      </c>
      <c r="K57" s="7"/>
      <c r="L57" s="1035"/>
      <c r="M57" s="1039"/>
      <c r="N57" s="1037"/>
      <c r="O57" s="1041"/>
      <c r="P57" s="354">
        <v>1.87</v>
      </c>
      <c r="Q57" s="1092"/>
      <c r="R57" s="1089">
        <f>'XM.FILE GOC'!AI13</f>
        <v>0</v>
      </c>
      <c r="S57" s="1093"/>
      <c r="T57" s="1035"/>
      <c r="U57" s="1039"/>
      <c r="V57" s="1037"/>
      <c r="W57" s="1041"/>
      <c r="X57" s="354">
        <f>'XM.FILE GOC'!AL13</f>
        <v>1.8</v>
      </c>
      <c r="Y57" s="1092"/>
      <c r="Z57" s="1089">
        <f>'XM.FILE GOC'!AO13</f>
        <v>0</v>
      </c>
      <c r="AA57" s="1093"/>
      <c r="AB57" s="1035"/>
      <c r="AC57" s="1039"/>
      <c r="AD57" s="1037"/>
      <c r="AE57" s="1041"/>
      <c r="AF57" s="96"/>
    </row>
    <row r="58" spans="1:32" ht="45" customHeight="1">
      <c r="A58" s="1098">
        <v>7</v>
      </c>
      <c r="B58" s="1896" t="s">
        <v>61</v>
      </c>
      <c r="C58" s="1897"/>
      <c r="D58" s="1897"/>
      <c r="E58" s="1898"/>
      <c r="F58" s="1099" t="s">
        <v>6</v>
      </c>
      <c r="G58" s="1168" t="str">
        <f>'XM.GUI MAIL'!$E$14</f>
        <v>30~60 %V/V
(45±5% V/V)</v>
      </c>
      <c r="H58" s="355">
        <f>'XM.FILE GOC'!Z14</f>
        <v>0.45624999999999999</v>
      </c>
      <c r="I58" s="18" t="s">
        <v>8</v>
      </c>
      <c r="J58" s="29">
        <f>'XM.FILE GOC'!AC14</f>
        <v>0</v>
      </c>
      <c r="K58" s="19" t="s">
        <v>10</v>
      </c>
      <c r="L58" s="1045"/>
      <c r="M58" s="1036"/>
      <c r="N58" s="1037"/>
      <c r="O58" s="1038"/>
      <c r="P58" s="355">
        <f>'XM.FILE GOC'!AF14</f>
        <v>0.45100000000000001</v>
      </c>
      <c r="Q58" s="1088" t="s">
        <v>8</v>
      </c>
      <c r="R58" s="1089">
        <f>'XM.FILE GOC'!AI14</f>
        <v>0</v>
      </c>
      <c r="S58" s="1090" t="s">
        <v>10</v>
      </c>
      <c r="T58" s="1045"/>
      <c r="U58" s="1036"/>
      <c r="V58" s="1037"/>
      <c r="W58" s="1038"/>
      <c r="X58" s="355">
        <f>'XM.FILE GOC'!AL14</f>
        <v>0.44484374999999998</v>
      </c>
      <c r="Y58" s="1088" t="s">
        <v>8</v>
      </c>
      <c r="Z58" s="1089">
        <f>'XM.FILE GOC'!AO14</f>
        <v>10.941562500000062</v>
      </c>
      <c r="AA58" s="1090" t="s">
        <v>10</v>
      </c>
      <c r="AB58" s="1045">
        <v>0.44900000000000001</v>
      </c>
      <c r="AC58" s="1036" t="s">
        <v>8</v>
      </c>
      <c r="AD58" s="1037">
        <f>('XM.FILE GOC'!$F$14-AB58)*2122</f>
        <v>2.1220000000000017</v>
      </c>
      <c r="AE58" s="1038" t="s">
        <v>10</v>
      </c>
      <c r="AF58" s="96" t="s">
        <v>46</v>
      </c>
    </row>
    <row r="59" spans="1:32" ht="45" customHeight="1">
      <c r="A59" s="1098">
        <v>8</v>
      </c>
      <c r="B59" s="1896" t="s">
        <v>62</v>
      </c>
      <c r="C59" s="1897"/>
      <c r="D59" s="1897"/>
      <c r="E59" s="1898"/>
      <c r="F59" s="1099" t="s">
        <v>6</v>
      </c>
      <c r="G59" s="1168" t="str">
        <f>'XM.GUI MAIL'!$E$15</f>
        <v>15~30 %V/V
(22±5 V/V)</v>
      </c>
      <c r="H59" s="355">
        <f>'XM.FILE GOC'!Z15</f>
        <v>0.23</v>
      </c>
      <c r="I59" s="69" t="s">
        <v>8</v>
      </c>
      <c r="J59" s="66">
        <f>'XM.FILE GOC'!AC15</f>
        <v>0</v>
      </c>
      <c r="K59" s="67" t="s">
        <v>10</v>
      </c>
      <c r="L59" s="1045"/>
      <c r="M59" s="1036"/>
      <c r="N59" s="1044"/>
      <c r="O59" s="1038"/>
      <c r="P59" s="355">
        <f>'XM.FILE GOC'!AF15</f>
        <v>0.22800000000000001</v>
      </c>
      <c r="Q59" s="69" t="s">
        <v>8</v>
      </c>
      <c r="R59" s="676">
        <f>'XM.FILE GOC'!AI15</f>
        <v>0</v>
      </c>
      <c r="S59" s="677" t="s">
        <v>10</v>
      </c>
      <c r="T59" s="1045"/>
      <c r="U59" s="1036"/>
      <c r="V59" s="1044"/>
      <c r="W59" s="1038"/>
      <c r="X59" s="355">
        <f>'XM.FILE GOC'!AL15</f>
        <v>0.22500000000000001</v>
      </c>
      <c r="Y59" s="1088" t="s">
        <v>8</v>
      </c>
      <c r="Z59" s="676">
        <f>'XM.FILE GOC'!AO15</f>
        <v>0</v>
      </c>
      <c r="AA59" s="1090" t="s">
        <v>10</v>
      </c>
      <c r="AB59" s="1045"/>
      <c r="AC59" s="1036"/>
      <c r="AD59" s="1044"/>
      <c r="AE59" s="1038"/>
      <c r="AF59" s="96" t="s">
        <v>46</v>
      </c>
    </row>
    <row r="60" spans="1:32" ht="45" customHeight="1">
      <c r="A60" s="1098">
        <v>9</v>
      </c>
      <c r="B60" s="1896" t="s">
        <v>116</v>
      </c>
      <c r="C60" s="1897"/>
      <c r="D60" s="1897"/>
      <c r="E60" s="1898"/>
      <c r="F60" s="1099" t="s">
        <v>6</v>
      </c>
      <c r="G60" s="1168" t="str">
        <f>'XM.GUI MAIL'!$E$16</f>
        <v>5~15 %V/V
(10±3% V/V)</v>
      </c>
      <c r="H60" s="355">
        <f>'XM.FILE GOC'!Z16</f>
        <v>0.10265625</v>
      </c>
      <c r="I60" s="18" t="s">
        <v>8</v>
      </c>
      <c r="J60" s="29">
        <f>'XM.FILE GOC'!AC16</f>
        <v>0</v>
      </c>
      <c r="K60" s="19" t="s">
        <v>10</v>
      </c>
      <c r="L60" s="1045"/>
      <c r="M60" s="1036"/>
      <c r="N60" s="1037"/>
      <c r="O60" s="1038"/>
      <c r="P60" s="355">
        <f>'XM.FILE GOC'!AF16</f>
        <v>9.6000000000000002E-2</v>
      </c>
      <c r="Q60" s="1088" t="s">
        <v>8</v>
      </c>
      <c r="R60" s="1089">
        <f>'XM.FILE GOC'!AI16</f>
        <v>2.300000000000002</v>
      </c>
      <c r="S60" s="1090" t="s">
        <v>10</v>
      </c>
      <c r="T60" s="1045"/>
      <c r="U60" s="1036"/>
      <c r="V60" s="1037"/>
      <c r="W60" s="1038"/>
      <c r="X60" s="355">
        <f>'XM.FILE GOC'!AL16</f>
        <v>9.5812500000000009E-2</v>
      </c>
      <c r="Y60" s="1088" t="s">
        <v>8</v>
      </c>
      <c r="Z60" s="1089">
        <f>'XM.FILE GOC'!AO16</f>
        <v>2.4078124999999981</v>
      </c>
      <c r="AA60" s="1090" t="s">
        <v>10</v>
      </c>
      <c r="AB60" s="1045"/>
      <c r="AC60" s="1036"/>
      <c r="AD60" s="1037"/>
      <c r="AE60" s="1038"/>
      <c r="AF60" s="96" t="s">
        <v>47</v>
      </c>
    </row>
    <row r="61" spans="1:32" ht="45" customHeight="1">
      <c r="A61" s="1098">
        <v>10</v>
      </c>
      <c r="B61" s="1896" t="s">
        <v>1020</v>
      </c>
      <c r="C61" s="1897"/>
      <c r="D61" s="1897"/>
      <c r="E61" s="1898"/>
      <c r="F61" s="1099" t="s">
        <v>3</v>
      </c>
      <c r="G61" s="1168" t="str">
        <f>'XM.GUI MAIL'!$E$17</f>
        <v>0.5~1.5%
(1±0.4%)</v>
      </c>
      <c r="H61" s="358">
        <f>'XM.FILE GOC'!Z17</f>
        <v>1.2602E-2</v>
      </c>
      <c r="I61" s="18" t="s">
        <v>8</v>
      </c>
      <c r="J61" s="53">
        <f>'XM.FILE GOC'!AC17</f>
        <v>0</v>
      </c>
      <c r="K61" s="19" t="s">
        <v>10</v>
      </c>
      <c r="L61" s="1046"/>
      <c r="M61" s="1047"/>
      <c r="N61" s="1048"/>
      <c r="O61" s="1049"/>
      <c r="P61" s="358">
        <f>'XM.FILE GOC'!AF17</f>
        <v>1.0999999999999999E-2</v>
      </c>
      <c r="Q61" s="1088" t="s">
        <v>8</v>
      </c>
      <c r="R61" s="1094">
        <f>'XM.FILE GOC'!AI17</f>
        <v>0</v>
      </c>
      <c r="S61" s="1090" t="s">
        <v>10</v>
      </c>
      <c r="T61" s="1046"/>
      <c r="U61" s="1047"/>
      <c r="V61" s="1048"/>
      <c r="W61" s="1049"/>
      <c r="X61" s="358">
        <f>'XM.FILE GOC'!AL17</f>
        <v>1.234996E-2</v>
      </c>
      <c r="Y61" s="1088" t="s">
        <v>8</v>
      </c>
      <c r="Z61" s="1094">
        <f>'XM.FILE GOC'!AO17</f>
        <v>0</v>
      </c>
      <c r="AA61" s="1090" t="s">
        <v>10</v>
      </c>
      <c r="AB61" s="1046"/>
      <c r="AC61" s="1047"/>
      <c r="AD61" s="1048"/>
      <c r="AE61" s="1049"/>
      <c r="AF61" s="96" t="s">
        <v>47</v>
      </c>
    </row>
    <row r="62" spans="1:32" ht="45" customHeight="1">
      <c r="A62" s="1887" t="s">
        <v>76</v>
      </c>
      <c r="B62" s="1933"/>
      <c r="C62" s="1933"/>
      <c r="D62" s="1933"/>
      <c r="E62" s="1933"/>
      <c r="F62" s="1933"/>
      <c r="G62" s="1933"/>
      <c r="H62" s="1933"/>
      <c r="I62" s="1933"/>
      <c r="J62" s="1933"/>
      <c r="K62" s="1933"/>
      <c r="L62" s="1933"/>
      <c r="M62" s="1933"/>
      <c r="N62" s="1933"/>
      <c r="O62" s="1933"/>
      <c r="P62" s="1933"/>
      <c r="Q62" s="1933"/>
      <c r="R62" s="1933"/>
      <c r="S62" s="1933"/>
      <c r="T62" s="1933"/>
      <c r="U62" s="1933"/>
      <c r="V62" s="1933"/>
      <c r="W62" s="1933"/>
      <c r="X62" s="1933"/>
      <c r="Y62" s="1933"/>
      <c r="Z62" s="1933"/>
      <c r="AA62" s="1933"/>
      <c r="AB62" s="1933"/>
      <c r="AC62" s="1933"/>
      <c r="AD62" s="1933"/>
      <c r="AE62" s="1933"/>
      <c r="AF62" s="1888"/>
    </row>
    <row r="63" spans="1:32" ht="45" customHeight="1">
      <c r="A63" s="1098" t="s">
        <v>7</v>
      </c>
      <c r="B63" s="1896" t="s">
        <v>64</v>
      </c>
      <c r="C63" s="1897"/>
      <c r="D63" s="1897"/>
      <c r="E63" s="1898"/>
      <c r="F63" s="291" t="s">
        <v>66</v>
      </c>
      <c r="G63" s="1100" t="s">
        <v>67</v>
      </c>
      <c r="H63" s="1934" t="s">
        <v>48</v>
      </c>
      <c r="I63" s="1934"/>
      <c r="J63" s="1934" t="s">
        <v>65</v>
      </c>
      <c r="K63" s="1934"/>
      <c r="L63" s="1050"/>
      <c r="M63" s="1051"/>
      <c r="N63" s="1051"/>
      <c r="O63" s="1052"/>
      <c r="P63" s="1895" t="s">
        <v>48</v>
      </c>
      <c r="Q63" s="1895"/>
      <c r="R63" s="1895" t="s">
        <v>65</v>
      </c>
      <c r="S63" s="1895"/>
      <c r="T63" s="1050"/>
      <c r="U63" s="1051"/>
      <c r="V63" s="1051"/>
      <c r="W63" s="1052"/>
      <c r="X63" s="1895" t="s">
        <v>48</v>
      </c>
      <c r="Y63" s="1895"/>
      <c r="Z63" s="1895" t="s">
        <v>65</v>
      </c>
      <c r="AA63" s="1895"/>
      <c r="AB63" s="1050"/>
      <c r="AC63" s="1051"/>
      <c r="AD63" s="1051"/>
      <c r="AE63" s="1052"/>
      <c r="AF63" s="95"/>
    </row>
    <row r="64" spans="1:32" ht="45" customHeight="1">
      <c r="A64" s="1098">
        <v>1</v>
      </c>
      <c r="B64" s="1896" t="s">
        <v>68</v>
      </c>
      <c r="C64" s="1897"/>
      <c r="D64" s="1897"/>
      <c r="E64" s="1898"/>
      <c r="F64" s="290" t="s">
        <v>216</v>
      </c>
      <c r="G64" s="1169" t="str">
        <f>'XM.GUI MAIL'!$E$22</f>
        <v>65~75ºC
(70±3OC)</v>
      </c>
      <c r="H64" s="1869">
        <f>'XM.FILE GOC'!Z22</f>
        <v>67</v>
      </c>
      <c r="I64" s="1869"/>
      <c r="J64" s="1869">
        <f>'XM.FILE GOC'!AC22</f>
        <v>65</v>
      </c>
      <c r="K64" s="1869"/>
      <c r="L64" s="1053"/>
      <c r="M64" s="1054"/>
      <c r="N64" s="1054"/>
      <c r="O64" s="1055"/>
      <c r="P64" s="1893">
        <v>68</v>
      </c>
      <c r="Q64" s="1893"/>
      <c r="R64" s="1893">
        <v>67</v>
      </c>
      <c r="S64" s="1893"/>
      <c r="T64" s="1053"/>
      <c r="U64" s="1054"/>
      <c r="V64" s="1054"/>
      <c r="W64" s="1055"/>
      <c r="X64" s="1893">
        <f>'XM.FILE GOC'!AL22</f>
        <v>68</v>
      </c>
      <c r="Y64" s="1893"/>
      <c r="Z64" s="1893">
        <f>'XM.FILE GOC'!AO22</f>
        <v>66</v>
      </c>
      <c r="AA64" s="1893"/>
      <c r="AB64" s="1053"/>
      <c r="AC64" s="1054"/>
      <c r="AD64" s="1054"/>
      <c r="AE64" s="1055"/>
      <c r="AF64" s="96"/>
    </row>
    <row r="65" spans="1:32" ht="45" customHeight="1">
      <c r="A65" s="1098">
        <v>2</v>
      </c>
      <c r="B65" s="1896" t="s">
        <v>69</v>
      </c>
      <c r="C65" s="1897" t="s">
        <v>69</v>
      </c>
      <c r="D65" s="1897" t="s">
        <v>69</v>
      </c>
      <c r="E65" s="1898" t="s">
        <v>69</v>
      </c>
      <c r="F65" s="290" t="s">
        <v>216</v>
      </c>
      <c r="G65" s="1169" t="str">
        <f>'XM.GUI MAIL'!$E$23</f>
        <v>65~75ºC
(70±3OC)</v>
      </c>
      <c r="H65" s="1869">
        <f>'XM.FILE GOC'!Z23</f>
        <v>70</v>
      </c>
      <c r="I65" s="1869"/>
      <c r="J65" s="1869">
        <f>'XM.FILE GOC'!AC23</f>
        <v>69</v>
      </c>
      <c r="K65" s="1869"/>
      <c r="L65" s="1053"/>
      <c r="M65" s="1054"/>
      <c r="N65" s="1054"/>
      <c r="O65" s="1055"/>
      <c r="P65" s="1893">
        <v>70</v>
      </c>
      <c r="Q65" s="1893"/>
      <c r="R65" s="1893">
        <v>69</v>
      </c>
      <c r="S65" s="1893"/>
      <c r="T65" s="1053"/>
      <c r="U65" s="1054"/>
      <c r="V65" s="1054"/>
      <c r="W65" s="1055"/>
      <c r="X65" s="1893">
        <f>'XM.FILE GOC'!AL23</f>
        <v>71</v>
      </c>
      <c r="Y65" s="1893"/>
      <c r="Z65" s="1893">
        <f>'XM.FILE GOC'!AO23</f>
        <v>70</v>
      </c>
      <c r="AA65" s="1893"/>
      <c r="AB65" s="1053"/>
      <c r="AC65" s="1054"/>
      <c r="AD65" s="1054"/>
      <c r="AE65" s="1055"/>
      <c r="AF65" s="96"/>
    </row>
    <row r="66" spans="1:32" ht="45" customHeight="1">
      <c r="A66" s="1098">
        <v>3</v>
      </c>
      <c r="B66" s="1896" t="s">
        <v>71</v>
      </c>
      <c r="C66" s="1897" t="s">
        <v>71</v>
      </c>
      <c r="D66" s="1897" t="s">
        <v>71</v>
      </c>
      <c r="E66" s="1898" t="s">
        <v>71</v>
      </c>
      <c r="F66" s="290" t="s">
        <v>216</v>
      </c>
      <c r="G66" s="1169" t="str">
        <f>'XM.GUI MAIL'!$E$24</f>
        <v>50~60ºC
(55±3OC)</v>
      </c>
      <c r="H66" s="1866">
        <v>59</v>
      </c>
      <c r="I66" s="1867"/>
      <c r="J66" s="1866">
        <v>60</v>
      </c>
      <c r="K66" s="1867"/>
      <c r="L66" s="1053"/>
      <c r="M66" s="1054"/>
      <c r="N66" s="1054"/>
      <c r="O66" s="1055"/>
      <c r="P66" s="1891">
        <v>60</v>
      </c>
      <c r="Q66" s="1892"/>
      <c r="R66" s="1891">
        <v>59</v>
      </c>
      <c r="S66" s="1892"/>
      <c r="T66" s="1053"/>
      <c r="U66" s="1054"/>
      <c r="V66" s="1054"/>
      <c r="W66" s="1055"/>
      <c r="X66" s="1891">
        <f>'XM.FILE GOC'!AL24</f>
        <v>59</v>
      </c>
      <c r="Y66" s="1892"/>
      <c r="Z66" s="1891">
        <f>'XM.FILE GOC'!AO24</f>
        <v>60</v>
      </c>
      <c r="AA66" s="1892"/>
      <c r="AB66" s="1053"/>
      <c r="AC66" s="1054"/>
      <c r="AD66" s="1054"/>
      <c r="AE66" s="1055"/>
      <c r="AF66" s="96"/>
    </row>
    <row r="67" spans="1:32" ht="45" customHeight="1">
      <c r="A67" s="1098">
        <v>4</v>
      </c>
      <c r="B67" s="1896" t="s">
        <v>70</v>
      </c>
      <c r="C67" s="1897" t="s">
        <v>70</v>
      </c>
      <c r="D67" s="1897" t="s">
        <v>70</v>
      </c>
      <c r="E67" s="1898" t="s">
        <v>70</v>
      </c>
      <c r="F67" s="290" t="s">
        <v>216</v>
      </c>
      <c r="G67" s="1169" t="str">
        <f>'XM.GUI MAIL'!$E$25</f>
        <v>50~60ºC
(55±3OC)</v>
      </c>
      <c r="H67" s="1866">
        <f>'XM.FILE GOC'!Z25</f>
        <v>55</v>
      </c>
      <c r="I67" s="1867"/>
      <c r="J67" s="1866">
        <f>'XM.FILE GOC'!AC25</f>
        <v>54</v>
      </c>
      <c r="K67" s="1867"/>
      <c r="L67" s="1053"/>
      <c r="M67" s="1054"/>
      <c r="N67" s="1054"/>
      <c r="O67" s="1055"/>
      <c r="P67" s="1891">
        <v>56</v>
      </c>
      <c r="Q67" s="1892"/>
      <c r="R67" s="1891">
        <v>55</v>
      </c>
      <c r="S67" s="1892"/>
      <c r="T67" s="1053"/>
      <c r="U67" s="1054"/>
      <c r="V67" s="1054"/>
      <c r="W67" s="1055"/>
      <c r="X67" s="1891">
        <f>'XM.FILE GOC'!AL25</f>
        <v>56</v>
      </c>
      <c r="Y67" s="1892"/>
      <c r="Z67" s="1891">
        <f>'XM.FILE GOC'!AO25</f>
        <v>55</v>
      </c>
      <c r="AA67" s="1892"/>
      <c r="AB67" s="1053"/>
      <c r="AC67" s="1054"/>
      <c r="AD67" s="1054"/>
      <c r="AE67" s="1055"/>
      <c r="AF67" s="96"/>
    </row>
    <row r="68" spans="1:32" ht="45" customHeight="1">
      <c r="A68" s="1098">
        <v>5</v>
      </c>
      <c r="B68" s="1896" t="s">
        <v>72</v>
      </c>
      <c r="C68" s="1897" t="s">
        <v>72</v>
      </c>
      <c r="D68" s="1897" t="s">
        <v>72</v>
      </c>
      <c r="E68" s="1898" t="s">
        <v>72</v>
      </c>
      <c r="F68" s="290" t="s">
        <v>216</v>
      </c>
      <c r="G68" s="1169" t="str">
        <f>'XM.GUI MAIL'!$E$26</f>
        <v>20~30ºC
(25±3OC)</v>
      </c>
      <c r="H68" s="1869">
        <v>29</v>
      </c>
      <c r="I68" s="1869"/>
      <c r="J68" s="1869">
        <v>28</v>
      </c>
      <c r="K68" s="1869"/>
      <c r="L68" s="1053"/>
      <c r="M68" s="1054"/>
      <c r="N68" s="1054"/>
      <c r="O68" s="1055"/>
      <c r="P68" s="1893">
        <v>27</v>
      </c>
      <c r="Q68" s="1893"/>
      <c r="R68" s="1893">
        <v>27</v>
      </c>
      <c r="S68" s="1893"/>
      <c r="T68" s="1053"/>
      <c r="U68" s="1054"/>
      <c r="V68" s="1054"/>
      <c r="W68" s="1055"/>
      <c r="X68" s="1893">
        <f>'XM.FILE GOC'!AL26</f>
        <v>30</v>
      </c>
      <c r="Y68" s="1893"/>
      <c r="Z68" s="1893">
        <f>'XM.FILE GOC'!AO26</f>
        <v>30</v>
      </c>
      <c r="AA68" s="1893"/>
      <c r="AB68" s="1053"/>
      <c r="AC68" s="1054"/>
      <c r="AD68" s="1054"/>
      <c r="AE68" s="1055"/>
      <c r="AF68" s="96"/>
    </row>
    <row r="69" spans="1:32" ht="45" customHeight="1">
      <c r="A69" s="1098">
        <v>6</v>
      </c>
      <c r="B69" s="1896" t="s">
        <v>1021</v>
      </c>
      <c r="C69" s="1897" t="s">
        <v>1021</v>
      </c>
      <c r="D69" s="1897" t="s">
        <v>1021</v>
      </c>
      <c r="E69" s="1898" t="s">
        <v>1021</v>
      </c>
      <c r="F69" s="290" t="s">
        <v>216</v>
      </c>
      <c r="G69" s="1169" t="str">
        <f>'XM.GUI MAIL'!$E$27</f>
        <v>35-45ºC
(40±3OC)</v>
      </c>
      <c r="H69" s="1866">
        <f>'XM.FILE GOC'!Z27</f>
        <v>41</v>
      </c>
      <c r="I69" s="1867"/>
      <c r="J69" s="1866">
        <f>'XM.FILE GOC'!AC27</f>
        <v>42</v>
      </c>
      <c r="K69" s="1867"/>
      <c r="L69" s="1053"/>
      <c r="M69" s="1054"/>
      <c r="N69" s="1054"/>
      <c r="O69" s="1055"/>
      <c r="P69" s="1891">
        <v>42</v>
      </c>
      <c r="Q69" s="1892"/>
      <c r="R69" s="1891">
        <v>41</v>
      </c>
      <c r="S69" s="1892"/>
      <c r="T69" s="1053"/>
      <c r="U69" s="1054"/>
      <c r="V69" s="1054"/>
      <c r="W69" s="1055"/>
      <c r="X69" s="1891">
        <f>'XM.FILE GOC'!AL27</f>
        <v>40</v>
      </c>
      <c r="Y69" s="1892"/>
      <c r="Z69" s="1891">
        <f>'XM.FILE GOC'!AO27</f>
        <v>41</v>
      </c>
      <c r="AA69" s="1892"/>
      <c r="AB69" s="1053"/>
      <c r="AC69" s="1054"/>
      <c r="AD69" s="1054"/>
      <c r="AE69" s="1055"/>
      <c r="AF69" s="96"/>
    </row>
    <row r="70" spans="1:32" ht="45" customHeight="1">
      <c r="A70" s="1098">
        <v>7</v>
      </c>
      <c r="B70" s="1896" t="s">
        <v>73</v>
      </c>
      <c r="C70" s="1897" t="s">
        <v>73</v>
      </c>
      <c r="D70" s="1897" t="s">
        <v>73</v>
      </c>
      <c r="E70" s="1898" t="s">
        <v>73</v>
      </c>
      <c r="F70" s="290" t="s">
        <v>216</v>
      </c>
      <c r="G70" s="1169" t="str">
        <f>'XM.GUI MAIL'!$E$28</f>
        <v>55~65ºC
(60±3OC)</v>
      </c>
      <c r="H70" s="1866">
        <f>'XM.FILE GOC'!Z28</f>
        <v>58</v>
      </c>
      <c r="I70" s="1867"/>
      <c r="J70" s="1866">
        <f>'XM.FILE GOC'!AC28</f>
        <v>57</v>
      </c>
      <c r="K70" s="1867"/>
      <c r="L70" s="1053"/>
      <c r="M70" s="1054"/>
      <c r="N70" s="1054"/>
      <c r="O70" s="1055"/>
      <c r="P70" s="1891">
        <v>59</v>
      </c>
      <c r="Q70" s="1892"/>
      <c r="R70" s="1891">
        <v>58</v>
      </c>
      <c r="S70" s="1892"/>
      <c r="T70" s="1053"/>
      <c r="U70" s="1054"/>
      <c r="V70" s="1054"/>
      <c r="W70" s="1055"/>
      <c r="X70" s="1891">
        <f>'XM.FILE GOC'!AL28</f>
        <v>59</v>
      </c>
      <c r="Y70" s="1892"/>
      <c r="Z70" s="1891">
        <f>'XM.FILE GOC'!AO28</f>
        <v>58</v>
      </c>
      <c r="AA70" s="1892"/>
      <c r="AB70" s="1053"/>
      <c r="AC70" s="1054"/>
      <c r="AD70" s="1054"/>
      <c r="AE70" s="1055"/>
      <c r="AF70" s="96"/>
    </row>
    <row r="71" spans="1:32" ht="45" customHeight="1">
      <c r="A71" s="1098">
        <v>8</v>
      </c>
      <c r="B71" s="1899" t="s">
        <v>74</v>
      </c>
      <c r="C71" s="1900" t="s">
        <v>74</v>
      </c>
      <c r="D71" s="1900" t="s">
        <v>74</v>
      </c>
      <c r="E71" s="1901" t="s">
        <v>74</v>
      </c>
      <c r="F71" s="290" t="s">
        <v>216</v>
      </c>
      <c r="G71" s="1169" t="str">
        <f>'XM.GUI MAIL'!$E$29</f>
        <v>65~75ºC
(70±3OC)</v>
      </c>
      <c r="H71" s="1934" t="str">
        <f>'XM.FILE GOC'!Z29</f>
        <v>\</v>
      </c>
      <c r="I71" s="1934"/>
      <c r="J71" s="1869">
        <f>'XM.FILE GOC'!AC29</f>
        <v>74</v>
      </c>
      <c r="K71" s="1869"/>
      <c r="L71" s="1056"/>
      <c r="M71" s="1057"/>
      <c r="N71" s="1057"/>
      <c r="O71" s="1058"/>
      <c r="P71" s="1895" t="str">
        <f>'XM.FILE GOC'!AF29</f>
        <v>\</v>
      </c>
      <c r="Q71" s="1895"/>
      <c r="R71" s="1893">
        <v>73</v>
      </c>
      <c r="S71" s="1893"/>
      <c r="T71" s="1056"/>
      <c r="U71" s="1057"/>
      <c r="V71" s="1057"/>
      <c r="W71" s="1058"/>
      <c r="X71" s="1895" t="str">
        <f>'XM.FILE GOC'!AL29</f>
        <v>\</v>
      </c>
      <c r="Y71" s="1895"/>
      <c r="Z71" s="1893">
        <f>'XM.FILE GOC'!AO29</f>
        <v>73</v>
      </c>
      <c r="AA71" s="1893"/>
      <c r="AB71" s="1056"/>
      <c r="AC71" s="1057"/>
      <c r="AD71" s="1057"/>
      <c r="AE71" s="1058"/>
      <c r="AF71" s="96"/>
    </row>
    <row r="72" spans="1:32" ht="45" customHeight="1">
      <c r="A72" s="1887" t="s">
        <v>78</v>
      </c>
      <c r="B72" s="1933"/>
      <c r="C72" s="1933"/>
      <c r="D72" s="1933"/>
      <c r="E72" s="1933"/>
      <c r="F72" s="1933"/>
      <c r="G72" s="1933"/>
      <c r="H72" s="1933"/>
      <c r="I72" s="1933"/>
      <c r="J72" s="1933"/>
      <c r="K72" s="1933"/>
      <c r="L72" s="1933"/>
      <c r="M72" s="1933"/>
      <c r="N72" s="1933"/>
      <c r="O72" s="1933"/>
      <c r="P72" s="1933"/>
      <c r="Q72" s="1933"/>
      <c r="R72" s="1933"/>
      <c r="S72" s="1933"/>
      <c r="T72" s="1933"/>
      <c r="U72" s="1933"/>
      <c r="V72" s="1933"/>
      <c r="W72" s="1933"/>
      <c r="X72" s="1933"/>
      <c r="Y72" s="1933"/>
      <c r="Z72" s="1933"/>
      <c r="AA72" s="1933"/>
      <c r="AB72" s="1933"/>
      <c r="AC72" s="1933"/>
      <c r="AD72" s="1933"/>
      <c r="AE72" s="1933"/>
      <c r="AF72" s="1888"/>
    </row>
    <row r="73" spans="1:32" ht="45" customHeight="1">
      <c r="A73" s="1098" t="s">
        <v>7</v>
      </c>
      <c r="B73" s="1896" t="s">
        <v>100</v>
      </c>
      <c r="C73" s="1897"/>
      <c r="D73" s="1897"/>
      <c r="E73" s="1898"/>
      <c r="F73" s="661" t="s">
        <v>101</v>
      </c>
      <c r="G73" s="1100" t="s">
        <v>67</v>
      </c>
      <c r="H73" s="1944" t="s">
        <v>119</v>
      </c>
      <c r="I73" s="1945"/>
      <c r="J73" s="1945"/>
      <c r="K73" s="1946"/>
      <c r="L73" s="1050"/>
      <c r="M73" s="1051"/>
      <c r="N73" s="1051"/>
      <c r="O73" s="1052"/>
      <c r="P73" s="1942" t="s">
        <v>119</v>
      </c>
      <c r="Q73" s="1943"/>
      <c r="R73" s="1943"/>
      <c r="S73" s="1894"/>
      <c r="T73" s="1050"/>
      <c r="U73" s="1051"/>
      <c r="V73" s="1051"/>
      <c r="W73" s="1052"/>
      <c r="X73" s="1942" t="s">
        <v>119</v>
      </c>
      <c r="Y73" s="1943"/>
      <c r="Z73" s="1943"/>
      <c r="AA73" s="1894"/>
      <c r="AB73" s="1050"/>
      <c r="AC73" s="1051"/>
      <c r="AD73" s="1051"/>
      <c r="AE73" s="1052"/>
      <c r="AF73" s="95"/>
    </row>
    <row r="74" spans="1:32" ht="45" customHeight="1">
      <c r="A74" s="1098">
        <v>1</v>
      </c>
      <c r="B74" s="1896" t="s">
        <v>54</v>
      </c>
      <c r="C74" s="1897"/>
      <c r="D74" s="1897"/>
      <c r="E74" s="1898"/>
      <c r="F74" s="1101" t="s">
        <v>50</v>
      </c>
      <c r="G74" s="305" t="str">
        <f>'XM.GUI MAIL'!$E$31</f>
        <v>300-360</v>
      </c>
      <c r="H74" s="1866">
        <f>'XM.FILE GOC'!Z31</f>
        <v>335</v>
      </c>
      <c r="I74" s="1867"/>
      <c r="J74" s="1867"/>
      <c r="K74" s="1867"/>
      <c r="L74" s="1059"/>
      <c r="M74" s="1032"/>
      <c r="N74" s="1032"/>
      <c r="O74" s="1060"/>
      <c r="P74" s="1891">
        <v>330</v>
      </c>
      <c r="Q74" s="1892"/>
      <c r="R74" s="1892"/>
      <c r="S74" s="1892"/>
      <c r="T74" s="1059"/>
      <c r="U74" s="1032"/>
      <c r="V74" s="1032"/>
      <c r="W74" s="1060"/>
      <c r="X74" s="1891">
        <f>'XM.FILE GOC'!AL31</f>
        <v>340</v>
      </c>
      <c r="Y74" s="1892"/>
      <c r="Z74" s="1892"/>
      <c r="AA74" s="1892"/>
      <c r="AB74" s="1059"/>
      <c r="AC74" s="1032"/>
      <c r="AD74" s="1032"/>
      <c r="AE74" s="1060"/>
      <c r="AF74" s="96"/>
    </row>
    <row r="75" spans="1:32" ht="45" customHeight="1">
      <c r="A75" s="1098">
        <v>2</v>
      </c>
      <c r="B75" s="1896" t="s">
        <v>94</v>
      </c>
      <c r="C75" s="1897"/>
      <c r="D75" s="1897"/>
      <c r="E75" s="1898"/>
      <c r="F75" s="1101" t="s">
        <v>50</v>
      </c>
      <c r="G75" s="306" t="str">
        <f>'XM.GUI MAIL'!$E$32</f>
        <v>30-50</v>
      </c>
      <c r="H75" s="1866">
        <f>'XM.FILE GOC'!Z32</f>
        <v>40</v>
      </c>
      <c r="I75" s="1867"/>
      <c r="J75" s="1867"/>
      <c r="K75" s="1867"/>
      <c r="L75" s="1061"/>
      <c r="M75" s="1062"/>
      <c r="N75" s="1062"/>
      <c r="O75" s="1063"/>
      <c r="P75" s="1891">
        <v>42</v>
      </c>
      <c r="Q75" s="1892"/>
      <c r="R75" s="1892"/>
      <c r="S75" s="1892"/>
      <c r="T75" s="1061"/>
      <c r="U75" s="1062"/>
      <c r="V75" s="1062"/>
      <c r="W75" s="1063"/>
      <c r="X75" s="1891">
        <f>'XM.FILE GOC'!AL32</f>
        <v>42</v>
      </c>
      <c r="Y75" s="1892"/>
      <c r="Z75" s="1892"/>
      <c r="AA75" s="1892"/>
      <c r="AB75" s="1061"/>
      <c r="AC75" s="1062"/>
      <c r="AD75" s="1062"/>
      <c r="AE75" s="1063"/>
      <c r="AF75" s="96"/>
    </row>
  </sheetData>
  <sheetProtection selectLockedCells="1"/>
  <mergeCells count="256">
    <mergeCell ref="A4:A5"/>
    <mergeCell ref="G4:G5"/>
    <mergeCell ref="A1:Y1"/>
    <mergeCell ref="A14:A15"/>
    <mergeCell ref="H4:K4"/>
    <mergeCell ref="P4:S4"/>
    <mergeCell ref="X4:AA4"/>
    <mergeCell ref="I5:K5"/>
    <mergeCell ref="Q5:S5"/>
    <mergeCell ref="Y5:AA5"/>
    <mergeCell ref="H3:K3"/>
    <mergeCell ref="B12:C13"/>
    <mergeCell ref="D12:E12"/>
    <mergeCell ref="D13:E13"/>
    <mergeCell ref="B14:C15"/>
    <mergeCell ref="D14:E14"/>
    <mergeCell ref="D15:E15"/>
    <mergeCell ref="B4:E5"/>
    <mergeCell ref="B3:E3"/>
    <mergeCell ref="L4:O4"/>
    <mergeCell ref="M5:O5"/>
    <mergeCell ref="A6:A8"/>
    <mergeCell ref="A9:A11"/>
    <mergeCell ref="A12:A13"/>
    <mergeCell ref="Z25:AA25"/>
    <mergeCell ref="A24:AF24"/>
    <mergeCell ref="A16:A17"/>
    <mergeCell ref="B6:C8"/>
    <mergeCell ref="D6:E6"/>
    <mergeCell ref="D7:E7"/>
    <mergeCell ref="D8:E8"/>
    <mergeCell ref="B9:C11"/>
    <mergeCell ref="D9:E9"/>
    <mergeCell ref="D10:E10"/>
    <mergeCell ref="D11:E11"/>
    <mergeCell ref="H25:I25"/>
    <mergeCell ref="J25:K25"/>
    <mergeCell ref="A18:A19"/>
    <mergeCell ref="Z26:AA26"/>
    <mergeCell ref="P25:Q25"/>
    <mergeCell ref="R25:S25"/>
    <mergeCell ref="X25:Y25"/>
    <mergeCell ref="P26:Q26"/>
    <mergeCell ref="R26:S26"/>
    <mergeCell ref="H31:I31"/>
    <mergeCell ref="J31:K31"/>
    <mergeCell ref="X31:Y31"/>
    <mergeCell ref="Z31:AA31"/>
    <mergeCell ref="H27:I27"/>
    <mergeCell ref="J27:K27"/>
    <mergeCell ref="P27:Q27"/>
    <mergeCell ref="R27:S27"/>
    <mergeCell ref="X27:Y27"/>
    <mergeCell ref="Z27:AA27"/>
    <mergeCell ref="H26:I26"/>
    <mergeCell ref="P31:Q31"/>
    <mergeCell ref="R31:S31"/>
    <mergeCell ref="H29:I29"/>
    <mergeCell ref="J29:K29"/>
    <mergeCell ref="H30:I30"/>
    <mergeCell ref="J30:K30"/>
    <mergeCell ref="H28:I28"/>
    <mergeCell ref="P30:Q30"/>
    <mergeCell ref="R30:S30"/>
    <mergeCell ref="X28:Y28"/>
    <mergeCell ref="Z33:AA33"/>
    <mergeCell ref="P35:S35"/>
    <mergeCell ref="X35:AA35"/>
    <mergeCell ref="H35:K35"/>
    <mergeCell ref="H32:I32"/>
    <mergeCell ref="J32:K32"/>
    <mergeCell ref="R32:S32"/>
    <mergeCell ref="X32:Y32"/>
    <mergeCell ref="Z32:AA32"/>
    <mergeCell ref="H33:I33"/>
    <mergeCell ref="J33:K33"/>
    <mergeCell ref="A34:AF34"/>
    <mergeCell ref="X33:Y33"/>
    <mergeCell ref="A72:AF72"/>
    <mergeCell ref="P75:S75"/>
    <mergeCell ref="P70:Q70"/>
    <mergeCell ref="R70:S70"/>
    <mergeCell ref="A52:A53"/>
    <mergeCell ref="A54:A55"/>
    <mergeCell ref="A56:A57"/>
    <mergeCell ref="B58:E58"/>
    <mergeCell ref="B59:E59"/>
    <mergeCell ref="B55:E55"/>
    <mergeCell ref="B56:E57"/>
    <mergeCell ref="B60:E60"/>
    <mergeCell ref="B61:E61"/>
    <mergeCell ref="R65:S65"/>
    <mergeCell ref="X65:Y65"/>
    <mergeCell ref="Z65:AA65"/>
    <mergeCell ref="X66:Y66"/>
    <mergeCell ref="Z66:AA66"/>
    <mergeCell ref="X75:AA75"/>
    <mergeCell ref="P74:S74"/>
    <mergeCell ref="X74:AA74"/>
    <mergeCell ref="H74:K74"/>
    <mergeCell ref="H75:K75"/>
    <mergeCell ref="H68:I68"/>
    <mergeCell ref="J68:K68"/>
    <mergeCell ref="H70:I70"/>
    <mergeCell ref="J70:K70"/>
    <mergeCell ref="H71:I71"/>
    <mergeCell ref="J71:K71"/>
    <mergeCell ref="P71:Q71"/>
    <mergeCell ref="R71:S71"/>
    <mergeCell ref="X71:Y71"/>
    <mergeCell ref="Z71:AA71"/>
    <mergeCell ref="Z69:AA69"/>
    <mergeCell ref="P73:S73"/>
    <mergeCell ref="X73:AA73"/>
    <mergeCell ref="H73:K73"/>
    <mergeCell ref="P68:Q68"/>
    <mergeCell ref="J69:K69"/>
    <mergeCell ref="H66:I66"/>
    <mergeCell ref="J66:K66"/>
    <mergeCell ref="H67:I67"/>
    <mergeCell ref="J67:K67"/>
    <mergeCell ref="P66:Q66"/>
    <mergeCell ref="R66:S66"/>
    <mergeCell ref="P67:Q67"/>
    <mergeCell ref="R67:S67"/>
    <mergeCell ref="P69:Q69"/>
    <mergeCell ref="R69:S69"/>
    <mergeCell ref="H69:I69"/>
    <mergeCell ref="R68:S68"/>
    <mergeCell ref="X70:Y70"/>
    <mergeCell ref="Z70:AA70"/>
    <mergeCell ref="X67:Y67"/>
    <mergeCell ref="Z67:AA67"/>
    <mergeCell ref="X68:Y68"/>
    <mergeCell ref="Z68:AA68"/>
    <mergeCell ref="X69:Y69"/>
    <mergeCell ref="A50:A51"/>
    <mergeCell ref="A42:A43"/>
    <mergeCell ref="G42:G43"/>
    <mergeCell ref="D45:E45"/>
    <mergeCell ref="P36:S36"/>
    <mergeCell ref="P37:S37"/>
    <mergeCell ref="X36:AA36"/>
    <mergeCell ref="X37:AA37"/>
    <mergeCell ref="D49:E49"/>
    <mergeCell ref="B50:C51"/>
    <mergeCell ref="D50:E50"/>
    <mergeCell ref="D51:E51"/>
    <mergeCell ref="H36:K36"/>
    <mergeCell ref="A39:Y39"/>
    <mergeCell ref="H37:K37"/>
    <mergeCell ref="L42:O42"/>
    <mergeCell ref="M43:O43"/>
    <mergeCell ref="T42:W42"/>
    <mergeCell ref="U43:W43"/>
    <mergeCell ref="A40:AB40"/>
    <mergeCell ref="AB42:AE42"/>
    <mergeCell ref="AC43:AE43"/>
    <mergeCell ref="AC40:AD40"/>
    <mergeCell ref="AE40:AF40"/>
    <mergeCell ref="H64:I64"/>
    <mergeCell ref="J64:K64"/>
    <mergeCell ref="H41:K41"/>
    <mergeCell ref="H42:K42"/>
    <mergeCell ref="P42:S42"/>
    <mergeCell ref="X42:AA42"/>
    <mergeCell ref="I43:K43"/>
    <mergeCell ref="Q43:S43"/>
    <mergeCell ref="Y43:AA43"/>
    <mergeCell ref="P64:Q64"/>
    <mergeCell ref="R64:S64"/>
    <mergeCell ref="X64:Y64"/>
    <mergeCell ref="Z64:AA64"/>
    <mergeCell ref="A62:AF62"/>
    <mergeCell ref="H63:I63"/>
    <mergeCell ref="J63:K63"/>
    <mergeCell ref="Z63:AA63"/>
    <mergeCell ref="P63:Q63"/>
    <mergeCell ref="R63:S63"/>
    <mergeCell ref="X63:Y63"/>
    <mergeCell ref="A44:A46"/>
    <mergeCell ref="D46:E46"/>
    <mergeCell ref="D47:E47"/>
    <mergeCell ref="A47:A49"/>
    <mergeCell ref="P65:Q65"/>
    <mergeCell ref="F4:F5"/>
    <mergeCell ref="B42:E43"/>
    <mergeCell ref="F42:F43"/>
    <mergeCell ref="B44:C46"/>
    <mergeCell ref="B47:C49"/>
    <mergeCell ref="B52:C53"/>
    <mergeCell ref="D52:E52"/>
    <mergeCell ref="D53:E53"/>
    <mergeCell ref="B54:E54"/>
    <mergeCell ref="B16:E16"/>
    <mergeCell ref="B17:E17"/>
    <mergeCell ref="B18:E19"/>
    <mergeCell ref="B20:E20"/>
    <mergeCell ref="B21:E21"/>
    <mergeCell ref="B22:E22"/>
    <mergeCell ref="B23:E23"/>
    <mergeCell ref="D44:E44"/>
    <mergeCell ref="B41:E41"/>
    <mergeCell ref="P32:Q32"/>
    <mergeCell ref="H65:I65"/>
    <mergeCell ref="J65:K65"/>
    <mergeCell ref="P28:Q28"/>
    <mergeCell ref="D48:E48"/>
    <mergeCell ref="B73:E73"/>
    <mergeCell ref="B74:E74"/>
    <mergeCell ref="B75:E75"/>
    <mergeCell ref="B35:E35"/>
    <mergeCell ref="B36:E36"/>
    <mergeCell ref="B37:E37"/>
    <mergeCell ref="B25:E25"/>
    <mergeCell ref="B26:E26"/>
    <mergeCell ref="B27:E27"/>
    <mergeCell ref="B28:E28"/>
    <mergeCell ref="B29:E29"/>
    <mergeCell ref="B30:E30"/>
    <mergeCell ref="B31:E31"/>
    <mergeCell ref="B32:E32"/>
    <mergeCell ref="B33:E33"/>
    <mergeCell ref="B63:E63"/>
    <mergeCell ref="B64:E64"/>
    <mergeCell ref="B65:E65"/>
    <mergeCell ref="B66:E66"/>
    <mergeCell ref="B67:E67"/>
    <mergeCell ref="B68:E68"/>
    <mergeCell ref="B69:E69"/>
    <mergeCell ref="B70:E70"/>
    <mergeCell ref="B71:E71"/>
    <mergeCell ref="AC41:AD41"/>
    <mergeCell ref="AE41:AF41"/>
    <mergeCell ref="AB4:AE4"/>
    <mergeCell ref="U5:W5"/>
    <mergeCell ref="AC5:AE5"/>
    <mergeCell ref="AC2:AD2"/>
    <mergeCell ref="AC3:AD3"/>
    <mergeCell ref="AE2:AF2"/>
    <mergeCell ref="AE3:AF3"/>
    <mergeCell ref="T4:W4"/>
    <mergeCell ref="A2:AB2"/>
    <mergeCell ref="Z28:AA28"/>
    <mergeCell ref="X29:Y29"/>
    <mergeCell ref="Z29:AA29"/>
    <mergeCell ref="X30:Y30"/>
    <mergeCell ref="Z30:AA30"/>
    <mergeCell ref="J28:K28"/>
    <mergeCell ref="J26:K26"/>
    <mergeCell ref="X26:Y26"/>
    <mergeCell ref="P33:Q33"/>
    <mergeCell ref="R33:S33"/>
    <mergeCell ref="R28:S28"/>
    <mergeCell ref="P29:Q29"/>
    <mergeCell ref="R29:S29"/>
  </mergeCells>
  <phoneticPr fontId="6" type="noConversion"/>
  <conditionalFormatting sqref="J71:K71 X64:AA65 R71:S71 H64:K65 P64:S65 Z71:AA71 X26:AA27 J33:K33 Z33:AA33 R33:S33 H26:K27 P26:S27">
    <cfRule type="expression" dxfId="2242" priority="647">
      <formula>H26&lt;65</formula>
    </cfRule>
    <cfRule type="expression" dxfId="2241" priority="648">
      <formula>H26&gt;75</formula>
    </cfRule>
  </conditionalFormatting>
  <conditionalFormatting sqref="H68:K68 P68:S68 X68:AA68 X30:AA30 H30:K30 P30:S30">
    <cfRule type="expression" dxfId="2240" priority="645">
      <formula>H30&lt;20</formula>
    </cfRule>
    <cfRule type="expression" dxfId="2239" priority="646">
      <formula>H30&gt;30</formula>
    </cfRule>
  </conditionalFormatting>
  <conditionalFormatting sqref="H66:H67 X66:X67 P66:P67 J66:J67 R66:R67 Z66:Z67 H28:H29 X28:X29 P28:P29 J28:J29 R28:R29 Z28:Z29">
    <cfRule type="expression" dxfId="2238" priority="525">
      <formula>H28&lt;50</formula>
    </cfRule>
    <cfRule type="expression" dxfId="2237" priority="526">
      <formula>H28&gt;60</formula>
    </cfRule>
  </conditionalFormatting>
  <conditionalFormatting sqref="H69 P69 X69 J69 R69 Z69 X31 H31 P31 J31 R31 Z31">
    <cfRule type="expression" dxfId="2236" priority="445">
      <formula>H31&lt;35</formula>
    </cfRule>
    <cfRule type="expression" dxfId="2235" priority="446">
      <formula>H31&gt;45</formula>
    </cfRule>
  </conditionalFormatting>
  <conditionalFormatting sqref="H70 P70 X70 J70 R70 Z70 X32 H32 P32 J32 R32 Z32">
    <cfRule type="expression" dxfId="2234" priority="443">
      <formula>H32&lt;55</formula>
    </cfRule>
    <cfRule type="expression" dxfId="2233" priority="444">
      <formula>H32&gt;65</formula>
    </cfRule>
  </conditionalFormatting>
  <conditionalFormatting sqref="H74 P74 X74 H36 P36 X36">
    <cfRule type="expression" dxfId="2232" priority="407">
      <formula>H36&lt;300</formula>
    </cfRule>
    <cfRule type="expression" dxfId="2231" priority="408">
      <formula>H36&gt;360</formula>
    </cfRule>
  </conditionalFormatting>
  <conditionalFormatting sqref="H75 P75 X75 P37 X37 H37">
    <cfRule type="expression" dxfId="2230" priority="405">
      <formula>H37&lt;30</formula>
    </cfRule>
    <cfRule type="expression" dxfId="2229" priority="406">
      <formula>H37&gt;50</formula>
    </cfRule>
  </conditionalFormatting>
  <conditionalFormatting sqref="H44 H47 P44 P47 X44 X47 H6 H9 P6 P9 X6 X9">
    <cfRule type="expression" dxfId="2228" priority="307" stopIfTrue="1">
      <formula>H6&gt;35</formula>
    </cfRule>
    <cfRule type="expression" dxfId="2227" priority="308" stopIfTrue="1">
      <formula>H6&lt;25</formula>
    </cfRule>
  </conditionalFormatting>
  <conditionalFormatting sqref="H50 H52 P50 P52 X50 X52 H12 H14 P12 P14 X12 X14">
    <cfRule type="expression" dxfId="2226" priority="303" stopIfTrue="1">
      <formula>H12&gt;80</formula>
    </cfRule>
    <cfRule type="expression" dxfId="2225" priority="304" stopIfTrue="1">
      <formula>H12&lt;60</formula>
    </cfRule>
  </conditionalFormatting>
  <conditionalFormatting sqref="H54 P54 X54 H16 P16 X16">
    <cfRule type="expression" dxfId="2224" priority="299">
      <formula>H16&lt;130</formula>
    </cfRule>
    <cfRule type="expression" dxfId="2223" priority="300">
      <formula>H16&gt;150</formula>
    </cfRule>
  </conditionalFormatting>
  <conditionalFormatting sqref="H58 P58 X58 H20 P20 X20">
    <cfRule type="expression" dxfId="2222" priority="297">
      <formula>H20&lt;30%</formula>
    </cfRule>
    <cfRule type="expression" dxfId="2221" priority="298">
      <formula>H20&gt;60%</formula>
    </cfRule>
  </conditionalFormatting>
  <conditionalFormatting sqref="H59 P59 X59 H21 P21 X21">
    <cfRule type="cellIs" dxfId="2220" priority="293" operator="between">
      <formula>0.271</formula>
      <formula>0.3</formula>
    </cfRule>
    <cfRule type="cellIs" dxfId="2219" priority="294" operator="between">
      <formula>0.15</formula>
      <formula>0.185</formula>
    </cfRule>
    <cfRule type="expression" dxfId="2218" priority="295">
      <formula>H21&lt;15%</formula>
    </cfRule>
    <cfRule type="expression" dxfId="2217" priority="296">
      <formula>H21&gt;30%</formula>
    </cfRule>
  </conditionalFormatting>
  <conditionalFormatting sqref="H61 P61 X61 H23 P23 X23">
    <cfRule type="expression" dxfId="2216" priority="291">
      <formula>H23&lt;0.5%</formula>
    </cfRule>
    <cfRule type="expression" dxfId="2215" priority="292">
      <formula>H23&gt;1.5%</formula>
    </cfRule>
  </conditionalFormatting>
  <conditionalFormatting sqref="H57 P57 X57 H19 P19 X19">
    <cfRule type="expression" dxfId="2214" priority="289">
      <formula>H19&lt;1.6</formula>
    </cfRule>
    <cfRule type="expression" dxfId="2213" priority="290">
      <formula>H19&gt;2.2</formula>
    </cfRule>
  </conditionalFormatting>
  <conditionalFormatting sqref="H55 P55 X55 H17 P17 X17">
    <cfRule type="expression" dxfId="2212" priority="287" stopIfTrue="1">
      <formula>H17&gt;12</formula>
    </cfRule>
    <cfRule type="expression" dxfId="2211" priority="288" stopIfTrue="1">
      <formula>H17&lt;7</formula>
    </cfRule>
  </conditionalFormatting>
  <conditionalFormatting sqref="H60 P60 X60 H22 P22 X22">
    <cfRule type="expression" dxfId="2210" priority="147">
      <formula>H22&lt;5%</formula>
    </cfRule>
    <cfRule type="expression" dxfId="2209" priority="148">
      <formula>H22&gt;15%</formula>
    </cfRule>
  </conditionalFormatting>
  <conditionalFormatting sqref="H56 P56 X56 H18 P18 X18">
    <cfRule type="expression" dxfId="2208" priority="119" stopIfTrue="1">
      <formula>H18&gt;18</formula>
    </cfRule>
    <cfRule type="expression" dxfId="2207" priority="120" stopIfTrue="1">
      <formula>H18&lt;12</formula>
    </cfRule>
  </conditionalFormatting>
  <pageMargins left="0.28999999999999998" right="0" top="0.13" bottom="0" header="0" footer="0"/>
  <pageSetup paperSize="9" scale="50"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5.xml><?xml version="1.0" encoding="utf-8"?>
<worksheet xmlns="http://schemas.openxmlformats.org/spreadsheetml/2006/main" xmlns:r="http://schemas.openxmlformats.org/officeDocument/2006/relationships">
  <sheetPr codeName="Sheet5">
    <tabColor rgb="FFFFC000"/>
  </sheetPr>
  <dimension ref="A1:AF71"/>
  <sheetViews>
    <sheetView view="pageBreakPreview" topLeftCell="A43" zoomScale="55" zoomScaleNormal="55" zoomScaleSheetLayoutView="55" workbookViewId="0">
      <selection activeCell="AI51" sqref="AI51"/>
    </sheetView>
  </sheetViews>
  <sheetFormatPr defaultRowHeight="15"/>
  <cols>
    <col min="1" max="1" width="2.75" style="287" customWidth="1"/>
    <col min="2" max="2" width="8.5" style="689" customWidth="1"/>
    <col min="3" max="3" width="3.625" style="689" customWidth="1"/>
    <col min="4" max="4" width="2.875" style="689" customWidth="1"/>
    <col min="5" max="5" width="6.25" style="689" customWidth="1"/>
    <col min="6" max="6" width="7.25" style="287" customWidth="1"/>
    <col min="7" max="7" width="16.25" style="690" customWidth="1"/>
    <col min="8" max="8" width="7" style="287" customWidth="1"/>
    <col min="9" max="9" width="3.125" style="287" customWidth="1"/>
    <col min="10" max="10" width="8" style="287" customWidth="1"/>
    <col min="11" max="11" width="4.5" style="287" customWidth="1"/>
    <col min="12" max="12" width="7.125" style="288" customWidth="1"/>
    <col min="13" max="13" width="4.5" style="288" customWidth="1"/>
    <col min="14" max="14" width="7" style="288" customWidth="1"/>
    <col min="15" max="15" width="4.5" style="288" customWidth="1"/>
    <col min="16" max="16" width="7.375" style="287" customWidth="1"/>
    <col min="17" max="17" width="3.25" style="287" customWidth="1"/>
    <col min="18" max="18" width="8.125" style="287" customWidth="1"/>
    <col min="19" max="19" width="4.25" style="287" customWidth="1"/>
    <col min="20" max="20" width="7.5" style="288" customWidth="1"/>
    <col min="21" max="21" width="4.25" style="288" customWidth="1"/>
    <col min="22" max="22" width="7" style="288" customWidth="1"/>
    <col min="23" max="23" width="3.75" style="288" customWidth="1"/>
    <col min="24" max="24" width="7.625" style="287" customWidth="1"/>
    <col min="25" max="25" width="3.25" style="287" customWidth="1"/>
    <col min="26" max="26" width="7.75" style="287" customWidth="1"/>
    <col min="27" max="27" width="4.5" style="287" customWidth="1"/>
    <col min="28" max="28" width="7.25" style="288" customWidth="1"/>
    <col min="29" max="29" width="3.625" style="288" customWidth="1"/>
    <col min="30" max="30" width="7.125" style="288" customWidth="1"/>
    <col min="31" max="31" width="4.5" style="288" customWidth="1"/>
    <col min="32" max="32" width="12.25" style="20" customWidth="1"/>
    <col min="33" max="16384" width="9" style="20"/>
  </cols>
  <sheetData>
    <row r="1" spans="1:32" ht="28.5" customHeight="1">
      <c r="A1" s="1956" t="s">
        <v>147</v>
      </c>
      <c r="B1" s="1956"/>
      <c r="C1" s="1956"/>
      <c r="D1" s="1956"/>
      <c r="E1" s="1956"/>
      <c r="F1" s="1956"/>
      <c r="G1" s="1956"/>
      <c r="H1" s="1956"/>
      <c r="I1" s="1956"/>
      <c r="J1" s="1956"/>
      <c r="K1" s="1956"/>
      <c r="L1" s="1956"/>
      <c r="M1" s="1956"/>
      <c r="N1" s="1956"/>
      <c r="O1" s="1956"/>
      <c r="P1" s="1956"/>
      <c r="Q1" s="1956"/>
      <c r="R1" s="1956"/>
      <c r="S1" s="1956"/>
      <c r="T1" s="1956"/>
      <c r="U1" s="1956"/>
      <c r="V1" s="1956"/>
      <c r="W1" s="1956"/>
      <c r="X1" s="1956"/>
      <c r="Y1" s="1956"/>
      <c r="Z1" s="1031"/>
      <c r="AA1" s="1031"/>
      <c r="AB1" s="1073"/>
      <c r="AC1" s="1073"/>
      <c r="AD1" s="1073"/>
      <c r="AE1" s="1073"/>
      <c r="AF1" s="1031"/>
    </row>
    <row r="2" spans="1:32" ht="46.5" customHeight="1">
      <c r="A2" s="1889" t="s">
        <v>239</v>
      </c>
      <c r="B2" s="1889"/>
      <c r="C2" s="1889"/>
      <c r="D2" s="1889"/>
      <c r="E2" s="1889"/>
      <c r="F2" s="1889"/>
      <c r="G2" s="1889"/>
      <c r="H2" s="1889"/>
      <c r="I2" s="1889"/>
      <c r="J2" s="1889"/>
      <c r="K2" s="1889"/>
      <c r="L2" s="1889"/>
      <c r="M2" s="1889"/>
      <c r="N2" s="1889"/>
      <c r="O2" s="1889"/>
      <c r="P2" s="1889"/>
      <c r="Q2" s="1889"/>
      <c r="R2" s="1889"/>
      <c r="S2" s="1889"/>
      <c r="T2" s="1889"/>
      <c r="U2" s="1889"/>
      <c r="V2" s="1889"/>
      <c r="W2" s="1889"/>
      <c r="X2" s="1889"/>
      <c r="Y2" s="1889"/>
      <c r="Z2" s="1957"/>
      <c r="AA2" s="1957"/>
      <c r="AB2" s="1074"/>
      <c r="AC2" s="1886" t="s">
        <v>96</v>
      </c>
      <c r="AD2" s="1886"/>
      <c r="AE2" s="1887" t="s">
        <v>97</v>
      </c>
      <c r="AF2" s="1888"/>
    </row>
    <row r="3" spans="1:32" ht="36" customHeight="1">
      <c r="A3" s="1106"/>
      <c r="B3" s="1919" t="s">
        <v>235</v>
      </c>
      <c r="C3" s="1919"/>
      <c r="D3" s="664"/>
      <c r="E3" s="665"/>
      <c r="F3" s="1107"/>
      <c r="G3" s="1108" t="str">
        <f>'1. XL-1E kh'!$G$3</f>
        <v>2022/12/03</v>
      </c>
      <c r="H3" s="668"/>
      <c r="I3" s="668"/>
      <c r="J3" s="668"/>
      <c r="K3" s="668"/>
      <c r="L3" s="1069"/>
      <c r="M3" s="1069"/>
      <c r="N3" s="1069"/>
      <c r="O3" s="1069"/>
      <c r="P3" s="668"/>
      <c r="Q3" s="1110"/>
      <c r="R3" s="1110"/>
      <c r="Y3" s="1111"/>
      <c r="Z3" s="1958"/>
      <c r="AA3" s="1958"/>
      <c r="AB3" s="1075"/>
      <c r="AC3" s="1878" t="str">
        <f>MENU!AD6</f>
        <v>L.Yen</v>
      </c>
      <c r="AD3" s="1878"/>
      <c r="AE3" s="1879" t="s">
        <v>11</v>
      </c>
      <c r="AF3" s="1880"/>
    </row>
    <row r="4" spans="1:32" s="62" customFormat="1" ht="48.75" customHeight="1">
      <c r="A4" s="1903" t="s">
        <v>7</v>
      </c>
      <c r="B4" s="1904" t="s">
        <v>79</v>
      </c>
      <c r="C4" s="1905"/>
      <c r="D4" s="1905"/>
      <c r="E4" s="1906"/>
      <c r="F4" s="1902" t="s">
        <v>137</v>
      </c>
      <c r="G4" s="1959" t="s">
        <v>67</v>
      </c>
      <c r="H4" s="1924">
        <v>0.26041666666666669</v>
      </c>
      <c r="I4" s="1925"/>
      <c r="J4" s="1925"/>
      <c r="K4" s="1926"/>
      <c r="L4" s="1881" t="s">
        <v>1012</v>
      </c>
      <c r="M4" s="1882"/>
      <c r="N4" s="1882"/>
      <c r="O4" s="1883"/>
      <c r="P4" s="1924">
        <v>0.42708333333333331</v>
      </c>
      <c r="Q4" s="1925"/>
      <c r="R4" s="1925"/>
      <c r="S4" s="1926"/>
      <c r="T4" s="1881" t="s">
        <v>1012</v>
      </c>
      <c r="U4" s="1882"/>
      <c r="V4" s="1882"/>
      <c r="W4" s="1883"/>
      <c r="X4" s="1961">
        <v>0.59375</v>
      </c>
      <c r="Y4" s="1902"/>
      <c r="Z4" s="1902"/>
      <c r="AA4" s="1902"/>
      <c r="AB4" s="1881" t="s">
        <v>1012</v>
      </c>
      <c r="AC4" s="1882"/>
      <c r="AD4" s="1882"/>
      <c r="AE4" s="1883"/>
      <c r="AF4" s="1950" t="s">
        <v>98</v>
      </c>
    </row>
    <row r="5" spans="1:32" s="62" customFormat="1" ht="48.75" customHeight="1">
      <c r="A5" s="1903"/>
      <c r="B5" s="1907"/>
      <c r="C5" s="1908"/>
      <c r="D5" s="1908"/>
      <c r="E5" s="1909"/>
      <c r="F5" s="1903"/>
      <c r="G5" s="1960"/>
      <c r="H5" s="1087" t="s">
        <v>146</v>
      </c>
      <c r="I5" s="1930" t="s">
        <v>1</v>
      </c>
      <c r="J5" s="1931"/>
      <c r="K5" s="1932"/>
      <c r="L5" s="1034" t="s">
        <v>1016</v>
      </c>
      <c r="M5" s="1884" t="s">
        <v>1</v>
      </c>
      <c r="N5" s="1884"/>
      <c r="O5" s="1885"/>
      <c r="P5" s="1087" t="s">
        <v>146</v>
      </c>
      <c r="Q5" s="1930" t="s">
        <v>1</v>
      </c>
      <c r="R5" s="1931"/>
      <c r="S5" s="1932"/>
      <c r="T5" s="1034" t="s">
        <v>1016</v>
      </c>
      <c r="U5" s="1884" t="s">
        <v>1</v>
      </c>
      <c r="V5" s="1884"/>
      <c r="W5" s="1885"/>
      <c r="X5" s="1112" t="s">
        <v>146</v>
      </c>
      <c r="Y5" s="1903" t="s">
        <v>1</v>
      </c>
      <c r="Z5" s="1903"/>
      <c r="AA5" s="1903"/>
      <c r="AB5" s="1034" t="s">
        <v>1016</v>
      </c>
      <c r="AC5" s="1884" t="s">
        <v>1</v>
      </c>
      <c r="AD5" s="1884"/>
      <c r="AE5" s="1885"/>
      <c r="AF5" s="1950"/>
    </row>
    <row r="6" spans="1:32" ht="48.75" customHeight="1">
      <c r="A6" s="1954">
        <v>1</v>
      </c>
      <c r="B6" s="1904" t="s">
        <v>148</v>
      </c>
      <c r="C6" s="1910"/>
      <c r="D6" s="1917" t="s">
        <v>266</v>
      </c>
      <c r="E6" s="1918"/>
      <c r="F6" s="56" t="s">
        <v>4</v>
      </c>
      <c r="G6" s="1025" t="str">
        <f>'XM.GUI MAIL'!$E$37</f>
        <v>60~80g/L
(70±5g/L)</v>
      </c>
      <c r="H6" s="64">
        <f>'XM.FILE GOC'!H37</f>
        <v>72.039000000000001</v>
      </c>
      <c r="I6" s="69" t="s">
        <v>8</v>
      </c>
      <c r="J6" s="676">
        <f>'XM.FILE GOC'!K37</f>
        <v>0</v>
      </c>
      <c r="K6" s="677" t="s">
        <v>9</v>
      </c>
      <c r="L6" s="1035"/>
      <c r="M6" s="1036"/>
      <c r="N6" s="1067"/>
      <c r="O6" s="1038"/>
      <c r="P6" s="64">
        <f>'XM.FILE GOC'!N37</f>
        <v>70.741</v>
      </c>
      <c r="Q6" s="69" t="s">
        <v>8</v>
      </c>
      <c r="R6" s="676">
        <f>'XM.FILE GOC'!Q37</f>
        <v>0</v>
      </c>
      <c r="S6" s="677" t="s">
        <v>9</v>
      </c>
      <c r="T6" s="1035"/>
      <c r="U6" s="1036"/>
      <c r="V6" s="1067"/>
      <c r="W6" s="1038"/>
      <c r="X6" s="64">
        <f>'XM.FILE GOC'!T37</f>
        <v>70.2</v>
      </c>
      <c r="Y6" s="69" t="s">
        <v>8</v>
      </c>
      <c r="Z6" s="676">
        <f>'XM.FILE GOC'!W37</f>
        <v>0</v>
      </c>
      <c r="AA6" s="677" t="s">
        <v>9</v>
      </c>
      <c r="AB6" s="1035"/>
      <c r="AC6" s="1036"/>
      <c r="AD6" s="1067"/>
      <c r="AE6" s="1038"/>
      <c r="AF6" s="87" t="s">
        <v>12</v>
      </c>
    </row>
    <row r="7" spans="1:32" ht="48.75" customHeight="1">
      <c r="A7" s="1955"/>
      <c r="B7" s="1962"/>
      <c r="C7" s="1912"/>
      <c r="D7" s="1917" t="s">
        <v>267</v>
      </c>
      <c r="E7" s="1918"/>
      <c r="F7" s="307"/>
      <c r="G7" s="1025" t="s">
        <v>1022</v>
      </c>
      <c r="H7" s="350"/>
      <c r="I7" s="69"/>
      <c r="J7" s="1091">
        <f>J6/25*7.5</f>
        <v>0</v>
      </c>
      <c r="K7" s="677" t="s">
        <v>10</v>
      </c>
      <c r="L7" s="1035"/>
      <c r="M7" s="1039"/>
      <c r="N7" s="1040"/>
      <c r="O7" s="1041"/>
      <c r="P7" s="350"/>
      <c r="Q7" s="69"/>
      <c r="R7" s="1091">
        <f>R6/25*7.5</f>
        <v>0</v>
      </c>
      <c r="S7" s="677" t="s">
        <v>10</v>
      </c>
      <c r="T7" s="1035"/>
      <c r="U7" s="1039"/>
      <c r="V7" s="1040"/>
      <c r="W7" s="1041"/>
      <c r="X7" s="350"/>
      <c r="Y7" s="69"/>
      <c r="Z7" s="1091">
        <f>Z6/25*7.5</f>
        <v>0</v>
      </c>
      <c r="AA7" s="677" t="s">
        <v>10</v>
      </c>
      <c r="AB7" s="1035"/>
      <c r="AC7" s="1039"/>
      <c r="AD7" s="1040"/>
      <c r="AE7" s="1041"/>
      <c r="AF7" s="316"/>
    </row>
    <row r="8" spans="1:32" ht="48.75" customHeight="1">
      <c r="A8" s="1954">
        <v>2</v>
      </c>
      <c r="B8" s="1904" t="s">
        <v>149</v>
      </c>
      <c r="C8" s="1910"/>
      <c r="D8" s="1917" t="s">
        <v>266</v>
      </c>
      <c r="E8" s="1918"/>
      <c r="F8" s="56" t="s">
        <v>4</v>
      </c>
      <c r="G8" s="1025" t="str">
        <f>'XM.GUI MAIL'!$E$38</f>
        <v>60~80g/L
(70±5g/L)</v>
      </c>
      <c r="H8" s="64">
        <f>'XM.FILE GOC'!H38</f>
        <v>70.3</v>
      </c>
      <c r="I8" s="69" t="s">
        <v>8</v>
      </c>
      <c r="J8" s="676">
        <f>'XM.FILE GOC'!K38</f>
        <v>0</v>
      </c>
      <c r="K8" s="677" t="s">
        <v>9</v>
      </c>
      <c r="L8" s="1035"/>
      <c r="M8" s="1036"/>
      <c r="N8" s="1067"/>
      <c r="O8" s="1038"/>
      <c r="P8" s="64">
        <f>'XM.FILE GOC'!N38</f>
        <v>70.099999999999994</v>
      </c>
      <c r="Q8" s="69" t="s">
        <v>8</v>
      </c>
      <c r="R8" s="676">
        <f>'XM.FILE GOC'!Q38</f>
        <v>0</v>
      </c>
      <c r="S8" s="677" t="s">
        <v>9</v>
      </c>
      <c r="T8" s="1035"/>
      <c r="U8" s="1036"/>
      <c r="V8" s="1067"/>
      <c r="W8" s="1038"/>
      <c r="X8" s="64">
        <f>'XM.FILE GOC'!T38</f>
        <v>70</v>
      </c>
      <c r="Y8" s="69" t="s">
        <v>8</v>
      </c>
      <c r="Z8" s="676">
        <f>'XM.FILE GOC'!W38</f>
        <v>0</v>
      </c>
      <c r="AA8" s="677" t="s">
        <v>9</v>
      </c>
      <c r="AB8" s="1035"/>
      <c r="AC8" s="1036"/>
      <c r="AD8" s="1067"/>
      <c r="AE8" s="1038"/>
      <c r="AF8" s="87" t="s">
        <v>12</v>
      </c>
    </row>
    <row r="9" spans="1:32" ht="48.75" customHeight="1">
      <c r="A9" s="1955"/>
      <c r="B9" s="1962"/>
      <c r="C9" s="1912"/>
      <c r="D9" s="1917" t="s">
        <v>267</v>
      </c>
      <c r="E9" s="1918"/>
      <c r="F9" s="307"/>
      <c r="G9" s="1025" t="s">
        <v>1022</v>
      </c>
      <c r="H9" s="350"/>
      <c r="I9" s="69"/>
      <c r="J9" s="1091">
        <f>J8/25*7.5</f>
        <v>0</v>
      </c>
      <c r="K9" s="677" t="s">
        <v>10</v>
      </c>
      <c r="L9" s="1035"/>
      <c r="M9" s="1039"/>
      <c r="N9" s="1040"/>
      <c r="O9" s="1041"/>
      <c r="P9" s="350"/>
      <c r="Q9" s="69"/>
      <c r="R9" s="1091">
        <f>R8/25*7.5</f>
        <v>0</v>
      </c>
      <c r="S9" s="677" t="s">
        <v>10</v>
      </c>
      <c r="T9" s="1035"/>
      <c r="U9" s="1039"/>
      <c r="V9" s="1040"/>
      <c r="W9" s="1041"/>
      <c r="X9" s="350"/>
      <c r="Y9" s="69"/>
      <c r="Z9" s="1091">
        <f>Z8/25*7.5</f>
        <v>0</v>
      </c>
      <c r="AA9" s="677" t="s">
        <v>10</v>
      </c>
      <c r="AB9" s="1035"/>
      <c r="AC9" s="1039"/>
      <c r="AD9" s="1040"/>
      <c r="AE9" s="1041"/>
      <c r="AF9" s="316"/>
    </row>
    <row r="10" spans="1:32" ht="48.75" customHeight="1">
      <c r="A10" s="1954">
        <v>3</v>
      </c>
      <c r="B10" s="1915" t="s">
        <v>150</v>
      </c>
      <c r="C10" s="1916"/>
      <c r="D10" s="1896" t="s">
        <v>268</v>
      </c>
      <c r="E10" s="1898" t="s">
        <v>268</v>
      </c>
      <c r="F10" s="56" t="s">
        <v>4</v>
      </c>
      <c r="G10" s="1025" t="str">
        <f>'XM.GUI MAIL'!$E$39</f>
        <v>50~70g/L
(60±5g/L)</v>
      </c>
      <c r="H10" s="350">
        <f>'XM.FILE GOC'!H39</f>
        <v>59.3</v>
      </c>
      <c r="I10" s="69" t="s">
        <v>8</v>
      </c>
      <c r="J10" s="676">
        <f>'XM.FILE GOC'!K39</f>
        <v>0.80920000000000325</v>
      </c>
      <c r="K10" s="677" t="s">
        <v>9</v>
      </c>
      <c r="L10" s="1035">
        <v>61.2</v>
      </c>
      <c r="M10" s="1036"/>
      <c r="N10" s="1067"/>
      <c r="O10" s="1038"/>
      <c r="P10" s="350">
        <f>'XM.FILE GOC'!N39</f>
        <v>61.2</v>
      </c>
      <c r="Q10" s="69" t="s">
        <v>8</v>
      </c>
      <c r="R10" s="676">
        <f>'XM.FILE GOC'!Q39</f>
        <v>0</v>
      </c>
      <c r="S10" s="677" t="s">
        <v>9</v>
      </c>
      <c r="T10" s="1035"/>
      <c r="U10" s="1036"/>
      <c r="V10" s="1067"/>
      <c r="W10" s="1038"/>
      <c r="X10" s="350">
        <f>'XM.FILE GOC'!T39</f>
        <v>60.3</v>
      </c>
      <c r="Y10" s="69" t="s">
        <v>8</v>
      </c>
      <c r="Z10" s="676">
        <f>'XM.FILE GOC'!W39</f>
        <v>0</v>
      </c>
      <c r="AA10" s="677" t="s">
        <v>9</v>
      </c>
      <c r="AB10" s="1035"/>
      <c r="AC10" s="1036"/>
      <c r="AD10" s="1067"/>
      <c r="AE10" s="1038"/>
      <c r="AF10" s="87" t="s">
        <v>12</v>
      </c>
    </row>
    <row r="11" spans="1:32" ht="48.75" customHeight="1">
      <c r="A11" s="1963"/>
      <c r="B11" s="1916"/>
      <c r="C11" s="1916"/>
      <c r="D11" s="1896" t="s">
        <v>269</v>
      </c>
      <c r="E11" s="1898" t="s">
        <v>269</v>
      </c>
      <c r="F11" s="307"/>
      <c r="G11" s="1025" t="s">
        <v>1072</v>
      </c>
      <c r="H11" s="350"/>
      <c r="I11" s="69"/>
      <c r="J11" s="1091">
        <f>J10/25*7</f>
        <v>0.22657600000000094</v>
      </c>
      <c r="K11" s="677" t="s">
        <v>10</v>
      </c>
      <c r="L11" s="1035"/>
      <c r="M11" s="1039"/>
      <c r="N11" s="1040"/>
      <c r="O11" s="1041"/>
      <c r="P11" s="350"/>
      <c r="Q11" s="69"/>
      <c r="R11" s="1091">
        <f>R10/25*7</f>
        <v>0</v>
      </c>
      <c r="S11" s="677" t="s">
        <v>10</v>
      </c>
      <c r="T11" s="1035"/>
      <c r="U11" s="1039"/>
      <c r="V11" s="1040"/>
      <c r="W11" s="1041"/>
      <c r="X11" s="350"/>
      <c r="Y11" s="69"/>
      <c r="Z11" s="1091">
        <f>Z10/25*7</f>
        <v>0</v>
      </c>
      <c r="AA11" s="677" t="s">
        <v>10</v>
      </c>
      <c r="AB11" s="1035"/>
      <c r="AC11" s="1039"/>
      <c r="AD11" s="1040"/>
      <c r="AE11" s="1041"/>
      <c r="AF11" s="21"/>
    </row>
    <row r="12" spans="1:32" ht="48.75" customHeight="1">
      <c r="A12" s="1954">
        <v>4</v>
      </c>
      <c r="B12" s="1915" t="s">
        <v>151</v>
      </c>
      <c r="C12" s="1916"/>
      <c r="D12" s="1896" t="s">
        <v>268</v>
      </c>
      <c r="E12" s="1898" t="s">
        <v>268</v>
      </c>
      <c r="F12" s="56" t="s">
        <v>4</v>
      </c>
      <c r="G12" s="1025" t="str">
        <f>'XM.GUI MAIL'!$E$40</f>
        <v>50~70g/L
(60±5g/L)</v>
      </c>
      <c r="H12" s="350">
        <f>'XM.FILE GOC'!H40</f>
        <v>60.3</v>
      </c>
      <c r="I12" s="69" t="s">
        <v>8</v>
      </c>
      <c r="J12" s="676">
        <f>'XM.FILE GOC'!K40</f>
        <v>0</v>
      </c>
      <c r="K12" s="677" t="s">
        <v>9</v>
      </c>
      <c r="L12" s="1035"/>
      <c r="M12" s="1036"/>
      <c r="N12" s="1067"/>
      <c r="O12" s="1038"/>
      <c r="P12" s="350">
        <f>'XM.FILE GOC'!N40</f>
        <v>60</v>
      </c>
      <c r="Q12" s="69" t="s">
        <v>8</v>
      </c>
      <c r="R12" s="676">
        <f>'XM.FILE GOC'!Q40</f>
        <v>0</v>
      </c>
      <c r="S12" s="677" t="s">
        <v>9</v>
      </c>
      <c r="T12" s="1035"/>
      <c r="U12" s="1036"/>
      <c r="V12" s="1067"/>
      <c r="W12" s="1038"/>
      <c r="X12" s="350">
        <f>'XM.FILE GOC'!T40</f>
        <v>59.6</v>
      </c>
      <c r="Y12" s="69" t="s">
        <v>8</v>
      </c>
      <c r="Z12" s="676">
        <f>'XM.FILE GOC'!W40</f>
        <v>0.58359999999999801</v>
      </c>
      <c r="AA12" s="677" t="s">
        <v>9</v>
      </c>
      <c r="AB12" s="1035">
        <v>61.2</v>
      </c>
      <c r="AC12" s="1036"/>
      <c r="AD12" s="1067"/>
      <c r="AE12" s="1038"/>
      <c r="AF12" s="87" t="s">
        <v>12</v>
      </c>
    </row>
    <row r="13" spans="1:32" ht="48.75" customHeight="1">
      <c r="A13" s="1963"/>
      <c r="B13" s="1916"/>
      <c r="C13" s="1916"/>
      <c r="D13" s="1896" t="s">
        <v>269</v>
      </c>
      <c r="E13" s="1898" t="s">
        <v>269</v>
      </c>
      <c r="F13" s="307"/>
      <c r="G13" s="1025" t="s">
        <v>1072</v>
      </c>
      <c r="H13" s="350"/>
      <c r="I13" s="69"/>
      <c r="J13" s="1091">
        <f>J12/25*7</f>
        <v>0</v>
      </c>
      <c r="K13" s="677" t="s">
        <v>10</v>
      </c>
      <c r="L13" s="1035"/>
      <c r="M13" s="1039"/>
      <c r="N13" s="1040"/>
      <c r="O13" s="1041"/>
      <c r="P13" s="350"/>
      <c r="Q13" s="69"/>
      <c r="R13" s="1091">
        <f>R12/25*7</f>
        <v>0</v>
      </c>
      <c r="S13" s="677" t="s">
        <v>10</v>
      </c>
      <c r="T13" s="1035"/>
      <c r="U13" s="1039"/>
      <c r="V13" s="1040"/>
      <c r="W13" s="1041"/>
      <c r="X13" s="350"/>
      <c r="Y13" s="69"/>
      <c r="Z13" s="1091">
        <f>Z12/25*7</f>
        <v>0.16340799999999944</v>
      </c>
      <c r="AA13" s="677" t="s">
        <v>10</v>
      </c>
      <c r="AB13" s="1035"/>
      <c r="AC13" s="1039"/>
      <c r="AD13" s="1040"/>
      <c r="AE13" s="1041"/>
      <c r="AF13" s="21"/>
    </row>
    <row r="14" spans="1:32" ht="48.75" customHeight="1">
      <c r="A14" s="56">
        <v>5</v>
      </c>
      <c r="B14" s="1896" t="s">
        <v>82</v>
      </c>
      <c r="C14" s="1897"/>
      <c r="D14" s="1897"/>
      <c r="E14" s="1898"/>
      <c r="F14" s="56" t="s">
        <v>4</v>
      </c>
      <c r="G14" s="1168" t="str">
        <f>'XM.GUI MAIL'!$E$41</f>
        <v>130 - 150g/L
(140±10g/L)</v>
      </c>
      <c r="H14" s="350">
        <f>'XM.FILE GOC'!H41</f>
        <v>140</v>
      </c>
      <c r="I14" s="69" t="s">
        <v>8</v>
      </c>
      <c r="J14" s="676">
        <f>'XM.FILE GOC'!K41</f>
        <v>0</v>
      </c>
      <c r="K14" s="677" t="s">
        <v>9</v>
      </c>
      <c r="L14" s="1035"/>
      <c r="M14" s="1036"/>
      <c r="N14" s="1067"/>
      <c r="O14" s="1038"/>
      <c r="P14" s="350">
        <f>'XM.FILE GOC'!N41</f>
        <v>140</v>
      </c>
      <c r="Q14" s="69" t="s">
        <v>8</v>
      </c>
      <c r="R14" s="676">
        <f>'XM.FILE GOC'!Q41</f>
        <v>0</v>
      </c>
      <c r="S14" s="677" t="s">
        <v>9</v>
      </c>
      <c r="T14" s="1035"/>
      <c r="U14" s="1036"/>
      <c r="V14" s="1067"/>
      <c r="W14" s="1038"/>
      <c r="X14" s="350">
        <f>'XM.FILE GOC'!T41</f>
        <v>140</v>
      </c>
      <c r="Y14" s="69" t="s">
        <v>8</v>
      </c>
      <c r="Z14" s="676">
        <f>'XM.FILE GOC'!W41</f>
        <v>0</v>
      </c>
      <c r="AA14" s="677" t="s">
        <v>9</v>
      </c>
      <c r="AB14" s="1035"/>
      <c r="AC14" s="1036"/>
      <c r="AD14" s="1067"/>
      <c r="AE14" s="1038"/>
      <c r="AF14" s="87" t="s">
        <v>13</v>
      </c>
    </row>
    <row r="15" spans="1:32" ht="48.75" customHeight="1">
      <c r="A15" s="56">
        <v>6</v>
      </c>
      <c r="B15" s="1896" t="s">
        <v>60</v>
      </c>
      <c r="C15" s="1897"/>
      <c r="D15" s="1897"/>
      <c r="E15" s="1898"/>
      <c r="F15" s="56" t="s">
        <v>4</v>
      </c>
      <c r="G15" s="1168" t="str">
        <f>'XM.GUI MAIL'!$E$42</f>
        <v>8-12g/l
(10±1g/l)</v>
      </c>
      <c r="H15" s="350">
        <f>'XM.FILE GOC'!H42</f>
        <v>10</v>
      </c>
      <c r="I15" s="1088" t="s">
        <v>8</v>
      </c>
      <c r="J15" s="1089">
        <f>'XM.FILE GOC'!K42</f>
        <v>0</v>
      </c>
      <c r="K15" s="19" t="s">
        <v>9</v>
      </c>
      <c r="L15" s="1035"/>
      <c r="M15" s="1036"/>
      <c r="N15" s="1067"/>
      <c r="O15" s="1038"/>
      <c r="P15" s="350">
        <f>'XM.FILE GOC'!N42</f>
        <v>10.1</v>
      </c>
      <c r="Q15" s="69" t="s">
        <v>8</v>
      </c>
      <c r="R15" s="676">
        <f>'XM.FILE GOC'!Q42</f>
        <v>0</v>
      </c>
      <c r="S15" s="19" t="s">
        <v>9</v>
      </c>
      <c r="T15" s="1035"/>
      <c r="U15" s="1036"/>
      <c r="V15" s="1067"/>
      <c r="W15" s="1038"/>
      <c r="X15" s="350">
        <f>'XM.FILE GOC'!T42</f>
        <v>10</v>
      </c>
      <c r="Y15" s="1088" t="s">
        <v>8</v>
      </c>
      <c r="Z15" s="1089">
        <f>'XM.FILE GOC'!W42</f>
        <v>0</v>
      </c>
      <c r="AA15" s="19" t="s">
        <v>9</v>
      </c>
      <c r="AB15" s="1035"/>
      <c r="AC15" s="1036"/>
      <c r="AD15" s="1067"/>
      <c r="AE15" s="1038"/>
      <c r="AF15" s="87" t="s">
        <v>14</v>
      </c>
    </row>
    <row r="16" spans="1:32" ht="48.75" customHeight="1">
      <c r="A16" s="1954">
        <v>7</v>
      </c>
      <c r="B16" s="1904" t="s">
        <v>1019</v>
      </c>
      <c r="C16" s="1905"/>
      <c r="D16" s="1905"/>
      <c r="E16" s="1906"/>
      <c r="F16" s="56" t="s">
        <v>3</v>
      </c>
      <c r="G16" s="1168" t="str">
        <f>'XM.GUI MAIL'!$E$43</f>
        <v>6~10 %
(8±0.5%)</v>
      </c>
      <c r="H16" s="64">
        <f>'XM.FILE GOC'!H43</f>
        <v>8.3000000000000007</v>
      </c>
      <c r="I16" s="1088" t="s">
        <v>8</v>
      </c>
      <c r="J16" s="1089">
        <f>'XM.FILE GOC'!K43</f>
        <v>0</v>
      </c>
      <c r="K16" s="1090"/>
      <c r="L16" s="1035"/>
      <c r="M16" s="1039"/>
      <c r="N16" s="1067"/>
      <c r="O16" s="1041"/>
      <c r="P16" s="64">
        <f>'XM.FILE GOC'!N43</f>
        <v>8.1999999999999993</v>
      </c>
      <c r="Q16" s="1088" t="s">
        <v>8</v>
      </c>
      <c r="R16" s="1089">
        <f>'XM.FILE GOC'!Q43</f>
        <v>0</v>
      </c>
      <c r="S16" s="1090" t="s">
        <v>10</v>
      </c>
      <c r="T16" s="1035"/>
      <c r="U16" s="1039"/>
      <c r="V16" s="1067"/>
      <c r="W16" s="1041"/>
      <c r="X16" s="64">
        <f>'XM.FILE GOC'!T43</f>
        <v>8</v>
      </c>
      <c r="Y16" s="69" t="s">
        <v>8</v>
      </c>
      <c r="Z16" s="676">
        <f>'XM.FILE GOC'!W43</f>
        <v>0</v>
      </c>
      <c r="AA16" s="677" t="s">
        <v>10</v>
      </c>
      <c r="AB16" s="1035"/>
      <c r="AC16" s="1039"/>
      <c r="AD16" s="1067"/>
      <c r="AE16" s="1041"/>
      <c r="AF16" s="87"/>
    </row>
    <row r="17" spans="1:32" ht="48.75" customHeight="1">
      <c r="A17" s="1963"/>
      <c r="B17" s="1907"/>
      <c r="C17" s="1908"/>
      <c r="D17" s="1908"/>
      <c r="E17" s="1909"/>
      <c r="F17" s="56" t="s">
        <v>5</v>
      </c>
      <c r="G17" s="1168" t="str">
        <f>'XM.GUI MAIL'!$E$44</f>
        <v>2~2.5(2.3±0.1 )</v>
      </c>
      <c r="H17" s="70">
        <f>'XM.FILE GOC'!H44</f>
        <v>2.2999999999999998</v>
      </c>
      <c r="I17" s="1092"/>
      <c r="J17" s="1089">
        <f>'XM.FILE GOC'!K44</f>
        <v>0</v>
      </c>
      <c r="K17" s="1093"/>
      <c r="L17" s="1035"/>
      <c r="M17" s="1042"/>
      <c r="N17" s="1070"/>
      <c r="O17" s="1043"/>
      <c r="P17" s="70">
        <f>'XM.FILE GOC'!N44</f>
        <v>2.3199999999999998</v>
      </c>
      <c r="Q17" s="1092"/>
      <c r="R17" s="1089">
        <f>'XM.FILE GOC'!Q44</f>
        <v>0</v>
      </c>
      <c r="S17" s="1093"/>
      <c r="T17" s="1035"/>
      <c r="U17" s="1042"/>
      <c r="V17" s="1070"/>
      <c r="W17" s="1043"/>
      <c r="X17" s="70">
        <f>'XM.FILE GOC'!T44</f>
        <v>2.35</v>
      </c>
      <c r="Y17" s="1092"/>
      <c r="Z17" s="1089">
        <f>'XM.FILE GOC'!W44</f>
        <v>0</v>
      </c>
      <c r="AA17" s="677"/>
      <c r="AB17" s="1035"/>
      <c r="AC17" s="1042"/>
      <c r="AD17" s="1070"/>
      <c r="AE17" s="1043"/>
      <c r="AF17" s="21"/>
    </row>
    <row r="18" spans="1:32" ht="48.75" customHeight="1">
      <c r="A18" s="56">
        <v>8</v>
      </c>
      <c r="B18" s="1896" t="s">
        <v>61</v>
      </c>
      <c r="C18" s="1897"/>
      <c r="D18" s="1897"/>
      <c r="E18" s="1898"/>
      <c r="F18" s="1099" t="s">
        <v>6</v>
      </c>
      <c r="G18" s="1168" t="str">
        <f>'XM.GUI MAIL'!$E$45</f>
        <v>30~60 %V/V
(45±5% V/V)</v>
      </c>
      <c r="H18" s="355">
        <f>'XM.FILE GOC'!H45</f>
        <v>0.45</v>
      </c>
      <c r="I18" s="69" t="s">
        <v>8</v>
      </c>
      <c r="J18" s="676">
        <f>'XM.FILE GOC'!K45</f>
        <v>0</v>
      </c>
      <c r="K18" s="677" t="s">
        <v>10</v>
      </c>
      <c r="L18" s="1045"/>
      <c r="M18" s="1036"/>
      <c r="N18" s="1067"/>
      <c r="O18" s="1038"/>
      <c r="P18" s="355">
        <f>'XM.FILE GOC'!N45</f>
        <v>0.44600000000000001</v>
      </c>
      <c r="Q18" s="69" t="s">
        <v>8</v>
      </c>
      <c r="R18" s="676">
        <f>'XM.FILE GOC'!Q45</f>
        <v>8.4880000000000067</v>
      </c>
      <c r="S18" s="677" t="s">
        <v>10</v>
      </c>
      <c r="T18" s="1045">
        <v>0.45800000000000002</v>
      </c>
      <c r="U18" s="1036"/>
      <c r="V18" s="1067"/>
      <c r="W18" s="1038"/>
      <c r="X18" s="355">
        <f>'XM.FILE GOC'!T45</f>
        <v>0.46800000000000003</v>
      </c>
      <c r="Y18" s="69" t="s">
        <v>8</v>
      </c>
      <c r="Z18" s="676">
        <f>'XM.FILE GOC'!W45</f>
        <v>0</v>
      </c>
      <c r="AA18" s="677" t="s">
        <v>10</v>
      </c>
      <c r="AB18" s="1045"/>
      <c r="AC18" s="1036"/>
      <c r="AD18" s="1067"/>
      <c r="AE18" s="1038"/>
      <c r="AF18" s="87" t="s">
        <v>15</v>
      </c>
    </row>
    <row r="19" spans="1:32" ht="48.75" customHeight="1">
      <c r="A19" s="56">
        <v>9</v>
      </c>
      <c r="B19" s="1896" t="s">
        <v>62</v>
      </c>
      <c r="C19" s="1897"/>
      <c r="D19" s="1897"/>
      <c r="E19" s="1898"/>
      <c r="F19" s="1099" t="s">
        <v>6</v>
      </c>
      <c r="G19" s="1168" t="str">
        <f>'XM.GUI MAIL'!$E$46</f>
        <v>15~30 %V/V
(22±5 V/V)</v>
      </c>
      <c r="H19" s="355">
        <f>'XM.FILE GOC'!H46</f>
        <v>0.223</v>
      </c>
      <c r="I19" s="69" t="s">
        <v>8</v>
      </c>
      <c r="J19" s="676">
        <f>'XM.FILE GOC'!K46</f>
        <v>0</v>
      </c>
      <c r="K19" s="677" t="s">
        <v>10</v>
      </c>
      <c r="L19" s="1045"/>
      <c r="M19" s="1036"/>
      <c r="N19" s="1067"/>
      <c r="O19" s="1038"/>
      <c r="P19" s="355">
        <f>'XM.FILE GOC'!N46</f>
        <v>0.24199999999999999</v>
      </c>
      <c r="Q19" s="69" t="s">
        <v>8</v>
      </c>
      <c r="R19" s="676">
        <f>'XM.FILE GOC'!Q46</f>
        <v>0</v>
      </c>
      <c r="S19" s="677" t="s">
        <v>10</v>
      </c>
      <c r="T19" s="1045"/>
      <c r="U19" s="1036"/>
      <c r="V19" s="1067"/>
      <c r="W19" s="1038"/>
      <c r="X19" s="355">
        <f>'XM.FILE GOC'!T46</f>
        <v>0.23599999999999999</v>
      </c>
      <c r="Y19" s="69" t="s">
        <v>8</v>
      </c>
      <c r="Z19" s="676">
        <f>'XM.FILE GOC'!W46</f>
        <v>0</v>
      </c>
      <c r="AA19" s="677" t="s">
        <v>10</v>
      </c>
      <c r="AB19" s="1045"/>
      <c r="AC19" s="1036"/>
      <c r="AD19" s="1067"/>
      <c r="AE19" s="1038"/>
      <c r="AF19" s="87" t="s">
        <v>15</v>
      </c>
    </row>
    <row r="20" spans="1:32" ht="48.75" customHeight="1">
      <c r="A20" s="56">
        <v>11</v>
      </c>
      <c r="B20" s="1896" t="s">
        <v>116</v>
      </c>
      <c r="C20" s="1897"/>
      <c r="D20" s="1897"/>
      <c r="E20" s="1898"/>
      <c r="F20" s="1099" t="s">
        <v>6</v>
      </c>
      <c r="G20" s="1168" t="str">
        <f>'XM.GUI MAIL'!$E$47</f>
        <v>5~15 %V/V
(10±3% V/V)</v>
      </c>
      <c r="H20" s="355">
        <f>'XM.FILE GOC'!H47</f>
        <v>9.6000000000000002E-2</v>
      </c>
      <c r="I20" s="1088" t="s">
        <v>8</v>
      </c>
      <c r="J20" s="1089">
        <f>'XM.FILE GOC'!K47</f>
        <v>2.300000000000002</v>
      </c>
      <c r="K20" s="1090" t="s">
        <v>10</v>
      </c>
      <c r="L20" s="1045">
        <v>0.10299999999999999</v>
      </c>
      <c r="M20" s="1036"/>
      <c r="N20" s="1067"/>
      <c r="O20" s="1038"/>
      <c r="P20" s="355">
        <f>'XM.FILE GOC'!N47</f>
        <v>0.13915624999999998</v>
      </c>
      <c r="Q20" s="1088" t="s">
        <v>8</v>
      </c>
      <c r="R20" s="1089">
        <f>'XM.FILE GOC'!Q47</f>
        <v>0</v>
      </c>
      <c r="S20" s="1090" t="s">
        <v>10</v>
      </c>
      <c r="T20" s="1045"/>
      <c r="U20" s="1036"/>
      <c r="V20" s="1067"/>
      <c r="W20" s="1038"/>
      <c r="X20" s="355">
        <f>'XM.FILE GOC'!T47</f>
        <v>0.12774999999999997</v>
      </c>
      <c r="Y20" s="1088" t="s">
        <v>8</v>
      </c>
      <c r="Z20" s="1089">
        <f>'XM.FILE GOC'!W47</f>
        <v>0</v>
      </c>
      <c r="AA20" s="677" t="s">
        <v>10</v>
      </c>
      <c r="AB20" s="1045"/>
      <c r="AC20" s="1036"/>
      <c r="AD20" s="1067"/>
      <c r="AE20" s="1038"/>
      <c r="AF20" s="87" t="s">
        <v>16</v>
      </c>
    </row>
    <row r="21" spans="1:32" ht="48.75" customHeight="1">
      <c r="A21" s="56">
        <v>12</v>
      </c>
      <c r="B21" s="1896" t="s">
        <v>1020</v>
      </c>
      <c r="C21" s="1897"/>
      <c r="D21" s="1897"/>
      <c r="E21" s="1898"/>
      <c r="F21" s="1099" t="s">
        <v>3</v>
      </c>
      <c r="G21" s="1168" t="str">
        <f>'XM.GUI MAIL'!$E$48</f>
        <v>0.5~1.5%
(1±0.2%)</v>
      </c>
      <c r="H21" s="358">
        <f>'XM.FILE GOC'!H48</f>
        <v>1.1341800000000003E-2</v>
      </c>
      <c r="I21" s="69" t="s">
        <v>8</v>
      </c>
      <c r="J21" s="1091">
        <f>'XM.FILE GOC'!K48</f>
        <v>0</v>
      </c>
      <c r="K21" s="677" t="s">
        <v>10</v>
      </c>
      <c r="L21" s="1046"/>
      <c r="M21" s="1047"/>
      <c r="N21" s="1068"/>
      <c r="O21" s="1049"/>
      <c r="P21" s="358">
        <f>'XM.FILE GOC'!N48</f>
        <v>1.2602E-2</v>
      </c>
      <c r="Q21" s="69" t="s">
        <v>8</v>
      </c>
      <c r="R21" s="1091">
        <f>'XM.FILE GOC'!Q48</f>
        <v>0</v>
      </c>
      <c r="S21" s="677" t="s">
        <v>10</v>
      </c>
      <c r="T21" s="1046"/>
      <c r="U21" s="1047"/>
      <c r="V21" s="1068"/>
      <c r="W21" s="1049"/>
      <c r="X21" s="358">
        <f>'XM.FILE GOC'!T48</f>
        <v>1.1341800000000003E-2</v>
      </c>
      <c r="Y21" s="69" t="s">
        <v>8</v>
      </c>
      <c r="Z21" s="1091">
        <f>'XM.FILE GOC'!W48</f>
        <v>0</v>
      </c>
      <c r="AA21" s="677" t="s">
        <v>10</v>
      </c>
      <c r="AB21" s="1046"/>
      <c r="AC21" s="1047"/>
      <c r="AD21" s="1068"/>
      <c r="AE21" s="1049"/>
      <c r="AF21" s="87" t="s">
        <v>16</v>
      </c>
    </row>
    <row r="22" spans="1:32" ht="48.75" customHeight="1">
      <c r="A22" s="56"/>
      <c r="B22" s="1951" t="s">
        <v>117</v>
      </c>
      <c r="C22" s="1951"/>
      <c r="D22" s="1951"/>
      <c r="E22" s="1951"/>
      <c r="F22" s="1951"/>
      <c r="G22" s="1951"/>
      <c r="H22" s="1951"/>
      <c r="I22" s="1951"/>
      <c r="J22" s="1951"/>
      <c r="K22" s="1951"/>
      <c r="L22" s="1951"/>
      <c r="M22" s="1951"/>
      <c r="N22" s="1951"/>
      <c r="O22" s="1951"/>
      <c r="P22" s="1951"/>
      <c r="Q22" s="1951"/>
      <c r="R22" s="1951"/>
      <c r="S22" s="1951"/>
      <c r="T22" s="1951"/>
      <c r="U22" s="1951"/>
      <c r="V22" s="1951"/>
      <c r="W22" s="1951"/>
      <c r="X22" s="1951"/>
      <c r="Y22" s="1951"/>
      <c r="Z22" s="1951"/>
      <c r="AA22" s="1951"/>
      <c r="AB22" s="1951"/>
      <c r="AC22" s="1951"/>
      <c r="AD22" s="1951"/>
      <c r="AE22" s="1951"/>
      <c r="AF22" s="1951"/>
    </row>
    <row r="23" spans="1:32" ht="48.75" customHeight="1">
      <c r="A23" s="1099" t="s">
        <v>7</v>
      </c>
      <c r="B23" s="1896" t="s">
        <v>64</v>
      </c>
      <c r="C23" s="1897"/>
      <c r="D23" s="1897"/>
      <c r="E23" s="1898"/>
      <c r="F23" s="291" t="s">
        <v>66</v>
      </c>
      <c r="G23" s="1410" t="s">
        <v>67</v>
      </c>
      <c r="H23" s="1952" t="s">
        <v>48</v>
      </c>
      <c r="I23" s="1953"/>
      <c r="J23" s="1952" t="s">
        <v>65</v>
      </c>
      <c r="K23" s="1953"/>
      <c r="L23" s="1050"/>
      <c r="M23" s="1051"/>
      <c r="N23" s="1051"/>
      <c r="O23" s="1052"/>
      <c r="P23" s="1952" t="s">
        <v>48</v>
      </c>
      <c r="Q23" s="1953"/>
      <c r="R23" s="1952" t="s">
        <v>65</v>
      </c>
      <c r="S23" s="1953"/>
      <c r="T23" s="1050"/>
      <c r="U23" s="1051"/>
      <c r="V23" s="1051"/>
      <c r="W23" s="1052"/>
      <c r="X23" s="1952" t="s">
        <v>48</v>
      </c>
      <c r="Y23" s="1953"/>
      <c r="Z23" s="1952" t="s">
        <v>65</v>
      </c>
      <c r="AA23" s="1953"/>
      <c r="AB23" s="1050"/>
      <c r="AC23" s="1051"/>
      <c r="AD23" s="1051"/>
      <c r="AE23" s="1052"/>
      <c r="AF23" s="88"/>
    </row>
    <row r="24" spans="1:32" ht="48.75" customHeight="1">
      <c r="A24" s="1099">
        <v>1</v>
      </c>
      <c r="B24" s="1896" t="s">
        <v>68</v>
      </c>
      <c r="C24" s="1897"/>
      <c r="D24" s="1897"/>
      <c r="E24" s="1898"/>
      <c r="F24" s="290" t="s">
        <v>216</v>
      </c>
      <c r="G24" s="1169" t="str">
        <f>'XM.GUI MAIL'!$E$53</f>
        <v>50~70ºC
(60±3OC)</v>
      </c>
      <c r="H24" s="1869">
        <f>'XM.GUI MAIL'!H53</f>
        <v>63</v>
      </c>
      <c r="I24" s="1869"/>
      <c r="J24" s="1869">
        <f>'XM.FILE GOC'!K53</f>
        <v>64</v>
      </c>
      <c r="K24" s="1869"/>
      <c r="L24" s="1050"/>
      <c r="M24" s="1051"/>
      <c r="N24" s="1051"/>
      <c r="O24" s="1052"/>
      <c r="P24" s="1869">
        <f>'XM.GUI MAIL'!N53</f>
        <v>64</v>
      </c>
      <c r="Q24" s="1869"/>
      <c r="R24" s="1869">
        <f>'XM.FILE GOC'!Q53</f>
        <v>65</v>
      </c>
      <c r="S24" s="1869"/>
      <c r="T24" s="1050"/>
      <c r="U24" s="1051"/>
      <c r="V24" s="1051"/>
      <c r="W24" s="1052"/>
      <c r="X24" s="1869">
        <f>'XM.GUI MAIL'!T53</f>
        <v>64</v>
      </c>
      <c r="Y24" s="1869"/>
      <c r="Z24" s="1869">
        <f>'XM.FILE GOC'!W53</f>
        <v>66</v>
      </c>
      <c r="AA24" s="1869"/>
      <c r="AB24" s="1053"/>
      <c r="AC24" s="1054"/>
      <c r="AD24" s="1054"/>
      <c r="AE24" s="1055"/>
      <c r="AF24" s="21"/>
    </row>
    <row r="25" spans="1:32" ht="48.75" customHeight="1">
      <c r="A25" s="1099">
        <v>2</v>
      </c>
      <c r="B25" s="1896" t="s">
        <v>69</v>
      </c>
      <c r="C25" s="1897" t="s">
        <v>69</v>
      </c>
      <c r="D25" s="1897" t="s">
        <v>69</v>
      </c>
      <c r="E25" s="1898" t="s">
        <v>69</v>
      </c>
      <c r="F25" s="290" t="s">
        <v>216</v>
      </c>
      <c r="G25" s="1169" t="str">
        <f>'XM.GUI MAIL'!$E$54</f>
        <v>50~70ºC
(60±3OC)</v>
      </c>
      <c r="H25" s="1869">
        <f>'XM.GUI MAIL'!H54</f>
        <v>62</v>
      </c>
      <c r="I25" s="1869"/>
      <c r="J25" s="1869">
        <f>'XM.FILE GOC'!K54</f>
        <v>63</v>
      </c>
      <c r="K25" s="1869"/>
      <c r="L25" s="1050"/>
      <c r="M25" s="1051"/>
      <c r="N25" s="1051"/>
      <c r="O25" s="1052"/>
      <c r="P25" s="1869">
        <f>'XM.GUI MAIL'!N54</f>
        <v>63</v>
      </c>
      <c r="Q25" s="1869"/>
      <c r="R25" s="1869">
        <f>'XM.FILE GOC'!Q54</f>
        <v>64</v>
      </c>
      <c r="S25" s="1869"/>
      <c r="T25" s="1050"/>
      <c r="U25" s="1051"/>
      <c r="V25" s="1051"/>
      <c r="W25" s="1052"/>
      <c r="X25" s="1869">
        <f>'XM.GUI MAIL'!T54</f>
        <v>62</v>
      </c>
      <c r="Y25" s="1869"/>
      <c r="Z25" s="1869">
        <f>'XM.FILE GOC'!W54</f>
        <v>64</v>
      </c>
      <c r="AA25" s="1869"/>
      <c r="AB25" s="1053"/>
      <c r="AC25" s="1054"/>
      <c r="AD25" s="1054"/>
      <c r="AE25" s="1055"/>
      <c r="AF25" s="21"/>
    </row>
    <row r="26" spans="1:32" ht="48.75" customHeight="1">
      <c r="A26" s="1099">
        <v>3</v>
      </c>
      <c r="B26" s="1896" t="s">
        <v>71</v>
      </c>
      <c r="C26" s="1897" t="s">
        <v>71</v>
      </c>
      <c r="D26" s="1897" t="s">
        <v>71</v>
      </c>
      <c r="E26" s="1898" t="s">
        <v>71</v>
      </c>
      <c r="F26" s="290" t="s">
        <v>216</v>
      </c>
      <c r="G26" s="1169" t="str">
        <f>'XM.GUI MAIL'!$E$55</f>
        <v>50~70ºC
(60±3OC)</v>
      </c>
      <c r="H26" s="1869">
        <v>60</v>
      </c>
      <c r="I26" s="1869"/>
      <c r="J26" s="1869">
        <v>61</v>
      </c>
      <c r="K26" s="1869"/>
      <c r="L26" s="1050"/>
      <c r="M26" s="1051"/>
      <c r="N26" s="1051"/>
      <c r="O26" s="1052"/>
      <c r="P26" s="1869">
        <f>'XM.GUI MAIL'!N55</f>
        <v>60</v>
      </c>
      <c r="Q26" s="1869"/>
      <c r="R26" s="1869">
        <f>'XM.FILE GOC'!Q55</f>
        <v>61</v>
      </c>
      <c r="S26" s="1869"/>
      <c r="T26" s="1050"/>
      <c r="U26" s="1051"/>
      <c r="V26" s="1051"/>
      <c r="W26" s="1052"/>
      <c r="X26" s="1869">
        <f>'XM.GUI MAIL'!T55</f>
        <v>60</v>
      </c>
      <c r="Y26" s="1869"/>
      <c r="Z26" s="1869">
        <f>'XM.FILE GOC'!W55</f>
        <v>59</v>
      </c>
      <c r="AA26" s="1869"/>
      <c r="AB26" s="1053"/>
      <c r="AC26" s="1054"/>
      <c r="AD26" s="1054"/>
      <c r="AE26" s="1055"/>
      <c r="AF26" s="21"/>
    </row>
    <row r="27" spans="1:32" ht="48.75" customHeight="1">
      <c r="A27" s="1099">
        <v>4</v>
      </c>
      <c r="B27" s="1896" t="s">
        <v>70</v>
      </c>
      <c r="C27" s="1897" t="s">
        <v>70</v>
      </c>
      <c r="D27" s="1897" t="s">
        <v>70</v>
      </c>
      <c r="E27" s="1898" t="s">
        <v>70</v>
      </c>
      <c r="F27" s="290" t="s">
        <v>216</v>
      </c>
      <c r="G27" s="1169" t="str">
        <f>'XM.GUI MAIL'!$E$56</f>
        <v>50~70ºC
(60±3OC)</v>
      </c>
      <c r="H27" s="1869">
        <v>60</v>
      </c>
      <c r="I27" s="1869"/>
      <c r="J27" s="1869">
        <v>61</v>
      </c>
      <c r="K27" s="1869"/>
      <c r="L27" s="1050"/>
      <c r="M27" s="1051"/>
      <c r="N27" s="1051"/>
      <c r="O27" s="1052"/>
      <c r="P27" s="1869">
        <v>59</v>
      </c>
      <c r="Q27" s="1869"/>
      <c r="R27" s="1869">
        <v>60</v>
      </c>
      <c r="S27" s="1869"/>
      <c r="T27" s="1050"/>
      <c r="U27" s="1051"/>
      <c r="V27" s="1051"/>
      <c r="W27" s="1052"/>
      <c r="X27" s="1869">
        <v>58</v>
      </c>
      <c r="Y27" s="1869"/>
      <c r="Z27" s="1869">
        <v>59</v>
      </c>
      <c r="AA27" s="1869"/>
      <c r="AB27" s="1053"/>
      <c r="AC27" s="1054"/>
      <c r="AD27" s="1054"/>
      <c r="AE27" s="1055"/>
      <c r="AF27" s="21"/>
    </row>
    <row r="28" spans="1:32" ht="48.75" customHeight="1">
      <c r="A28" s="1099">
        <v>5</v>
      </c>
      <c r="B28" s="1896" t="s">
        <v>72</v>
      </c>
      <c r="C28" s="1897" t="s">
        <v>72</v>
      </c>
      <c r="D28" s="1897" t="s">
        <v>72</v>
      </c>
      <c r="E28" s="1898" t="s">
        <v>72</v>
      </c>
      <c r="F28" s="290" t="s">
        <v>216</v>
      </c>
      <c r="G28" s="1169" t="str">
        <f>'XM.GUI MAIL'!$E$57</f>
        <v>22~30ºC
(24±1OC)</v>
      </c>
      <c r="H28" s="1893">
        <f>'XM.GUI MAIL'!H57</f>
        <v>26</v>
      </c>
      <c r="I28" s="1893"/>
      <c r="J28" s="1893">
        <f>'XM.FILE GOC'!K57</f>
        <v>25</v>
      </c>
      <c r="K28" s="1893"/>
      <c r="L28" s="1053"/>
      <c r="M28" s="1054"/>
      <c r="N28" s="1054"/>
      <c r="O28" s="1055"/>
      <c r="P28" s="1893">
        <v>25</v>
      </c>
      <c r="Q28" s="1893"/>
      <c r="R28" s="1893">
        <v>26</v>
      </c>
      <c r="S28" s="1893"/>
      <c r="T28" s="1053"/>
      <c r="U28" s="1054"/>
      <c r="V28" s="1054"/>
      <c r="W28" s="1055"/>
      <c r="X28" s="1893">
        <f>'XM.GUI MAIL'!T57</f>
        <v>28</v>
      </c>
      <c r="Y28" s="1893"/>
      <c r="Z28" s="1893">
        <f>'XM.FILE GOC'!W57</f>
        <v>27</v>
      </c>
      <c r="AA28" s="1893"/>
      <c r="AB28" s="1053"/>
      <c r="AC28" s="1054"/>
      <c r="AD28" s="1054"/>
      <c r="AE28" s="1055"/>
      <c r="AF28" s="21"/>
    </row>
    <row r="29" spans="1:32" ht="48.75" customHeight="1">
      <c r="A29" s="1099">
        <v>6</v>
      </c>
      <c r="B29" s="1896" t="s">
        <v>1021</v>
      </c>
      <c r="C29" s="1897" t="s">
        <v>1021</v>
      </c>
      <c r="D29" s="1897" t="s">
        <v>1021</v>
      </c>
      <c r="E29" s="1898" t="s">
        <v>1021</v>
      </c>
      <c r="F29" s="290" t="s">
        <v>216</v>
      </c>
      <c r="G29" s="1169" t="str">
        <f>'XM.GUI MAIL'!$E$58</f>
        <v>30-38ºC
(34±2OC)</v>
      </c>
      <c r="H29" s="1891">
        <f>'XM.GUI MAIL'!H58</f>
        <v>36</v>
      </c>
      <c r="I29" s="1892"/>
      <c r="J29" s="1891">
        <f>'XM.FILE GOC'!K58</f>
        <v>35</v>
      </c>
      <c r="K29" s="1892"/>
      <c r="L29" s="1053"/>
      <c r="M29" s="1054"/>
      <c r="N29" s="1054"/>
      <c r="O29" s="1055"/>
      <c r="P29" s="1891">
        <f>'XM.GUI MAIL'!N58</f>
        <v>37</v>
      </c>
      <c r="Q29" s="1892"/>
      <c r="R29" s="1891">
        <f>'XM.FILE GOC'!Q58</f>
        <v>36</v>
      </c>
      <c r="S29" s="1892"/>
      <c r="T29" s="1053"/>
      <c r="U29" s="1054"/>
      <c r="V29" s="1054"/>
      <c r="W29" s="1055"/>
      <c r="X29" s="1891">
        <f>'XM.GUI MAIL'!T58</f>
        <v>37</v>
      </c>
      <c r="Y29" s="1892"/>
      <c r="Z29" s="1891">
        <f>'XM.FILE GOC'!W58</f>
        <v>36</v>
      </c>
      <c r="AA29" s="1892"/>
      <c r="AB29" s="1053"/>
      <c r="AC29" s="1054"/>
      <c r="AD29" s="1054"/>
      <c r="AE29" s="1055"/>
      <c r="AF29" s="23"/>
    </row>
    <row r="30" spans="1:32" ht="48.75" customHeight="1">
      <c r="A30" s="1099">
        <v>7</v>
      </c>
      <c r="B30" s="1896" t="s">
        <v>73</v>
      </c>
      <c r="C30" s="1897" t="s">
        <v>73</v>
      </c>
      <c r="D30" s="1897" t="s">
        <v>73</v>
      </c>
      <c r="E30" s="1898" t="s">
        <v>73</v>
      </c>
      <c r="F30" s="290" t="s">
        <v>216</v>
      </c>
      <c r="G30" s="1169" t="str">
        <f>'XM.GUI MAIL'!$E$59</f>
        <v>55~65ºC
(60±3OC)</v>
      </c>
      <c r="H30" s="1891">
        <f>'XM.GUI MAIL'!H59</f>
        <v>62</v>
      </c>
      <c r="I30" s="1892"/>
      <c r="J30" s="1891">
        <f>'XM.FILE GOC'!K59</f>
        <v>61</v>
      </c>
      <c r="K30" s="1892"/>
      <c r="L30" s="1053"/>
      <c r="M30" s="1054"/>
      <c r="N30" s="1054"/>
      <c r="O30" s="1055"/>
      <c r="P30" s="1891">
        <f>'XM.GUI MAIL'!N59</f>
        <v>58</v>
      </c>
      <c r="Q30" s="1892"/>
      <c r="R30" s="1891">
        <f>'XM.FILE GOC'!Q59</f>
        <v>56</v>
      </c>
      <c r="S30" s="1892"/>
      <c r="T30" s="1053"/>
      <c r="U30" s="1054"/>
      <c r="V30" s="1054"/>
      <c r="W30" s="1055"/>
      <c r="X30" s="1891">
        <f>'XM.GUI MAIL'!T59</f>
        <v>58</v>
      </c>
      <c r="Y30" s="1892"/>
      <c r="Z30" s="1891">
        <f>'XM.FILE GOC'!W59</f>
        <v>55</v>
      </c>
      <c r="AA30" s="1892"/>
      <c r="AB30" s="1053"/>
      <c r="AC30" s="1054"/>
      <c r="AD30" s="1054"/>
      <c r="AE30" s="1055"/>
      <c r="AF30" s="21"/>
    </row>
    <row r="31" spans="1:32" ht="48.75" customHeight="1">
      <c r="A31" s="1099">
        <v>8</v>
      </c>
      <c r="B31" s="1899" t="s">
        <v>74</v>
      </c>
      <c r="C31" s="1900" t="s">
        <v>74</v>
      </c>
      <c r="D31" s="1900" t="s">
        <v>74</v>
      </c>
      <c r="E31" s="1901" t="s">
        <v>74</v>
      </c>
      <c r="F31" s="290" t="s">
        <v>216</v>
      </c>
      <c r="G31" s="1169" t="str">
        <f>'XM.GUI MAIL'!$E$60</f>
        <v>65~75ºC
(70±3OC)</v>
      </c>
      <c r="H31" s="1895" t="s">
        <v>49</v>
      </c>
      <c r="I31" s="1895"/>
      <c r="J31" s="1891">
        <f>'XM.FILE GOC'!K60</f>
        <v>73</v>
      </c>
      <c r="K31" s="1892"/>
      <c r="L31" s="1056"/>
      <c r="M31" s="1057"/>
      <c r="N31" s="1057"/>
      <c r="O31" s="1058"/>
      <c r="P31" s="1895" t="s">
        <v>49</v>
      </c>
      <c r="Q31" s="1895"/>
      <c r="R31" s="1891">
        <f>'XM.FILE GOC'!Q60</f>
        <v>71</v>
      </c>
      <c r="S31" s="1892"/>
      <c r="T31" s="1056"/>
      <c r="U31" s="1057"/>
      <c r="V31" s="1057"/>
      <c r="W31" s="1058"/>
      <c r="X31" s="1895" t="s">
        <v>49</v>
      </c>
      <c r="Y31" s="1895"/>
      <c r="Z31" s="1891">
        <f>'XM.FILE GOC'!W60</f>
        <v>71</v>
      </c>
      <c r="AA31" s="1892"/>
      <c r="AB31" s="1056"/>
      <c r="AC31" s="1057"/>
      <c r="AD31" s="1057"/>
      <c r="AE31" s="1058"/>
      <c r="AF31" s="21"/>
    </row>
    <row r="32" spans="1:32" ht="48.75" customHeight="1">
      <c r="A32" s="56"/>
      <c r="B32" s="1967" t="s">
        <v>118</v>
      </c>
      <c r="C32" s="1968"/>
      <c r="D32" s="1968"/>
      <c r="E32" s="1968"/>
      <c r="F32" s="1968"/>
      <c r="G32" s="1968"/>
      <c r="H32" s="1968"/>
      <c r="I32" s="1968"/>
      <c r="J32" s="1968"/>
      <c r="K32" s="1968"/>
      <c r="L32" s="1968"/>
      <c r="M32" s="1968"/>
      <c r="N32" s="1968"/>
      <c r="O32" s="1968"/>
      <c r="P32" s="1968"/>
      <c r="Q32" s="1968"/>
      <c r="R32" s="1968"/>
      <c r="S32" s="1968"/>
      <c r="T32" s="1968"/>
      <c r="U32" s="1968"/>
      <c r="V32" s="1968"/>
      <c r="W32" s="1968"/>
      <c r="X32" s="1968"/>
      <c r="Y32" s="1968"/>
      <c r="Z32" s="1968"/>
      <c r="AA32" s="1968"/>
      <c r="AB32" s="1968"/>
      <c r="AC32" s="1968"/>
      <c r="AD32" s="1968"/>
      <c r="AE32" s="1968"/>
      <c r="AF32" s="1969"/>
    </row>
    <row r="33" spans="1:32" ht="48.75" customHeight="1">
      <c r="A33" s="1099" t="s">
        <v>7</v>
      </c>
      <c r="B33" s="1896" t="s">
        <v>100</v>
      </c>
      <c r="C33" s="1897"/>
      <c r="D33" s="1897"/>
      <c r="E33" s="1898"/>
      <c r="F33" s="661" t="s">
        <v>101</v>
      </c>
      <c r="G33" s="1410" t="s">
        <v>67</v>
      </c>
      <c r="H33" s="1877" t="s">
        <v>119</v>
      </c>
      <c r="I33" s="1877"/>
      <c r="J33" s="1877"/>
      <c r="K33" s="1877"/>
      <c r="L33" s="1050"/>
      <c r="M33" s="1051"/>
      <c r="N33" s="1051"/>
      <c r="O33" s="1052"/>
      <c r="P33" s="1877" t="s">
        <v>119</v>
      </c>
      <c r="Q33" s="1877"/>
      <c r="R33" s="1877"/>
      <c r="S33" s="1877"/>
      <c r="T33" s="1050"/>
      <c r="U33" s="1051"/>
      <c r="V33" s="1051"/>
      <c r="W33" s="1052"/>
      <c r="X33" s="1877" t="s">
        <v>119</v>
      </c>
      <c r="Y33" s="1877"/>
      <c r="Z33" s="1877"/>
      <c r="AA33" s="1877"/>
      <c r="AB33" s="1050"/>
      <c r="AC33" s="1051"/>
      <c r="AD33" s="1051"/>
      <c r="AE33" s="1052"/>
      <c r="AF33" s="88"/>
    </row>
    <row r="34" spans="1:32" ht="48.75" customHeight="1">
      <c r="A34" s="56">
        <v>1</v>
      </c>
      <c r="B34" s="1964" t="s">
        <v>261</v>
      </c>
      <c r="C34" s="1965"/>
      <c r="D34" s="1965"/>
      <c r="E34" s="1966"/>
      <c r="F34" s="1101" t="s">
        <v>50</v>
      </c>
      <c r="G34" s="311" t="str">
        <f>'XM.GUI MAIL'!$E$62</f>
        <v>100-200</v>
      </c>
      <c r="H34" s="1891">
        <f>'XM.GUI MAIL'!H62</f>
        <v>200</v>
      </c>
      <c r="I34" s="1892"/>
      <c r="J34" s="1892"/>
      <c r="K34" s="1892"/>
      <c r="L34" s="1059"/>
      <c r="M34" s="1032"/>
      <c r="N34" s="1032"/>
      <c r="O34" s="1060"/>
      <c r="P34" s="1891">
        <f>'XM.GUI MAIL'!N62</f>
        <v>195</v>
      </c>
      <c r="Q34" s="1892"/>
      <c r="R34" s="1892"/>
      <c r="S34" s="1892"/>
      <c r="T34" s="1059"/>
      <c r="U34" s="1032"/>
      <c r="V34" s="1032"/>
      <c r="W34" s="1060"/>
      <c r="X34" s="1891">
        <f>'XM.GUI MAIL'!T62</f>
        <v>190</v>
      </c>
      <c r="Y34" s="1892"/>
      <c r="Z34" s="1892"/>
      <c r="AA34" s="1892"/>
      <c r="AB34" s="1059"/>
      <c r="AC34" s="1032"/>
      <c r="AD34" s="1032"/>
      <c r="AE34" s="1060"/>
      <c r="AF34" s="23"/>
    </row>
    <row r="35" spans="1:32" ht="48.75" customHeight="1">
      <c r="A35" s="56">
        <v>2</v>
      </c>
      <c r="B35" s="1964" t="s">
        <v>262</v>
      </c>
      <c r="C35" s="1965"/>
      <c r="D35" s="1965"/>
      <c r="E35" s="1966"/>
      <c r="F35" s="1101" t="s">
        <v>50</v>
      </c>
      <c r="G35" s="311" t="str">
        <f>'XM.GUI MAIL'!$E$63</f>
        <v>20-50</v>
      </c>
      <c r="H35" s="1891">
        <f>'XM.GUI MAIL'!H63</f>
        <v>43</v>
      </c>
      <c r="I35" s="1892"/>
      <c r="J35" s="1892"/>
      <c r="K35" s="1892"/>
      <c r="L35" s="1061"/>
      <c r="M35" s="1062"/>
      <c r="N35" s="1062"/>
      <c r="O35" s="1063"/>
      <c r="P35" s="1891">
        <f>'XM.GUI MAIL'!N63</f>
        <v>42</v>
      </c>
      <c r="Q35" s="1892"/>
      <c r="R35" s="1892"/>
      <c r="S35" s="1892"/>
      <c r="T35" s="1061"/>
      <c r="U35" s="1062"/>
      <c r="V35" s="1062"/>
      <c r="W35" s="1063"/>
      <c r="X35" s="1891">
        <f>'XM.GUI MAIL'!T63</f>
        <v>43</v>
      </c>
      <c r="Y35" s="1892"/>
      <c r="Z35" s="1892"/>
      <c r="AA35" s="1892"/>
      <c r="AB35" s="1061"/>
      <c r="AC35" s="1062"/>
      <c r="AD35" s="1062"/>
      <c r="AE35" s="1063"/>
      <c r="AF35" s="23"/>
    </row>
    <row r="36" spans="1:32" ht="0.75" customHeight="1">
      <c r="A36" s="496"/>
      <c r="B36" s="497"/>
      <c r="C36" s="497"/>
      <c r="D36" s="497"/>
      <c r="E36" s="497"/>
      <c r="F36" s="1095"/>
      <c r="G36" s="1095"/>
      <c r="H36" s="1095"/>
      <c r="I36" s="1095"/>
      <c r="J36" s="1095"/>
      <c r="K36" s="1095"/>
      <c r="L36" s="1064"/>
      <c r="M36" s="1064"/>
      <c r="N36" s="1064"/>
      <c r="O36" s="1064"/>
      <c r="P36" s="1095"/>
      <c r="Q36" s="1095"/>
      <c r="R36" s="1095"/>
      <c r="S36" s="1095"/>
      <c r="T36" s="1064"/>
      <c r="U36" s="1064"/>
      <c r="V36" s="1064"/>
      <c r="W36" s="1064"/>
      <c r="X36" s="1095"/>
      <c r="Y36" s="1095"/>
      <c r="Z36" s="1095"/>
      <c r="AA36" s="1095"/>
      <c r="AB36" s="1064"/>
      <c r="AC36" s="1064"/>
      <c r="AD36" s="1064"/>
      <c r="AE36" s="1064"/>
      <c r="AF36" s="1028"/>
    </row>
    <row r="37" spans="1:32" ht="28.5" customHeight="1">
      <c r="A37" s="1956" t="s">
        <v>147</v>
      </c>
      <c r="B37" s="1956"/>
      <c r="C37" s="1956"/>
      <c r="D37" s="1956"/>
      <c r="E37" s="1956"/>
      <c r="F37" s="1956"/>
      <c r="G37" s="1956"/>
      <c r="H37" s="1956"/>
      <c r="I37" s="1956"/>
      <c r="J37" s="1956"/>
      <c r="K37" s="1956"/>
      <c r="L37" s="1956"/>
      <c r="M37" s="1956"/>
      <c r="N37" s="1956"/>
      <c r="O37" s="1956"/>
      <c r="P37" s="1956"/>
      <c r="Q37" s="1956"/>
      <c r="R37" s="1956"/>
      <c r="S37" s="1956"/>
      <c r="T37" s="1956"/>
      <c r="U37" s="1956"/>
      <c r="V37" s="1956"/>
      <c r="W37" s="1956"/>
      <c r="X37" s="1956"/>
      <c r="Y37" s="1956"/>
      <c r="Z37" s="59"/>
      <c r="AA37" s="59"/>
      <c r="AB37" s="1076"/>
      <c r="AC37" s="1076"/>
      <c r="AD37" s="1076"/>
      <c r="AE37" s="1076"/>
      <c r="AF37" s="59"/>
    </row>
    <row r="38" spans="1:32" ht="46.5" customHeight="1">
      <c r="A38" s="1889" t="s">
        <v>239</v>
      </c>
      <c r="B38" s="1889"/>
      <c r="C38" s="1889"/>
      <c r="D38" s="1889"/>
      <c r="E38" s="1889"/>
      <c r="F38" s="1889"/>
      <c r="G38" s="1889"/>
      <c r="H38" s="1889"/>
      <c r="I38" s="1889"/>
      <c r="J38" s="1889"/>
      <c r="K38" s="1889"/>
      <c r="L38" s="1889"/>
      <c r="M38" s="1889"/>
      <c r="N38" s="1889"/>
      <c r="O38" s="1889"/>
      <c r="P38" s="1889"/>
      <c r="Q38" s="1889"/>
      <c r="R38" s="1889"/>
      <c r="S38" s="1889"/>
      <c r="T38" s="1889"/>
      <c r="U38" s="1889"/>
      <c r="V38" s="1889"/>
      <c r="W38" s="1889"/>
      <c r="X38" s="1889"/>
      <c r="Y38" s="1889"/>
      <c r="Z38" s="1957"/>
      <c r="AA38" s="1957"/>
      <c r="AB38" s="1074"/>
      <c r="AC38" s="1886" t="s">
        <v>96</v>
      </c>
      <c r="AD38" s="1886"/>
      <c r="AE38" s="1887" t="s">
        <v>97</v>
      </c>
      <c r="AF38" s="1888"/>
    </row>
    <row r="39" spans="1:32" ht="38.25" customHeight="1">
      <c r="A39" s="1106"/>
      <c r="B39" s="1919" t="s">
        <v>235</v>
      </c>
      <c r="C39" s="1919"/>
      <c r="D39" s="1919"/>
      <c r="E39" s="665"/>
      <c r="F39" s="1107"/>
      <c r="G39" s="1108" t="str">
        <f>'1. XL-1E kh'!$G$3</f>
        <v>2022/12/03</v>
      </c>
      <c r="H39" s="668"/>
      <c r="I39" s="668"/>
      <c r="J39" s="668"/>
      <c r="K39" s="668"/>
      <c r="L39" s="1071"/>
      <c r="M39" s="1071"/>
      <c r="N39" s="1071"/>
      <c r="O39" s="1072"/>
      <c r="P39" s="1110"/>
      <c r="Q39" s="1110"/>
      <c r="R39" s="1110"/>
      <c r="Y39" s="1111"/>
      <c r="Z39" s="1958"/>
      <c r="AA39" s="1958"/>
      <c r="AB39" s="1075"/>
      <c r="AC39" s="1878" t="str">
        <f>MENU!AD7</f>
        <v>Trang</v>
      </c>
      <c r="AD39" s="1878"/>
      <c r="AE39" s="1949" t="s">
        <v>11</v>
      </c>
      <c r="AF39" s="1880"/>
    </row>
    <row r="40" spans="1:32" s="62" customFormat="1" ht="48" customHeight="1">
      <c r="A40" s="1903" t="s">
        <v>7</v>
      </c>
      <c r="B40" s="1904" t="s">
        <v>79</v>
      </c>
      <c r="C40" s="1905"/>
      <c r="D40" s="1905"/>
      <c r="E40" s="1906"/>
      <c r="F40" s="1902" t="s">
        <v>137</v>
      </c>
      <c r="G40" s="1959" t="s">
        <v>67</v>
      </c>
      <c r="H40" s="1924">
        <v>0.76041666666666663</v>
      </c>
      <c r="I40" s="1925"/>
      <c r="J40" s="1925"/>
      <c r="K40" s="1926"/>
      <c r="L40" s="1881" t="s">
        <v>1017</v>
      </c>
      <c r="M40" s="1882"/>
      <c r="N40" s="1882"/>
      <c r="O40" s="1883"/>
      <c r="P40" s="1924">
        <v>0.92708333333333337</v>
      </c>
      <c r="Q40" s="1925"/>
      <c r="R40" s="1925"/>
      <c r="S40" s="1926"/>
      <c r="T40" s="1881" t="s">
        <v>1017</v>
      </c>
      <c r="U40" s="1882"/>
      <c r="V40" s="1882"/>
      <c r="W40" s="1883"/>
      <c r="X40" s="1961">
        <v>9.375E-2</v>
      </c>
      <c r="Y40" s="1902"/>
      <c r="Z40" s="1902"/>
      <c r="AA40" s="1902"/>
      <c r="AB40" s="1881" t="s">
        <v>1017</v>
      </c>
      <c r="AC40" s="1882"/>
      <c r="AD40" s="1882"/>
      <c r="AE40" s="1883"/>
      <c r="AF40" s="1970" t="s">
        <v>98</v>
      </c>
    </row>
    <row r="41" spans="1:32" s="62" customFormat="1" ht="48" customHeight="1">
      <c r="A41" s="1903"/>
      <c r="B41" s="1907"/>
      <c r="C41" s="1908"/>
      <c r="D41" s="1908"/>
      <c r="E41" s="1909"/>
      <c r="F41" s="1903"/>
      <c r="G41" s="1960"/>
      <c r="H41" s="1087" t="s">
        <v>146</v>
      </c>
      <c r="I41" s="1930" t="s">
        <v>1</v>
      </c>
      <c r="J41" s="1931"/>
      <c r="K41" s="1932"/>
      <c r="L41" s="1034" t="s">
        <v>1018</v>
      </c>
      <c r="M41" s="1884" t="s">
        <v>1</v>
      </c>
      <c r="N41" s="1884"/>
      <c r="O41" s="1885"/>
      <c r="P41" s="1087" t="s">
        <v>146</v>
      </c>
      <c r="Q41" s="1930" t="s">
        <v>1</v>
      </c>
      <c r="R41" s="1931"/>
      <c r="S41" s="1932"/>
      <c r="T41" s="1034" t="s">
        <v>1018</v>
      </c>
      <c r="U41" s="1884" t="s">
        <v>1</v>
      </c>
      <c r="V41" s="1884"/>
      <c r="W41" s="1885"/>
      <c r="X41" s="1087" t="s">
        <v>146</v>
      </c>
      <c r="Y41" s="1930" t="s">
        <v>1</v>
      </c>
      <c r="Z41" s="1931"/>
      <c r="AA41" s="1932"/>
      <c r="AB41" s="1034" t="s">
        <v>1018</v>
      </c>
      <c r="AC41" s="1884" t="s">
        <v>1</v>
      </c>
      <c r="AD41" s="1884"/>
      <c r="AE41" s="1885"/>
      <c r="AF41" s="1971"/>
    </row>
    <row r="42" spans="1:32" ht="48" customHeight="1">
      <c r="A42" s="1954">
        <v>1</v>
      </c>
      <c r="B42" s="1904" t="s">
        <v>148</v>
      </c>
      <c r="C42" s="1910"/>
      <c r="D42" s="1917" t="s">
        <v>266</v>
      </c>
      <c r="E42" s="1918"/>
      <c r="F42" s="56" t="s">
        <v>4</v>
      </c>
      <c r="G42" s="1025" t="str">
        <f>'XM.GUI MAIL'!$E$37</f>
        <v>60~80g/L
(70±5g/L)</v>
      </c>
      <c r="H42" s="64">
        <f>'XM.FILE GOC'!Z37</f>
        <v>70</v>
      </c>
      <c r="I42" s="1088" t="s">
        <v>8</v>
      </c>
      <c r="J42" s="1089">
        <f>'XM.FILE GOC'!AC37</f>
        <v>0</v>
      </c>
      <c r="K42" s="1090" t="s">
        <v>9</v>
      </c>
      <c r="L42" s="1035"/>
      <c r="M42" s="1036"/>
      <c r="N42" s="1067"/>
      <c r="O42" s="1038"/>
      <c r="P42" s="64">
        <f>'XM.FILE GOC'!AF37</f>
        <v>69.5</v>
      </c>
      <c r="Q42" s="1088" t="s">
        <v>8</v>
      </c>
      <c r="R42" s="1089">
        <f>'XM.FILE GOC'!AI37</f>
        <v>1.3465</v>
      </c>
      <c r="S42" s="1090" t="s">
        <v>9</v>
      </c>
      <c r="T42" s="1035"/>
      <c r="U42" s="1036"/>
      <c r="V42" s="1067"/>
      <c r="W42" s="1038"/>
      <c r="X42" s="64">
        <f>'XM.FILE GOC'!AL37</f>
        <v>69</v>
      </c>
      <c r="Y42" s="69" t="s">
        <v>8</v>
      </c>
      <c r="Z42" s="676">
        <f>'XM.FILE GOC'!AO37</f>
        <v>2.6930000000000001</v>
      </c>
      <c r="AA42" s="677" t="s">
        <v>9</v>
      </c>
      <c r="AB42" s="1035">
        <v>69.8</v>
      </c>
      <c r="AC42" s="1036" t="s">
        <v>8</v>
      </c>
      <c r="AD42" s="1067"/>
      <c r="AE42" s="1038"/>
      <c r="AF42" s="87" t="s">
        <v>12</v>
      </c>
    </row>
    <row r="43" spans="1:32" ht="48" customHeight="1">
      <c r="A43" s="1955"/>
      <c r="B43" s="1911"/>
      <c r="C43" s="1912"/>
      <c r="D43" s="1917" t="s">
        <v>267</v>
      </c>
      <c r="E43" s="1918"/>
      <c r="F43" s="307"/>
      <c r="G43" s="1025" t="s">
        <v>1022</v>
      </c>
      <c r="H43" s="350"/>
      <c r="I43" s="69"/>
      <c r="J43" s="1091">
        <f>J42/25*7.5</f>
        <v>0</v>
      </c>
      <c r="K43" s="677" t="s">
        <v>10</v>
      </c>
      <c r="L43" s="1035"/>
      <c r="M43" s="1039"/>
      <c r="N43" s="1040"/>
      <c r="O43" s="1041"/>
      <c r="P43" s="350"/>
      <c r="Q43" s="69"/>
      <c r="R43" s="1091">
        <f>R42/25*7.5</f>
        <v>0.40394999999999998</v>
      </c>
      <c r="S43" s="677" t="s">
        <v>10</v>
      </c>
      <c r="T43" s="1035"/>
      <c r="U43" s="1039"/>
      <c r="V43" s="1040"/>
      <c r="W43" s="1041"/>
      <c r="X43" s="350"/>
      <c r="Y43" s="69"/>
      <c r="Z43" s="1091">
        <f>Z42/25*7.5</f>
        <v>0.80789999999999995</v>
      </c>
      <c r="AA43" s="677" t="s">
        <v>10</v>
      </c>
      <c r="AB43" s="1035"/>
      <c r="AC43" s="1039"/>
      <c r="AD43" s="1040"/>
      <c r="AE43" s="1041"/>
      <c r="AF43" s="316"/>
    </row>
    <row r="44" spans="1:32" ht="48" customHeight="1">
      <c r="A44" s="1954">
        <v>2</v>
      </c>
      <c r="B44" s="1904" t="s">
        <v>149</v>
      </c>
      <c r="C44" s="1910"/>
      <c r="D44" s="1917" t="s">
        <v>266</v>
      </c>
      <c r="E44" s="1918"/>
      <c r="F44" s="56" t="s">
        <v>4</v>
      </c>
      <c r="G44" s="1025" t="str">
        <f>'XM.GUI MAIL'!$E$38</f>
        <v>60~80g/L
(70±5g/L)</v>
      </c>
      <c r="H44" s="64">
        <f>'XM.FILE GOC'!Z38</f>
        <v>70</v>
      </c>
      <c r="I44" s="1088" t="s">
        <v>8</v>
      </c>
      <c r="J44" s="1089">
        <f>'XM.FILE GOC'!AC38</f>
        <v>0</v>
      </c>
      <c r="K44" s="1090" t="s">
        <v>9</v>
      </c>
      <c r="L44" s="1035"/>
      <c r="M44" s="1036"/>
      <c r="N44" s="1067"/>
      <c r="O44" s="1038"/>
      <c r="P44" s="64">
        <f>'XM.FILE GOC'!AF38</f>
        <v>70</v>
      </c>
      <c r="Q44" s="1088" t="s">
        <v>8</v>
      </c>
      <c r="R44" s="1089">
        <f>'XM.FILE GOC'!AI38</f>
        <v>0</v>
      </c>
      <c r="S44" s="1090" t="s">
        <v>9</v>
      </c>
      <c r="T44" s="1035"/>
      <c r="U44" s="1036"/>
      <c r="V44" s="1067"/>
      <c r="W44" s="1038"/>
      <c r="X44" s="64">
        <f>'XM.FILE GOC'!AL38</f>
        <v>69.5</v>
      </c>
      <c r="Y44" s="69" t="s">
        <v>8</v>
      </c>
      <c r="Z44" s="676">
        <f>'XM.FILE GOC'!AO38</f>
        <v>1.6525000000000001</v>
      </c>
      <c r="AA44" s="677" t="s">
        <v>9</v>
      </c>
      <c r="AB44" s="1035">
        <v>70.099999999999994</v>
      </c>
      <c r="AC44" s="1036" t="s">
        <v>8</v>
      </c>
      <c r="AD44" s="1067"/>
      <c r="AE44" s="1038"/>
      <c r="AF44" s="87" t="s">
        <v>12</v>
      </c>
    </row>
    <row r="45" spans="1:32" ht="48" customHeight="1">
      <c r="A45" s="1955"/>
      <c r="B45" s="1911"/>
      <c r="C45" s="1912"/>
      <c r="D45" s="1917" t="s">
        <v>267</v>
      </c>
      <c r="E45" s="1918"/>
      <c r="F45" s="307"/>
      <c r="G45" s="1025" t="s">
        <v>1022</v>
      </c>
      <c r="H45" s="350"/>
      <c r="I45" s="69"/>
      <c r="J45" s="1091">
        <f>J44/25*7.5</f>
        <v>0</v>
      </c>
      <c r="K45" s="677" t="s">
        <v>10</v>
      </c>
      <c r="L45" s="1035"/>
      <c r="M45" s="1039"/>
      <c r="N45" s="1040"/>
      <c r="O45" s="1041"/>
      <c r="P45" s="350"/>
      <c r="Q45" s="69"/>
      <c r="R45" s="1091">
        <f>R44/25*7.5</f>
        <v>0</v>
      </c>
      <c r="S45" s="677" t="s">
        <v>10</v>
      </c>
      <c r="T45" s="1035"/>
      <c r="U45" s="1039"/>
      <c r="V45" s="1040"/>
      <c r="W45" s="1041"/>
      <c r="X45" s="350"/>
      <c r="Y45" s="69"/>
      <c r="Z45" s="1091">
        <f>Z44/25*7.5</f>
        <v>0.49575000000000002</v>
      </c>
      <c r="AA45" s="677" t="s">
        <v>10</v>
      </c>
      <c r="AB45" s="1035"/>
      <c r="AC45" s="1039"/>
      <c r="AD45" s="1040"/>
      <c r="AE45" s="1041"/>
      <c r="AF45" s="316"/>
    </row>
    <row r="46" spans="1:32" ht="48" customHeight="1">
      <c r="A46" s="1954">
        <v>3</v>
      </c>
      <c r="B46" s="1915" t="s">
        <v>150</v>
      </c>
      <c r="C46" s="1916"/>
      <c r="D46" s="1896" t="s">
        <v>268</v>
      </c>
      <c r="E46" s="1898" t="s">
        <v>268</v>
      </c>
      <c r="F46" s="56" t="s">
        <v>4</v>
      </c>
      <c r="G46" s="1025" t="str">
        <f>'XM.GUI MAIL'!$E$39</f>
        <v>50~70g/L
(60±5g/L)</v>
      </c>
      <c r="H46" s="350">
        <f>'XM.FILE GOC'!Z39</f>
        <v>61.5</v>
      </c>
      <c r="I46" s="1088" t="s">
        <v>8</v>
      </c>
      <c r="J46" s="1089">
        <f>'XM.FILE GOC'!AC39</f>
        <v>0</v>
      </c>
      <c r="K46" s="1090" t="s">
        <v>9</v>
      </c>
      <c r="L46" s="1035"/>
      <c r="M46" s="1036"/>
      <c r="N46" s="1067"/>
      <c r="O46" s="1038"/>
      <c r="P46" s="350">
        <f>'XM.FILE GOC'!AF39</f>
        <v>61.2</v>
      </c>
      <c r="Q46" s="1088" t="s">
        <v>8</v>
      </c>
      <c r="R46" s="1089">
        <f>'XM.FILE GOC'!AI39</f>
        <v>0</v>
      </c>
      <c r="S46" s="1090" t="s">
        <v>9</v>
      </c>
      <c r="T46" s="1035"/>
      <c r="U46" s="1036"/>
      <c r="V46" s="1067"/>
      <c r="W46" s="1038"/>
      <c r="X46" s="350">
        <f>'XM.FILE GOC'!AL39</f>
        <v>60.983999999999995</v>
      </c>
      <c r="Y46" s="69" t="s">
        <v>8</v>
      </c>
      <c r="Z46" s="676">
        <f>'XM.FILE GOC'!AO39</f>
        <v>0</v>
      </c>
      <c r="AA46" s="677" t="s">
        <v>9</v>
      </c>
      <c r="AB46" s="1035"/>
      <c r="AC46" s="1036" t="s">
        <v>8</v>
      </c>
      <c r="AD46" s="1067"/>
      <c r="AE46" s="1038"/>
      <c r="AF46" s="87" t="s">
        <v>12</v>
      </c>
    </row>
    <row r="47" spans="1:32" ht="48" customHeight="1">
      <c r="A47" s="1963"/>
      <c r="B47" s="1916"/>
      <c r="C47" s="1916"/>
      <c r="D47" s="1896" t="s">
        <v>269</v>
      </c>
      <c r="E47" s="1898" t="s">
        <v>269</v>
      </c>
      <c r="F47" s="307"/>
      <c r="G47" s="1025" t="s">
        <v>1072</v>
      </c>
      <c r="H47" s="350"/>
      <c r="I47" s="69"/>
      <c r="J47" s="1091">
        <f>J46/25*7</f>
        <v>0</v>
      </c>
      <c r="K47" s="677" t="s">
        <v>10</v>
      </c>
      <c r="L47" s="1035"/>
      <c r="M47" s="1039"/>
      <c r="N47" s="1040"/>
      <c r="O47" s="1041"/>
      <c r="P47" s="350"/>
      <c r="Q47" s="69"/>
      <c r="R47" s="1091">
        <f>R46/25*7</f>
        <v>0</v>
      </c>
      <c r="S47" s="677" t="s">
        <v>10</v>
      </c>
      <c r="T47" s="1035"/>
      <c r="U47" s="1039"/>
      <c r="V47" s="1040"/>
      <c r="W47" s="1041"/>
      <c r="X47" s="350"/>
      <c r="Y47" s="69"/>
      <c r="Z47" s="1091">
        <f>Z46/25*7</f>
        <v>0</v>
      </c>
      <c r="AA47" s="677" t="s">
        <v>10</v>
      </c>
      <c r="AB47" s="1035"/>
      <c r="AC47" s="1039" t="s">
        <v>8</v>
      </c>
      <c r="AD47" s="1040"/>
      <c r="AE47" s="1041"/>
      <c r="AF47" s="21"/>
    </row>
    <row r="48" spans="1:32" ht="48" customHeight="1">
      <c r="A48" s="1954">
        <v>4</v>
      </c>
      <c r="B48" s="1915" t="s">
        <v>151</v>
      </c>
      <c r="C48" s="1916"/>
      <c r="D48" s="1896" t="s">
        <v>268</v>
      </c>
      <c r="E48" s="1898" t="s">
        <v>268</v>
      </c>
      <c r="F48" s="56" t="s">
        <v>4</v>
      </c>
      <c r="G48" s="1025" t="str">
        <f>'XM.GUI MAIL'!$E$40</f>
        <v>50~70g/L
(60±5g/L)</v>
      </c>
      <c r="H48" s="350">
        <f>'XM.FILE GOC'!Z40</f>
        <v>59</v>
      </c>
      <c r="I48" s="1088" t="s">
        <v>8</v>
      </c>
      <c r="J48" s="1089">
        <f>'XM.FILE GOC'!AC40</f>
        <v>1.4590000000000001</v>
      </c>
      <c r="K48" s="1090" t="s">
        <v>9</v>
      </c>
      <c r="L48" s="1035"/>
      <c r="M48" s="1036"/>
      <c r="N48" s="1067"/>
      <c r="O48" s="1038"/>
      <c r="P48" s="350">
        <f>'XM.FILE GOC'!AF40</f>
        <v>59.5</v>
      </c>
      <c r="Q48" s="1088" t="s">
        <v>8</v>
      </c>
      <c r="R48" s="1089">
        <f>'XM.FILE GOC'!AI40</f>
        <v>0.72950000000000004</v>
      </c>
      <c r="S48" s="1090" t="s">
        <v>9</v>
      </c>
      <c r="T48" s="1035"/>
      <c r="U48" s="1036"/>
      <c r="V48" s="1067"/>
      <c r="W48" s="1038"/>
      <c r="X48" s="350">
        <f>'XM.FILE GOC'!AL40</f>
        <v>59</v>
      </c>
      <c r="Y48" s="69" t="s">
        <v>8</v>
      </c>
      <c r="Z48" s="676">
        <f>'XM.FILE GOC'!AO40</f>
        <v>1.4590000000000001</v>
      </c>
      <c r="AA48" s="677" t="s">
        <v>9</v>
      </c>
      <c r="AB48" s="1035"/>
      <c r="AC48" s="1036" t="s">
        <v>8</v>
      </c>
      <c r="AD48" s="1067"/>
      <c r="AE48" s="1038"/>
      <c r="AF48" s="87" t="s">
        <v>12</v>
      </c>
    </row>
    <row r="49" spans="1:32" ht="48" customHeight="1">
      <c r="A49" s="1963"/>
      <c r="B49" s="1916"/>
      <c r="C49" s="1916"/>
      <c r="D49" s="1896" t="s">
        <v>269</v>
      </c>
      <c r="E49" s="1898" t="s">
        <v>269</v>
      </c>
      <c r="F49" s="307"/>
      <c r="G49" s="1025" t="s">
        <v>1072</v>
      </c>
      <c r="H49" s="350"/>
      <c r="I49" s="69"/>
      <c r="J49" s="1091">
        <f>J48/25*7</f>
        <v>0.40851999999999999</v>
      </c>
      <c r="K49" s="677" t="s">
        <v>10</v>
      </c>
      <c r="L49" s="1035"/>
      <c r="M49" s="1039"/>
      <c r="N49" s="1040"/>
      <c r="O49" s="1041"/>
      <c r="P49" s="350"/>
      <c r="Q49" s="69"/>
      <c r="R49" s="1091">
        <f>R48/25*7</f>
        <v>0.20426</v>
      </c>
      <c r="S49" s="677" t="s">
        <v>10</v>
      </c>
      <c r="T49" s="1035"/>
      <c r="U49" s="1039"/>
      <c r="V49" s="1040"/>
      <c r="W49" s="1041"/>
      <c r="X49" s="350"/>
      <c r="Y49" s="69"/>
      <c r="Z49" s="1091">
        <f>Z48/25*7</f>
        <v>0.40851999999999999</v>
      </c>
      <c r="AA49" s="677" t="s">
        <v>10</v>
      </c>
      <c r="AB49" s="1035"/>
      <c r="AC49" s="1039" t="s">
        <v>8</v>
      </c>
      <c r="AD49" s="1040"/>
      <c r="AE49" s="1041"/>
      <c r="AF49" s="21"/>
    </row>
    <row r="50" spans="1:32" ht="48" customHeight="1">
      <c r="A50" s="56">
        <v>5</v>
      </c>
      <c r="B50" s="1896" t="s">
        <v>82</v>
      </c>
      <c r="C50" s="1897"/>
      <c r="D50" s="1897"/>
      <c r="E50" s="1898"/>
      <c r="F50" s="56" t="s">
        <v>4</v>
      </c>
      <c r="G50" s="1168" t="str">
        <f>'XM.GUI MAIL'!$E$41</f>
        <v>130 - 150g/L
(140±10g/L)</v>
      </c>
      <c r="H50" s="352">
        <f>'XM.FILE GOC'!Z41</f>
        <v>140</v>
      </c>
      <c r="I50" s="1088" t="s">
        <v>8</v>
      </c>
      <c r="J50" s="1089">
        <f>'XM.FILE GOC'!AC41</f>
        <v>0</v>
      </c>
      <c r="K50" s="1090" t="s">
        <v>9</v>
      </c>
      <c r="L50" s="1035"/>
      <c r="M50" s="1036"/>
      <c r="N50" s="1067"/>
      <c r="O50" s="1038"/>
      <c r="P50" s="352">
        <f>'XM.FILE GOC'!AF41</f>
        <v>139.6</v>
      </c>
      <c r="Q50" s="1088" t="s">
        <v>8</v>
      </c>
      <c r="R50" s="1089">
        <f>'XM.FILE GOC'!AI41</f>
        <v>7.9804000000001132</v>
      </c>
      <c r="S50" s="1090" t="s">
        <v>9</v>
      </c>
      <c r="T50" s="1035"/>
      <c r="U50" s="1036"/>
      <c r="V50" s="1067"/>
      <c r="W50" s="1038"/>
      <c r="X50" s="352">
        <f>'XM.FILE GOC'!AL41</f>
        <v>140</v>
      </c>
      <c r="Y50" s="69" t="s">
        <v>8</v>
      </c>
      <c r="Z50" s="676">
        <f>'XM.FILE GOC'!AO41</f>
        <v>0</v>
      </c>
      <c r="AA50" s="677" t="s">
        <v>9</v>
      </c>
      <c r="AB50" s="1035"/>
      <c r="AC50" s="1036" t="s">
        <v>8</v>
      </c>
      <c r="AD50" s="1067"/>
      <c r="AE50" s="1038"/>
      <c r="AF50" s="87" t="s">
        <v>13</v>
      </c>
    </row>
    <row r="51" spans="1:32" ht="48" customHeight="1">
      <c r="A51" s="56">
        <v>6</v>
      </c>
      <c r="B51" s="1896" t="s">
        <v>60</v>
      </c>
      <c r="C51" s="1897"/>
      <c r="D51" s="1897"/>
      <c r="E51" s="1898"/>
      <c r="F51" s="56" t="s">
        <v>4</v>
      </c>
      <c r="G51" s="1168" t="str">
        <f>'XM.GUI MAIL'!$E$42</f>
        <v>8-12g/l
(10±1g/l)</v>
      </c>
      <c r="H51" s="350">
        <f>'XM.FILE GOC'!Z42</f>
        <v>10</v>
      </c>
      <c r="I51" s="1088" t="s">
        <v>8</v>
      </c>
      <c r="J51" s="1089">
        <f>'XM.FILE GOC'!AC42</f>
        <v>0</v>
      </c>
      <c r="K51" s="19" t="s">
        <v>9</v>
      </c>
      <c r="L51" s="1035"/>
      <c r="M51" s="1036"/>
      <c r="N51" s="1067"/>
      <c r="O51" s="1038"/>
      <c r="P51" s="350">
        <f>'XM.FILE GOC'!AF42</f>
        <v>10</v>
      </c>
      <c r="Q51" s="69" t="s">
        <v>8</v>
      </c>
      <c r="R51" s="676">
        <f>'XM.FILE GOC'!AI42</f>
        <v>0</v>
      </c>
      <c r="S51" s="19" t="s">
        <v>9</v>
      </c>
      <c r="T51" s="1035"/>
      <c r="U51" s="1036"/>
      <c r="V51" s="1067"/>
      <c r="W51" s="1038"/>
      <c r="X51" s="350">
        <f>'XM.FILE GOC'!AL42</f>
        <v>10.7</v>
      </c>
      <c r="Y51" s="69" t="s">
        <v>8</v>
      </c>
      <c r="Z51" s="676">
        <f>'XM.FILE GOC'!AO42</f>
        <v>0</v>
      </c>
      <c r="AA51" s="1038" t="s">
        <v>9</v>
      </c>
      <c r="AB51" s="1035">
        <v>89</v>
      </c>
      <c r="AC51" s="1036" t="s">
        <v>8</v>
      </c>
      <c r="AD51" s="1067"/>
      <c r="AE51" s="1038"/>
      <c r="AF51" s="87" t="s">
        <v>14</v>
      </c>
    </row>
    <row r="52" spans="1:32" ht="48" customHeight="1">
      <c r="A52" s="1954">
        <v>7</v>
      </c>
      <c r="B52" s="1904" t="s">
        <v>1019</v>
      </c>
      <c r="C52" s="1905"/>
      <c r="D52" s="1905"/>
      <c r="E52" s="1906"/>
      <c r="F52" s="56" t="s">
        <v>3</v>
      </c>
      <c r="G52" s="1168" t="str">
        <f>'XM.GUI MAIL'!$E$43</f>
        <v>6~10 %
(8±0.5%)</v>
      </c>
      <c r="H52" s="64">
        <f>'XM.FILE GOC'!Z43</f>
        <v>8</v>
      </c>
      <c r="I52" s="1088" t="s">
        <v>8</v>
      </c>
      <c r="J52" s="1089">
        <f>'XM.FILE GOC'!AC43</f>
        <v>0</v>
      </c>
      <c r="K52" s="1090" t="s">
        <v>10</v>
      </c>
      <c r="L52" s="1035"/>
      <c r="M52" s="1039"/>
      <c r="N52" s="1067"/>
      <c r="O52" s="1041"/>
      <c r="P52" s="64">
        <f>'XM.FILE GOC'!AF43</f>
        <v>7.8</v>
      </c>
      <c r="Q52" s="1088" t="s">
        <v>8</v>
      </c>
      <c r="R52" s="1089">
        <f>'XM.FILE GOC'!AI43</f>
        <v>1.150000000000001</v>
      </c>
      <c r="S52" s="1090" t="s">
        <v>10</v>
      </c>
      <c r="T52" s="1035"/>
      <c r="U52" s="1039"/>
      <c r="V52" s="1067"/>
      <c r="W52" s="1041"/>
      <c r="X52" s="64">
        <f>'XM.FILE GOC'!AL43</f>
        <v>8.3000000000000007</v>
      </c>
      <c r="Y52" s="69" t="s">
        <v>8</v>
      </c>
      <c r="Z52" s="676">
        <f>'XM.FILE GOC'!AO43</f>
        <v>0</v>
      </c>
      <c r="AA52" s="677" t="s">
        <v>10</v>
      </c>
      <c r="AB52" s="1035"/>
      <c r="AC52" s="1039" t="s">
        <v>8</v>
      </c>
      <c r="AD52" s="1067"/>
      <c r="AE52" s="1041"/>
      <c r="AF52" s="87"/>
    </row>
    <row r="53" spans="1:32" ht="48" customHeight="1">
      <c r="A53" s="1963"/>
      <c r="B53" s="1907"/>
      <c r="C53" s="1908"/>
      <c r="D53" s="1908"/>
      <c r="E53" s="1909"/>
      <c r="F53" s="56" t="s">
        <v>5</v>
      </c>
      <c r="G53" s="1168" t="str">
        <f>'XM.GUI MAIL'!$E$44</f>
        <v>2~2.5(2.3±0.1 )</v>
      </c>
      <c r="H53" s="70">
        <f>'XM.FILE GOC'!Z44</f>
        <v>2.4</v>
      </c>
      <c r="I53" s="1092"/>
      <c r="J53" s="1089">
        <f>'XM.FILE GOC'!AC44</f>
        <v>0</v>
      </c>
      <c r="K53" s="1093"/>
      <c r="L53" s="1035"/>
      <c r="M53" s="1042"/>
      <c r="N53" s="1070"/>
      <c r="O53" s="1043"/>
      <c r="P53" s="70">
        <v>2.39</v>
      </c>
      <c r="Q53" s="1092"/>
      <c r="R53" s="1089">
        <f>'XM.FILE GOC'!AI44</f>
        <v>0</v>
      </c>
      <c r="S53" s="1093"/>
      <c r="T53" s="1035"/>
      <c r="U53" s="1042"/>
      <c r="V53" s="1070"/>
      <c r="W53" s="1043"/>
      <c r="X53" s="70">
        <f>'XM.FILE GOC'!AL44</f>
        <v>2.35</v>
      </c>
      <c r="Y53" s="69"/>
      <c r="Z53" s="676">
        <f>'XM.FILE GOC'!AO44</f>
        <v>0</v>
      </c>
      <c r="AA53" s="677"/>
      <c r="AB53" s="1035"/>
      <c r="AC53" s="1042"/>
      <c r="AD53" s="1070"/>
      <c r="AE53" s="1043"/>
      <c r="AF53" s="21"/>
    </row>
    <row r="54" spans="1:32" ht="48" customHeight="1">
      <c r="A54" s="56">
        <v>8</v>
      </c>
      <c r="B54" s="1896" t="s">
        <v>61</v>
      </c>
      <c r="C54" s="1897"/>
      <c r="D54" s="1897"/>
      <c r="E54" s="1898"/>
      <c r="F54" s="1099" t="s">
        <v>6</v>
      </c>
      <c r="G54" s="1168" t="str">
        <f>'XM.GUI MAIL'!$E$45</f>
        <v>30~60 %V/V
(45±5% V/V)</v>
      </c>
      <c r="H54" s="355">
        <f>'XM.FILE GOC'!Z45</f>
        <v>0.46765624999999994</v>
      </c>
      <c r="I54" s="1088" t="s">
        <v>8</v>
      </c>
      <c r="J54" s="1089">
        <f>'XM.FILE GOC'!AC45</f>
        <v>0</v>
      </c>
      <c r="K54" s="1090" t="s">
        <v>10</v>
      </c>
      <c r="L54" s="1045"/>
      <c r="M54" s="1036"/>
      <c r="N54" s="1067"/>
      <c r="O54" s="1038"/>
      <c r="P54" s="355">
        <f>'XM.FILE GOC'!AF45</f>
        <v>0.46500000000000002</v>
      </c>
      <c r="Q54" s="1088" t="s">
        <v>8</v>
      </c>
      <c r="R54" s="1089">
        <f>'XM.FILE GOC'!AI45</f>
        <v>0</v>
      </c>
      <c r="S54" s="1090" t="s">
        <v>10</v>
      </c>
      <c r="T54" s="1045"/>
      <c r="U54" s="1036"/>
      <c r="V54" s="1067"/>
      <c r="W54" s="1038"/>
      <c r="X54" s="355">
        <f>'XM.FILE GOC'!AL45</f>
        <v>0.45624999999999999</v>
      </c>
      <c r="Y54" s="69" t="s">
        <v>8</v>
      </c>
      <c r="Z54" s="676">
        <f>'XM.FILE GOC'!AO45</f>
        <v>0</v>
      </c>
      <c r="AA54" s="677" t="s">
        <v>10</v>
      </c>
      <c r="AB54" s="1045"/>
      <c r="AC54" s="1036" t="s">
        <v>8</v>
      </c>
      <c r="AD54" s="1067">
        <f>('XM.FILE GOC'!$F$45-AB54)*2122</f>
        <v>954.9</v>
      </c>
      <c r="AE54" s="1038" t="s">
        <v>10</v>
      </c>
      <c r="AF54" s="87" t="s">
        <v>15</v>
      </c>
    </row>
    <row r="55" spans="1:32" ht="48" customHeight="1">
      <c r="A55" s="56">
        <v>9</v>
      </c>
      <c r="B55" s="1896" t="s">
        <v>62</v>
      </c>
      <c r="C55" s="1897"/>
      <c r="D55" s="1897"/>
      <c r="E55" s="1898"/>
      <c r="F55" s="1099" t="s">
        <v>6</v>
      </c>
      <c r="G55" s="1168" t="str">
        <f>'XM.GUI MAIL'!$E$46</f>
        <v>15~30 %V/V
(22±5 V/V)</v>
      </c>
      <c r="H55" s="355">
        <f>'XM.FILE GOC'!Z46</f>
        <v>0.26234374999999999</v>
      </c>
      <c r="I55" s="69" t="s">
        <v>8</v>
      </c>
      <c r="J55" s="676">
        <f>'XM.FILE GOC'!AC46</f>
        <v>0</v>
      </c>
      <c r="K55" s="677" t="s">
        <v>10</v>
      </c>
      <c r="L55" s="1045"/>
      <c r="M55" s="1036"/>
      <c r="N55" s="1067"/>
      <c r="O55" s="1038"/>
      <c r="P55" s="355">
        <f>'XM.FILE GOC'!AF46</f>
        <v>0.25800000000000001</v>
      </c>
      <c r="Q55" s="69" t="s">
        <v>8</v>
      </c>
      <c r="R55" s="676">
        <f>'XM.FILE GOC'!AI46</f>
        <v>0</v>
      </c>
      <c r="S55" s="677" t="s">
        <v>10</v>
      </c>
      <c r="T55" s="1045"/>
      <c r="U55" s="1036"/>
      <c r="V55" s="1067"/>
      <c r="W55" s="1038"/>
      <c r="X55" s="355">
        <f>'XM.FILE GOC'!AL46</f>
        <v>0.25093750000000004</v>
      </c>
      <c r="Y55" s="69" t="s">
        <v>8</v>
      </c>
      <c r="Z55" s="676">
        <f>'XM.FILE GOC'!AO46</f>
        <v>0</v>
      </c>
      <c r="AA55" s="677" t="s">
        <v>10</v>
      </c>
      <c r="AB55" s="1045"/>
      <c r="AC55" s="1036" t="s">
        <v>8</v>
      </c>
      <c r="AD55" s="1067">
        <f>('XM.FILE GOC'!$F$46-AB55)*612</f>
        <v>134.64000000000001</v>
      </c>
      <c r="AE55" s="1038" t="s">
        <v>10</v>
      </c>
      <c r="AF55" s="87" t="s">
        <v>15</v>
      </c>
    </row>
    <row r="56" spans="1:32" ht="48" customHeight="1">
      <c r="A56" s="56">
        <v>11</v>
      </c>
      <c r="B56" s="1896" t="s">
        <v>116</v>
      </c>
      <c r="C56" s="1897"/>
      <c r="D56" s="1897"/>
      <c r="E56" s="1898"/>
      <c r="F56" s="1099" t="s">
        <v>6</v>
      </c>
      <c r="G56" s="1168" t="str">
        <f>'XM.GUI MAIL'!$E$47</f>
        <v>5~15 %V/V
(10±3% V/V)</v>
      </c>
      <c r="H56" s="355">
        <f>'XM.FILE GOC'!Z47</f>
        <v>0.12090624999999999</v>
      </c>
      <c r="I56" s="1088" t="s">
        <v>8</v>
      </c>
      <c r="J56" s="1089">
        <f>'XM.FILE GOC'!AC47</f>
        <v>0</v>
      </c>
      <c r="K56" s="1090" t="s">
        <v>10</v>
      </c>
      <c r="L56" s="1045"/>
      <c r="M56" s="1036"/>
      <c r="N56" s="1067"/>
      <c r="O56" s="1038"/>
      <c r="P56" s="355">
        <f>'XM.FILE GOC'!AF47</f>
        <v>0.115</v>
      </c>
      <c r="Q56" s="1088" t="s">
        <v>8</v>
      </c>
      <c r="R56" s="1089">
        <f>'XM.FILE GOC'!AI47</f>
        <v>0</v>
      </c>
      <c r="S56" s="1090" t="s">
        <v>10</v>
      </c>
      <c r="T56" s="1045"/>
      <c r="U56" s="1036"/>
      <c r="V56" s="1067"/>
      <c r="W56" s="1038"/>
      <c r="X56" s="355">
        <f>'XM.FILE GOC'!AL47</f>
        <v>0.1140625</v>
      </c>
      <c r="Y56" s="69" t="s">
        <v>8</v>
      </c>
      <c r="Z56" s="676">
        <f>'XM.FILE GOC'!AO47</f>
        <v>0</v>
      </c>
      <c r="AA56" s="677" t="s">
        <v>10</v>
      </c>
      <c r="AB56" s="1045"/>
      <c r="AC56" s="1036" t="s">
        <v>8</v>
      </c>
      <c r="AD56" s="1067">
        <f>('XM.FILE GOC'!$F$47-AB56)*575</f>
        <v>57.5</v>
      </c>
      <c r="AE56" s="1038" t="s">
        <v>10</v>
      </c>
      <c r="AF56" s="87" t="s">
        <v>16</v>
      </c>
    </row>
    <row r="57" spans="1:32" ht="48" customHeight="1">
      <c r="A57" s="56">
        <v>12</v>
      </c>
      <c r="B57" s="1896" t="s">
        <v>1020</v>
      </c>
      <c r="C57" s="1897"/>
      <c r="D57" s="1897"/>
      <c r="E57" s="1898"/>
      <c r="F57" s="1099" t="s">
        <v>3</v>
      </c>
      <c r="G57" s="1168" t="str">
        <f>'XM.GUI MAIL'!$E$48</f>
        <v>0.5~1.5%
(1±0.2%)</v>
      </c>
      <c r="H57" s="358">
        <f>'XM.FILE GOC'!Z48</f>
        <v>1.1341800000000003E-2</v>
      </c>
      <c r="I57" s="1088" t="s">
        <v>8</v>
      </c>
      <c r="J57" s="1094">
        <f>'XM.FILE GOC'!AC48</f>
        <v>0</v>
      </c>
      <c r="K57" s="1090" t="s">
        <v>10</v>
      </c>
      <c r="L57" s="1046"/>
      <c r="M57" s="1047"/>
      <c r="N57" s="1068"/>
      <c r="O57" s="1049"/>
      <c r="P57" s="358">
        <f>'XM.FILE GOC'!AF48</f>
        <v>0.01</v>
      </c>
      <c r="Q57" s="1088" t="s">
        <v>8</v>
      </c>
      <c r="R57" s="1094">
        <f>'XM.FILE GOC'!AI48</f>
        <v>0</v>
      </c>
      <c r="S57" s="1090" t="s">
        <v>10</v>
      </c>
      <c r="T57" s="1046"/>
      <c r="U57" s="1047"/>
      <c r="V57" s="1068"/>
      <c r="W57" s="1049"/>
      <c r="X57" s="358">
        <f>'XM.FILE GOC'!AL48</f>
        <v>1.209792E-2</v>
      </c>
      <c r="Y57" s="69" t="s">
        <v>8</v>
      </c>
      <c r="Z57" s="1091">
        <f>'XM.FILE GOC'!AO48</f>
        <v>0</v>
      </c>
      <c r="AA57" s="677" t="s">
        <v>10</v>
      </c>
      <c r="AB57" s="1046"/>
      <c r="AC57" s="1047" t="s">
        <v>8</v>
      </c>
      <c r="AD57" s="1068">
        <f>('XM.FILE GOC'!$F$48-AB57)*530/65%</f>
        <v>8.1538461538461533</v>
      </c>
      <c r="AE57" s="1049" t="s">
        <v>10</v>
      </c>
      <c r="AF57" s="87" t="s">
        <v>16</v>
      </c>
    </row>
    <row r="58" spans="1:32" ht="48" customHeight="1">
      <c r="A58" s="56"/>
      <c r="B58" s="1951" t="s">
        <v>117</v>
      </c>
      <c r="C58" s="1951"/>
      <c r="D58" s="1951"/>
      <c r="E58" s="1951"/>
      <c r="F58" s="1951"/>
      <c r="G58" s="1951"/>
      <c r="H58" s="1951"/>
      <c r="I58" s="1951"/>
      <c r="J58" s="1951"/>
      <c r="K58" s="1951"/>
      <c r="L58" s="1951"/>
      <c r="M58" s="1951"/>
      <c r="N58" s="1951"/>
      <c r="O58" s="1951"/>
      <c r="P58" s="1951"/>
      <c r="Q58" s="1951"/>
      <c r="R58" s="1951"/>
      <c r="S58" s="1951"/>
      <c r="T58" s="1951"/>
      <c r="U58" s="1951"/>
      <c r="V58" s="1951"/>
      <c r="W58" s="1951"/>
      <c r="X58" s="1951"/>
      <c r="Y58" s="1951"/>
      <c r="Z58" s="1951"/>
      <c r="AA58" s="1951"/>
      <c r="AB58" s="1951"/>
      <c r="AC58" s="1951"/>
      <c r="AD58" s="1951"/>
      <c r="AE58" s="1951"/>
      <c r="AF58" s="1951"/>
    </row>
    <row r="59" spans="1:32" ht="48" customHeight="1">
      <c r="A59" s="1099" t="s">
        <v>7</v>
      </c>
      <c r="B59" s="1896" t="s">
        <v>64</v>
      </c>
      <c r="C59" s="1897"/>
      <c r="D59" s="1897"/>
      <c r="E59" s="1898"/>
      <c r="F59" s="291" t="s">
        <v>66</v>
      </c>
      <c r="G59" s="1410" t="s">
        <v>67</v>
      </c>
      <c r="H59" s="1952" t="s">
        <v>48</v>
      </c>
      <c r="I59" s="1953"/>
      <c r="J59" s="1952" t="s">
        <v>65</v>
      </c>
      <c r="K59" s="1953"/>
      <c r="L59" s="1050"/>
      <c r="M59" s="1051"/>
      <c r="N59" s="1051"/>
      <c r="O59" s="1052"/>
      <c r="P59" s="1952" t="s">
        <v>48</v>
      </c>
      <c r="Q59" s="1953"/>
      <c r="R59" s="1952" t="s">
        <v>65</v>
      </c>
      <c r="S59" s="1953"/>
      <c r="T59" s="1050"/>
      <c r="U59" s="1051"/>
      <c r="V59" s="1051"/>
      <c r="W59" s="1052"/>
      <c r="X59" s="1952" t="s">
        <v>48</v>
      </c>
      <c r="Y59" s="1953"/>
      <c r="Z59" s="1952" t="s">
        <v>65</v>
      </c>
      <c r="AA59" s="1953"/>
      <c r="AB59" s="1050"/>
      <c r="AC59" s="1051"/>
      <c r="AD59" s="1051"/>
      <c r="AE59" s="1052"/>
      <c r="AF59" s="88"/>
    </row>
    <row r="60" spans="1:32" ht="48" customHeight="1">
      <c r="A60" s="1099">
        <v>1</v>
      </c>
      <c r="B60" s="1896" t="s">
        <v>68</v>
      </c>
      <c r="C60" s="1897"/>
      <c r="D60" s="1897"/>
      <c r="E60" s="1898"/>
      <c r="F60" s="290" t="s">
        <v>216</v>
      </c>
      <c r="G60" s="1169" t="str">
        <f>'XM.GUI MAIL'!$E$53</f>
        <v>50~70ºC
(60±3OC)</v>
      </c>
      <c r="H60" s="1869">
        <f>'XM.GUI MAIL'!Z53</f>
        <v>67</v>
      </c>
      <c r="I60" s="1869"/>
      <c r="J60" s="1869">
        <f>'XM.FILE GOC'!AC53</f>
        <v>65</v>
      </c>
      <c r="K60" s="1869"/>
      <c r="L60" s="1050"/>
      <c r="M60" s="1051"/>
      <c r="N60" s="1051"/>
      <c r="O60" s="1052"/>
      <c r="P60" s="1869">
        <f>'XM.GUI MAIL'!AF53</f>
        <v>0</v>
      </c>
      <c r="Q60" s="1869"/>
      <c r="R60" s="1869">
        <f>'XM.FILE GOC'!AI53</f>
        <v>0</v>
      </c>
      <c r="S60" s="1869"/>
      <c r="T60" s="1050"/>
      <c r="U60" s="1051"/>
      <c r="V60" s="1051"/>
      <c r="W60" s="1052"/>
      <c r="X60" s="1869">
        <f>'XM.GUI MAIL'!AL53</f>
        <v>67</v>
      </c>
      <c r="Y60" s="1869"/>
      <c r="Z60" s="1869">
        <f>'XM.FILE GOC'!AO53</f>
        <v>66</v>
      </c>
      <c r="AA60" s="1869"/>
      <c r="AB60" s="1053"/>
      <c r="AC60" s="1054"/>
      <c r="AD60" s="1054"/>
      <c r="AE60" s="1055"/>
      <c r="AF60" s="21"/>
    </row>
    <row r="61" spans="1:32" ht="48" customHeight="1">
      <c r="A61" s="1099">
        <v>2</v>
      </c>
      <c r="B61" s="1896" t="s">
        <v>69</v>
      </c>
      <c r="C61" s="1897" t="s">
        <v>69</v>
      </c>
      <c r="D61" s="1897" t="s">
        <v>69</v>
      </c>
      <c r="E61" s="1898" t="s">
        <v>69</v>
      </c>
      <c r="F61" s="290" t="s">
        <v>216</v>
      </c>
      <c r="G61" s="1169" t="str">
        <f>'XM.GUI MAIL'!$E$54</f>
        <v>50~70ºC
(60±3OC)</v>
      </c>
      <c r="H61" s="1869">
        <f>'XM.GUI MAIL'!Z54</f>
        <v>65</v>
      </c>
      <c r="I61" s="1869"/>
      <c r="J61" s="1869">
        <f>'XM.FILE GOC'!AC54</f>
        <v>64</v>
      </c>
      <c r="K61" s="1869"/>
      <c r="L61" s="1050"/>
      <c r="M61" s="1051"/>
      <c r="N61" s="1051"/>
      <c r="O61" s="1052"/>
      <c r="P61" s="1869">
        <f>'XM.GUI MAIL'!AF54</f>
        <v>0</v>
      </c>
      <c r="Q61" s="1869"/>
      <c r="R61" s="1869">
        <f>'XM.FILE GOC'!AI54</f>
        <v>0</v>
      </c>
      <c r="S61" s="1869"/>
      <c r="T61" s="1050"/>
      <c r="U61" s="1051"/>
      <c r="V61" s="1051"/>
      <c r="W61" s="1052"/>
      <c r="X61" s="1869">
        <f>'XM.GUI MAIL'!AL54</f>
        <v>66</v>
      </c>
      <c r="Y61" s="1869"/>
      <c r="Z61" s="1869">
        <f>'XM.FILE GOC'!AO54</f>
        <v>65</v>
      </c>
      <c r="AA61" s="1869"/>
      <c r="AB61" s="1053"/>
      <c r="AC61" s="1054"/>
      <c r="AD61" s="1054"/>
      <c r="AE61" s="1055"/>
      <c r="AF61" s="21"/>
    </row>
    <row r="62" spans="1:32" ht="48" customHeight="1">
      <c r="A62" s="1099">
        <v>3</v>
      </c>
      <c r="B62" s="1896" t="s">
        <v>71</v>
      </c>
      <c r="C62" s="1897" t="s">
        <v>71</v>
      </c>
      <c r="D62" s="1897" t="s">
        <v>71</v>
      </c>
      <c r="E62" s="1898" t="s">
        <v>71</v>
      </c>
      <c r="F62" s="290" t="s">
        <v>216</v>
      </c>
      <c r="G62" s="1169" t="str">
        <f>'XM.GUI MAIL'!$E$55</f>
        <v>50~70ºC
(60±3OC)</v>
      </c>
      <c r="H62" s="1869">
        <f>'XM.GUI MAIL'!Z55</f>
        <v>61</v>
      </c>
      <c r="I62" s="1869"/>
      <c r="J62" s="1869">
        <f>'XM.FILE GOC'!AC55</f>
        <v>60</v>
      </c>
      <c r="K62" s="1869"/>
      <c r="L62" s="1050"/>
      <c r="M62" s="1051"/>
      <c r="N62" s="1051"/>
      <c r="O62" s="1052"/>
      <c r="P62" s="1869">
        <f>'XM.GUI MAIL'!AF55</f>
        <v>0</v>
      </c>
      <c r="Q62" s="1869"/>
      <c r="R62" s="1869">
        <f>'XM.FILE GOC'!AI55</f>
        <v>0</v>
      </c>
      <c r="S62" s="1869"/>
      <c r="T62" s="1050"/>
      <c r="U62" s="1051"/>
      <c r="V62" s="1051"/>
      <c r="W62" s="1052"/>
      <c r="X62" s="1869">
        <f>'XM.GUI MAIL'!AL55</f>
        <v>59</v>
      </c>
      <c r="Y62" s="1869"/>
      <c r="Z62" s="1869">
        <f>'XM.FILE GOC'!AO55</f>
        <v>58</v>
      </c>
      <c r="AA62" s="1869"/>
      <c r="AB62" s="1053"/>
      <c r="AC62" s="1054"/>
      <c r="AD62" s="1054"/>
      <c r="AE62" s="1055"/>
      <c r="AF62" s="21"/>
    </row>
    <row r="63" spans="1:32" ht="48" customHeight="1">
      <c r="A63" s="1099">
        <v>4</v>
      </c>
      <c r="B63" s="1896" t="s">
        <v>70</v>
      </c>
      <c r="C63" s="1897" t="s">
        <v>70</v>
      </c>
      <c r="D63" s="1897" t="s">
        <v>70</v>
      </c>
      <c r="E63" s="1898" t="s">
        <v>70</v>
      </c>
      <c r="F63" s="290" t="s">
        <v>216</v>
      </c>
      <c r="G63" s="1169" t="str">
        <f>'XM.GUI MAIL'!$E$56</f>
        <v>50~70ºC
(60±3OC)</v>
      </c>
      <c r="H63" s="1869">
        <f>'XM.GUI MAIL'!Z56</f>
        <v>52</v>
      </c>
      <c r="I63" s="1869"/>
      <c r="J63" s="1869">
        <f>'XM.FILE GOC'!AC56</f>
        <v>50</v>
      </c>
      <c r="K63" s="1869"/>
      <c r="L63" s="1050"/>
      <c r="M63" s="1051"/>
      <c r="N63" s="1051"/>
      <c r="O63" s="1052"/>
      <c r="P63" s="1869">
        <f>'XM.GUI MAIL'!AF56</f>
        <v>0</v>
      </c>
      <c r="Q63" s="1869"/>
      <c r="R63" s="1869">
        <f>'XM.FILE GOC'!AI56</f>
        <v>0</v>
      </c>
      <c r="S63" s="1869"/>
      <c r="T63" s="1050"/>
      <c r="U63" s="1051"/>
      <c r="V63" s="1051"/>
      <c r="W63" s="1052"/>
      <c r="X63" s="1869">
        <f>'XM.GUI MAIL'!AL56</f>
        <v>54</v>
      </c>
      <c r="Y63" s="1869"/>
      <c r="Z63" s="1869">
        <f>'XM.FILE GOC'!AO56</f>
        <v>52</v>
      </c>
      <c r="AA63" s="1869"/>
      <c r="AB63" s="1053"/>
      <c r="AC63" s="1054"/>
      <c r="AD63" s="1054"/>
      <c r="AE63" s="1055"/>
      <c r="AF63" s="21"/>
    </row>
    <row r="64" spans="1:32" ht="48" customHeight="1">
      <c r="A64" s="1099">
        <v>5</v>
      </c>
      <c r="B64" s="1896" t="s">
        <v>72</v>
      </c>
      <c r="C64" s="1897" t="s">
        <v>72</v>
      </c>
      <c r="D64" s="1897" t="s">
        <v>72</v>
      </c>
      <c r="E64" s="1898" t="s">
        <v>72</v>
      </c>
      <c r="F64" s="290" t="s">
        <v>216</v>
      </c>
      <c r="G64" s="1169" t="str">
        <f>'XM.GUI MAIL'!$E$57</f>
        <v>22~30ºC
(24±1OC)</v>
      </c>
      <c r="H64" s="1893">
        <f>'XM.GUI MAIL'!Z57</f>
        <v>27</v>
      </c>
      <c r="I64" s="1893"/>
      <c r="J64" s="1893">
        <f>'XM.FILE GOC'!AC57</f>
        <v>27</v>
      </c>
      <c r="K64" s="1893"/>
      <c r="L64" s="1053"/>
      <c r="M64" s="1054"/>
      <c r="N64" s="1054"/>
      <c r="O64" s="1055"/>
      <c r="P64" s="1893">
        <f>'XM.GUI MAIL'!AF57</f>
        <v>0</v>
      </c>
      <c r="Q64" s="1893"/>
      <c r="R64" s="1893">
        <f>'XM.FILE GOC'!AI57</f>
        <v>0</v>
      </c>
      <c r="S64" s="1893"/>
      <c r="T64" s="1053"/>
      <c r="U64" s="1054"/>
      <c r="V64" s="1054"/>
      <c r="W64" s="1055"/>
      <c r="X64" s="1893">
        <f>'XM.GUI MAIL'!AL57</f>
        <v>27</v>
      </c>
      <c r="Y64" s="1893"/>
      <c r="Z64" s="1893">
        <f>'XM.FILE GOC'!AO57</f>
        <v>26</v>
      </c>
      <c r="AA64" s="1893"/>
      <c r="AB64" s="1053"/>
      <c r="AC64" s="1054"/>
      <c r="AD64" s="1054"/>
      <c r="AE64" s="1055"/>
      <c r="AF64" s="21"/>
    </row>
    <row r="65" spans="1:32" ht="48" customHeight="1">
      <c r="A65" s="1099">
        <v>6</v>
      </c>
      <c r="B65" s="1896" t="s">
        <v>1021</v>
      </c>
      <c r="C65" s="1897" t="s">
        <v>1021</v>
      </c>
      <c r="D65" s="1897" t="s">
        <v>1021</v>
      </c>
      <c r="E65" s="1898" t="s">
        <v>1021</v>
      </c>
      <c r="F65" s="290" t="s">
        <v>216</v>
      </c>
      <c r="G65" s="1169" t="str">
        <f>'XM.GUI MAIL'!$E$58</f>
        <v>30-38ºC
(34±2OC)</v>
      </c>
      <c r="H65" s="1891">
        <f>'XM.GUI MAIL'!Z58</f>
        <v>36</v>
      </c>
      <c r="I65" s="1892"/>
      <c r="J65" s="1891">
        <f>'XM.FILE GOC'!AC58</f>
        <v>35</v>
      </c>
      <c r="K65" s="1892"/>
      <c r="L65" s="1053"/>
      <c r="M65" s="1054"/>
      <c r="N65" s="1054"/>
      <c r="O65" s="1055"/>
      <c r="P65" s="1891">
        <f>'XM.GUI MAIL'!AF58</f>
        <v>0</v>
      </c>
      <c r="Q65" s="1892"/>
      <c r="R65" s="1891">
        <f>'XM.FILE GOC'!AI58</f>
        <v>0</v>
      </c>
      <c r="S65" s="1892"/>
      <c r="T65" s="1053"/>
      <c r="U65" s="1054"/>
      <c r="V65" s="1054"/>
      <c r="W65" s="1055"/>
      <c r="X65" s="1891">
        <f>'XM.GUI MAIL'!AL58</f>
        <v>36</v>
      </c>
      <c r="Y65" s="1892"/>
      <c r="Z65" s="1891">
        <f>'XM.FILE GOC'!AO58</f>
        <v>35</v>
      </c>
      <c r="AA65" s="1892"/>
      <c r="AB65" s="1053"/>
      <c r="AC65" s="1054"/>
      <c r="AD65" s="1054"/>
      <c r="AE65" s="1055"/>
      <c r="AF65" s="23"/>
    </row>
    <row r="66" spans="1:32" ht="48" customHeight="1">
      <c r="A66" s="1099">
        <v>7</v>
      </c>
      <c r="B66" s="1896" t="s">
        <v>73</v>
      </c>
      <c r="C66" s="1897" t="s">
        <v>73</v>
      </c>
      <c r="D66" s="1897" t="s">
        <v>73</v>
      </c>
      <c r="E66" s="1898" t="s">
        <v>73</v>
      </c>
      <c r="F66" s="290" t="s">
        <v>216</v>
      </c>
      <c r="G66" s="1169" t="str">
        <f>'XM.GUI MAIL'!$E$59</f>
        <v>55~65ºC
(60±3OC)</v>
      </c>
      <c r="H66" s="1891">
        <v>57</v>
      </c>
      <c r="I66" s="1892"/>
      <c r="J66" s="1891">
        <v>56</v>
      </c>
      <c r="K66" s="1892"/>
      <c r="L66" s="1053"/>
      <c r="M66" s="1054"/>
      <c r="N66" s="1054"/>
      <c r="O66" s="1055"/>
      <c r="P66" s="1891">
        <f>'XM.GUI MAIL'!AF59</f>
        <v>0</v>
      </c>
      <c r="Q66" s="1892"/>
      <c r="R66" s="1891">
        <f>'XM.FILE GOC'!AI59</f>
        <v>0</v>
      </c>
      <c r="S66" s="1892"/>
      <c r="T66" s="1053"/>
      <c r="U66" s="1054"/>
      <c r="V66" s="1054"/>
      <c r="W66" s="1055"/>
      <c r="X66" s="1891">
        <f>'XM.GUI MAIL'!AL59</f>
        <v>57</v>
      </c>
      <c r="Y66" s="1892"/>
      <c r="Z66" s="1891">
        <f>'XM.FILE GOC'!AO59</f>
        <v>56</v>
      </c>
      <c r="AA66" s="1892"/>
      <c r="AB66" s="1053"/>
      <c r="AC66" s="1054"/>
      <c r="AD66" s="1054"/>
      <c r="AE66" s="1055"/>
      <c r="AF66" s="21"/>
    </row>
    <row r="67" spans="1:32" ht="48" customHeight="1">
      <c r="A67" s="1099">
        <v>8</v>
      </c>
      <c r="B67" s="1899" t="s">
        <v>74</v>
      </c>
      <c r="C67" s="1900" t="s">
        <v>74</v>
      </c>
      <c r="D67" s="1900" t="s">
        <v>74</v>
      </c>
      <c r="E67" s="1901" t="s">
        <v>74</v>
      </c>
      <c r="F67" s="290" t="s">
        <v>216</v>
      </c>
      <c r="G67" s="1169" t="str">
        <f>'XM.GUI MAIL'!$E$60</f>
        <v>65~75ºC
(70±3OC)</v>
      </c>
      <c r="H67" s="1895" t="s">
        <v>49</v>
      </c>
      <c r="I67" s="1895"/>
      <c r="J67" s="1891">
        <f>'XM.FILE GOC'!AC60</f>
        <v>73</v>
      </c>
      <c r="K67" s="1892"/>
      <c r="L67" s="1056"/>
      <c r="M67" s="1057"/>
      <c r="N67" s="1057"/>
      <c r="O67" s="1058"/>
      <c r="P67" s="1895" t="s">
        <v>49</v>
      </c>
      <c r="Q67" s="1895"/>
      <c r="R67" s="1891">
        <f>'XM.FILE GOC'!AI60</f>
        <v>0</v>
      </c>
      <c r="S67" s="1892"/>
      <c r="T67" s="1056"/>
      <c r="U67" s="1057"/>
      <c r="V67" s="1057"/>
      <c r="W67" s="1058"/>
      <c r="X67" s="1895" t="s">
        <v>49</v>
      </c>
      <c r="Y67" s="1895"/>
      <c r="Z67" s="1891">
        <f>'XM.FILE GOC'!AO60</f>
        <v>71</v>
      </c>
      <c r="AA67" s="1892"/>
      <c r="AB67" s="1056"/>
      <c r="AC67" s="1057"/>
      <c r="AD67" s="1057"/>
      <c r="AE67" s="1058"/>
      <c r="AF67" s="21"/>
    </row>
    <row r="68" spans="1:32" ht="48" customHeight="1">
      <c r="A68" s="56"/>
      <c r="B68" s="1951" t="s">
        <v>118</v>
      </c>
      <c r="C68" s="1951"/>
      <c r="D68" s="1951"/>
      <c r="E68" s="1951"/>
      <c r="F68" s="1951"/>
      <c r="G68" s="1951"/>
      <c r="H68" s="1951"/>
      <c r="I68" s="1951"/>
      <c r="J68" s="1951"/>
      <c r="K68" s="1951"/>
      <c r="L68" s="1951"/>
      <c r="M68" s="1951"/>
      <c r="N68" s="1951"/>
      <c r="O68" s="1951"/>
      <c r="P68" s="1951"/>
      <c r="Q68" s="1951"/>
      <c r="R68" s="1951"/>
      <c r="S68" s="1951"/>
      <c r="T68" s="1951"/>
      <c r="U68" s="1951"/>
      <c r="V68" s="1951"/>
      <c r="W68" s="1951"/>
      <c r="X68" s="1951"/>
      <c r="Y68" s="1951"/>
      <c r="Z68" s="1951"/>
      <c r="AA68" s="1951"/>
      <c r="AB68" s="1951"/>
      <c r="AC68" s="1951"/>
      <c r="AD68" s="1951"/>
      <c r="AE68" s="1951"/>
      <c r="AF68" s="1951"/>
    </row>
    <row r="69" spans="1:32" ht="48" customHeight="1">
      <c r="A69" s="1099" t="s">
        <v>7</v>
      </c>
      <c r="B69" s="1896" t="s">
        <v>100</v>
      </c>
      <c r="C69" s="1897"/>
      <c r="D69" s="1897"/>
      <c r="E69" s="1898"/>
      <c r="F69" s="661" t="s">
        <v>101</v>
      </c>
      <c r="G69" s="1410" t="s">
        <v>67</v>
      </c>
      <c r="H69" s="1877" t="s">
        <v>119</v>
      </c>
      <c r="I69" s="1877"/>
      <c r="J69" s="1877"/>
      <c r="K69" s="1877"/>
      <c r="L69" s="1050"/>
      <c r="M69" s="1051"/>
      <c r="N69" s="1051"/>
      <c r="O69" s="1052"/>
      <c r="P69" s="1877" t="s">
        <v>119</v>
      </c>
      <c r="Q69" s="1877"/>
      <c r="R69" s="1877"/>
      <c r="S69" s="1877"/>
      <c r="T69" s="1050"/>
      <c r="U69" s="1051"/>
      <c r="V69" s="1051"/>
      <c r="W69" s="1052"/>
      <c r="X69" s="1877" t="s">
        <v>119</v>
      </c>
      <c r="Y69" s="1877"/>
      <c r="Z69" s="1877"/>
      <c r="AA69" s="1877"/>
      <c r="AB69" s="1050"/>
      <c r="AC69" s="1051"/>
      <c r="AD69" s="1051"/>
      <c r="AE69" s="1052"/>
      <c r="AF69" s="88"/>
    </row>
    <row r="70" spans="1:32" ht="48" customHeight="1">
      <c r="A70" s="56">
        <v>1</v>
      </c>
      <c r="B70" s="1964" t="s">
        <v>261</v>
      </c>
      <c r="C70" s="1965"/>
      <c r="D70" s="1965"/>
      <c r="E70" s="1966"/>
      <c r="F70" s="1101" t="s">
        <v>50</v>
      </c>
      <c r="G70" s="311" t="str">
        <f>'XM.GUI MAIL'!$E$62</f>
        <v>100-200</v>
      </c>
      <c r="H70" s="1891">
        <f>'XM.FILE GOC'!Z62</f>
        <v>195</v>
      </c>
      <c r="I70" s="1892"/>
      <c r="J70" s="1892"/>
      <c r="K70" s="1892"/>
      <c r="L70" s="1059"/>
      <c r="M70" s="1032"/>
      <c r="N70" s="1032"/>
      <c r="O70" s="1060"/>
      <c r="P70" s="1891">
        <f>'XM.FILE GOC'!AF62</f>
        <v>0</v>
      </c>
      <c r="Q70" s="1892"/>
      <c r="R70" s="1892"/>
      <c r="S70" s="1892"/>
      <c r="T70" s="1059"/>
      <c r="U70" s="1032"/>
      <c r="V70" s="1032"/>
      <c r="W70" s="1060"/>
      <c r="X70" s="1891">
        <f>'XM.GUI MAIL'!AL62</f>
        <v>190</v>
      </c>
      <c r="Y70" s="1892"/>
      <c r="Z70" s="1892"/>
      <c r="AA70" s="1892"/>
      <c r="AB70" s="1059"/>
      <c r="AC70" s="1032"/>
      <c r="AD70" s="1032"/>
      <c r="AE70" s="1060"/>
      <c r="AF70" s="23"/>
    </row>
    <row r="71" spans="1:32" ht="48" customHeight="1">
      <c r="A71" s="56">
        <v>2</v>
      </c>
      <c r="B71" s="1964" t="s">
        <v>262</v>
      </c>
      <c r="C71" s="1965"/>
      <c r="D71" s="1965"/>
      <c r="E71" s="1966"/>
      <c r="F71" s="1101" t="s">
        <v>50</v>
      </c>
      <c r="G71" s="311" t="str">
        <f>'XM.GUI MAIL'!$E$63</f>
        <v>20-50</v>
      </c>
      <c r="H71" s="1891">
        <f>'XM.GUI MAIL'!Z63</f>
        <v>42</v>
      </c>
      <c r="I71" s="1892"/>
      <c r="J71" s="1892"/>
      <c r="K71" s="1892"/>
      <c r="L71" s="1061"/>
      <c r="M71" s="1062"/>
      <c r="N71" s="1062"/>
      <c r="O71" s="1063"/>
      <c r="P71" s="1891">
        <f>'XM.GUI MAIL'!AF63</f>
        <v>0</v>
      </c>
      <c r="Q71" s="1892"/>
      <c r="R71" s="1892"/>
      <c r="S71" s="1892"/>
      <c r="T71" s="1061"/>
      <c r="U71" s="1062"/>
      <c r="V71" s="1062"/>
      <c r="W71" s="1063"/>
      <c r="X71" s="1891">
        <f>'XM.GUI MAIL'!AL63</f>
        <v>39</v>
      </c>
      <c r="Y71" s="1892"/>
      <c r="Z71" s="1892"/>
      <c r="AA71" s="1892"/>
      <c r="AB71" s="1061"/>
      <c r="AC71" s="1062"/>
      <c r="AD71" s="1062"/>
      <c r="AE71" s="1063"/>
      <c r="AF71" s="23"/>
    </row>
  </sheetData>
  <sheetProtection formatCells="0" formatColumns="0" formatRows="0" insertColumns="0" insertRows="0" insertHyperlinks="0" deleteColumns="0" deleteRows="0" selectLockedCells="1" sort="0" autoFilter="0" pivotTables="0"/>
  <mergeCells count="254">
    <mergeCell ref="B71:E71"/>
    <mergeCell ref="H71:K71"/>
    <mergeCell ref="P71:S71"/>
    <mergeCell ref="X71:AA71"/>
    <mergeCell ref="B68:AF68"/>
    <mergeCell ref="B69:E69"/>
    <mergeCell ref="H69:K69"/>
    <mergeCell ref="P69:S69"/>
    <mergeCell ref="X69:AA69"/>
    <mergeCell ref="B70:E70"/>
    <mergeCell ref="H70:K70"/>
    <mergeCell ref="P70:S70"/>
    <mergeCell ref="X70:AA70"/>
    <mergeCell ref="Z66:AA66"/>
    <mergeCell ref="B67:E67"/>
    <mergeCell ref="H67:I67"/>
    <mergeCell ref="J67:K67"/>
    <mergeCell ref="P67:Q67"/>
    <mergeCell ref="R67:S67"/>
    <mergeCell ref="X67:Y67"/>
    <mergeCell ref="Z67:AA67"/>
    <mergeCell ref="B66:E66"/>
    <mergeCell ref="H66:I66"/>
    <mergeCell ref="J66:K66"/>
    <mergeCell ref="P66:Q66"/>
    <mergeCell ref="R66:S66"/>
    <mergeCell ref="X66:Y66"/>
    <mergeCell ref="Z64:AA64"/>
    <mergeCell ref="B65:E65"/>
    <mergeCell ref="H65:I65"/>
    <mergeCell ref="J65:K65"/>
    <mergeCell ref="P65:Q65"/>
    <mergeCell ref="R65:S65"/>
    <mergeCell ref="X65:Y65"/>
    <mergeCell ref="Z65:AA65"/>
    <mergeCell ref="B64:E64"/>
    <mergeCell ref="H64:I64"/>
    <mergeCell ref="J64:K64"/>
    <mergeCell ref="P64:Q64"/>
    <mergeCell ref="R64:S64"/>
    <mergeCell ref="X64:Y64"/>
    <mergeCell ref="Z62:AA62"/>
    <mergeCell ref="B63:E63"/>
    <mergeCell ref="H63:I63"/>
    <mergeCell ref="J63:K63"/>
    <mergeCell ref="P63:Q63"/>
    <mergeCell ref="R63:S63"/>
    <mergeCell ref="X63:Y63"/>
    <mergeCell ref="Z63:AA63"/>
    <mergeCell ref="B62:E62"/>
    <mergeCell ref="H62:I62"/>
    <mergeCell ref="J62:K62"/>
    <mergeCell ref="P62:Q62"/>
    <mergeCell ref="R62:S62"/>
    <mergeCell ref="X62:Y62"/>
    <mergeCell ref="Z60:AA60"/>
    <mergeCell ref="B61:E61"/>
    <mergeCell ref="H61:I61"/>
    <mergeCell ref="J61:K61"/>
    <mergeCell ref="P61:Q61"/>
    <mergeCell ref="R61:S61"/>
    <mergeCell ref="X61:Y61"/>
    <mergeCell ref="Z61:AA61"/>
    <mergeCell ref="B60:E60"/>
    <mergeCell ref="H60:I60"/>
    <mergeCell ref="J60:K60"/>
    <mergeCell ref="P60:Q60"/>
    <mergeCell ref="R60:S60"/>
    <mergeCell ref="X60:Y60"/>
    <mergeCell ref="B58:AF58"/>
    <mergeCell ref="B59:E59"/>
    <mergeCell ref="H59:I59"/>
    <mergeCell ref="J59:K59"/>
    <mergeCell ref="P59:Q59"/>
    <mergeCell ref="R59:S59"/>
    <mergeCell ref="X59:Y59"/>
    <mergeCell ref="Z59:AA59"/>
    <mergeCell ref="A52:A53"/>
    <mergeCell ref="B52:E53"/>
    <mergeCell ref="B54:E54"/>
    <mergeCell ref="B55:E55"/>
    <mergeCell ref="B56:E56"/>
    <mergeCell ref="B57:E57"/>
    <mergeCell ref="A48:A49"/>
    <mergeCell ref="B50:E50"/>
    <mergeCell ref="B51:E51"/>
    <mergeCell ref="A44:A45"/>
    <mergeCell ref="A46:A47"/>
    <mergeCell ref="B44:C45"/>
    <mergeCell ref="D44:E44"/>
    <mergeCell ref="D46:E46"/>
    <mergeCell ref="B46:C47"/>
    <mergeCell ref="D47:E47"/>
    <mergeCell ref="B48:C49"/>
    <mergeCell ref="D48:E48"/>
    <mergeCell ref="D49:E49"/>
    <mergeCell ref="D45:E45"/>
    <mergeCell ref="AF40:AF41"/>
    <mergeCell ref="I41:K41"/>
    <mergeCell ref="Q41:S41"/>
    <mergeCell ref="Y41:AA41"/>
    <mergeCell ref="A42:A43"/>
    <mergeCell ref="Z39:AA39"/>
    <mergeCell ref="A40:A41"/>
    <mergeCell ref="B40:E41"/>
    <mergeCell ref="F40:F41"/>
    <mergeCell ref="G40:G41"/>
    <mergeCell ref="H40:K40"/>
    <mergeCell ref="P40:S40"/>
    <mergeCell ref="X40:AA40"/>
    <mergeCell ref="B42:C43"/>
    <mergeCell ref="D42:E42"/>
    <mergeCell ref="D43:E43"/>
    <mergeCell ref="B39:D39"/>
    <mergeCell ref="B35:E35"/>
    <mergeCell ref="H35:K35"/>
    <mergeCell ref="P35:S35"/>
    <mergeCell ref="X35:AA35"/>
    <mergeCell ref="A37:Y37"/>
    <mergeCell ref="A38:Y38"/>
    <mergeCell ref="Z38:AA38"/>
    <mergeCell ref="B32:AF32"/>
    <mergeCell ref="B33:E33"/>
    <mergeCell ref="H33:K33"/>
    <mergeCell ref="P33:S33"/>
    <mergeCell ref="X33:AA33"/>
    <mergeCell ref="B34:E34"/>
    <mergeCell ref="H34:K34"/>
    <mergeCell ref="P34:S34"/>
    <mergeCell ref="X34:AA34"/>
    <mergeCell ref="Z30:AA30"/>
    <mergeCell ref="B31:E31"/>
    <mergeCell ref="H31:I31"/>
    <mergeCell ref="J31:K31"/>
    <mergeCell ref="P31:Q31"/>
    <mergeCell ref="R31:S31"/>
    <mergeCell ref="X31:Y31"/>
    <mergeCell ref="Z31:AA31"/>
    <mergeCell ref="B30:E30"/>
    <mergeCell ref="H30:I30"/>
    <mergeCell ref="J30:K30"/>
    <mergeCell ref="P30:Q30"/>
    <mergeCell ref="R30:S30"/>
    <mergeCell ref="X30:Y30"/>
    <mergeCell ref="Z28:AA28"/>
    <mergeCell ref="B29:E29"/>
    <mergeCell ref="H29:I29"/>
    <mergeCell ref="J29:K29"/>
    <mergeCell ref="P29:Q29"/>
    <mergeCell ref="R29:S29"/>
    <mergeCell ref="X29:Y29"/>
    <mergeCell ref="Z29:AA29"/>
    <mergeCell ref="B28:E28"/>
    <mergeCell ref="H28:I28"/>
    <mergeCell ref="J28:K28"/>
    <mergeCell ref="P28:Q28"/>
    <mergeCell ref="R28:S28"/>
    <mergeCell ref="X28:Y28"/>
    <mergeCell ref="Z26:AA26"/>
    <mergeCell ref="B27:E27"/>
    <mergeCell ref="H27:I27"/>
    <mergeCell ref="J27:K27"/>
    <mergeCell ref="P27:Q27"/>
    <mergeCell ref="R27:S27"/>
    <mergeCell ref="X27:Y27"/>
    <mergeCell ref="Z27:AA27"/>
    <mergeCell ref="B26:E26"/>
    <mergeCell ref="H26:I26"/>
    <mergeCell ref="J26:K26"/>
    <mergeCell ref="P26:Q26"/>
    <mergeCell ref="R26:S26"/>
    <mergeCell ref="X26:Y26"/>
    <mergeCell ref="Z23:AA23"/>
    <mergeCell ref="A16:A17"/>
    <mergeCell ref="B16:E17"/>
    <mergeCell ref="B18:E18"/>
    <mergeCell ref="B19:E19"/>
    <mergeCell ref="B20:E20"/>
    <mergeCell ref="B21:E21"/>
    <mergeCell ref="Z24:AA24"/>
    <mergeCell ref="B25:E25"/>
    <mergeCell ref="H25:I25"/>
    <mergeCell ref="J25:K25"/>
    <mergeCell ref="P25:Q25"/>
    <mergeCell ref="R25:S25"/>
    <mergeCell ref="X25:Y25"/>
    <mergeCell ref="Z25:AA25"/>
    <mergeCell ref="B24:E24"/>
    <mergeCell ref="H24:I24"/>
    <mergeCell ref="J24:K24"/>
    <mergeCell ref="P24:Q24"/>
    <mergeCell ref="R24:S24"/>
    <mergeCell ref="X24:Y24"/>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I5:K5"/>
    <mergeCell ref="Q5:S5"/>
    <mergeCell ref="Y5:AA5"/>
    <mergeCell ref="A6:A7"/>
    <mergeCell ref="A1:Y1"/>
    <mergeCell ref="A2:Y2"/>
    <mergeCell ref="Z2:AA2"/>
    <mergeCell ref="Z3:AA3"/>
    <mergeCell ref="A4:A5"/>
    <mergeCell ref="B4:E5"/>
    <mergeCell ref="F4:F5"/>
    <mergeCell ref="G4:G5"/>
    <mergeCell ref="H4:K4"/>
    <mergeCell ref="P4:S4"/>
    <mergeCell ref="X4:AA4"/>
    <mergeCell ref="B6:C7"/>
    <mergeCell ref="D6:E6"/>
    <mergeCell ref="D7:E7"/>
    <mergeCell ref="B3:C3"/>
    <mergeCell ref="L4:O4"/>
    <mergeCell ref="M5:O5"/>
    <mergeCell ref="T4:W4"/>
    <mergeCell ref="U5:W5"/>
    <mergeCell ref="AB4:AE4"/>
    <mergeCell ref="AC5:AE5"/>
    <mergeCell ref="L40:O40"/>
    <mergeCell ref="M41:O41"/>
    <mergeCell ref="T40:W40"/>
    <mergeCell ref="U41:W41"/>
    <mergeCell ref="AB40:AE40"/>
    <mergeCell ref="AC41:AE41"/>
    <mergeCell ref="AC2:AD2"/>
    <mergeCell ref="AE2:AF2"/>
    <mergeCell ref="AC3:AD3"/>
    <mergeCell ref="AE3:AF3"/>
    <mergeCell ref="AC38:AD38"/>
    <mergeCell ref="AE38:AF38"/>
    <mergeCell ref="AC39:AD39"/>
    <mergeCell ref="AE39:AF39"/>
    <mergeCell ref="AF4:AF5"/>
    <mergeCell ref="B22:AF22"/>
    <mergeCell ref="B23:E23"/>
    <mergeCell ref="H23:I23"/>
    <mergeCell ref="J23:K23"/>
    <mergeCell ref="P23:Q23"/>
    <mergeCell ref="R23:S23"/>
    <mergeCell ref="X23:Y23"/>
  </mergeCells>
  <phoneticPr fontId="6" type="noConversion"/>
  <conditionalFormatting sqref="H46 H48 P46 P48 X46 X48">
    <cfRule type="expression" dxfId="79" priority="393" stopIfTrue="1">
      <formula>H46&gt;80</formula>
    </cfRule>
    <cfRule type="expression" dxfId="0" priority="394" stopIfTrue="1">
      <formula>H46&lt;50</formula>
    </cfRule>
  </conditionalFormatting>
  <conditionalFormatting sqref="H50 P50 X50">
    <cfRule type="expression" dxfId="78" priority="389">
      <formula>H50&lt;130</formula>
    </cfRule>
    <cfRule type="expression" dxfId="77" priority="390">
      <formula>H50&gt;150</formula>
    </cfRule>
  </conditionalFormatting>
  <conditionalFormatting sqref="H54 P54 X54">
    <cfRule type="expression" dxfId="76" priority="387">
      <formula>H54&lt;30%</formula>
    </cfRule>
    <cfRule type="expression" dxfId="75" priority="388">
      <formula>H54&gt;60%</formula>
    </cfRule>
  </conditionalFormatting>
  <conditionalFormatting sqref="H55 P55 X55">
    <cfRule type="cellIs" dxfId="74" priority="383" operator="between">
      <formula>0.271</formula>
      <formula>0.3</formula>
    </cfRule>
    <cfRule type="cellIs" dxfId="73" priority="384" operator="between">
      <formula>0.15</formula>
      <formula>0.185</formula>
    </cfRule>
    <cfRule type="expression" dxfId="72" priority="385">
      <formula>H55&lt;15%</formula>
    </cfRule>
    <cfRule type="expression" dxfId="71" priority="386">
      <formula>H55&gt;30%</formula>
    </cfRule>
  </conditionalFormatting>
  <conditionalFormatting sqref="H57 P57 X57">
    <cfRule type="expression" dxfId="70" priority="381">
      <formula>H57&lt;0.5%</formula>
    </cfRule>
    <cfRule type="expression" dxfId="69" priority="382">
      <formula>H57&gt;1.5%</formula>
    </cfRule>
  </conditionalFormatting>
  <conditionalFormatting sqref="H56 P56 X56 H20 P20 X20">
    <cfRule type="expression" dxfId="68" priority="375">
      <formula>H20&lt;8%</formula>
    </cfRule>
    <cfRule type="expression" dxfId="67" priority="376">
      <formula>H20&gt;15%</formula>
    </cfRule>
  </conditionalFormatting>
  <conditionalFormatting sqref="X14 P14 H14">
    <cfRule type="expression" dxfId="66" priority="314" stopIfTrue="1">
      <formula>H14&lt;130</formula>
    </cfRule>
  </conditionalFormatting>
  <conditionalFormatting sqref="X14 P14 H14">
    <cfRule type="expression" dxfId="65" priority="313" stopIfTrue="1">
      <formula>H14&gt;150</formula>
    </cfRule>
  </conditionalFormatting>
  <conditionalFormatting sqref="X10 X12 P10 P12 H10 H12">
    <cfRule type="expression" dxfId="64" priority="312" stopIfTrue="1">
      <formula>H10&lt;50</formula>
    </cfRule>
  </conditionalFormatting>
  <conditionalFormatting sqref="X10 X12 P10 P12 H10 H12">
    <cfRule type="expression" dxfId="63" priority="311" stopIfTrue="1">
      <formula>H10&gt;70</formula>
    </cfRule>
  </conditionalFormatting>
  <conditionalFormatting sqref="H51 P51 X51 H15 P15 X15">
    <cfRule type="expression" dxfId="62" priority="309" stopIfTrue="1">
      <formula>H15&gt;12</formula>
    </cfRule>
    <cfRule type="expression" dxfId="61" priority="310" stopIfTrue="1">
      <formula>H15&lt;8</formula>
    </cfRule>
  </conditionalFormatting>
  <conditionalFormatting sqref="X18 P18 H18">
    <cfRule type="expression" dxfId="60" priority="306">
      <formula>H18&gt;60%</formula>
    </cfRule>
  </conditionalFormatting>
  <conditionalFormatting sqref="X18 P18 H18">
    <cfRule type="expression" dxfId="59" priority="305">
      <formula>H18&lt;30%</formula>
    </cfRule>
  </conditionalFormatting>
  <conditionalFormatting sqref="X19 P19 H19">
    <cfRule type="expression" dxfId="58" priority="303">
      <formula>H19&lt;15%</formula>
    </cfRule>
    <cfRule type="expression" dxfId="57" priority="304">
      <formula>H19&gt;30%</formula>
    </cfRule>
  </conditionalFormatting>
  <conditionalFormatting sqref="X21 P21 H21">
    <cfRule type="expression" dxfId="56" priority="302">
      <formula>H21&gt;1.5%</formula>
    </cfRule>
  </conditionalFormatting>
  <conditionalFormatting sqref="X21 P21 H21">
    <cfRule type="expression" dxfId="55" priority="301">
      <formula>H21&lt;0.5%</formula>
    </cfRule>
  </conditionalFormatting>
  <conditionalFormatting sqref="H70 P70 X70 H34 P34 X34">
    <cfRule type="expression" dxfId="54" priority="209">
      <formula>H34&lt;100</formula>
    </cfRule>
    <cfRule type="expression" dxfId="53" priority="210">
      <formula>H34&gt;200</formula>
    </cfRule>
  </conditionalFormatting>
  <conditionalFormatting sqref="H71 P71 X71 H35 P35 X35">
    <cfRule type="expression" dxfId="52" priority="207">
      <formula>H35&lt;20</formula>
    </cfRule>
    <cfRule type="expression" dxfId="51" priority="208">
      <formula>H35&gt;50</formula>
    </cfRule>
  </conditionalFormatting>
  <conditionalFormatting sqref="J67 R67 Z67 J31 R31 Z31">
    <cfRule type="expression" dxfId="50" priority="191">
      <formula>J31&lt;65</formula>
    </cfRule>
    <cfRule type="expression" dxfId="49" priority="192">
      <formula>J31&gt;75</formula>
    </cfRule>
  </conditionalFormatting>
  <conditionalFormatting sqref="J65 H65 R65 P65 Z65 X65 J29 H29 R29 P29 Z29 X29">
    <cfRule type="expression" dxfId="48" priority="189">
      <formula>H29&lt;30</formula>
    </cfRule>
    <cfRule type="expression" dxfId="47" priority="190">
      <formula>H29&gt;38</formula>
    </cfRule>
  </conditionalFormatting>
  <conditionalFormatting sqref="J66 H66 R66 P66 Z66 X66 J30 H30 R30 P30 Z30 X30">
    <cfRule type="expression" dxfId="46" priority="187">
      <formula>H30&lt;55</formula>
    </cfRule>
    <cfRule type="expression" dxfId="45" priority="188">
      <formula>H30&gt;65</formula>
    </cfRule>
  </conditionalFormatting>
  <conditionalFormatting sqref="H64:K64 P64:S64 X64:AA64 X28:AA28 H28:K28 P28:S28">
    <cfRule type="expression" dxfId="44" priority="137">
      <formula>H28&lt;22</formula>
    </cfRule>
    <cfRule type="expression" dxfId="43" priority="138">
      <formula>H28&gt;30</formula>
    </cfRule>
  </conditionalFormatting>
  <conditionalFormatting sqref="H53 H17 X17 P17">
    <cfRule type="expression" dxfId="42" priority="99">
      <formula>H17&lt;2</formula>
    </cfRule>
    <cfRule type="expression" dxfId="41" priority="100">
      <formula>H17&gt;2.5</formula>
    </cfRule>
  </conditionalFormatting>
  <conditionalFormatting sqref="H52 H16 X16 P16">
    <cfRule type="expression" dxfId="40" priority="97" stopIfTrue="1">
      <formula>H16&gt;10</formula>
    </cfRule>
    <cfRule type="expression" dxfId="39" priority="98" stopIfTrue="1">
      <formula>H16&lt;6</formula>
    </cfRule>
  </conditionalFormatting>
  <conditionalFormatting sqref="X53">
    <cfRule type="expression" dxfId="38" priority="95">
      <formula>X53&lt;2</formula>
    </cfRule>
    <cfRule type="expression" dxfId="37" priority="96">
      <formula>X53&gt;2.5</formula>
    </cfRule>
  </conditionalFormatting>
  <conditionalFormatting sqref="X52">
    <cfRule type="expression" dxfId="36" priority="93" stopIfTrue="1">
      <formula>X52&gt;10</formula>
    </cfRule>
    <cfRule type="expression" dxfId="35" priority="94" stopIfTrue="1">
      <formula>X52&lt;6</formula>
    </cfRule>
  </conditionalFormatting>
  <conditionalFormatting sqref="P53">
    <cfRule type="expression" dxfId="34" priority="91">
      <formula>P53&lt;2</formula>
    </cfRule>
    <cfRule type="expression" dxfId="33" priority="92">
      <formula>P53&gt;2.5</formula>
    </cfRule>
  </conditionalFormatting>
  <conditionalFormatting sqref="P52">
    <cfRule type="expression" dxfId="32" priority="89" stopIfTrue="1">
      <formula>P52&gt;10</formula>
    </cfRule>
    <cfRule type="expression" dxfId="31" priority="90" stopIfTrue="1">
      <formula>P52&lt;6</formula>
    </cfRule>
  </conditionalFormatting>
  <conditionalFormatting sqref="H6 P6 X6 H8 P8 X8">
    <cfRule type="expression" dxfId="30" priority="52" stopIfTrue="1">
      <formula>H6&lt;60</formula>
    </cfRule>
  </conditionalFormatting>
  <conditionalFormatting sqref="H6 P6 X6 H8 P8 X8">
    <cfRule type="expression" dxfId="29" priority="51" stopIfTrue="1">
      <formula>H6&gt;80</formula>
    </cfRule>
  </conditionalFormatting>
  <conditionalFormatting sqref="H42">
    <cfRule type="expression" dxfId="28" priority="46" stopIfTrue="1">
      <formula>H42&lt;60</formula>
    </cfRule>
  </conditionalFormatting>
  <conditionalFormatting sqref="H42">
    <cfRule type="expression" dxfId="27" priority="45" stopIfTrue="1">
      <formula>H42&gt;80</formula>
    </cfRule>
  </conditionalFormatting>
  <conditionalFormatting sqref="P42">
    <cfRule type="expression" dxfId="26" priority="44" stopIfTrue="1">
      <formula>P42&lt;60</formula>
    </cfRule>
  </conditionalFormatting>
  <conditionalFormatting sqref="P42">
    <cfRule type="expression" dxfId="25" priority="43" stopIfTrue="1">
      <formula>P42&gt;80</formula>
    </cfRule>
  </conditionalFormatting>
  <conditionalFormatting sqref="X42">
    <cfRule type="expression" dxfId="24" priority="42" stopIfTrue="1">
      <formula>X42&lt;60</formula>
    </cfRule>
  </conditionalFormatting>
  <conditionalFormatting sqref="X42">
    <cfRule type="expression" dxfId="23" priority="41" stopIfTrue="1">
      <formula>X42&gt;80</formula>
    </cfRule>
  </conditionalFormatting>
  <conditionalFormatting sqref="H60:I60 H24:K27 P24:S27 X24:AA27">
    <cfRule type="expression" dxfId="22" priority="39">
      <formula>H24&lt;50</formula>
    </cfRule>
    <cfRule type="expression" dxfId="21" priority="40">
      <formula>H24&gt;70</formula>
    </cfRule>
  </conditionalFormatting>
  <conditionalFormatting sqref="H61:I63">
    <cfRule type="expression" dxfId="20" priority="37">
      <formula>H61&lt;50</formula>
    </cfRule>
    <cfRule type="expression" dxfId="19" priority="38">
      <formula>H61&gt;70</formula>
    </cfRule>
  </conditionalFormatting>
  <conditionalFormatting sqref="J60:K60">
    <cfRule type="expression" dxfId="18" priority="35">
      <formula>J60&lt;50</formula>
    </cfRule>
    <cfRule type="expression" dxfId="17" priority="36">
      <formula>J60&gt;70</formula>
    </cfRule>
  </conditionalFormatting>
  <conditionalFormatting sqref="J61:K63">
    <cfRule type="expression" dxfId="16" priority="33">
      <formula>J61&lt;50</formula>
    </cfRule>
    <cfRule type="expression" dxfId="15" priority="34">
      <formula>J61&gt;70</formula>
    </cfRule>
  </conditionalFormatting>
  <conditionalFormatting sqref="P60:S60">
    <cfRule type="expression" dxfId="14" priority="31">
      <formula>P60&lt;50</formula>
    </cfRule>
    <cfRule type="expression" dxfId="13" priority="32">
      <formula>P60&gt;70</formula>
    </cfRule>
  </conditionalFormatting>
  <conditionalFormatting sqref="P61:S63">
    <cfRule type="expression" dxfId="12" priority="29">
      <formula>P61&lt;50</formula>
    </cfRule>
    <cfRule type="expression" dxfId="11" priority="30">
      <formula>P61&gt;70</formula>
    </cfRule>
  </conditionalFormatting>
  <conditionalFormatting sqref="X60:AA60">
    <cfRule type="expression" dxfId="10" priority="27">
      <formula>X60&lt;50</formula>
    </cfRule>
    <cfRule type="expression" dxfId="9" priority="28">
      <formula>X60&gt;70</formula>
    </cfRule>
  </conditionalFormatting>
  <conditionalFormatting sqref="X61:AA63">
    <cfRule type="expression" dxfId="8" priority="25">
      <formula>X61&lt;50</formula>
    </cfRule>
    <cfRule type="expression" dxfId="7" priority="26">
      <formula>X61&gt;70</formula>
    </cfRule>
  </conditionalFormatting>
  <conditionalFormatting sqref="H44">
    <cfRule type="expression" dxfId="6" priority="6" stopIfTrue="1">
      <formula>H44&lt;60</formula>
    </cfRule>
  </conditionalFormatting>
  <conditionalFormatting sqref="H44">
    <cfRule type="expression" dxfId="5" priority="5" stopIfTrue="1">
      <formula>H44&gt;80</formula>
    </cfRule>
  </conditionalFormatting>
  <conditionalFormatting sqref="P44">
    <cfRule type="expression" dxfId="4" priority="4" stopIfTrue="1">
      <formula>P44&lt;60</formula>
    </cfRule>
  </conditionalFormatting>
  <conditionalFormatting sqref="P44">
    <cfRule type="expression" dxfId="3" priority="3" stopIfTrue="1">
      <formula>P44&gt;80</formula>
    </cfRule>
  </conditionalFormatting>
  <conditionalFormatting sqref="X44">
    <cfRule type="expression" dxfId="2" priority="2" stopIfTrue="1">
      <formula>X44&lt;60</formula>
    </cfRule>
  </conditionalFormatting>
  <conditionalFormatting sqref="X44">
    <cfRule type="expression" dxfId="1" priority="1" stopIfTrue="1">
      <formula>X44&gt;80</formula>
    </cfRule>
  </conditionalFormatting>
  <pageMargins left="0.3" right="0" top="0.19" bottom="0" header="0" footer="0"/>
  <pageSetup paperSize="9" scale="50"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codeName="Sheet6">
    <tabColor rgb="FFFFC000"/>
  </sheetPr>
  <dimension ref="A1:AH71"/>
  <sheetViews>
    <sheetView view="pageBreakPreview" topLeftCell="A25" zoomScale="55" zoomScaleNormal="55" zoomScaleSheetLayoutView="55" workbookViewId="0">
      <selection activeCell="AK41" sqref="AK41"/>
    </sheetView>
  </sheetViews>
  <sheetFormatPr defaultRowHeight="16.5"/>
  <cols>
    <col min="1" max="1" width="5" style="1129" customWidth="1"/>
    <col min="2" max="2" width="10" style="1130" customWidth="1"/>
    <col min="3" max="3" width="3.5" style="1130" customWidth="1"/>
    <col min="4" max="4" width="6.5" style="1130" customWidth="1"/>
    <col min="5" max="5" width="2.75" style="1130" customWidth="1"/>
    <col min="6" max="6" width="8.125" style="1131" customWidth="1"/>
    <col min="7" max="7" width="13.125" style="1131" customWidth="1"/>
    <col min="8" max="8" width="6.75" style="1131" customWidth="1"/>
    <col min="9" max="9" width="2.625" style="1131" customWidth="1"/>
    <col min="10" max="10" width="8" style="1131" customWidth="1"/>
    <col min="11" max="11" width="4" style="1131" customWidth="1"/>
    <col min="12" max="12" width="6.625" style="1079" customWidth="1"/>
    <col min="13" max="13" width="2.75" style="1079" customWidth="1"/>
    <col min="14" max="14" width="9.625" style="1079" customWidth="1"/>
    <col min="15" max="15" width="4" style="1079" customWidth="1"/>
    <col min="16" max="16" width="7.375" style="1131" customWidth="1"/>
    <col min="17" max="17" width="2.375" style="1131" customWidth="1"/>
    <col min="18" max="18" width="7.5" style="1131" customWidth="1"/>
    <col min="19" max="19" width="4.875" style="1131" customWidth="1"/>
    <col min="20" max="20" width="7.125" style="1079" customWidth="1"/>
    <col min="21" max="21" width="4" style="1079" customWidth="1"/>
    <col min="22" max="22" width="7.875" style="1079" customWidth="1"/>
    <col min="23" max="23" width="3.75" style="1079" customWidth="1"/>
    <col min="24" max="24" width="7.5" style="1131" customWidth="1"/>
    <col min="25" max="25" width="4.25" style="1131" customWidth="1"/>
    <col min="26" max="26" width="7.625" style="1131" customWidth="1"/>
    <col min="27" max="27" width="4.875" style="1131" customWidth="1"/>
    <col min="28" max="28" width="7.625" style="1079" customWidth="1"/>
    <col min="29" max="29" width="3.75" style="1079" customWidth="1"/>
    <col min="30" max="30" width="8.125" style="1079" customWidth="1"/>
    <col min="31" max="31" width="4.25" style="1079" customWidth="1"/>
    <col min="32" max="32" width="8.5" style="9" customWidth="1"/>
    <col min="33" max="16384" width="9" style="9"/>
  </cols>
  <sheetData>
    <row r="1" spans="1:32" ht="28.5" customHeight="1">
      <c r="A1" s="1972" t="s">
        <v>152</v>
      </c>
      <c r="B1" s="1972"/>
      <c r="C1" s="1972"/>
      <c r="D1" s="1972"/>
      <c r="E1" s="1972"/>
      <c r="F1" s="1972"/>
      <c r="G1" s="1972"/>
      <c r="H1" s="1972"/>
      <c r="I1" s="1972"/>
      <c r="J1" s="1972"/>
      <c r="K1" s="1972"/>
      <c r="L1" s="1972"/>
      <c r="M1" s="1972"/>
      <c r="N1" s="1972"/>
      <c r="O1" s="1972"/>
      <c r="P1" s="1972"/>
      <c r="Q1" s="1972"/>
      <c r="R1" s="1972"/>
      <c r="S1" s="1972"/>
      <c r="T1" s="1972"/>
      <c r="U1" s="1972"/>
      <c r="V1" s="1972"/>
      <c r="W1" s="1972"/>
      <c r="X1" s="1972"/>
      <c r="Y1" s="1972"/>
      <c r="Z1" s="1132"/>
      <c r="AA1" s="1132"/>
      <c r="AB1" s="1080"/>
      <c r="AC1" s="1080"/>
      <c r="AD1" s="1080"/>
      <c r="AE1" s="1080"/>
      <c r="AF1" s="73"/>
    </row>
    <row r="2" spans="1:32" ht="51.75" customHeight="1">
      <c r="A2" s="1973" t="s">
        <v>153</v>
      </c>
      <c r="B2" s="1973"/>
      <c r="C2" s="1973"/>
      <c r="D2" s="1973"/>
      <c r="E2" s="1973"/>
      <c r="F2" s="1973"/>
      <c r="G2" s="1973"/>
      <c r="H2" s="1973"/>
      <c r="I2" s="1973"/>
      <c r="J2" s="1973"/>
      <c r="K2" s="1973"/>
      <c r="L2" s="1973"/>
      <c r="M2" s="1973"/>
      <c r="N2" s="1973"/>
      <c r="O2" s="1973"/>
      <c r="P2" s="1973"/>
      <c r="Q2" s="1973"/>
      <c r="R2" s="1973"/>
      <c r="S2" s="1973"/>
      <c r="T2" s="1973"/>
      <c r="U2" s="1973"/>
      <c r="V2" s="1973"/>
      <c r="W2" s="1973"/>
      <c r="X2" s="1973"/>
      <c r="Y2" s="1973"/>
      <c r="Z2" s="1132"/>
      <c r="AA2" s="1132"/>
      <c r="AB2" s="1080"/>
      <c r="AC2" s="1886" t="s">
        <v>96</v>
      </c>
      <c r="AD2" s="1886"/>
      <c r="AE2" s="1887" t="s">
        <v>97</v>
      </c>
      <c r="AF2" s="1888"/>
    </row>
    <row r="3" spans="1:32" ht="28.5" customHeight="1">
      <c r="A3" s="1113"/>
      <c r="B3" s="1114" t="s">
        <v>144</v>
      </c>
      <c r="C3" s="1115"/>
      <c r="D3" s="1115"/>
      <c r="E3" s="1115"/>
      <c r="F3" s="1116"/>
      <c r="G3" s="1108" t="str">
        <f>'1. XL-1E kh'!$G$3</f>
        <v>2022/12/03</v>
      </c>
      <c r="H3" s="1117"/>
      <c r="I3" s="1117"/>
      <c r="J3" s="1117"/>
      <c r="K3" s="1118"/>
      <c r="L3" s="1077"/>
      <c r="M3" s="1077"/>
      <c r="N3" s="1077"/>
      <c r="O3" s="1077"/>
      <c r="P3" s="1118"/>
      <c r="Q3" s="1118"/>
      <c r="R3" s="1118"/>
      <c r="S3" s="1118"/>
      <c r="T3" s="1077"/>
      <c r="U3" s="1077"/>
      <c r="V3" s="1077"/>
      <c r="W3" s="1077"/>
      <c r="X3" s="1118"/>
      <c r="Y3" s="1118"/>
      <c r="Z3" s="1132"/>
      <c r="AA3" s="1132"/>
      <c r="AB3" s="1080"/>
      <c r="AC3" s="1878" t="str">
        <f>MENU!AD6</f>
        <v>L.Yen</v>
      </c>
      <c r="AD3" s="1878"/>
      <c r="AE3" s="1879" t="s">
        <v>11</v>
      </c>
      <c r="AF3" s="1880"/>
    </row>
    <row r="4" spans="1:32" s="76" customFormat="1" ht="48" customHeight="1">
      <c r="A4" s="1974" t="s">
        <v>7</v>
      </c>
      <c r="B4" s="1904" t="s">
        <v>79</v>
      </c>
      <c r="C4" s="1905"/>
      <c r="D4" s="1905"/>
      <c r="E4" s="1906"/>
      <c r="F4" s="1902" t="s">
        <v>137</v>
      </c>
      <c r="G4" s="1959" t="s">
        <v>67</v>
      </c>
      <c r="H4" s="1924">
        <v>0.26041666666666669</v>
      </c>
      <c r="I4" s="1925"/>
      <c r="J4" s="1925"/>
      <c r="K4" s="1926"/>
      <c r="L4" s="1881" t="s">
        <v>1012</v>
      </c>
      <c r="M4" s="1982"/>
      <c r="N4" s="1982"/>
      <c r="O4" s="1983"/>
      <c r="P4" s="1924">
        <v>0.42708333333333331</v>
      </c>
      <c r="Q4" s="1925"/>
      <c r="R4" s="1925"/>
      <c r="S4" s="1926"/>
      <c r="T4" s="1881" t="s">
        <v>1012</v>
      </c>
      <c r="U4" s="1882"/>
      <c r="V4" s="1882"/>
      <c r="W4" s="1883"/>
      <c r="X4" s="1924">
        <v>0.59375</v>
      </c>
      <c r="Y4" s="1925"/>
      <c r="Z4" s="1925"/>
      <c r="AA4" s="1926"/>
      <c r="AB4" s="1881" t="s">
        <v>1012</v>
      </c>
      <c r="AC4" s="1882"/>
      <c r="AD4" s="1882"/>
      <c r="AE4" s="1883"/>
      <c r="AF4" s="1970" t="s">
        <v>41</v>
      </c>
    </row>
    <row r="5" spans="1:32" s="76" customFormat="1" ht="48" customHeight="1">
      <c r="A5" s="1974"/>
      <c r="B5" s="1907"/>
      <c r="C5" s="1908"/>
      <c r="D5" s="1908"/>
      <c r="E5" s="1909"/>
      <c r="F5" s="1903"/>
      <c r="G5" s="1960"/>
      <c r="H5" s="1087" t="s">
        <v>146</v>
      </c>
      <c r="I5" s="1930" t="s">
        <v>1</v>
      </c>
      <c r="J5" s="1931"/>
      <c r="K5" s="1932"/>
      <c r="L5" s="1034" t="s">
        <v>1013</v>
      </c>
      <c r="M5" s="1884" t="s">
        <v>1</v>
      </c>
      <c r="N5" s="1884"/>
      <c r="O5" s="1885"/>
      <c r="P5" s="1087" t="s">
        <v>146</v>
      </c>
      <c r="Q5" s="1930" t="s">
        <v>1</v>
      </c>
      <c r="R5" s="1931"/>
      <c r="S5" s="1932"/>
      <c r="T5" s="1034" t="s">
        <v>146</v>
      </c>
      <c r="U5" s="1884" t="s">
        <v>1</v>
      </c>
      <c r="V5" s="1884"/>
      <c r="W5" s="1885"/>
      <c r="X5" s="1087" t="s">
        <v>146</v>
      </c>
      <c r="Y5" s="1930" t="s">
        <v>1</v>
      </c>
      <c r="Z5" s="1931"/>
      <c r="AA5" s="1932"/>
      <c r="AB5" s="1034" t="s">
        <v>146</v>
      </c>
      <c r="AC5" s="1884" t="s">
        <v>1</v>
      </c>
      <c r="AD5" s="1884"/>
      <c r="AE5" s="1885"/>
      <c r="AF5" s="1971"/>
    </row>
    <row r="6" spans="1:32" ht="48" customHeight="1">
      <c r="A6" s="1975">
        <v>1</v>
      </c>
      <c r="B6" s="1977" t="s">
        <v>1023</v>
      </c>
      <c r="C6" s="1978"/>
      <c r="D6" s="1917" t="s">
        <v>266</v>
      </c>
      <c r="E6" s="1918"/>
      <c r="F6" s="56" t="s">
        <v>4</v>
      </c>
      <c r="G6" s="1025" t="str">
        <f>'XM.GUI MAIL'!$E$68</f>
        <v>40~60g/L
(50±5g/L)</v>
      </c>
      <c r="H6" s="64">
        <f>'XM.FILE GOC'!H68</f>
        <v>0</v>
      </c>
      <c r="I6" s="1119" t="s">
        <v>8</v>
      </c>
      <c r="J6" s="1120">
        <f>'XM.FILE GOC'!K68</f>
        <v>775.85</v>
      </c>
      <c r="K6" s="1121" t="s">
        <v>9</v>
      </c>
      <c r="L6" s="1035"/>
      <c r="M6" s="1036" t="s">
        <v>8</v>
      </c>
      <c r="N6" s="1081">
        <f>('XM.FILE GOC'!$F$68-L6)*15517/1000</f>
        <v>775.85</v>
      </c>
      <c r="O6" s="1038" t="s">
        <v>9</v>
      </c>
      <c r="P6" s="64">
        <f>'XM.FILE GOC'!N68</f>
        <v>0</v>
      </c>
      <c r="Q6" s="1119" t="s">
        <v>8</v>
      </c>
      <c r="R6" s="1120">
        <f>'XM.FILE GOC'!Q68</f>
        <v>775.85</v>
      </c>
      <c r="S6" s="1121" t="s">
        <v>9</v>
      </c>
      <c r="T6" s="1035"/>
      <c r="U6" s="1036" t="s">
        <v>8</v>
      </c>
      <c r="V6" s="1081">
        <f>('XM.FILE GOC'!$F$68-T6)*15517/1000</f>
        <v>775.85</v>
      </c>
      <c r="W6" s="1038" t="s">
        <v>9</v>
      </c>
      <c r="X6" s="64">
        <f>'XM.FILE GOC'!T68</f>
        <v>0</v>
      </c>
      <c r="Y6" s="1119" t="s">
        <v>8</v>
      </c>
      <c r="Z6" s="1120">
        <f>'XM.FILE GOC'!W68</f>
        <v>775.85</v>
      </c>
      <c r="AA6" s="1121" t="s">
        <v>9</v>
      </c>
      <c r="AB6" s="1035"/>
      <c r="AC6" s="1036" t="s">
        <v>8</v>
      </c>
      <c r="AD6" s="1081">
        <f>('XM.FILE GOC'!$F$68-AB6)*15517/1000</f>
        <v>775.85</v>
      </c>
      <c r="AE6" s="1038" t="s">
        <v>9</v>
      </c>
      <c r="AF6" s="85" t="s">
        <v>42</v>
      </c>
    </row>
    <row r="7" spans="1:32" ht="48" customHeight="1">
      <c r="A7" s="1976"/>
      <c r="B7" s="1979"/>
      <c r="C7" s="1980"/>
      <c r="D7" s="1917" t="s">
        <v>267</v>
      </c>
      <c r="E7" s="1918"/>
      <c r="F7" s="1024"/>
      <c r="G7" s="1025" t="s">
        <v>1474</v>
      </c>
      <c r="H7" s="350"/>
      <c r="I7" s="69"/>
      <c r="J7" s="1091">
        <f>J6/25*8.5</f>
        <v>263.78900000000004</v>
      </c>
      <c r="K7" s="677" t="s">
        <v>10</v>
      </c>
      <c r="L7" s="1035"/>
      <c r="M7" s="1039" t="s">
        <v>8</v>
      </c>
      <c r="N7" s="1040">
        <f>N6/25*8.5</f>
        <v>263.78900000000004</v>
      </c>
      <c r="O7" s="1041" t="s">
        <v>10</v>
      </c>
      <c r="P7" s="350"/>
      <c r="Q7" s="69"/>
      <c r="R7" s="1091">
        <f>R6/25*8.5</f>
        <v>263.78900000000004</v>
      </c>
      <c r="S7" s="677" t="s">
        <v>10</v>
      </c>
      <c r="T7" s="1035"/>
      <c r="U7" s="1039" t="s">
        <v>8</v>
      </c>
      <c r="V7" s="1040">
        <f>V6/25*8.5</f>
        <v>263.78900000000004</v>
      </c>
      <c r="W7" s="1041" t="s">
        <v>10</v>
      </c>
      <c r="X7" s="350"/>
      <c r="Y7" s="69"/>
      <c r="Z7" s="1091">
        <f>Z6/25*8.5</f>
        <v>263.78900000000004</v>
      </c>
      <c r="AA7" s="677" t="s">
        <v>10</v>
      </c>
      <c r="AB7" s="1035"/>
      <c r="AC7" s="1039" t="s">
        <v>8</v>
      </c>
      <c r="AD7" s="1040">
        <f>AD6/25*8.5</f>
        <v>263.78900000000004</v>
      </c>
      <c r="AE7" s="1041" t="s">
        <v>10</v>
      </c>
      <c r="AF7" s="85"/>
    </row>
    <row r="8" spans="1:32" ht="48" customHeight="1">
      <c r="A8" s="1975">
        <v>2</v>
      </c>
      <c r="B8" s="1977" t="s">
        <v>1024</v>
      </c>
      <c r="C8" s="1978"/>
      <c r="D8" s="1917" t="s">
        <v>266</v>
      </c>
      <c r="E8" s="1918"/>
      <c r="F8" s="56" t="s">
        <v>4</v>
      </c>
      <c r="G8" s="1025" t="str">
        <f>'XM.GUI MAIL'!$E$69</f>
        <v>40~60g/L
(50±5g/L)</v>
      </c>
      <c r="H8" s="64">
        <f>'XM.FILE GOC'!H69</f>
        <v>0</v>
      </c>
      <c r="I8" s="1119" t="s">
        <v>8</v>
      </c>
      <c r="J8" s="1120">
        <f>'XM.FILE GOC'!K69</f>
        <v>573.75</v>
      </c>
      <c r="K8" s="1121" t="s">
        <v>9</v>
      </c>
      <c r="L8" s="1035"/>
      <c r="M8" s="1036" t="s">
        <v>8</v>
      </c>
      <c r="N8" s="1081">
        <f>('XM.FILE GOC'!$F$69-L8)*11475/1000</f>
        <v>573.75</v>
      </c>
      <c r="O8" s="1038" t="s">
        <v>9</v>
      </c>
      <c r="P8" s="64">
        <f>'XM.FILE GOC'!N69</f>
        <v>0</v>
      </c>
      <c r="Q8" s="1119" t="s">
        <v>8</v>
      </c>
      <c r="R8" s="1120">
        <f>'XM.FILE GOC'!Q69</f>
        <v>573.75</v>
      </c>
      <c r="S8" s="1121" t="s">
        <v>9</v>
      </c>
      <c r="T8" s="1035"/>
      <c r="U8" s="1036" t="s">
        <v>8</v>
      </c>
      <c r="V8" s="1081">
        <f>('XM.FILE GOC'!$F$69-T8)*11475/1000</f>
        <v>573.75</v>
      </c>
      <c r="W8" s="1038" t="s">
        <v>9</v>
      </c>
      <c r="X8" s="64">
        <f>'XM.FILE GOC'!T69</f>
        <v>0</v>
      </c>
      <c r="Y8" s="1119" t="s">
        <v>8</v>
      </c>
      <c r="Z8" s="1120">
        <f>'XM.FILE GOC'!W69</f>
        <v>573.75</v>
      </c>
      <c r="AA8" s="1121" t="s">
        <v>9</v>
      </c>
      <c r="AB8" s="1035"/>
      <c r="AC8" s="1036" t="s">
        <v>8</v>
      </c>
      <c r="AD8" s="1081">
        <f>('XM.FILE GOC'!$F$69-AB8)*11475/1000</f>
        <v>573.75</v>
      </c>
      <c r="AE8" s="1038" t="s">
        <v>9</v>
      </c>
      <c r="AF8" s="85" t="s">
        <v>42</v>
      </c>
    </row>
    <row r="9" spans="1:32" ht="48" customHeight="1">
      <c r="A9" s="1976"/>
      <c r="B9" s="1979"/>
      <c r="C9" s="1980"/>
      <c r="D9" s="1917" t="s">
        <v>267</v>
      </c>
      <c r="E9" s="1918"/>
      <c r="F9" s="1024"/>
      <c r="G9" s="1025" t="s">
        <v>1474</v>
      </c>
      <c r="H9" s="350"/>
      <c r="I9" s="69"/>
      <c r="J9" s="1091">
        <f>J8/25*8.5</f>
        <v>195.07499999999999</v>
      </c>
      <c r="K9" s="677" t="s">
        <v>10</v>
      </c>
      <c r="L9" s="1035"/>
      <c r="M9" s="1039" t="s">
        <v>8</v>
      </c>
      <c r="N9" s="1040">
        <f>N8/25*8.5</f>
        <v>195.07499999999999</v>
      </c>
      <c r="O9" s="1041" t="s">
        <v>10</v>
      </c>
      <c r="P9" s="350"/>
      <c r="Q9" s="69"/>
      <c r="R9" s="1091">
        <f>R8/25*8.5</f>
        <v>195.07499999999999</v>
      </c>
      <c r="S9" s="677" t="s">
        <v>10</v>
      </c>
      <c r="T9" s="1035"/>
      <c r="U9" s="1039" t="s">
        <v>8</v>
      </c>
      <c r="V9" s="1040">
        <f>V8/25*8.5</f>
        <v>195.07499999999999</v>
      </c>
      <c r="W9" s="1041" t="s">
        <v>10</v>
      </c>
      <c r="X9" s="350"/>
      <c r="Y9" s="69"/>
      <c r="Z9" s="1091">
        <f>Z8/25*8.5</f>
        <v>195.07499999999999</v>
      </c>
      <c r="AA9" s="677" t="s">
        <v>10</v>
      </c>
      <c r="AB9" s="1035"/>
      <c r="AC9" s="1039" t="s">
        <v>8</v>
      </c>
      <c r="AD9" s="1040">
        <f>AD8/25*8.5</f>
        <v>195.07499999999999</v>
      </c>
      <c r="AE9" s="1041" t="s">
        <v>10</v>
      </c>
      <c r="AF9" s="85"/>
    </row>
    <row r="10" spans="1:32" ht="48" customHeight="1">
      <c r="A10" s="1975">
        <v>3</v>
      </c>
      <c r="B10" s="1915" t="s">
        <v>1025</v>
      </c>
      <c r="C10" s="1916"/>
      <c r="D10" s="1896" t="s">
        <v>268</v>
      </c>
      <c r="E10" s="1898" t="s">
        <v>268</v>
      </c>
      <c r="F10" s="56" t="s">
        <v>4</v>
      </c>
      <c r="G10" s="1025" t="str">
        <f>'XM.GUI MAIL'!$E$70</f>
        <v>50~70g/L
(60±5g/L)</v>
      </c>
      <c r="H10" s="350">
        <f>'XM.FILE GOC'!H70</f>
        <v>0</v>
      </c>
      <c r="I10" s="69" t="s">
        <v>8</v>
      </c>
      <c r="J10" s="676">
        <f>'XM.FILE GOC'!K70</f>
        <v>492</v>
      </c>
      <c r="K10" s="677" t="s">
        <v>9</v>
      </c>
      <c r="L10" s="1035"/>
      <c r="M10" s="1036" t="s">
        <v>8</v>
      </c>
      <c r="N10" s="1081">
        <f>('XM.FILE GOC'!$F$70-L10)*8200/1000</f>
        <v>492</v>
      </c>
      <c r="O10" s="1038" t="s">
        <v>9</v>
      </c>
      <c r="P10" s="350">
        <f>'XM.FILE GOC'!N70</f>
        <v>0</v>
      </c>
      <c r="Q10" s="69" t="s">
        <v>8</v>
      </c>
      <c r="R10" s="676">
        <f>'XM.FILE GOC'!Q70</f>
        <v>492</v>
      </c>
      <c r="S10" s="677" t="s">
        <v>9</v>
      </c>
      <c r="T10" s="1035"/>
      <c r="U10" s="1036" t="s">
        <v>8</v>
      </c>
      <c r="V10" s="1081">
        <f>('XM.FILE GOC'!$F$70-T10)*8200/1000</f>
        <v>492</v>
      </c>
      <c r="W10" s="1038" t="s">
        <v>9</v>
      </c>
      <c r="X10" s="350">
        <f>'XM.FILE GOC'!T70</f>
        <v>0</v>
      </c>
      <c r="Y10" s="69" t="s">
        <v>8</v>
      </c>
      <c r="Z10" s="676">
        <f>'XM.FILE GOC'!W70</f>
        <v>492</v>
      </c>
      <c r="AA10" s="1121" t="s">
        <v>9</v>
      </c>
      <c r="AB10" s="1035"/>
      <c r="AC10" s="1036" t="s">
        <v>8</v>
      </c>
      <c r="AD10" s="1081">
        <f>('XM.FILE GOC'!$F$70-AB10)*8200/1000</f>
        <v>492</v>
      </c>
      <c r="AE10" s="1038" t="s">
        <v>9</v>
      </c>
      <c r="AF10" s="85" t="s">
        <v>42</v>
      </c>
    </row>
    <row r="11" spans="1:32" ht="48" customHeight="1">
      <c r="A11" s="1981"/>
      <c r="B11" s="1916"/>
      <c r="C11" s="1916"/>
      <c r="D11" s="1896" t="s">
        <v>269</v>
      </c>
      <c r="E11" s="1898" t="s">
        <v>269</v>
      </c>
      <c r="F11" s="1024"/>
      <c r="G11" s="1025" t="s">
        <v>1475</v>
      </c>
      <c r="H11" s="350"/>
      <c r="I11" s="69"/>
      <c r="J11" s="1091">
        <f>J10/25*8</f>
        <v>157.44</v>
      </c>
      <c r="K11" s="677" t="s">
        <v>10</v>
      </c>
      <c r="L11" s="1035"/>
      <c r="M11" s="1039" t="s">
        <v>8</v>
      </c>
      <c r="N11" s="1040">
        <f>N10/25*8</f>
        <v>157.44</v>
      </c>
      <c r="O11" s="1041" t="s">
        <v>10</v>
      </c>
      <c r="P11" s="350"/>
      <c r="Q11" s="69"/>
      <c r="R11" s="1091">
        <f>R10/25*8</f>
        <v>157.44</v>
      </c>
      <c r="S11" s="677" t="s">
        <v>10</v>
      </c>
      <c r="T11" s="1035"/>
      <c r="U11" s="1039" t="s">
        <v>8</v>
      </c>
      <c r="V11" s="1040">
        <f>V10/25*8</f>
        <v>157.44</v>
      </c>
      <c r="W11" s="1041" t="s">
        <v>10</v>
      </c>
      <c r="X11" s="350"/>
      <c r="Y11" s="69"/>
      <c r="Z11" s="1091">
        <f>Z10/25*8</f>
        <v>157.44</v>
      </c>
      <c r="AA11" s="677" t="s">
        <v>10</v>
      </c>
      <c r="AB11" s="1035"/>
      <c r="AC11" s="1039" t="s">
        <v>8</v>
      </c>
      <c r="AD11" s="1040">
        <f>AD10/25*8</f>
        <v>157.44</v>
      </c>
      <c r="AE11" s="1041" t="s">
        <v>10</v>
      </c>
      <c r="AF11" s="85"/>
    </row>
    <row r="12" spans="1:32" ht="48" customHeight="1">
      <c r="A12" s="1975">
        <v>4</v>
      </c>
      <c r="B12" s="1915" t="s">
        <v>1026</v>
      </c>
      <c r="C12" s="1916"/>
      <c r="D12" s="1896" t="s">
        <v>268</v>
      </c>
      <c r="E12" s="1898" t="s">
        <v>268</v>
      </c>
      <c r="F12" s="56" t="s">
        <v>4</v>
      </c>
      <c r="G12" s="1025" t="str">
        <f>'XM.GUI MAIL'!$E$71</f>
        <v>50~70g/L
(60±5g/L)</v>
      </c>
      <c r="H12" s="350">
        <f>'XM.FILE GOC'!H71</f>
        <v>0</v>
      </c>
      <c r="I12" s="1119" t="s">
        <v>8</v>
      </c>
      <c r="J12" s="1120">
        <f>'XM.FILE GOC'!K71</f>
        <v>520.08000000000004</v>
      </c>
      <c r="K12" s="1121" t="s">
        <v>9</v>
      </c>
      <c r="L12" s="1035"/>
      <c r="M12" s="1036" t="s">
        <v>8</v>
      </c>
      <c r="N12" s="1082">
        <f>('XM.FILE GOC'!$F$71-L12)*8668/1000</f>
        <v>520.08000000000004</v>
      </c>
      <c r="O12" s="1038" t="s">
        <v>9</v>
      </c>
      <c r="P12" s="350">
        <f>'XM.FILE GOC'!N71</f>
        <v>0</v>
      </c>
      <c r="Q12" s="1119" t="s">
        <v>8</v>
      </c>
      <c r="R12" s="1120">
        <f>'XM.FILE GOC'!Q71</f>
        <v>520.08000000000004</v>
      </c>
      <c r="S12" s="1121" t="s">
        <v>9</v>
      </c>
      <c r="T12" s="1035"/>
      <c r="U12" s="1036" t="s">
        <v>8</v>
      </c>
      <c r="V12" s="1082">
        <f>('XM.FILE GOC'!$F$71-T12)*8668/1000</f>
        <v>520.08000000000004</v>
      </c>
      <c r="W12" s="1038" t="s">
        <v>9</v>
      </c>
      <c r="X12" s="350">
        <f>'XM.FILE GOC'!T71</f>
        <v>0</v>
      </c>
      <c r="Y12" s="1119" t="s">
        <v>8</v>
      </c>
      <c r="Z12" s="1120">
        <f>'XM.FILE GOC'!W71</f>
        <v>520.08000000000004</v>
      </c>
      <c r="AA12" s="1121" t="s">
        <v>9</v>
      </c>
      <c r="AB12" s="1035"/>
      <c r="AC12" s="1036" t="s">
        <v>8</v>
      </c>
      <c r="AD12" s="1081">
        <f>('XM.FILE GOC'!$F$71-AB12)*8668/1000</f>
        <v>520.08000000000004</v>
      </c>
      <c r="AE12" s="1038" t="s">
        <v>9</v>
      </c>
      <c r="AF12" s="85" t="s">
        <v>42</v>
      </c>
    </row>
    <row r="13" spans="1:32" ht="48" customHeight="1">
      <c r="A13" s="1981"/>
      <c r="B13" s="1916"/>
      <c r="C13" s="1916"/>
      <c r="D13" s="1896" t="s">
        <v>269</v>
      </c>
      <c r="E13" s="1898" t="s">
        <v>269</v>
      </c>
      <c r="F13" s="1024"/>
      <c r="G13" s="1025" t="s">
        <v>1475</v>
      </c>
      <c r="H13" s="350"/>
      <c r="I13" s="69"/>
      <c r="J13" s="1091">
        <f>J12/25*8</f>
        <v>166.4256</v>
      </c>
      <c r="K13" s="677" t="s">
        <v>10</v>
      </c>
      <c r="L13" s="1035"/>
      <c r="M13" s="1039" t="s">
        <v>8</v>
      </c>
      <c r="N13" s="1040">
        <f>N12/25*8</f>
        <v>166.4256</v>
      </c>
      <c r="O13" s="1041" t="s">
        <v>10</v>
      </c>
      <c r="P13" s="350"/>
      <c r="Q13" s="69"/>
      <c r="R13" s="1091">
        <f>R12/25*8</f>
        <v>166.4256</v>
      </c>
      <c r="S13" s="677" t="s">
        <v>10</v>
      </c>
      <c r="T13" s="1035"/>
      <c r="U13" s="1039" t="s">
        <v>8</v>
      </c>
      <c r="V13" s="1040">
        <f>V12/25*8</f>
        <v>166.4256</v>
      </c>
      <c r="W13" s="1041" t="s">
        <v>10</v>
      </c>
      <c r="X13" s="350"/>
      <c r="Y13" s="69"/>
      <c r="Z13" s="1091">
        <f>Z12/25*8</f>
        <v>166.4256</v>
      </c>
      <c r="AA13" s="677" t="s">
        <v>10</v>
      </c>
      <c r="AB13" s="1035"/>
      <c r="AC13" s="1039" t="s">
        <v>8</v>
      </c>
      <c r="AD13" s="1040">
        <f>AD12/25*8</f>
        <v>166.4256</v>
      </c>
      <c r="AE13" s="1041" t="s">
        <v>10</v>
      </c>
      <c r="AF13" s="85"/>
    </row>
    <row r="14" spans="1:32" ht="48" customHeight="1">
      <c r="A14" s="1975">
        <v>5</v>
      </c>
      <c r="B14" s="1999" t="s">
        <v>1027</v>
      </c>
      <c r="C14" s="1996" t="s">
        <v>1028</v>
      </c>
      <c r="D14" s="1997"/>
      <c r="E14" s="1998"/>
      <c r="F14" s="728" t="s">
        <v>4</v>
      </c>
      <c r="G14" s="1673" t="str">
        <f>'XM.GUI MAIL'!$E$72</f>
        <v>135~ 145g/L
(140±5g/L)</v>
      </c>
      <c r="H14" s="64">
        <f>'XM.FILE GOC'!H72</f>
        <v>0</v>
      </c>
      <c r="I14" s="1119" t="s">
        <v>8</v>
      </c>
      <c r="J14" s="1120">
        <f>'XM.FILE GOC'!K72</f>
        <v>7429.24</v>
      </c>
      <c r="K14" s="1121" t="s">
        <v>9</v>
      </c>
      <c r="L14" s="1035"/>
      <c r="M14" s="1036" t="s">
        <v>8</v>
      </c>
      <c r="N14" s="1082">
        <f>('XM.FILE GOC'!$F$72-L14)*53066/1000</f>
        <v>7429.24</v>
      </c>
      <c r="O14" s="1038" t="s">
        <v>9</v>
      </c>
      <c r="P14" s="64">
        <f>'XM.FILE GOC'!N72</f>
        <v>0</v>
      </c>
      <c r="Q14" s="1119" t="s">
        <v>8</v>
      </c>
      <c r="R14" s="1120">
        <f>'XM.FILE GOC'!Q72</f>
        <v>7429.24</v>
      </c>
      <c r="S14" s="1121" t="s">
        <v>9</v>
      </c>
      <c r="T14" s="1035"/>
      <c r="U14" s="1036" t="s">
        <v>8</v>
      </c>
      <c r="V14" s="1082">
        <f>('XM.FILE GOC'!$F$72-T14)*53066/1000</f>
        <v>7429.24</v>
      </c>
      <c r="W14" s="1038" t="s">
        <v>9</v>
      </c>
      <c r="X14" s="64">
        <f>'XM.FILE GOC'!T72</f>
        <v>0</v>
      </c>
      <c r="Y14" s="1119" t="s">
        <v>8</v>
      </c>
      <c r="Z14" s="1120">
        <f>'XM.FILE GOC'!W72</f>
        <v>7429.24</v>
      </c>
      <c r="AA14" s="1121" t="s">
        <v>9</v>
      </c>
      <c r="AB14" s="1035"/>
      <c r="AC14" s="1036" t="s">
        <v>8</v>
      </c>
      <c r="AD14" s="1082">
        <f>('XM.FILE GOC'!$F$72-AB14)*53066/1000</f>
        <v>7429.24</v>
      </c>
      <c r="AE14" s="1038" t="s">
        <v>9</v>
      </c>
      <c r="AF14" s="85" t="s">
        <v>43</v>
      </c>
    </row>
    <row r="15" spans="1:32" ht="48" customHeight="1">
      <c r="A15" s="1981"/>
      <c r="B15" s="2000"/>
      <c r="C15" s="1996" t="s">
        <v>1029</v>
      </c>
      <c r="D15" s="1997"/>
      <c r="E15" s="1998"/>
      <c r="F15" s="728" t="s">
        <v>4</v>
      </c>
      <c r="G15" s="1588" t="str">
        <f>'XM.GUI MAIL'!$E$73</f>
        <v>6~8g/L
(7±0.5g/L)</v>
      </c>
      <c r="H15" s="64">
        <f>'XM.FILE GOC'!H73</f>
        <v>0</v>
      </c>
      <c r="I15" s="1119" t="s">
        <v>8</v>
      </c>
      <c r="J15" s="1120">
        <f>'XM.FILE GOC'!K73</f>
        <v>371.46199999999999</v>
      </c>
      <c r="K15" s="1121" t="s">
        <v>9</v>
      </c>
      <c r="L15" s="1035"/>
      <c r="M15" s="1036" t="s">
        <v>8</v>
      </c>
      <c r="N15" s="1082">
        <f>('XM.FILE GOC'!$F$73-L15)*53066/1000</f>
        <v>371.46199999999999</v>
      </c>
      <c r="O15" s="1038" t="s">
        <v>9</v>
      </c>
      <c r="P15" s="64">
        <f>'XM.FILE GOC'!N73</f>
        <v>0</v>
      </c>
      <c r="Q15" s="1119" t="s">
        <v>8</v>
      </c>
      <c r="R15" s="1120">
        <f>'XM.FILE GOC'!Q73</f>
        <v>371.46199999999999</v>
      </c>
      <c r="S15" s="1121" t="s">
        <v>9</v>
      </c>
      <c r="T15" s="1035"/>
      <c r="U15" s="1036" t="s">
        <v>8</v>
      </c>
      <c r="V15" s="1082">
        <f>('XM.FILE GOC'!$F$73-T15)*53066/1000</f>
        <v>371.46199999999999</v>
      </c>
      <c r="W15" s="1038" t="s">
        <v>9</v>
      </c>
      <c r="X15" s="64">
        <f>'XM.FILE GOC'!T73</f>
        <v>0</v>
      </c>
      <c r="Y15" s="1119" t="s">
        <v>8</v>
      </c>
      <c r="Z15" s="1120">
        <f>'XM.FILE GOC'!W73</f>
        <v>371.46199999999999</v>
      </c>
      <c r="AA15" s="1038" t="s">
        <v>9</v>
      </c>
      <c r="AB15" s="1035"/>
      <c r="AC15" s="1036" t="s">
        <v>8</v>
      </c>
      <c r="AD15" s="1083">
        <f>('XM.FILE GOC'!$F$73-AB15)*53066/1000</f>
        <v>371.46199999999999</v>
      </c>
      <c r="AE15" s="1038" t="s">
        <v>9</v>
      </c>
      <c r="AF15" s="85" t="s">
        <v>44</v>
      </c>
    </row>
    <row r="16" spans="1:32" s="8" customFormat="1" ht="48" customHeight="1">
      <c r="A16" s="1975">
        <v>6</v>
      </c>
      <c r="B16" s="1984" t="s">
        <v>40</v>
      </c>
      <c r="C16" s="1985"/>
      <c r="D16" s="1985"/>
      <c r="E16" s="1988"/>
      <c r="F16" s="728" t="s">
        <v>3</v>
      </c>
      <c r="G16" s="1588" t="str">
        <f>'XM.GUI MAIL'!$E$74</f>
        <v>5~8 %
(6±0.5%)</v>
      </c>
      <c r="H16" s="64">
        <f>'XM.FILE GOC'!H74</f>
        <v>-1.0461</v>
      </c>
      <c r="I16" s="1119" t="s">
        <v>8</v>
      </c>
      <c r="J16" s="1120">
        <f>'XM.FILE GOC'!K74</f>
        <v>236.74896000000001</v>
      </c>
      <c r="K16" s="1121" t="s">
        <v>10</v>
      </c>
      <c r="L16" s="1035"/>
      <c r="M16" s="1039" t="s">
        <v>8</v>
      </c>
      <c r="N16" s="1081">
        <f>('XM.FILE GOC'!$F$74-L16)*4042/95/1.4</f>
        <v>182.34586466165416</v>
      </c>
      <c r="O16" s="1041" t="s">
        <v>10</v>
      </c>
      <c r="P16" s="64">
        <f>'XM.FILE GOC'!N74</f>
        <v>-1.0461</v>
      </c>
      <c r="Q16" s="1119" t="s">
        <v>8</v>
      </c>
      <c r="R16" s="1120">
        <f>'XM.FILE GOC'!Q74</f>
        <v>236.74896000000001</v>
      </c>
      <c r="S16" s="1121" t="s">
        <v>10</v>
      </c>
      <c r="T16" s="1035"/>
      <c r="U16" s="1039" t="s">
        <v>8</v>
      </c>
      <c r="V16" s="1081">
        <f>('XM.FILE GOC'!$F$74-T16)*4042/95/1.4</f>
        <v>182.34586466165416</v>
      </c>
      <c r="W16" s="1041" t="s">
        <v>10</v>
      </c>
      <c r="X16" s="64">
        <f>'XM.FILE GOC'!T74</f>
        <v>-1.0461</v>
      </c>
      <c r="Y16" s="1119" t="s">
        <v>8</v>
      </c>
      <c r="Z16" s="1120">
        <f>'XM.FILE GOC'!W74</f>
        <v>236.74896000000001</v>
      </c>
      <c r="AA16" s="1121" t="s">
        <v>10</v>
      </c>
      <c r="AB16" s="1035"/>
      <c r="AC16" s="1039" t="s">
        <v>8</v>
      </c>
      <c r="AD16" s="1081">
        <f>('XM.FILE GOC'!$F$74-AB16)*4042/95/1.4</f>
        <v>182.34586466165416</v>
      </c>
      <c r="AE16" s="1041" t="s">
        <v>10</v>
      </c>
      <c r="AF16" s="85" t="s">
        <v>45</v>
      </c>
    </row>
    <row r="17" spans="1:34" ht="48" customHeight="1">
      <c r="A17" s="1981"/>
      <c r="B17" s="1986"/>
      <c r="C17" s="1987"/>
      <c r="D17" s="1987"/>
      <c r="E17" s="1989"/>
      <c r="F17" s="728" t="s">
        <v>5</v>
      </c>
      <c r="G17" s="1588" t="str">
        <f>'XM.GUI MAIL'!$E$75</f>
        <v>2.0~2.4(2.2±0.2 )</v>
      </c>
      <c r="H17" s="70">
        <f>'XM.FILE GOC'!H75</f>
        <v>0</v>
      </c>
      <c r="I17" s="1119" t="s">
        <v>8</v>
      </c>
      <c r="J17" s="1120">
        <f>'XM.FILE GOC'!K75</f>
        <v>0</v>
      </c>
      <c r="K17" s="1121"/>
      <c r="L17" s="1035"/>
      <c r="M17" s="1042"/>
      <c r="N17" s="1083"/>
      <c r="O17" s="1043"/>
      <c r="P17" s="70">
        <f>'XM.FILE GOC'!N75</f>
        <v>0</v>
      </c>
      <c r="Q17" s="1119" t="s">
        <v>8</v>
      </c>
      <c r="R17" s="1120">
        <f>'XM.FILE GOC'!Q75</f>
        <v>0</v>
      </c>
      <c r="S17" s="1121"/>
      <c r="T17" s="1035"/>
      <c r="U17" s="1042"/>
      <c r="V17" s="1083"/>
      <c r="W17" s="1043"/>
      <c r="X17" s="70">
        <f>'XM.FILE GOC'!T75</f>
        <v>0</v>
      </c>
      <c r="Y17" s="1119" t="s">
        <v>8</v>
      </c>
      <c r="Z17" s="1120">
        <f>'XM.FILE GOC'!W75</f>
        <v>0</v>
      </c>
      <c r="AA17" s="1121"/>
      <c r="AB17" s="1035"/>
      <c r="AC17" s="1042"/>
      <c r="AD17" s="1083"/>
      <c r="AE17" s="1043"/>
      <c r="AF17" s="86"/>
    </row>
    <row r="18" spans="1:34" ht="48" customHeight="1">
      <c r="A18" s="1122">
        <v>7</v>
      </c>
      <c r="B18" s="1990" t="s">
        <v>1030</v>
      </c>
      <c r="C18" s="1991"/>
      <c r="D18" s="1991"/>
      <c r="E18" s="1992"/>
      <c r="F18" s="728" t="s">
        <v>6</v>
      </c>
      <c r="G18" s="1169" t="str">
        <f>'XM.GUI MAIL'!$E$76</f>
        <v>40~50 %V/V
(45±5% V/V)</v>
      </c>
      <c r="H18" s="355">
        <f>'XM.FILE GOC'!H76</f>
        <v>0</v>
      </c>
      <c r="I18" s="1119" t="s">
        <v>8</v>
      </c>
      <c r="J18" s="1120">
        <f>'XM.FILE GOC'!K76</f>
        <v>1163.5961538461538</v>
      </c>
      <c r="K18" s="1121" t="s">
        <v>10</v>
      </c>
      <c r="L18" s="1045"/>
      <c r="M18" s="1036" t="s">
        <v>8</v>
      </c>
      <c r="N18" s="1081">
        <f>('XM.FILE GOC'!$F$76-L18)*6723/2.6</f>
        <v>1163.5961538461538</v>
      </c>
      <c r="O18" s="1038" t="s">
        <v>10</v>
      </c>
      <c r="P18" s="355">
        <f>'XM.FILE GOC'!N76</f>
        <v>0</v>
      </c>
      <c r="Q18" s="1119" t="s">
        <v>8</v>
      </c>
      <c r="R18" s="1120">
        <f>'XM.FILE GOC'!Q76</f>
        <v>1163.5961538461538</v>
      </c>
      <c r="S18" s="1121" t="s">
        <v>10</v>
      </c>
      <c r="T18" s="1045"/>
      <c r="U18" s="1036" t="s">
        <v>8</v>
      </c>
      <c r="V18" s="1081">
        <f>('XM.FILE GOC'!$F$76-T18)*6723/2.6</f>
        <v>1163.5961538461538</v>
      </c>
      <c r="W18" s="1038" t="s">
        <v>10</v>
      </c>
      <c r="X18" s="355">
        <f>'XM.FILE GOC'!T76</f>
        <v>0</v>
      </c>
      <c r="Y18" s="1119" t="s">
        <v>8</v>
      </c>
      <c r="Z18" s="1120">
        <f>'XM.FILE GOC'!W76</f>
        <v>1163.5961538461538</v>
      </c>
      <c r="AA18" s="1121" t="s">
        <v>10</v>
      </c>
      <c r="AB18" s="1045"/>
      <c r="AC18" s="1036" t="s">
        <v>8</v>
      </c>
      <c r="AD18" s="1081">
        <f>('XM.FILE GOC'!$F$76-AB18)*6723/2.6</f>
        <v>1163.5961538461538</v>
      </c>
      <c r="AE18" s="1038" t="s">
        <v>10</v>
      </c>
      <c r="AF18" s="85" t="s">
        <v>46</v>
      </c>
    </row>
    <row r="19" spans="1:34" ht="48" customHeight="1">
      <c r="A19" s="1122">
        <v>8</v>
      </c>
      <c r="B19" s="1990" t="s">
        <v>1031</v>
      </c>
      <c r="C19" s="1991"/>
      <c r="D19" s="1991"/>
      <c r="E19" s="1992"/>
      <c r="F19" s="728" t="s">
        <v>6</v>
      </c>
      <c r="G19" s="1169" t="str">
        <f>'XM.GUI MAIL'!$E$77</f>
        <v>40~50 %V/V
(45±5% V/V)</v>
      </c>
      <c r="H19" s="355">
        <f>'XM.FILE GOC'!H77</f>
        <v>0</v>
      </c>
      <c r="I19" s="1119" t="s">
        <v>8</v>
      </c>
      <c r="J19" s="1120">
        <f>'XM.FILE GOC'!K77</f>
        <v>1818.8653846153845</v>
      </c>
      <c r="K19" s="1121" t="s">
        <v>10</v>
      </c>
      <c r="L19" s="1045"/>
      <c r="M19" s="1039" t="s">
        <v>8</v>
      </c>
      <c r="N19" s="1081">
        <f>('XM.FILE GOC'!$F$77-L19)*10509/2.6</f>
        <v>1818.8653846153845</v>
      </c>
      <c r="O19" s="1041" t="s">
        <v>10</v>
      </c>
      <c r="P19" s="355">
        <f>'XM.FILE GOC'!N77</f>
        <v>0</v>
      </c>
      <c r="Q19" s="1119" t="s">
        <v>8</v>
      </c>
      <c r="R19" s="1120">
        <f>'XM.FILE GOC'!Q77</f>
        <v>1818.8653846153845</v>
      </c>
      <c r="S19" s="1121" t="s">
        <v>10</v>
      </c>
      <c r="T19" s="1045"/>
      <c r="U19" s="1039" t="s">
        <v>8</v>
      </c>
      <c r="V19" s="1081">
        <f>('XM.FILE GOC'!$F$77-T19)*10509/2.6</f>
        <v>1818.8653846153845</v>
      </c>
      <c r="W19" s="1041" t="s">
        <v>10</v>
      </c>
      <c r="X19" s="355">
        <f>'XM.FILE GOC'!T77</f>
        <v>0</v>
      </c>
      <c r="Y19" s="1119" t="s">
        <v>8</v>
      </c>
      <c r="Z19" s="1120">
        <f>'XM.FILE GOC'!W77</f>
        <v>1818.8653846153845</v>
      </c>
      <c r="AA19" s="1121" t="s">
        <v>10</v>
      </c>
      <c r="AB19" s="1045"/>
      <c r="AC19" s="1039" t="s">
        <v>8</v>
      </c>
      <c r="AD19" s="1081">
        <f>('XM.FILE GOC'!$F$77-AB19)*10509/2.6</f>
        <v>1818.8653846153845</v>
      </c>
      <c r="AE19" s="1041" t="s">
        <v>10</v>
      </c>
      <c r="AF19" s="84" t="s">
        <v>46</v>
      </c>
    </row>
    <row r="20" spans="1:34" ht="48" customHeight="1">
      <c r="A20" s="1122">
        <v>9</v>
      </c>
      <c r="B20" s="1993" t="s">
        <v>86</v>
      </c>
      <c r="C20" s="1994"/>
      <c r="D20" s="1994"/>
      <c r="E20" s="1995"/>
      <c r="F20" s="728" t="s">
        <v>6</v>
      </c>
      <c r="G20" s="1169" t="str">
        <f>'XM.GUI MAIL'!$E$78</f>
        <v>20~40 %V/V
(30±5% V/V)</v>
      </c>
      <c r="H20" s="71">
        <f>'XM.FILE GOC'!H78</f>
        <v>0</v>
      </c>
      <c r="I20" s="1119" t="s">
        <v>8</v>
      </c>
      <c r="J20" s="1120">
        <f>'XM.FILE GOC'!K78</f>
        <v>334.55172413793105</v>
      </c>
      <c r="K20" s="1121" t="s">
        <v>10</v>
      </c>
      <c r="L20" s="1045"/>
      <c r="M20" s="1036" t="s">
        <v>8</v>
      </c>
      <c r="N20" s="1083">
        <f>('XM.FILE GOC'!$F$78-L20)*3234/2.9</f>
        <v>334.55172413793105</v>
      </c>
      <c r="O20" s="1038" t="s">
        <v>10</v>
      </c>
      <c r="P20" s="71">
        <f>'XM.FILE GOC'!N78</f>
        <v>0</v>
      </c>
      <c r="Q20" s="1119" t="s">
        <v>8</v>
      </c>
      <c r="R20" s="1120">
        <f>'XM.FILE GOC'!Q78</f>
        <v>334.55172413793105</v>
      </c>
      <c r="S20" s="1121" t="s">
        <v>10</v>
      </c>
      <c r="T20" s="1045"/>
      <c r="U20" s="1036" t="s">
        <v>8</v>
      </c>
      <c r="V20" s="1083">
        <f>('XM.FILE GOC'!$F$78-T20)*3234/2.9</f>
        <v>334.55172413793105</v>
      </c>
      <c r="W20" s="1038" t="s">
        <v>10</v>
      </c>
      <c r="X20" s="71">
        <f>'XM.FILE GOC'!T78</f>
        <v>0</v>
      </c>
      <c r="Y20" s="1119" t="s">
        <v>8</v>
      </c>
      <c r="Z20" s="1120">
        <f>'XM.FILE GOC'!W78</f>
        <v>334.55172413793105</v>
      </c>
      <c r="AA20" s="1121" t="s">
        <v>10</v>
      </c>
      <c r="AB20" s="1045"/>
      <c r="AC20" s="1036" t="s">
        <v>8</v>
      </c>
      <c r="AD20" s="1083">
        <f>('XM.FILE GOC'!$F$78-AB20)*3234/2.9</f>
        <v>334.55172413793105</v>
      </c>
      <c r="AE20" s="1038" t="s">
        <v>10</v>
      </c>
      <c r="AF20" s="85" t="s">
        <v>47</v>
      </c>
      <c r="AH20" s="9">
        <f>203-182</f>
        <v>21</v>
      </c>
    </row>
    <row r="21" spans="1:34" ht="48" customHeight="1">
      <c r="A21" s="1122">
        <v>10</v>
      </c>
      <c r="B21" s="1993" t="s">
        <v>1032</v>
      </c>
      <c r="C21" s="1994" t="s">
        <v>1032</v>
      </c>
      <c r="D21" s="1994" t="s">
        <v>1032</v>
      </c>
      <c r="E21" s="1995" t="s">
        <v>1032</v>
      </c>
      <c r="F21" s="728" t="s">
        <v>6</v>
      </c>
      <c r="G21" s="1169" t="str">
        <f>'XM.GUI MAIL'!$E$79</f>
        <v>0.5~1.5%
(1±0.4%)</v>
      </c>
      <c r="H21" s="358">
        <f>'XM.FILE GOC'!H79</f>
        <v>0</v>
      </c>
      <c r="I21" s="1119" t="s">
        <v>8</v>
      </c>
      <c r="J21" s="1123">
        <f>'XM.FILE GOC'!K79</f>
        <v>28.080000000000002</v>
      </c>
      <c r="K21" s="1124" t="s">
        <v>10</v>
      </c>
      <c r="L21" s="1046"/>
      <c r="M21" s="1084" t="s">
        <v>8</v>
      </c>
      <c r="N21" s="1085">
        <f>('XM.FILE GOC'!$F$79-L21)*2808</f>
        <v>28.080000000000002</v>
      </c>
      <c r="O21" s="1049" t="s">
        <v>10</v>
      </c>
      <c r="P21" s="358">
        <f>'XM.FILE GOC'!N79</f>
        <v>0</v>
      </c>
      <c r="Q21" s="1119" t="s">
        <v>8</v>
      </c>
      <c r="R21" s="1123">
        <f>'XM.FILE GOC'!Q79</f>
        <v>28.080000000000002</v>
      </c>
      <c r="S21" s="1124" t="s">
        <v>10</v>
      </c>
      <c r="T21" s="1046"/>
      <c r="U21" s="1084" t="s">
        <v>8</v>
      </c>
      <c r="V21" s="1085">
        <f>('XM.FILE GOC'!$F$79-T21)*2808</f>
        <v>28.080000000000002</v>
      </c>
      <c r="W21" s="1049" t="s">
        <v>10</v>
      </c>
      <c r="X21" s="358">
        <f>'XM.FILE GOC'!T79</f>
        <v>0</v>
      </c>
      <c r="Y21" s="1119" t="s">
        <v>8</v>
      </c>
      <c r="Z21" s="1123">
        <f>'XM.FILE GOC'!W79</f>
        <v>28.080000000000002</v>
      </c>
      <c r="AA21" s="1124" t="s">
        <v>10</v>
      </c>
      <c r="AB21" s="1046"/>
      <c r="AC21" s="1084" t="s">
        <v>8</v>
      </c>
      <c r="AD21" s="1085">
        <f>('XM.FILE GOC'!$F$79-AB21)*2808</f>
        <v>28.080000000000002</v>
      </c>
      <c r="AE21" s="1049" t="s">
        <v>10</v>
      </c>
      <c r="AF21" s="85" t="s">
        <v>47</v>
      </c>
    </row>
    <row r="22" spans="1:34" ht="48" customHeight="1">
      <c r="A22" s="1122"/>
      <c r="B22" s="2001" t="s">
        <v>2</v>
      </c>
      <c r="C22" s="2001"/>
      <c r="D22" s="2001"/>
      <c r="E22" s="2001"/>
      <c r="F22" s="2001"/>
      <c r="G22" s="2001"/>
      <c r="H22" s="2001"/>
      <c r="I22" s="2001"/>
      <c r="J22" s="2001"/>
      <c r="K22" s="2001"/>
      <c r="L22" s="2001"/>
      <c r="M22" s="2001"/>
      <c r="N22" s="2001"/>
      <c r="O22" s="2001"/>
      <c r="P22" s="2001"/>
      <c r="Q22" s="2001"/>
      <c r="R22" s="2001"/>
      <c r="S22" s="2001"/>
      <c r="T22" s="2001"/>
      <c r="U22" s="2001"/>
      <c r="V22" s="2001"/>
      <c r="W22" s="2001"/>
      <c r="X22" s="2001"/>
      <c r="Y22" s="2001"/>
      <c r="Z22" s="2001"/>
      <c r="AA22" s="2001"/>
      <c r="AB22" s="2001"/>
      <c r="AC22" s="2001"/>
      <c r="AD22" s="2001"/>
      <c r="AE22" s="2001"/>
      <c r="AF22" s="2001"/>
    </row>
    <row r="23" spans="1:34" ht="48" customHeight="1">
      <c r="A23" s="1122" t="s">
        <v>7</v>
      </c>
      <c r="B23" s="2002" t="s">
        <v>1033</v>
      </c>
      <c r="C23" s="2003"/>
      <c r="D23" s="2003"/>
      <c r="E23" s="2004"/>
      <c r="F23" s="1125" t="s">
        <v>1034</v>
      </c>
      <c r="G23" s="1125" t="s">
        <v>1035</v>
      </c>
      <c r="H23" s="2005" t="s">
        <v>1036</v>
      </c>
      <c r="I23" s="2006"/>
      <c r="J23" s="2005" t="s">
        <v>1037</v>
      </c>
      <c r="K23" s="2006"/>
      <c r="L23" s="1050"/>
      <c r="M23" s="1051"/>
      <c r="N23" s="1051"/>
      <c r="O23" s="1052"/>
      <c r="P23" s="2005" t="s">
        <v>1036</v>
      </c>
      <c r="Q23" s="2006"/>
      <c r="R23" s="2005" t="s">
        <v>1037</v>
      </c>
      <c r="S23" s="2006"/>
      <c r="T23" s="1050"/>
      <c r="U23" s="1051"/>
      <c r="V23" s="1051"/>
      <c r="W23" s="1052"/>
      <c r="X23" s="2005" t="s">
        <v>1036</v>
      </c>
      <c r="Y23" s="2006"/>
      <c r="Z23" s="2005" t="s">
        <v>1037</v>
      </c>
      <c r="AA23" s="2006"/>
      <c r="AB23" s="1050"/>
      <c r="AC23" s="1051"/>
      <c r="AD23" s="1051"/>
      <c r="AE23" s="1052"/>
      <c r="AF23" s="11"/>
    </row>
    <row r="24" spans="1:34" ht="48" customHeight="1">
      <c r="A24" s="1122">
        <v>1</v>
      </c>
      <c r="B24" s="2002" t="s">
        <v>1038</v>
      </c>
      <c r="C24" s="2003"/>
      <c r="D24" s="2003"/>
      <c r="E24" s="2004"/>
      <c r="F24" s="1126" t="s">
        <v>1039</v>
      </c>
      <c r="G24" s="1171" t="str">
        <f>'XM.GUI MAIL'!$E$91</f>
        <v>65~75ºC
(70±3OC)</v>
      </c>
      <c r="H24" s="1893">
        <f>'XM.GUI MAIL'!H91</f>
        <v>0</v>
      </c>
      <c r="I24" s="1893"/>
      <c r="J24" s="1893">
        <f>'XM.FILE GOC'!K91</f>
        <v>0</v>
      </c>
      <c r="K24" s="1893"/>
      <c r="L24" s="1053"/>
      <c r="M24" s="1054"/>
      <c r="N24" s="1054"/>
      <c r="O24" s="1055"/>
      <c r="P24" s="1893">
        <f>'XM.GUI MAIL'!N91</f>
        <v>0</v>
      </c>
      <c r="Q24" s="1893"/>
      <c r="R24" s="1893">
        <f>'XM.FILE GOC'!Q91</f>
        <v>0</v>
      </c>
      <c r="S24" s="1893"/>
      <c r="T24" s="1053"/>
      <c r="U24" s="1054"/>
      <c r="V24" s="1054"/>
      <c r="W24" s="1055"/>
      <c r="X24" s="1893">
        <f>'XM.GUI MAIL'!T91</f>
        <v>0</v>
      </c>
      <c r="Y24" s="1893"/>
      <c r="Z24" s="1893">
        <f>'XM.FILE GOC'!W91</f>
        <v>0</v>
      </c>
      <c r="AA24" s="1893"/>
      <c r="AB24" s="1053"/>
      <c r="AC24" s="1054"/>
      <c r="AD24" s="1054"/>
      <c r="AE24" s="1055"/>
      <c r="AF24" s="91"/>
    </row>
    <row r="25" spans="1:34" ht="48" customHeight="1">
      <c r="A25" s="1122">
        <v>2</v>
      </c>
      <c r="B25" s="2002" t="s">
        <v>1040</v>
      </c>
      <c r="C25" s="2003"/>
      <c r="D25" s="2003"/>
      <c r="E25" s="2004"/>
      <c r="F25" s="1126" t="s">
        <v>1039</v>
      </c>
      <c r="G25" s="1171" t="str">
        <f>'XM.GUI MAIL'!$E$92</f>
        <v>65~75ºC
(70±3OC)</v>
      </c>
      <c r="H25" s="1893">
        <f>'XM.GUI MAIL'!H92</f>
        <v>0</v>
      </c>
      <c r="I25" s="1893"/>
      <c r="J25" s="1893">
        <f>'XM.FILE GOC'!K92</f>
        <v>0</v>
      </c>
      <c r="K25" s="1893"/>
      <c r="L25" s="1053"/>
      <c r="M25" s="1054"/>
      <c r="N25" s="1054"/>
      <c r="O25" s="1055"/>
      <c r="P25" s="1893">
        <f>'XM.GUI MAIL'!N92</f>
        <v>0</v>
      </c>
      <c r="Q25" s="1893"/>
      <c r="R25" s="1893">
        <f>'XM.FILE GOC'!Q92</f>
        <v>0</v>
      </c>
      <c r="S25" s="1893"/>
      <c r="T25" s="1053"/>
      <c r="U25" s="1054"/>
      <c r="V25" s="1054"/>
      <c r="W25" s="1055"/>
      <c r="X25" s="1893">
        <f>'XM.GUI MAIL'!T92</f>
        <v>0</v>
      </c>
      <c r="Y25" s="1893"/>
      <c r="Z25" s="1893">
        <f>'XM.FILE GOC'!W92</f>
        <v>0</v>
      </c>
      <c r="AA25" s="1893"/>
      <c r="AB25" s="1053"/>
      <c r="AC25" s="1054"/>
      <c r="AD25" s="1054"/>
      <c r="AE25" s="1055"/>
      <c r="AF25" s="91"/>
    </row>
    <row r="26" spans="1:34" ht="48" customHeight="1">
      <c r="A26" s="1122">
        <v>3</v>
      </c>
      <c r="B26" s="2002" t="s">
        <v>1041</v>
      </c>
      <c r="C26" s="2003"/>
      <c r="D26" s="2003"/>
      <c r="E26" s="2004"/>
      <c r="F26" s="1126" t="s">
        <v>1039</v>
      </c>
      <c r="G26" s="1171" t="str">
        <f>'XM.GUI MAIL'!$E$93</f>
        <v>60~70ºC
(65±3OC)</v>
      </c>
      <c r="H26" s="1893">
        <f>'XM.GUI MAIL'!H93</f>
        <v>0</v>
      </c>
      <c r="I26" s="1893"/>
      <c r="J26" s="1893">
        <f>'XM.FILE GOC'!K93</f>
        <v>0</v>
      </c>
      <c r="K26" s="1893"/>
      <c r="L26" s="1053"/>
      <c r="M26" s="1054"/>
      <c r="N26" s="1054"/>
      <c r="O26" s="1055"/>
      <c r="P26" s="1893">
        <f>'XM.GUI MAIL'!N93</f>
        <v>0</v>
      </c>
      <c r="Q26" s="1893"/>
      <c r="R26" s="1893">
        <f>'XM.FILE GOC'!Q93</f>
        <v>0</v>
      </c>
      <c r="S26" s="1893"/>
      <c r="T26" s="1053"/>
      <c r="U26" s="1054"/>
      <c r="V26" s="1054"/>
      <c r="W26" s="1055"/>
      <c r="X26" s="1893">
        <f>'XM.GUI MAIL'!T93</f>
        <v>0</v>
      </c>
      <c r="Y26" s="1893"/>
      <c r="Z26" s="1893">
        <f>'XM.FILE GOC'!W93</f>
        <v>0</v>
      </c>
      <c r="AA26" s="1893"/>
      <c r="AB26" s="1053"/>
      <c r="AC26" s="1054"/>
      <c r="AD26" s="1054"/>
      <c r="AE26" s="1055"/>
      <c r="AF26" s="91"/>
    </row>
    <row r="27" spans="1:34" ht="48" customHeight="1">
      <c r="A27" s="1122">
        <v>4</v>
      </c>
      <c r="B27" s="2002" t="s">
        <v>1042</v>
      </c>
      <c r="C27" s="2003"/>
      <c r="D27" s="2003"/>
      <c r="E27" s="2004"/>
      <c r="F27" s="1126" t="s">
        <v>1039</v>
      </c>
      <c r="G27" s="1171" t="str">
        <f>'XM.GUI MAIL'!$E$94</f>
        <v>60~70ºC
(65±3OC)</v>
      </c>
      <c r="H27" s="1893">
        <f>'XM.GUI MAIL'!H94</f>
        <v>0</v>
      </c>
      <c r="I27" s="1893"/>
      <c r="J27" s="1893">
        <f>'XM.FILE GOC'!K94</f>
        <v>0</v>
      </c>
      <c r="K27" s="1893"/>
      <c r="L27" s="1053"/>
      <c r="M27" s="1054"/>
      <c r="N27" s="1054"/>
      <c r="O27" s="1055"/>
      <c r="P27" s="1893">
        <f>'XM.GUI MAIL'!N94</f>
        <v>0</v>
      </c>
      <c r="Q27" s="1893"/>
      <c r="R27" s="1893">
        <f>'XM.FILE GOC'!Q94</f>
        <v>0</v>
      </c>
      <c r="S27" s="1893"/>
      <c r="T27" s="1053"/>
      <c r="U27" s="1054"/>
      <c r="V27" s="1054"/>
      <c r="W27" s="1055"/>
      <c r="X27" s="1893">
        <f>'XM.GUI MAIL'!T94</f>
        <v>0</v>
      </c>
      <c r="Y27" s="1893"/>
      <c r="Z27" s="1893">
        <f>'XM.FILE GOC'!W94</f>
        <v>0</v>
      </c>
      <c r="AA27" s="1893"/>
      <c r="AB27" s="1053"/>
      <c r="AC27" s="1054"/>
      <c r="AD27" s="1054"/>
      <c r="AE27" s="1055"/>
      <c r="AF27" s="91"/>
    </row>
    <row r="28" spans="1:34" ht="48" customHeight="1">
      <c r="A28" s="1122">
        <v>5</v>
      </c>
      <c r="B28" s="2002" t="s">
        <v>1043</v>
      </c>
      <c r="C28" s="2003"/>
      <c r="D28" s="2003"/>
      <c r="E28" s="2004"/>
      <c r="F28" s="1126" t="s">
        <v>1039</v>
      </c>
      <c r="G28" s="1171" t="str">
        <f>'XM.GUI MAIL'!$E$95</f>
        <v>24~26ºC
(25OC)</v>
      </c>
      <c r="H28" s="1866">
        <f>'XM.GUI MAIL'!H95</f>
        <v>0</v>
      </c>
      <c r="I28" s="1867"/>
      <c r="J28" s="1866">
        <f>'XM.FILE GOC'!K95</f>
        <v>0</v>
      </c>
      <c r="K28" s="1867"/>
      <c r="L28" s="1050"/>
      <c r="M28" s="1051"/>
      <c r="N28" s="1051"/>
      <c r="O28" s="1052"/>
      <c r="P28" s="1866">
        <f>'XM.GUI MAIL'!N95</f>
        <v>0</v>
      </c>
      <c r="Q28" s="1867"/>
      <c r="R28" s="1866">
        <f>'XM.FILE GOC'!Q95</f>
        <v>0</v>
      </c>
      <c r="S28" s="1867"/>
      <c r="T28" s="1050"/>
      <c r="U28" s="1051"/>
      <c r="V28" s="1051"/>
      <c r="W28" s="1052"/>
      <c r="X28" s="1866">
        <f>'XM.GUI MAIL'!T95</f>
        <v>0</v>
      </c>
      <c r="Y28" s="1867"/>
      <c r="Z28" s="1866">
        <f>'XM.FILE GOC'!W95</f>
        <v>0</v>
      </c>
      <c r="AA28" s="1867"/>
      <c r="AB28" s="1053"/>
      <c r="AC28" s="1054"/>
      <c r="AD28" s="1054"/>
      <c r="AE28" s="1055"/>
      <c r="AF28" s="91"/>
    </row>
    <row r="29" spans="1:34" ht="48" customHeight="1">
      <c r="A29" s="1122">
        <v>6</v>
      </c>
      <c r="B29" s="2002" t="s">
        <v>1044</v>
      </c>
      <c r="C29" s="2003"/>
      <c r="D29" s="2003"/>
      <c r="E29" s="2004"/>
      <c r="F29" s="1126" t="s">
        <v>1039</v>
      </c>
      <c r="G29" s="1171" t="str">
        <f>'XM.GUI MAIL'!$E$96</f>
        <v>34~36ºC
(35±1OC)</v>
      </c>
      <c r="H29" s="1866">
        <f>'XM.GUI MAIL'!H96</f>
        <v>0</v>
      </c>
      <c r="I29" s="1867"/>
      <c r="J29" s="1866">
        <f>'XM.FILE GOC'!K96</f>
        <v>0</v>
      </c>
      <c r="K29" s="1867"/>
      <c r="L29" s="1050"/>
      <c r="M29" s="1051"/>
      <c r="N29" s="1051"/>
      <c r="O29" s="1052"/>
      <c r="P29" s="1866">
        <f>'XM.GUI MAIL'!N96</f>
        <v>0</v>
      </c>
      <c r="Q29" s="1867"/>
      <c r="R29" s="1866">
        <f>'XM.FILE GOC'!Q96</f>
        <v>0</v>
      </c>
      <c r="S29" s="1867"/>
      <c r="T29" s="1050"/>
      <c r="U29" s="1051"/>
      <c r="V29" s="1051"/>
      <c r="W29" s="1052"/>
      <c r="X29" s="1866">
        <f>'XM.GUI MAIL'!T96</f>
        <v>0</v>
      </c>
      <c r="Y29" s="1867"/>
      <c r="Z29" s="1866">
        <f>'XM.FILE GOC'!W96</f>
        <v>0</v>
      </c>
      <c r="AA29" s="1867"/>
      <c r="AB29" s="1053"/>
      <c r="AC29" s="1054"/>
      <c r="AD29" s="1054"/>
      <c r="AE29" s="1055"/>
      <c r="AF29" s="91"/>
    </row>
    <row r="30" spans="1:34" ht="48" customHeight="1">
      <c r="A30" s="1122">
        <v>7</v>
      </c>
      <c r="B30" s="2002" t="s">
        <v>1045</v>
      </c>
      <c r="C30" s="2003"/>
      <c r="D30" s="2003"/>
      <c r="E30" s="2004"/>
      <c r="F30" s="1126" t="s">
        <v>1039</v>
      </c>
      <c r="G30" s="1171" t="str">
        <f>'XM.GUI MAIL'!$E$97</f>
        <v>55~65ºC
(60±3OC)</v>
      </c>
      <c r="H30" s="1893">
        <f>'XM.GUI MAIL'!H97</f>
        <v>0</v>
      </c>
      <c r="I30" s="1893"/>
      <c r="J30" s="1893">
        <f>'XM.FILE GOC'!K97</f>
        <v>0</v>
      </c>
      <c r="K30" s="1893"/>
      <c r="L30" s="1053"/>
      <c r="M30" s="1054"/>
      <c r="N30" s="1054"/>
      <c r="O30" s="1055"/>
      <c r="P30" s="1893">
        <f>'XM.GUI MAIL'!N97</f>
        <v>0</v>
      </c>
      <c r="Q30" s="1893"/>
      <c r="R30" s="1893">
        <f>'XM.FILE GOC'!Q97</f>
        <v>0</v>
      </c>
      <c r="S30" s="1893"/>
      <c r="T30" s="1053"/>
      <c r="U30" s="1054"/>
      <c r="V30" s="1054"/>
      <c r="W30" s="1055"/>
      <c r="X30" s="1893">
        <f>'XM.GUI MAIL'!T97</f>
        <v>0</v>
      </c>
      <c r="Y30" s="1893"/>
      <c r="Z30" s="1893">
        <f>'XM.FILE GOC'!W97</f>
        <v>0</v>
      </c>
      <c r="AA30" s="1893"/>
      <c r="AB30" s="1053"/>
      <c r="AC30" s="1054"/>
      <c r="AD30" s="1054"/>
      <c r="AE30" s="1055"/>
      <c r="AF30" s="91"/>
    </row>
    <row r="31" spans="1:34" ht="48" customHeight="1">
      <c r="A31" s="1122">
        <v>8</v>
      </c>
      <c r="B31" s="2002" t="s">
        <v>1046</v>
      </c>
      <c r="C31" s="2003"/>
      <c r="D31" s="2003"/>
      <c r="E31" s="2004"/>
      <c r="F31" s="1126" t="s">
        <v>1039</v>
      </c>
      <c r="G31" s="1171" t="str">
        <f>'XM.GUI MAIL'!$E$98</f>
        <v>65~75ºC
(70±3OC)</v>
      </c>
      <c r="H31" s="2007" t="s">
        <v>49</v>
      </c>
      <c r="I31" s="2007"/>
      <c r="J31" s="1893">
        <f>'XM.FILE GOC'!K98</f>
        <v>0</v>
      </c>
      <c r="K31" s="1893"/>
      <c r="L31" s="1056"/>
      <c r="M31" s="1057"/>
      <c r="N31" s="1057"/>
      <c r="O31" s="1058"/>
      <c r="P31" s="2007" t="s">
        <v>49</v>
      </c>
      <c r="Q31" s="2007"/>
      <c r="R31" s="1893">
        <f>'XM.FILE GOC'!Q98</f>
        <v>0</v>
      </c>
      <c r="S31" s="1893"/>
      <c r="T31" s="1056"/>
      <c r="U31" s="1057"/>
      <c r="V31" s="1057"/>
      <c r="W31" s="1058"/>
      <c r="X31" s="2007" t="s">
        <v>49</v>
      </c>
      <c r="Y31" s="2007"/>
      <c r="Z31" s="1893">
        <f>'XM.FILE GOC'!W98</f>
        <v>0</v>
      </c>
      <c r="AA31" s="1893"/>
      <c r="AB31" s="1056"/>
      <c r="AC31" s="1057"/>
      <c r="AD31" s="1057"/>
      <c r="AE31" s="1058"/>
      <c r="AF31" s="91"/>
    </row>
    <row r="32" spans="1:34" ht="48" customHeight="1">
      <c r="A32" s="1122"/>
      <c r="B32" s="2008" t="s">
        <v>1009</v>
      </c>
      <c r="C32" s="2008"/>
      <c r="D32" s="2008"/>
      <c r="E32" s="2008"/>
      <c r="F32" s="2008"/>
      <c r="G32" s="2008"/>
      <c r="H32" s="2008"/>
      <c r="I32" s="2008"/>
      <c r="J32" s="2008"/>
      <c r="K32" s="2008"/>
      <c r="L32" s="2008"/>
      <c r="M32" s="2008"/>
      <c r="N32" s="2008"/>
      <c r="O32" s="2008"/>
      <c r="P32" s="2008"/>
      <c r="Q32" s="2008"/>
      <c r="R32" s="2008"/>
      <c r="S32" s="2008"/>
      <c r="T32" s="2008"/>
      <c r="U32" s="2008"/>
      <c r="V32" s="2008"/>
      <c r="W32" s="2008"/>
      <c r="X32" s="2008"/>
      <c r="Y32" s="2008"/>
      <c r="Z32" s="2008"/>
      <c r="AA32" s="2008"/>
      <c r="AB32" s="2008"/>
      <c r="AC32" s="2008"/>
      <c r="AD32" s="2008"/>
      <c r="AE32" s="2008"/>
      <c r="AF32" s="2008"/>
    </row>
    <row r="33" spans="1:32" ht="48" customHeight="1">
      <c r="A33" s="1122" t="s">
        <v>7</v>
      </c>
      <c r="B33" s="2002" t="s">
        <v>1047</v>
      </c>
      <c r="C33" s="2003"/>
      <c r="D33" s="2003"/>
      <c r="E33" s="2004"/>
      <c r="F33" s="1125" t="s">
        <v>789</v>
      </c>
      <c r="G33" s="1125" t="s">
        <v>1035</v>
      </c>
      <c r="H33" s="2005" t="s">
        <v>1048</v>
      </c>
      <c r="I33" s="2009"/>
      <c r="J33" s="2009"/>
      <c r="K33" s="2006"/>
      <c r="L33" s="1557"/>
      <c r="M33" s="1558"/>
      <c r="N33" s="1558"/>
      <c r="O33" s="1559"/>
      <c r="P33" s="2005" t="s">
        <v>1048</v>
      </c>
      <c r="Q33" s="2009"/>
      <c r="R33" s="2009"/>
      <c r="S33" s="2006"/>
      <c r="T33" s="1557"/>
      <c r="U33" s="1558"/>
      <c r="V33" s="1558"/>
      <c r="W33" s="1559"/>
      <c r="X33" s="2005" t="s">
        <v>1048</v>
      </c>
      <c r="Y33" s="2009"/>
      <c r="Z33" s="2009"/>
      <c r="AA33" s="2006"/>
      <c r="AB33" s="1050"/>
      <c r="AC33" s="1051"/>
      <c r="AD33" s="1051"/>
      <c r="AE33" s="1052"/>
      <c r="AF33" s="11"/>
    </row>
    <row r="34" spans="1:32" ht="59.25" customHeight="1">
      <c r="A34" s="1122">
        <v>1</v>
      </c>
      <c r="B34" s="1993" t="s">
        <v>1232</v>
      </c>
      <c r="C34" s="1994"/>
      <c r="D34" s="1994"/>
      <c r="E34" s="1995"/>
      <c r="F34" s="728" t="s">
        <v>50</v>
      </c>
      <c r="G34" s="1588" t="str">
        <f>'XM.GUI MAIL'!$E$105</f>
        <v>30~50 
(40)</v>
      </c>
      <c r="H34" s="1866">
        <f>'XM.GUI MAIL'!H105</f>
        <v>0</v>
      </c>
      <c r="I34" s="1867"/>
      <c r="J34" s="1867"/>
      <c r="K34" s="1867"/>
      <c r="L34" s="1563"/>
      <c r="M34" s="1564"/>
      <c r="N34" s="1564"/>
      <c r="O34" s="1565"/>
      <c r="P34" s="1866">
        <f>'XM.GUI MAIL'!N105</f>
        <v>0</v>
      </c>
      <c r="Q34" s="1867"/>
      <c r="R34" s="1867"/>
      <c r="S34" s="1867"/>
      <c r="T34" s="1563"/>
      <c r="U34" s="1564"/>
      <c r="V34" s="1564"/>
      <c r="W34" s="1565"/>
      <c r="X34" s="1866">
        <f>'XM.GUI MAIL'!T105</f>
        <v>0</v>
      </c>
      <c r="Y34" s="1867"/>
      <c r="Z34" s="1867"/>
      <c r="AA34" s="1868"/>
      <c r="AB34" s="1059"/>
      <c r="AC34" s="1032"/>
      <c r="AD34" s="1032"/>
      <c r="AE34" s="1060"/>
      <c r="AF34" s="91"/>
    </row>
    <row r="35" spans="1:32" ht="59.25" customHeight="1">
      <c r="A35" s="1122">
        <v>2</v>
      </c>
      <c r="B35" s="1993" t="s">
        <v>261</v>
      </c>
      <c r="C35" s="1994"/>
      <c r="D35" s="1994"/>
      <c r="E35" s="1995"/>
      <c r="F35" s="728" t="s">
        <v>50</v>
      </c>
      <c r="G35" s="1588" t="str">
        <f>'XM.GUI MAIL'!$E$106</f>
        <v>160~220
(180)</v>
      </c>
      <c r="H35" s="1866">
        <f>'XM.GUI MAIL'!H106</f>
        <v>0</v>
      </c>
      <c r="I35" s="1867"/>
      <c r="J35" s="1867"/>
      <c r="K35" s="1867"/>
      <c r="L35" s="1560"/>
      <c r="M35" s="1561"/>
      <c r="N35" s="1561"/>
      <c r="O35" s="1562"/>
      <c r="P35" s="1866">
        <f>'XM.GUI MAIL'!N106</f>
        <v>0</v>
      </c>
      <c r="Q35" s="1867"/>
      <c r="R35" s="1867"/>
      <c r="S35" s="1867"/>
      <c r="T35" s="1560"/>
      <c r="U35" s="1561"/>
      <c r="V35" s="1561"/>
      <c r="W35" s="1562"/>
      <c r="X35" s="1866">
        <f>'XM.GUI MAIL'!T106</f>
        <v>0</v>
      </c>
      <c r="Y35" s="1867"/>
      <c r="Z35" s="1867"/>
      <c r="AA35" s="1868"/>
      <c r="AB35" s="1061"/>
      <c r="AC35" s="1062"/>
      <c r="AD35" s="1062"/>
      <c r="AE35" s="1063"/>
      <c r="AF35" s="91"/>
    </row>
    <row r="36" spans="1:32" ht="61.5" customHeight="1">
      <c r="A36" s="1127"/>
      <c r="B36" s="1026"/>
      <c r="C36" s="1026"/>
      <c r="D36" s="1026"/>
      <c r="E36" s="1026"/>
      <c r="F36" s="1128"/>
      <c r="G36" s="1128"/>
      <c r="H36" s="1128"/>
      <c r="I36" s="1128"/>
      <c r="J36" s="1128"/>
      <c r="K36" s="1128"/>
      <c r="L36" s="1078"/>
      <c r="M36" s="1078"/>
      <c r="N36" s="1078"/>
      <c r="O36" s="1078"/>
      <c r="P36" s="1128"/>
      <c r="Q36" s="1128"/>
      <c r="R36" s="1128"/>
      <c r="S36" s="1128"/>
      <c r="T36" s="1078"/>
      <c r="U36" s="1078"/>
      <c r="V36" s="1078"/>
      <c r="W36" s="1078"/>
      <c r="X36" s="1128"/>
      <c r="Y36" s="1128"/>
      <c r="Z36" s="1128"/>
      <c r="AA36" s="1128"/>
      <c r="AB36" s="1078"/>
      <c r="AC36" s="1078"/>
      <c r="AD36" s="1078"/>
      <c r="AE36" s="1078"/>
      <c r="AF36" s="76"/>
    </row>
    <row r="37" spans="1:32" ht="28.5" customHeight="1">
      <c r="A37" s="1972" t="s">
        <v>152</v>
      </c>
      <c r="B37" s="1972"/>
      <c r="C37" s="1972"/>
      <c r="D37" s="1972"/>
      <c r="E37" s="1972"/>
      <c r="F37" s="1972"/>
      <c r="G37" s="1972"/>
      <c r="H37" s="1972"/>
      <c r="I37" s="1972"/>
      <c r="J37" s="1972"/>
      <c r="K37" s="1972"/>
      <c r="L37" s="1972"/>
      <c r="M37" s="1972"/>
      <c r="N37" s="1972"/>
      <c r="O37" s="1972"/>
      <c r="P37" s="1972"/>
      <c r="Q37" s="1972"/>
      <c r="R37" s="1972"/>
      <c r="S37" s="1972"/>
      <c r="T37" s="1972"/>
      <c r="U37" s="1972"/>
      <c r="V37" s="1972"/>
      <c r="W37" s="1972"/>
      <c r="X37" s="1972"/>
      <c r="Y37" s="1972"/>
      <c r="Z37" s="1132"/>
      <c r="AA37" s="1132"/>
      <c r="AB37" s="1080"/>
      <c r="AC37" s="1080"/>
      <c r="AD37" s="1080"/>
      <c r="AE37" s="1080"/>
      <c r="AF37" s="73"/>
    </row>
    <row r="38" spans="1:32" ht="43.5" customHeight="1">
      <c r="A38" s="1973" t="s">
        <v>153</v>
      </c>
      <c r="B38" s="1973"/>
      <c r="C38" s="1973"/>
      <c r="D38" s="1973"/>
      <c r="E38" s="1973"/>
      <c r="F38" s="1973"/>
      <c r="G38" s="1973"/>
      <c r="H38" s="1973"/>
      <c r="I38" s="1973"/>
      <c r="J38" s="1973"/>
      <c r="K38" s="1973"/>
      <c r="L38" s="1973"/>
      <c r="M38" s="1973"/>
      <c r="N38" s="1973"/>
      <c r="O38" s="1973"/>
      <c r="P38" s="1973"/>
      <c r="Q38" s="1973"/>
      <c r="R38" s="1973"/>
      <c r="S38" s="1973"/>
      <c r="T38" s="1973"/>
      <c r="U38" s="1973"/>
      <c r="V38" s="1973"/>
      <c r="W38" s="1973"/>
      <c r="X38" s="1973"/>
      <c r="Y38" s="1973"/>
      <c r="Z38" s="1957"/>
      <c r="AA38" s="1957"/>
      <c r="AB38" s="1074"/>
      <c r="AC38" s="1886" t="s">
        <v>96</v>
      </c>
      <c r="AD38" s="1886"/>
      <c r="AE38" s="1887" t="s">
        <v>97</v>
      </c>
      <c r="AF38" s="1888"/>
    </row>
    <row r="39" spans="1:32" ht="36.75" customHeight="1">
      <c r="A39" s="1113"/>
      <c r="B39" s="1114" t="s">
        <v>144</v>
      </c>
      <c r="C39" s="1115"/>
      <c r="D39" s="1115"/>
      <c r="E39" s="1115"/>
      <c r="F39" s="1116"/>
      <c r="G39" s="1108" t="str">
        <f>'1. XL-1E kh'!$G$3</f>
        <v>2022/12/03</v>
      </c>
      <c r="H39" s="1117"/>
      <c r="I39" s="1117"/>
      <c r="J39" s="1117"/>
      <c r="K39" s="1118"/>
      <c r="L39" s="1077"/>
      <c r="M39" s="1077"/>
      <c r="N39" s="1077"/>
      <c r="O39" s="1077"/>
      <c r="P39" s="1118"/>
      <c r="Q39" s="1118"/>
      <c r="R39" s="1118"/>
      <c r="S39" s="1118"/>
      <c r="T39" s="1077"/>
      <c r="U39" s="1077"/>
      <c r="V39" s="1077"/>
      <c r="W39" s="1077"/>
      <c r="X39" s="1118"/>
      <c r="Y39" s="1118"/>
      <c r="Z39" s="1958"/>
      <c r="AA39" s="1958"/>
      <c r="AB39" s="1075"/>
      <c r="AC39" s="1878" t="str">
        <f>MENU!AD7</f>
        <v>Trang</v>
      </c>
      <c r="AD39" s="1878"/>
      <c r="AE39" s="1949" t="s">
        <v>11</v>
      </c>
      <c r="AF39" s="1880"/>
    </row>
    <row r="40" spans="1:32" s="76" customFormat="1" ht="48.75" customHeight="1">
      <c r="A40" s="1974" t="s">
        <v>7</v>
      </c>
      <c r="B40" s="1904" t="s">
        <v>79</v>
      </c>
      <c r="C40" s="1905"/>
      <c r="D40" s="1905"/>
      <c r="E40" s="1906"/>
      <c r="F40" s="1902" t="s">
        <v>137</v>
      </c>
      <c r="G40" s="1959" t="s">
        <v>67</v>
      </c>
      <c r="H40" s="1924">
        <v>0.76041666666666663</v>
      </c>
      <c r="I40" s="1925"/>
      <c r="J40" s="1925"/>
      <c r="K40" s="1926"/>
      <c r="L40" s="1881" t="s">
        <v>1017</v>
      </c>
      <c r="M40" s="1882"/>
      <c r="N40" s="1882"/>
      <c r="O40" s="1883"/>
      <c r="P40" s="1924">
        <v>0.92708333333333337</v>
      </c>
      <c r="Q40" s="1925"/>
      <c r="R40" s="1925"/>
      <c r="S40" s="1926"/>
      <c r="T40" s="1881" t="s">
        <v>1017</v>
      </c>
      <c r="U40" s="1882"/>
      <c r="V40" s="1882"/>
      <c r="W40" s="1883"/>
      <c r="X40" s="1961">
        <v>9.375E-2</v>
      </c>
      <c r="Y40" s="1902"/>
      <c r="Z40" s="1902"/>
      <c r="AA40" s="1902"/>
      <c r="AB40" s="1881" t="s">
        <v>1017</v>
      </c>
      <c r="AC40" s="1882"/>
      <c r="AD40" s="1882"/>
      <c r="AE40" s="1883"/>
      <c r="AF40" s="1970" t="s">
        <v>41</v>
      </c>
    </row>
    <row r="41" spans="1:32" s="76" customFormat="1" ht="48.75" customHeight="1">
      <c r="A41" s="1974"/>
      <c r="B41" s="1907"/>
      <c r="C41" s="1908"/>
      <c r="D41" s="1908"/>
      <c r="E41" s="1909"/>
      <c r="F41" s="1903"/>
      <c r="G41" s="1960"/>
      <c r="H41" s="1087" t="s">
        <v>146</v>
      </c>
      <c r="I41" s="1930" t="s">
        <v>1</v>
      </c>
      <c r="J41" s="1931"/>
      <c r="K41" s="1932"/>
      <c r="L41" s="1034" t="s">
        <v>146</v>
      </c>
      <c r="M41" s="1884" t="s">
        <v>1</v>
      </c>
      <c r="N41" s="1884"/>
      <c r="O41" s="1885"/>
      <c r="P41" s="1087" t="s">
        <v>146</v>
      </c>
      <c r="Q41" s="1930" t="s">
        <v>1</v>
      </c>
      <c r="R41" s="1931"/>
      <c r="S41" s="1932"/>
      <c r="T41" s="1034" t="s">
        <v>146</v>
      </c>
      <c r="U41" s="1884" t="s">
        <v>1</v>
      </c>
      <c r="V41" s="1884"/>
      <c r="W41" s="1885"/>
      <c r="X41" s="1087" t="s">
        <v>146</v>
      </c>
      <c r="Y41" s="1930" t="s">
        <v>1</v>
      </c>
      <c r="Z41" s="1931"/>
      <c r="AA41" s="1932"/>
      <c r="AB41" s="1034" t="s">
        <v>146</v>
      </c>
      <c r="AC41" s="1884" t="s">
        <v>1</v>
      </c>
      <c r="AD41" s="1884"/>
      <c r="AE41" s="1885"/>
      <c r="AF41" s="1971"/>
    </row>
    <row r="42" spans="1:32" ht="48.75" customHeight="1">
      <c r="A42" s="1975">
        <v>1</v>
      </c>
      <c r="B42" s="1977" t="s">
        <v>1023</v>
      </c>
      <c r="C42" s="1978"/>
      <c r="D42" s="1917" t="s">
        <v>266</v>
      </c>
      <c r="E42" s="1918"/>
      <c r="F42" s="56" t="s">
        <v>4</v>
      </c>
      <c r="G42" s="1025" t="str">
        <f>'XM.GUI MAIL'!$E$68</f>
        <v>40~60g/L
(50±5g/L)</v>
      </c>
      <c r="H42" s="64">
        <f>'XM.FILE GOC'!Z68</f>
        <v>0</v>
      </c>
      <c r="I42" s="1119" t="s">
        <v>8</v>
      </c>
      <c r="J42" s="1120">
        <f>'XM.FILE GOC'!AC68</f>
        <v>775.85</v>
      </c>
      <c r="K42" s="1121" t="s">
        <v>9</v>
      </c>
      <c r="L42" s="1035"/>
      <c r="M42" s="1036" t="s">
        <v>8</v>
      </c>
      <c r="N42" s="1081">
        <f>('XM.FILE GOC'!$F$68-L42)*15517/1000</f>
        <v>775.85</v>
      </c>
      <c r="O42" s="1038" t="s">
        <v>9</v>
      </c>
      <c r="P42" s="64">
        <f>'XM.FILE GOC'!AF68</f>
        <v>0</v>
      </c>
      <c r="Q42" s="1119" t="s">
        <v>8</v>
      </c>
      <c r="R42" s="1120">
        <f>'XM.FILE GOC'!AI68</f>
        <v>775.85</v>
      </c>
      <c r="S42" s="1121" t="s">
        <v>9</v>
      </c>
      <c r="T42" s="1035"/>
      <c r="U42" s="1036" t="s">
        <v>8</v>
      </c>
      <c r="V42" s="1081">
        <f>('XM.FILE GOC'!$F$68-T42)*15517/1000</f>
        <v>775.85</v>
      </c>
      <c r="W42" s="1038" t="s">
        <v>9</v>
      </c>
      <c r="X42" s="64">
        <f>'XM.FILE GOC'!AL68</f>
        <v>0</v>
      </c>
      <c r="Y42" s="1119" t="s">
        <v>8</v>
      </c>
      <c r="Z42" s="1120">
        <f>'XM.FILE GOC'!AO68</f>
        <v>775.85</v>
      </c>
      <c r="AA42" s="1121" t="s">
        <v>9</v>
      </c>
      <c r="AB42" s="1035"/>
      <c r="AC42" s="1036" t="s">
        <v>8</v>
      </c>
      <c r="AD42" s="1081">
        <f>('XM.FILE GOC'!$F$68-AB42)*15517/1000</f>
        <v>775.85</v>
      </c>
      <c r="AE42" s="1038" t="s">
        <v>9</v>
      </c>
      <c r="AF42" s="85" t="s">
        <v>42</v>
      </c>
    </row>
    <row r="43" spans="1:32" ht="48.75" customHeight="1">
      <c r="A43" s="1976"/>
      <c r="B43" s="1979"/>
      <c r="C43" s="1980"/>
      <c r="D43" s="1917" t="s">
        <v>267</v>
      </c>
      <c r="E43" s="1918"/>
      <c r="F43" s="1024"/>
      <c r="G43" s="1025" t="s">
        <v>1474</v>
      </c>
      <c r="H43" s="350"/>
      <c r="I43" s="69"/>
      <c r="J43" s="1091">
        <f>J42/25*8.5</f>
        <v>263.78900000000004</v>
      </c>
      <c r="K43" s="677" t="s">
        <v>10</v>
      </c>
      <c r="L43" s="1035"/>
      <c r="M43" s="1039" t="s">
        <v>8</v>
      </c>
      <c r="N43" s="1040">
        <f>N42/25*8.5</f>
        <v>263.78900000000004</v>
      </c>
      <c r="O43" s="1041" t="s">
        <v>10</v>
      </c>
      <c r="P43" s="350"/>
      <c r="Q43" s="69"/>
      <c r="R43" s="1091">
        <f>R42/25*8.5</f>
        <v>263.78900000000004</v>
      </c>
      <c r="S43" s="677" t="s">
        <v>10</v>
      </c>
      <c r="T43" s="1035"/>
      <c r="U43" s="1039" t="s">
        <v>8</v>
      </c>
      <c r="V43" s="1040">
        <f>V42/25*8.5</f>
        <v>263.78900000000004</v>
      </c>
      <c r="W43" s="1041" t="s">
        <v>10</v>
      </c>
      <c r="X43" s="350"/>
      <c r="Y43" s="69"/>
      <c r="Z43" s="1091">
        <f>Z42/25*8.5</f>
        <v>263.78900000000004</v>
      </c>
      <c r="AA43" s="677" t="s">
        <v>10</v>
      </c>
      <c r="AB43" s="1035"/>
      <c r="AC43" s="1039" t="s">
        <v>8</v>
      </c>
      <c r="AD43" s="1040">
        <f>AD42/25*8.5</f>
        <v>263.78900000000004</v>
      </c>
      <c r="AE43" s="1041" t="s">
        <v>10</v>
      </c>
      <c r="AF43" s="85"/>
    </row>
    <row r="44" spans="1:32" ht="48.75" customHeight="1">
      <c r="A44" s="1975">
        <v>2</v>
      </c>
      <c r="B44" s="1977" t="s">
        <v>1024</v>
      </c>
      <c r="C44" s="1978"/>
      <c r="D44" s="1917" t="s">
        <v>266</v>
      </c>
      <c r="E44" s="1918"/>
      <c r="F44" s="56" t="s">
        <v>4</v>
      </c>
      <c r="G44" s="1025" t="str">
        <f>'XM.GUI MAIL'!$E$69</f>
        <v>40~60g/L
(50±5g/L)</v>
      </c>
      <c r="H44" s="64">
        <f>'XM.FILE GOC'!Z69</f>
        <v>0</v>
      </c>
      <c r="I44" s="1119" t="s">
        <v>8</v>
      </c>
      <c r="J44" s="1120">
        <f>'XM.FILE GOC'!AC69</f>
        <v>573.75</v>
      </c>
      <c r="K44" s="1121" t="s">
        <v>9</v>
      </c>
      <c r="L44" s="1035"/>
      <c r="M44" s="1036" t="s">
        <v>8</v>
      </c>
      <c r="N44" s="1081">
        <f>('XM.FILE GOC'!$F$69-L44)*11475/1000</f>
        <v>573.75</v>
      </c>
      <c r="O44" s="1038" t="s">
        <v>9</v>
      </c>
      <c r="P44" s="64">
        <f>'XM.FILE GOC'!AF69</f>
        <v>0</v>
      </c>
      <c r="Q44" s="1119" t="s">
        <v>8</v>
      </c>
      <c r="R44" s="1120">
        <f>'XM.FILE GOC'!AI69</f>
        <v>573.75</v>
      </c>
      <c r="S44" s="1121" t="s">
        <v>9</v>
      </c>
      <c r="T44" s="1035"/>
      <c r="U44" s="1036" t="s">
        <v>8</v>
      </c>
      <c r="V44" s="1081">
        <f>('XM.FILE GOC'!$F$69-T44)*11475/1000</f>
        <v>573.75</v>
      </c>
      <c r="W44" s="1038" t="s">
        <v>9</v>
      </c>
      <c r="X44" s="64">
        <f>'XM.FILE GOC'!AL69</f>
        <v>0</v>
      </c>
      <c r="Y44" s="1119" t="s">
        <v>8</v>
      </c>
      <c r="Z44" s="1120">
        <f>'XM.FILE GOC'!AO69</f>
        <v>573.75</v>
      </c>
      <c r="AA44" s="1121" t="s">
        <v>9</v>
      </c>
      <c r="AB44" s="1035"/>
      <c r="AC44" s="1036" t="s">
        <v>8</v>
      </c>
      <c r="AD44" s="1081">
        <f>('XM.FILE GOC'!$F$69-AB44)*11475/1000</f>
        <v>573.75</v>
      </c>
      <c r="AE44" s="1038" t="s">
        <v>9</v>
      </c>
      <c r="AF44" s="85" t="s">
        <v>42</v>
      </c>
    </row>
    <row r="45" spans="1:32" ht="48.75" customHeight="1">
      <c r="A45" s="1976"/>
      <c r="B45" s="1979"/>
      <c r="C45" s="1980"/>
      <c r="D45" s="1917" t="s">
        <v>267</v>
      </c>
      <c r="E45" s="1918"/>
      <c r="F45" s="1024"/>
      <c r="G45" s="1025" t="s">
        <v>1474</v>
      </c>
      <c r="H45" s="350"/>
      <c r="I45" s="69"/>
      <c r="J45" s="1091">
        <f>J44/25*8.5</f>
        <v>195.07499999999999</v>
      </c>
      <c r="K45" s="677" t="s">
        <v>10</v>
      </c>
      <c r="L45" s="1035"/>
      <c r="M45" s="1039" t="s">
        <v>8</v>
      </c>
      <c r="N45" s="1040">
        <f>N44/25*8.5</f>
        <v>195.07499999999999</v>
      </c>
      <c r="O45" s="1041" t="s">
        <v>10</v>
      </c>
      <c r="P45" s="350"/>
      <c r="Q45" s="69"/>
      <c r="R45" s="1091">
        <f>R44/25*8.5</f>
        <v>195.07499999999999</v>
      </c>
      <c r="S45" s="677" t="s">
        <v>10</v>
      </c>
      <c r="T45" s="1035"/>
      <c r="U45" s="1039" t="s">
        <v>8</v>
      </c>
      <c r="V45" s="1040">
        <f>V44/25*8.5</f>
        <v>195.07499999999999</v>
      </c>
      <c r="W45" s="1041" t="s">
        <v>10</v>
      </c>
      <c r="X45" s="350"/>
      <c r="Y45" s="69"/>
      <c r="Z45" s="1091">
        <f>Z44/25*8.5</f>
        <v>195.07499999999999</v>
      </c>
      <c r="AA45" s="677" t="s">
        <v>10</v>
      </c>
      <c r="AB45" s="1035"/>
      <c r="AC45" s="1039" t="s">
        <v>8</v>
      </c>
      <c r="AD45" s="1040">
        <f>AD44/25*8.5</f>
        <v>195.07499999999999</v>
      </c>
      <c r="AE45" s="1041" t="s">
        <v>10</v>
      </c>
      <c r="AF45" s="85"/>
    </row>
    <row r="46" spans="1:32" ht="48.75" customHeight="1">
      <c r="A46" s="1975">
        <v>3</v>
      </c>
      <c r="B46" s="1915" t="s">
        <v>1025</v>
      </c>
      <c r="C46" s="1916"/>
      <c r="D46" s="1896" t="s">
        <v>268</v>
      </c>
      <c r="E46" s="1898" t="s">
        <v>268</v>
      </c>
      <c r="F46" s="56" t="s">
        <v>4</v>
      </c>
      <c r="G46" s="1025" t="str">
        <f>'XM.GUI MAIL'!$E$70</f>
        <v>50~70g/L
(60±5g/L)</v>
      </c>
      <c r="H46" s="350">
        <f>'XM.FILE GOC'!Z70</f>
        <v>0</v>
      </c>
      <c r="I46" s="69" t="s">
        <v>8</v>
      </c>
      <c r="J46" s="676">
        <f>'XM.FILE GOC'!AC70</f>
        <v>492</v>
      </c>
      <c r="K46" s="677" t="s">
        <v>9</v>
      </c>
      <c r="L46" s="1035"/>
      <c r="M46" s="1036" t="s">
        <v>8</v>
      </c>
      <c r="N46" s="1081">
        <f>('XM.FILE GOC'!$F$70-L46)*8200/1000</f>
        <v>492</v>
      </c>
      <c r="O46" s="1038" t="s">
        <v>9</v>
      </c>
      <c r="P46" s="350">
        <f>'XM.FILE GOC'!AF70</f>
        <v>0</v>
      </c>
      <c r="Q46" s="69" t="s">
        <v>8</v>
      </c>
      <c r="R46" s="676">
        <f>'XM.FILE GOC'!AI70</f>
        <v>492</v>
      </c>
      <c r="S46" s="677" t="s">
        <v>9</v>
      </c>
      <c r="T46" s="1035"/>
      <c r="U46" s="1036" t="s">
        <v>8</v>
      </c>
      <c r="V46" s="1081">
        <f>('XM.FILE GOC'!$F$70-T46)*8200/1000</f>
        <v>492</v>
      </c>
      <c r="W46" s="1038" t="s">
        <v>9</v>
      </c>
      <c r="X46" s="350">
        <f>'XM.FILE GOC'!AL70</f>
        <v>0</v>
      </c>
      <c r="Y46" s="69" t="s">
        <v>8</v>
      </c>
      <c r="Z46" s="676">
        <f>'XM.FILE GOC'!AO70</f>
        <v>492</v>
      </c>
      <c r="AA46" s="1121" t="s">
        <v>9</v>
      </c>
      <c r="AB46" s="1035"/>
      <c r="AC46" s="1036" t="s">
        <v>8</v>
      </c>
      <c r="AD46" s="1081">
        <f>('XM.FILE GOC'!$F$70-AB46)*8200/1000</f>
        <v>492</v>
      </c>
      <c r="AE46" s="1038" t="s">
        <v>9</v>
      </c>
      <c r="AF46" s="85" t="s">
        <v>42</v>
      </c>
    </row>
    <row r="47" spans="1:32" ht="48.75" customHeight="1">
      <c r="A47" s="1981"/>
      <c r="B47" s="1916"/>
      <c r="C47" s="1916"/>
      <c r="D47" s="1896" t="s">
        <v>269</v>
      </c>
      <c r="E47" s="1898" t="s">
        <v>269</v>
      </c>
      <c r="F47" s="1024"/>
      <c r="G47" s="1025" t="s">
        <v>1475</v>
      </c>
      <c r="H47" s="350"/>
      <c r="I47" s="69"/>
      <c r="J47" s="1091">
        <f>J46/25*8</f>
        <v>157.44</v>
      </c>
      <c r="K47" s="677" t="s">
        <v>10</v>
      </c>
      <c r="L47" s="1035"/>
      <c r="M47" s="1039" t="s">
        <v>8</v>
      </c>
      <c r="N47" s="1040">
        <f>N46/25*8</f>
        <v>157.44</v>
      </c>
      <c r="O47" s="1041" t="s">
        <v>10</v>
      </c>
      <c r="P47" s="350"/>
      <c r="Q47" s="69"/>
      <c r="R47" s="1091">
        <f>R46/25*8</f>
        <v>157.44</v>
      </c>
      <c r="S47" s="677" t="s">
        <v>10</v>
      </c>
      <c r="T47" s="1035"/>
      <c r="U47" s="1039" t="s">
        <v>8</v>
      </c>
      <c r="V47" s="1040">
        <f>V46/25*8</f>
        <v>157.44</v>
      </c>
      <c r="W47" s="1041" t="s">
        <v>10</v>
      </c>
      <c r="X47" s="350"/>
      <c r="Y47" s="69"/>
      <c r="Z47" s="1091">
        <f>Z46/25*8</f>
        <v>157.44</v>
      </c>
      <c r="AA47" s="677" t="s">
        <v>10</v>
      </c>
      <c r="AB47" s="1035"/>
      <c r="AC47" s="1039" t="s">
        <v>8</v>
      </c>
      <c r="AD47" s="1040">
        <f>AD46/25*8</f>
        <v>157.44</v>
      </c>
      <c r="AE47" s="1041" t="s">
        <v>10</v>
      </c>
      <c r="AF47" s="85"/>
    </row>
    <row r="48" spans="1:32" ht="48.75" customHeight="1">
      <c r="A48" s="1975">
        <v>4</v>
      </c>
      <c r="B48" s="1915" t="s">
        <v>1026</v>
      </c>
      <c r="C48" s="1916"/>
      <c r="D48" s="1896" t="s">
        <v>268</v>
      </c>
      <c r="E48" s="1898" t="s">
        <v>268</v>
      </c>
      <c r="F48" s="56" t="s">
        <v>4</v>
      </c>
      <c r="G48" s="1025" t="str">
        <f>'XM.GUI MAIL'!$E$71</f>
        <v>50~70g/L
(60±5g/L)</v>
      </c>
      <c r="H48" s="350">
        <f>'XM.FILE GOC'!Z71</f>
        <v>0</v>
      </c>
      <c r="I48" s="1119" t="s">
        <v>8</v>
      </c>
      <c r="J48" s="1120">
        <f>'XM.FILE GOC'!AC71</f>
        <v>520.08000000000004</v>
      </c>
      <c r="K48" s="1121" t="s">
        <v>9</v>
      </c>
      <c r="L48" s="1035"/>
      <c r="M48" s="1036" t="s">
        <v>8</v>
      </c>
      <c r="N48" s="1082">
        <f>('XM.FILE GOC'!$F$71-L48)*8668/1000</f>
        <v>520.08000000000004</v>
      </c>
      <c r="O48" s="1038" t="s">
        <v>9</v>
      </c>
      <c r="P48" s="350">
        <f>'XM.FILE GOC'!AF71</f>
        <v>0</v>
      </c>
      <c r="Q48" s="1119" t="s">
        <v>8</v>
      </c>
      <c r="R48" s="1120">
        <f>'XM.FILE GOC'!AI71</f>
        <v>520.08000000000004</v>
      </c>
      <c r="S48" s="1121" t="s">
        <v>9</v>
      </c>
      <c r="T48" s="1035"/>
      <c r="U48" s="1036" t="s">
        <v>8</v>
      </c>
      <c r="V48" s="1082">
        <f>('XM.FILE GOC'!$F$71-T48)*8668/1000</f>
        <v>520.08000000000004</v>
      </c>
      <c r="W48" s="1038" t="s">
        <v>9</v>
      </c>
      <c r="X48" s="350">
        <f>'XM.FILE GOC'!AL71</f>
        <v>0</v>
      </c>
      <c r="Y48" s="1119" t="s">
        <v>8</v>
      </c>
      <c r="Z48" s="1120">
        <f>'XM.FILE GOC'!AO71</f>
        <v>520.08000000000004</v>
      </c>
      <c r="AA48" s="1121" t="s">
        <v>9</v>
      </c>
      <c r="AB48" s="1035"/>
      <c r="AC48" s="1036" t="s">
        <v>8</v>
      </c>
      <c r="AD48" s="1081">
        <f>('XM.FILE GOC'!$F$71-AB48)*8668/1000</f>
        <v>520.08000000000004</v>
      </c>
      <c r="AE48" s="1038" t="s">
        <v>9</v>
      </c>
      <c r="AF48" s="85" t="s">
        <v>42</v>
      </c>
    </row>
    <row r="49" spans="1:32" ht="48.75" customHeight="1">
      <c r="A49" s="1981"/>
      <c r="B49" s="1916"/>
      <c r="C49" s="1916"/>
      <c r="D49" s="1896" t="s">
        <v>269</v>
      </c>
      <c r="E49" s="1898" t="s">
        <v>269</v>
      </c>
      <c r="F49" s="1024"/>
      <c r="G49" s="1025" t="s">
        <v>1475</v>
      </c>
      <c r="H49" s="350"/>
      <c r="I49" s="69"/>
      <c r="J49" s="1091">
        <f>J48/25*8</f>
        <v>166.4256</v>
      </c>
      <c r="K49" s="677" t="s">
        <v>10</v>
      </c>
      <c r="L49" s="1035"/>
      <c r="M49" s="1039" t="s">
        <v>8</v>
      </c>
      <c r="N49" s="1040">
        <f>N48/25*8</f>
        <v>166.4256</v>
      </c>
      <c r="O49" s="1041" t="s">
        <v>10</v>
      </c>
      <c r="P49" s="350"/>
      <c r="Q49" s="69"/>
      <c r="R49" s="1091">
        <f>R48/25*8</f>
        <v>166.4256</v>
      </c>
      <c r="S49" s="677" t="s">
        <v>10</v>
      </c>
      <c r="T49" s="1035"/>
      <c r="U49" s="1039" t="s">
        <v>8</v>
      </c>
      <c r="V49" s="1040">
        <f>V48/25*8</f>
        <v>166.4256</v>
      </c>
      <c r="W49" s="1041" t="s">
        <v>10</v>
      </c>
      <c r="X49" s="350"/>
      <c r="Y49" s="69"/>
      <c r="Z49" s="1091">
        <f>Z48/25*8</f>
        <v>166.4256</v>
      </c>
      <c r="AA49" s="677" t="s">
        <v>10</v>
      </c>
      <c r="AB49" s="1035"/>
      <c r="AC49" s="1039" t="s">
        <v>8</v>
      </c>
      <c r="AD49" s="1040">
        <f>AD48/25*8</f>
        <v>166.4256</v>
      </c>
      <c r="AE49" s="1041" t="s">
        <v>10</v>
      </c>
      <c r="AF49" s="85"/>
    </row>
    <row r="50" spans="1:32" ht="48.75" customHeight="1">
      <c r="A50" s="1975">
        <v>5</v>
      </c>
      <c r="B50" s="1999" t="s">
        <v>1027</v>
      </c>
      <c r="C50" s="1996" t="s">
        <v>1028</v>
      </c>
      <c r="D50" s="1997"/>
      <c r="E50" s="1998"/>
      <c r="F50" s="728" t="s">
        <v>4</v>
      </c>
      <c r="G50" s="1588" t="str">
        <f>'XM.GUI MAIL'!$E$72</f>
        <v>135~ 145g/L
(140±5g/L)</v>
      </c>
      <c r="H50" s="64">
        <f>'XM.FILE GOC'!Z72</f>
        <v>0</v>
      </c>
      <c r="I50" s="1119" t="s">
        <v>8</v>
      </c>
      <c r="J50" s="1120">
        <f>'XM.FILE GOC'!AC72</f>
        <v>7429.24</v>
      </c>
      <c r="K50" s="1121" t="s">
        <v>9</v>
      </c>
      <c r="L50" s="1035"/>
      <c r="M50" s="1036" t="s">
        <v>8</v>
      </c>
      <c r="N50" s="1082">
        <f>('XM.FILE GOC'!$F$72-L50)*53066/1000</f>
        <v>7429.24</v>
      </c>
      <c r="O50" s="1038" t="s">
        <v>9</v>
      </c>
      <c r="P50" s="64">
        <f>'XM.FILE GOC'!AF72</f>
        <v>0</v>
      </c>
      <c r="Q50" s="1119" t="s">
        <v>8</v>
      </c>
      <c r="R50" s="1120">
        <f>'XM.FILE GOC'!AI72</f>
        <v>7429.24</v>
      </c>
      <c r="S50" s="1121" t="s">
        <v>9</v>
      </c>
      <c r="T50" s="1035"/>
      <c r="U50" s="1036" t="s">
        <v>8</v>
      </c>
      <c r="V50" s="1082">
        <f>('XM.FILE GOC'!$F$72-T50)*53066/1000</f>
        <v>7429.24</v>
      </c>
      <c r="W50" s="1038" t="s">
        <v>9</v>
      </c>
      <c r="X50" s="64">
        <f>'XM.FILE GOC'!AL72</f>
        <v>0</v>
      </c>
      <c r="Y50" s="1119" t="s">
        <v>8</v>
      </c>
      <c r="Z50" s="1120">
        <f>'XM.FILE GOC'!AO72</f>
        <v>7429.24</v>
      </c>
      <c r="AA50" s="1121" t="s">
        <v>9</v>
      </c>
      <c r="AB50" s="1035"/>
      <c r="AC50" s="1036" t="s">
        <v>8</v>
      </c>
      <c r="AD50" s="1082">
        <f>('XM.FILE GOC'!$F$72-AB50)*53066/1000</f>
        <v>7429.24</v>
      </c>
      <c r="AE50" s="1038" t="s">
        <v>9</v>
      </c>
      <c r="AF50" s="85" t="s">
        <v>43</v>
      </c>
    </row>
    <row r="51" spans="1:32" ht="48.75" customHeight="1">
      <c r="A51" s="1981"/>
      <c r="B51" s="2000"/>
      <c r="C51" s="1996" t="s">
        <v>1029</v>
      </c>
      <c r="D51" s="1997"/>
      <c r="E51" s="1998"/>
      <c r="F51" s="728" t="s">
        <v>4</v>
      </c>
      <c r="G51" s="1588" t="str">
        <f>'XM.GUI MAIL'!$E$73</f>
        <v>6~8g/L
(7±0.5g/L)</v>
      </c>
      <c r="H51" s="64">
        <f>'XM.FILE GOC'!Z73</f>
        <v>0</v>
      </c>
      <c r="I51" s="1119" t="s">
        <v>8</v>
      </c>
      <c r="J51" s="1120">
        <f>'XM.FILE GOC'!AC73</f>
        <v>371.46199999999999</v>
      </c>
      <c r="K51" s="1121" t="s">
        <v>9</v>
      </c>
      <c r="L51" s="1035"/>
      <c r="M51" s="1036" t="s">
        <v>8</v>
      </c>
      <c r="N51" s="1082">
        <f>('XM.FILE GOC'!$F$73-L51)*53066/1000</f>
        <v>371.46199999999999</v>
      </c>
      <c r="O51" s="1038" t="s">
        <v>9</v>
      </c>
      <c r="P51" s="64">
        <f>'XM.FILE GOC'!AF73</f>
        <v>0</v>
      </c>
      <c r="Q51" s="1119" t="s">
        <v>8</v>
      </c>
      <c r="R51" s="1120">
        <f>'XM.FILE GOC'!AI73</f>
        <v>371.46199999999999</v>
      </c>
      <c r="S51" s="1121" t="s">
        <v>9</v>
      </c>
      <c r="T51" s="1035"/>
      <c r="U51" s="1036" t="s">
        <v>8</v>
      </c>
      <c r="V51" s="1082">
        <f>('XM.FILE GOC'!$F$73-T51)*53066/1000</f>
        <v>371.46199999999999</v>
      </c>
      <c r="W51" s="1038" t="s">
        <v>9</v>
      </c>
      <c r="X51" s="64">
        <f>'XM.FILE GOC'!AL73</f>
        <v>0</v>
      </c>
      <c r="Y51" s="1119" t="s">
        <v>8</v>
      </c>
      <c r="Z51" s="1120">
        <f>'XM.FILE GOC'!AO73</f>
        <v>371.46199999999999</v>
      </c>
      <c r="AA51" s="1038" t="s">
        <v>9</v>
      </c>
      <c r="AB51" s="1035"/>
      <c r="AC51" s="1036" t="s">
        <v>8</v>
      </c>
      <c r="AD51" s="1083">
        <f>('XM.FILE GOC'!$F$73-AB51)*53066/1000</f>
        <v>371.46199999999999</v>
      </c>
      <c r="AE51" s="1038" t="s">
        <v>9</v>
      </c>
      <c r="AF51" s="85" t="s">
        <v>44</v>
      </c>
    </row>
    <row r="52" spans="1:32" s="8" customFormat="1" ht="48.75" customHeight="1">
      <c r="A52" s="1975">
        <v>6</v>
      </c>
      <c r="B52" s="1984" t="s">
        <v>40</v>
      </c>
      <c r="C52" s="1985"/>
      <c r="D52" s="1985"/>
      <c r="E52" s="1988"/>
      <c r="F52" s="728" t="s">
        <v>3</v>
      </c>
      <c r="G52" s="1588" t="str">
        <f>'XM.GUI MAIL'!$E$74</f>
        <v>5~8 %
(6±0.5%)</v>
      </c>
      <c r="H52" s="64">
        <f>'XM.FILE GOC'!Z74</f>
        <v>-1.0461</v>
      </c>
      <c r="I52" s="1119" t="s">
        <v>8</v>
      </c>
      <c r="J52" s="1120">
        <f>'XM.FILE GOC'!AC74</f>
        <v>236.74896000000001</v>
      </c>
      <c r="K52" s="1121" t="s">
        <v>10</v>
      </c>
      <c r="L52" s="1035"/>
      <c r="M52" s="1039" t="s">
        <v>8</v>
      </c>
      <c r="N52" s="1081">
        <f>('XM.FILE GOC'!$F$74-L52)*4042/95/1.4</f>
        <v>182.34586466165416</v>
      </c>
      <c r="O52" s="1041" t="s">
        <v>10</v>
      </c>
      <c r="P52" s="64">
        <f>'XM.FILE GOC'!AF74</f>
        <v>-1.0461</v>
      </c>
      <c r="Q52" s="1119" t="s">
        <v>8</v>
      </c>
      <c r="R52" s="1120">
        <f>'XM.FILE GOC'!AI74</f>
        <v>236.74896000000001</v>
      </c>
      <c r="S52" s="1121" t="s">
        <v>10</v>
      </c>
      <c r="T52" s="1035"/>
      <c r="U52" s="1039" t="s">
        <v>8</v>
      </c>
      <c r="V52" s="1081">
        <f>('XM.FILE GOC'!$F$74-T52)*4042/95/1.4</f>
        <v>182.34586466165416</v>
      </c>
      <c r="W52" s="1041" t="s">
        <v>10</v>
      </c>
      <c r="X52" s="64">
        <f>'XM.FILE GOC'!AL74</f>
        <v>-1.0461</v>
      </c>
      <c r="Y52" s="1119" t="s">
        <v>8</v>
      </c>
      <c r="Z52" s="1120">
        <f>'XM.FILE GOC'!AO74</f>
        <v>236.74896000000001</v>
      </c>
      <c r="AA52" s="1121" t="s">
        <v>10</v>
      </c>
      <c r="AB52" s="1035"/>
      <c r="AC52" s="1039" t="s">
        <v>8</v>
      </c>
      <c r="AD52" s="1081">
        <f>('XM.FILE GOC'!$F$74-AB52)*4042/95/1.4</f>
        <v>182.34586466165416</v>
      </c>
      <c r="AE52" s="1041" t="s">
        <v>10</v>
      </c>
      <c r="AF52" s="85" t="s">
        <v>45</v>
      </c>
    </row>
    <row r="53" spans="1:32" ht="48.75" customHeight="1">
      <c r="A53" s="1981"/>
      <c r="B53" s="1986"/>
      <c r="C53" s="1987"/>
      <c r="D53" s="1987"/>
      <c r="E53" s="1989"/>
      <c r="F53" s="728" t="s">
        <v>5</v>
      </c>
      <c r="G53" s="1588" t="str">
        <f>'XM.GUI MAIL'!$E$75</f>
        <v>2.0~2.4(2.2±0.2 )</v>
      </c>
      <c r="H53" s="70">
        <f>'XM.FILE GOC'!Z75</f>
        <v>0</v>
      </c>
      <c r="I53" s="1119" t="s">
        <v>8</v>
      </c>
      <c r="J53" s="1120">
        <f>'XM.FILE GOC'!AC75</f>
        <v>0</v>
      </c>
      <c r="K53" s="1121"/>
      <c r="L53" s="1035"/>
      <c r="M53" s="1042"/>
      <c r="N53" s="1083"/>
      <c r="O53" s="1043"/>
      <c r="P53" s="70">
        <f>'XM.FILE GOC'!AF75</f>
        <v>0</v>
      </c>
      <c r="Q53" s="1119" t="s">
        <v>8</v>
      </c>
      <c r="R53" s="1120">
        <f>'XM.FILE GOC'!AI75</f>
        <v>0</v>
      </c>
      <c r="S53" s="1121"/>
      <c r="T53" s="1035"/>
      <c r="U53" s="1042"/>
      <c r="V53" s="1083"/>
      <c r="W53" s="1043"/>
      <c r="X53" s="70">
        <f>'XM.FILE GOC'!AL75</f>
        <v>0</v>
      </c>
      <c r="Y53" s="1119" t="s">
        <v>8</v>
      </c>
      <c r="Z53" s="1120">
        <f>'XM.FILE GOC'!AO75</f>
        <v>0</v>
      </c>
      <c r="AA53" s="1121"/>
      <c r="AB53" s="1035"/>
      <c r="AC53" s="1042"/>
      <c r="AD53" s="1083"/>
      <c r="AE53" s="1043"/>
      <c r="AF53" s="86"/>
    </row>
    <row r="54" spans="1:32" ht="48.75" customHeight="1">
      <c r="A54" s="1122">
        <v>7</v>
      </c>
      <c r="B54" s="1990" t="s">
        <v>1030</v>
      </c>
      <c r="C54" s="1991"/>
      <c r="D54" s="1991"/>
      <c r="E54" s="1992"/>
      <c r="F54" s="728" t="s">
        <v>6</v>
      </c>
      <c r="G54" s="1169" t="str">
        <f>'XM.GUI MAIL'!$E$76</f>
        <v>40~50 %V/V
(45±5% V/V)</v>
      </c>
      <c r="H54" s="355">
        <f>'XM.FILE GOC'!Z76</f>
        <v>0</v>
      </c>
      <c r="I54" s="1119" t="s">
        <v>8</v>
      </c>
      <c r="J54" s="1120">
        <f>'XM.FILE GOC'!AC76</f>
        <v>1163.5961538461538</v>
      </c>
      <c r="K54" s="1121" t="s">
        <v>10</v>
      </c>
      <c r="L54" s="1045"/>
      <c r="M54" s="1036" t="s">
        <v>8</v>
      </c>
      <c r="N54" s="1081">
        <f>('XM.FILE GOC'!$F$76-L54)*6723/2.6</f>
        <v>1163.5961538461538</v>
      </c>
      <c r="O54" s="1038" t="s">
        <v>10</v>
      </c>
      <c r="P54" s="355">
        <f>'XM.FILE GOC'!AF76</f>
        <v>0</v>
      </c>
      <c r="Q54" s="1119" t="s">
        <v>8</v>
      </c>
      <c r="R54" s="1120">
        <f>'XM.FILE GOC'!AI76</f>
        <v>1163.5961538461538</v>
      </c>
      <c r="S54" s="1121" t="s">
        <v>10</v>
      </c>
      <c r="T54" s="1045"/>
      <c r="U54" s="1036" t="s">
        <v>8</v>
      </c>
      <c r="V54" s="1081">
        <f>('XM.FILE GOC'!$F$76-T54)*6723/2.6</f>
        <v>1163.5961538461538</v>
      </c>
      <c r="W54" s="1038" t="s">
        <v>10</v>
      </c>
      <c r="X54" s="355">
        <f>'XM.FILE GOC'!AL76</f>
        <v>0</v>
      </c>
      <c r="Y54" s="1119" t="s">
        <v>8</v>
      </c>
      <c r="Z54" s="1120">
        <f>'XM.FILE GOC'!AO76</f>
        <v>1163.5961538461538</v>
      </c>
      <c r="AA54" s="1121" t="s">
        <v>10</v>
      </c>
      <c r="AB54" s="1045"/>
      <c r="AC54" s="1036" t="s">
        <v>8</v>
      </c>
      <c r="AD54" s="1081">
        <f>('XM.FILE GOC'!$F$76-AB54)*6723/2.6</f>
        <v>1163.5961538461538</v>
      </c>
      <c r="AE54" s="1038" t="s">
        <v>10</v>
      </c>
      <c r="AF54" s="85" t="s">
        <v>46</v>
      </c>
    </row>
    <row r="55" spans="1:32" ht="48.75" customHeight="1">
      <c r="A55" s="1122">
        <v>8</v>
      </c>
      <c r="B55" s="1990" t="s">
        <v>1031</v>
      </c>
      <c r="C55" s="1991"/>
      <c r="D55" s="1991"/>
      <c r="E55" s="1992"/>
      <c r="F55" s="728" t="s">
        <v>6</v>
      </c>
      <c r="G55" s="1169" t="str">
        <f>'XM.GUI MAIL'!$E$77</f>
        <v>40~50 %V/V
(45±5% V/V)</v>
      </c>
      <c r="H55" s="355">
        <f>'XM.FILE GOC'!Z77</f>
        <v>0</v>
      </c>
      <c r="I55" s="1119" t="s">
        <v>8</v>
      </c>
      <c r="J55" s="1120">
        <f>'XM.FILE GOC'!AC77</f>
        <v>1818.8653846153845</v>
      </c>
      <c r="K55" s="1121" t="s">
        <v>10</v>
      </c>
      <c r="L55" s="1045"/>
      <c r="M55" s="1039" t="s">
        <v>8</v>
      </c>
      <c r="N55" s="1081">
        <f>('XM.FILE GOC'!$F$77-L55)*10509/2.6</f>
        <v>1818.8653846153845</v>
      </c>
      <c r="O55" s="1041" t="s">
        <v>10</v>
      </c>
      <c r="P55" s="355">
        <f>'XM.FILE GOC'!AF77</f>
        <v>0</v>
      </c>
      <c r="Q55" s="1119" t="s">
        <v>8</v>
      </c>
      <c r="R55" s="1120">
        <f>'XM.FILE GOC'!AI77</f>
        <v>1818.8653846153845</v>
      </c>
      <c r="S55" s="1121" t="s">
        <v>10</v>
      </c>
      <c r="T55" s="1045"/>
      <c r="U55" s="1039" t="s">
        <v>8</v>
      </c>
      <c r="V55" s="1081">
        <f>('XM.FILE GOC'!$F$77-T55)*10509/2.6</f>
        <v>1818.8653846153845</v>
      </c>
      <c r="W55" s="1041" t="s">
        <v>10</v>
      </c>
      <c r="X55" s="355">
        <f>'XM.FILE GOC'!AL77</f>
        <v>0</v>
      </c>
      <c r="Y55" s="1119" t="s">
        <v>8</v>
      </c>
      <c r="Z55" s="1120">
        <f>'XM.FILE GOC'!AO77</f>
        <v>1818.8653846153845</v>
      </c>
      <c r="AA55" s="1121" t="s">
        <v>10</v>
      </c>
      <c r="AB55" s="1045"/>
      <c r="AC55" s="1039" t="s">
        <v>8</v>
      </c>
      <c r="AD55" s="1081">
        <f>('XM.FILE GOC'!$F$77-AB55)*10509/2.6</f>
        <v>1818.8653846153845</v>
      </c>
      <c r="AE55" s="1041" t="s">
        <v>10</v>
      </c>
      <c r="AF55" s="84" t="s">
        <v>46</v>
      </c>
    </row>
    <row r="56" spans="1:32" ht="48.75" customHeight="1">
      <c r="A56" s="1122">
        <v>9</v>
      </c>
      <c r="B56" s="1993" t="s">
        <v>86</v>
      </c>
      <c r="C56" s="1994"/>
      <c r="D56" s="1994"/>
      <c r="E56" s="1995"/>
      <c r="F56" s="728" t="s">
        <v>6</v>
      </c>
      <c r="G56" s="1169" t="str">
        <f>'XM.GUI MAIL'!$E$78</f>
        <v>20~40 %V/V
(30±5% V/V)</v>
      </c>
      <c r="H56" s="71">
        <f>'XM.FILE GOC'!Z78</f>
        <v>0</v>
      </c>
      <c r="I56" s="1119" t="s">
        <v>8</v>
      </c>
      <c r="J56" s="1120">
        <f>'XM.FILE GOC'!AC78</f>
        <v>334.55172413793105</v>
      </c>
      <c r="K56" s="1121" t="s">
        <v>10</v>
      </c>
      <c r="L56" s="1045"/>
      <c r="M56" s="1036" t="s">
        <v>8</v>
      </c>
      <c r="N56" s="1083">
        <f>('XM.FILE GOC'!$F$78-L56)*3234/2.9</f>
        <v>334.55172413793105</v>
      </c>
      <c r="O56" s="1038" t="s">
        <v>10</v>
      </c>
      <c r="P56" s="71">
        <f>'XM.FILE GOC'!AF78</f>
        <v>0</v>
      </c>
      <c r="Q56" s="1119" t="s">
        <v>8</v>
      </c>
      <c r="R56" s="1120">
        <f>'XM.FILE GOC'!AI78</f>
        <v>334.55172413793105</v>
      </c>
      <c r="S56" s="1121" t="s">
        <v>10</v>
      </c>
      <c r="T56" s="1045"/>
      <c r="U56" s="1036" t="s">
        <v>8</v>
      </c>
      <c r="V56" s="1083">
        <f>('XM.FILE GOC'!$F$78-T56)*3234/2.9</f>
        <v>334.55172413793105</v>
      </c>
      <c r="W56" s="1038" t="s">
        <v>10</v>
      </c>
      <c r="X56" s="71">
        <f>'XM.FILE GOC'!AL78</f>
        <v>0</v>
      </c>
      <c r="Y56" s="1119" t="s">
        <v>8</v>
      </c>
      <c r="Z56" s="1120">
        <f>'XM.FILE GOC'!AO78</f>
        <v>334.55172413793105</v>
      </c>
      <c r="AA56" s="1121" t="s">
        <v>10</v>
      </c>
      <c r="AB56" s="1045"/>
      <c r="AC56" s="1036" t="s">
        <v>8</v>
      </c>
      <c r="AD56" s="1083">
        <f>('XM.FILE GOC'!$F$78-AB56)*3234/2.9</f>
        <v>334.55172413793105</v>
      </c>
      <c r="AE56" s="1038" t="s">
        <v>10</v>
      </c>
      <c r="AF56" s="85" t="s">
        <v>47</v>
      </c>
    </row>
    <row r="57" spans="1:32" ht="48.75" customHeight="1">
      <c r="A57" s="1122">
        <v>10</v>
      </c>
      <c r="B57" s="1993" t="s">
        <v>1032</v>
      </c>
      <c r="C57" s="1994" t="s">
        <v>1032</v>
      </c>
      <c r="D57" s="1994" t="s">
        <v>1032</v>
      </c>
      <c r="E57" s="1995" t="s">
        <v>1032</v>
      </c>
      <c r="F57" s="728" t="s">
        <v>6</v>
      </c>
      <c r="G57" s="1169" t="str">
        <f>'XM.GUI MAIL'!$E$79</f>
        <v>0.5~1.5%
(1±0.4%)</v>
      </c>
      <c r="H57" s="358">
        <f>'XM.FILE GOC'!Z79</f>
        <v>0</v>
      </c>
      <c r="I57" s="1119" t="s">
        <v>8</v>
      </c>
      <c r="J57" s="1123">
        <f>'XM.FILE GOC'!AC79</f>
        <v>28.080000000000002</v>
      </c>
      <c r="K57" s="1124" t="s">
        <v>10</v>
      </c>
      <c r="L57" s="1046"/>
      <c r="M57" s="1084" t="s">
        <v>8</v>
      </c>
      <c r="N57" s="1085">
        <f>('XM.FILE GOC'!$F$79-L57)*2808</f>
        <v>28.080000000000002</v>
      </c>
      <c r="O57" s="1049" t="s">
        <v>10</v>
      </c>
      <c r="P57" s="358">
        <f>'XM.FILE GOC'!AF79</f>
        <v>0</v>
      </c>
      <c r="Q57" s="1119" t="s">
        <v>8</v>
      </c>
      <c r="R57" s="1123">
        <f>'XM.FILE GOC'!AI79</f>
        <v>28.080000000000002</v>
      </c>
      <c r="S57" s="1124" t="s">
        <v>10</v>
      </c>
      <c r="T57" s="1046"/>
      <c r="U57" s="1084" t="s">
        <v>8</v>
      </c>
      <c r="V57" s="1085">
        <f>('XM.FILE GOC'!$F$79-T57)*2808</f>
        <v>28.080000000000002</v>
      </c>
      <c r="W57" s="1049" t="s">
        <v>10</v>
      </c>
      <c r="X57" s="358">
        <f>'XM.FILE GOC'!AL79</f>
        <v>0</v>
      </c>
      <c r="Y57" s="1119" t="s">
        <v>8</v>
      </c>
      <c r="Z57" s="1123">
        <f>'XM.FILE GOC'!AO79</f>
        <v>15.600000000000001</v>
      </c>
      <c r="AA57" s="1124" t="s">
        <v>10</v>
      </c>
      <c r="AB57" s="1046"/>
      <c r="AC57" s="1084" t="s">
        <v>8</v>
      </c>
      <c r="AD57" s="1085">
        <f>('XM.FILE GOC'!$F$79-AB57)*2808</f>
        <v>28.080000000000002</v>
      </c>
      <c r="AE57" s="1049" t="s">
        <v>10</v>
      </c>
      <c r="AF57" s="85" t="s">
        <v>47</v>
      </c>
    </row>
    <row r="58" spans="1:32" ht="48.75" customHeight="1">
      <c r="A58" s="1122"/>
      <c r="B58" s="2010" t="s">
        <v>155</v>
      </c>
      <c r="C58" s="2011"/>
      <c r="D58" s="2011"/>
      <c r="E58" s="2011"/>
      <c r="F58" s="2011"/>
      <c r="G58" s="2011"/>
      <c r="H58" s="2011"/>
      <c r="I58" s="2011"/>
      <c r="J58" s="2011"/>
      <c r="K58" s="2011"/>
      <c r="L58" s="2011"/>
      <c r="M58" s="2011"/>
      <c r="N58" s="2011"/>
      <c r="O58" s="2011"/>
      <c r="P58" s="2011"/>
      <c r="Q58" s="2011"/>
      <c r="R58" s="2011"/>
      <c r="S58" s="2011"/>
      <c r="T58" s="2011"/>
      <c r="U58" s="2011"/>
      <c r="V58" s="2011"/>
      <c r="W58" s="2011"/>
      <c r="X58" s="2011"/>
      <c r="Y58" s="2011"/>
      <c r="Z58" s="2011"/>
      <c r="AA58" s="2011"/>
      <c r="AB58" s="2011"/>
      <c r="AC58" s="2011"/>
      <c r="AD58" s="2011"/>
      <c r="AE58" s="2011"/>
      <c r="AF58" s="2012"/>
    </row>
    <row r="59" spans="1:32" ht="48.75" customHeight="1">
      <c r="A59" s="1122" t="s">
        <v>7</v>
      </c>
      <c r="B59" s="2002" t="s">
        <v>1033</v>
      </c>
      <c r="C59" s="2003"/>
      <c r="D59" s="2003"/>
      <c r="E59" s="2004"/>
      <c r="F59" s="1125" t="s">
        <v>1034</v>
      </c>
      <c r="G59" s="1125" t="s">
        <v>1035</v>
      </c>
      <c r="H59" s="2005" t="s">
        <v>1036</v>
      </c>
      <c r="I59" s="2006"/>
      <c r="J59" s="2005" t="s">
        <v>1037</v>
      </c>
      <c r="K59" s="2006"/>
      <c r="L59" s="1050"/>
      <c r="M59" s="1051"/>
      <c r="N59" s="1051"/>
      <c r="O59" s="1052"/>
      <c r="P59" s="2005" t="s">
        <v>1036</v>
      </c>
      <c r="Q59" s="2006"/>
      <c r="R59" s="2005" t="s">
        <v>1037</v>
      </c>
      <c r="S59" s="2006"/>
      <c r="T59" s="1050"/>
      <c r="U59" s="1051"/>
      <c r="V59" s="1051"/>
      <c r="W59" s="1052"/>
      <c r="X59" s="2005" t="s">
        <v>1036</v>
      </c>
      <c r="Y59" s="2006"/>
      <c r="Z59" s="2005" t="s">
        <v>1037</v>
      </c>
      <c r="AA59" s="2006"/>
      <c r="AB59" s="1050"/>
      <c r="AC59" s="1051"/>
      <c r="AD59" s="1051"/>
      <c r="AE59" s="1052"/>
      <c r="AF59" s="11"/>
    </row>
    <row r="60" spans="1:32" ht="48.75" customHeight="1">
      <c r="A60" s="1122">
        <v>1</v>
      </c>
      <c r="B60" s="2002" t="s">
        <v>1038</v>
      </c>
      <c r="C60" s="2003"/>
      <c r="D60" s="2003"/>
      <c r="E60" s="2004"/>
      <c r="F60" s="1126" t="s">
        <v>1039</v>
      </c>
      <c r="G60" s="1171" t="str">
        <f>'XM.GUI MAIL'!$E$91</f>
        <v>65~75ºC
(70±3OC)</v>
      </c>
      <c r="H60" s="1893">
        <f>'XM.GUI MAIL'!Z91</f>
        <v>0</v>
      </c>
      <c r="I60" s="1893"/>
      <c r="J60" s="1893">
        <f>'XM.FILE GOC'!AC91</f>
        <v>0</v>
      </c>
      <c r="K60" s="1893"/>
      <c r="L60" s="1053"/>
      <c r="M60" s="1054"/>
      <c r="N60" s="1054"/>
      <c r="O60" s="1055"/>
      <c r="P60" s="1893">
        <f>'XM.GUI MAIL'!AF91</f>
        <v>0</v>
      </c>
      <c r="Q60" s="1893"/>
      <c r="R60" s="1893">
        <f>'XM.FILE GOC'!AI91</f>
        <v>0</v>
      </c>
      <c r="S60" s="1893"/>
      <c r="T60" s="1053"/>
      <c r="U60" s="1054"/>
      <c r="V60" s="1054"/>
      <c r="W60" s="1055"/>
      <c r="X60" s="1893">
        <f>'XM.GUI MAIL'!AL91</f>
        <v>0</v>
      </c>
      <c r="Y60" s="1893"/>
      <c r="Z60" s="1893">
        <f>'XM.FILE GOC'!AO91</f>
        <v>0</v>
      </c>
      <c r="AA60" s="1893"/>
      <c r="AB60" s="1053"/>
      <c r="AC60" s="1054"/>
      <c r="AD60" s="1054"/>
      <c r="AE60" s="1055"/>
      <c r="AF60" s="91"/>
    </row>
    <row r="61" spans="1:32" ht="48.75" customHeight="1">
      <c r="A61" s="1122">
        <v>2</v>
      </c>
      <c r="B61" s="2002" t="s">
        <v>1040</v>
      </c>
      <c r="C61" s="2003"/>
      <c r="D61" s="2003"/>
      <c r="E61" s="2004"/>
      <c r="F61" s="1126" t="s">
        <v>1039</v>
      </c>
      <c r="G61" s="1171" t="str">
        <f>'XM.GUI MAIL'!$E$92</f>
        <v>65~75ºC
(70±3OC)</v>
      </c>
      <c r="H61" s="1893">
        <f>'XM.GUI MAIL'!Z92</f>
        <v>0</v>
      </c>
      <c r="I61" s="1893"/>
      <c r="J61" s="1893">
        <f>'XM.FILE GOC'!AC92</f>
        <v>0</v>
      </c>
      <c r="K61" s="1893"/>
      <c r="L61" s="1053"/>
      <c r="M61" s="1054"/>
      <c r="N61" s="1054"/>
      <c r="O61" s="1055"/>
      <c r="P61" s="1893">
        <f>'XM.GUI MAIL'!AF92</f>
        <v>0</v>
      </c>
      <c r="Q61" s="1893"/>
      <c r="R61" s="1893">
        <f>'XM.FILE GOC'!AI92</f>
        <v>0</v>
      </c>
      <c r="S61" s="1893"/>
      <c r="T61" s="1053"/>
      <c r="U61" s="1054"/>
      <c r="V61" s="1054"/>
      <c r="W61" s="1055"/>
      <c r="X61" s="1893">
        <f>'XM.GUI MAIL'!AL92</f>
        <v>0</v>
      </c>
      <c r="Y61" s="1893"/>
      <c r="Z61" s="1893">
        <f>'XM.FILE GOC'!AO92</f>
        <v>0</v>
      </c>
      <c r="AA61" s="1893"/>
      <c r="AB61" s="1053"/>
      <c r="AC61" s="1054"/>
      <c r="AD61" s="1054"/>
      <c r="AE61" s="1055"/>
      <c r="AF61" s="91"/>
    </row>
    <row r="62" spans="1:32" ht="48.75" customHeight="1">
      <c r="A62" s="1122">
        <v>3</v>
      </c>
      <c r="B62" s="2002" t="s">
        <v>1041</v>
      </c>
      <c r="C62" s="2003"/>
      <c r="D62" s="2003"/>
      <c r="E62" s="2004"/>
      <c r="F62" s="1126" t="s">
        <v>1039</v>
      </c>
      <c r="G62" s="1171" t="str">
        <f>'XM.GUI MAIL'!$E$93</f>
        <v>60~70ºC
(65±3OC)</v>
      </c>
      <c r="H62" s="1893">
        <f>'XM.GUI MAIL'!Z93</f>
        <v>0</v>
      </c>
      <c r="I62" s="1893"/>
      <c r="J62" s="1893">
        <f>'XM.FILE GOC'!AC93</f>
        <v>0</v>
      </c>
      <c r="K62" s="1893"/>
      <c r="L62" s="1053"/>
      <c r="M62" s="1054"/>
      <c r="N62" s="1054"/>
      <c r="O62" s="1055"/>
      <c r="P62" s="1893">
        <f>'XM.GUI MAIL'!AF93</f>
        <v>0</v>
      </c>
      <c r="Q62" s="1893"/>
      <c r="R62" s="1893">
        <f>'XM.FILE GOC'!AI93</f>
        <v>0</v>
      </c>
      <c r="S62" s="1893"/>
      <c r="T62" s="1053"/>
      <c r="U62" s="1054"/>
      <c r="V62" s="1054"/>
      <c r="W62" s="1055"/>
      <c r="X62" s="1893">
        <f>'XM.GUI MAIL'!AL93</f>
        <v>0</v>
      </c>
      <c r="Y62" s="1893"/>
      <c r="Z62" s="1893">
        <f>'XM.FILE GOC'!AO93</f>
        <v>0</v>
      </c>
      <c r="AA62" s="1893"/>
      <c r="AB62" s="1053"/>
      <c r="AC62" s="1054"/>
      <c r="AD62" s="1054"/>
      <c r="AE62" s="1055"/>
      <c r="AF62" s="91"/>
    </row>
    <row r="63" spans="1:32" ht="48.75" customHeight="1">
      <c r="A63" s="1122">
        <v>4</v>
      </c>
      <c r="B63" s="2002" t="s">
        <v>1042</v>
      </c>
      <c r="C63" s="2003"/>
      <c r="D63" s="2003"/>
      <c r="E63" s="2004"/>
      <c r="F63" s="1126" t="s">
        <v>1039</v>
      </c>
      <c r="G63" s="1171" t="str">
        <f>'XM.GUI MAIL'!$E$94</f>
        <v>60~70ºC
(65±3OC)</v>
      </c>
      <c r="H63" s="1893">
        <f>'XM.GUI MAIL'!Z94</f>
        <v>0</v>
      </c>
      <c r="I63" s="1893"/>
      <c r="J63" s="1893">
        <f>'XM.FILE GOC'!AC94</f>
        <v>0</v>
      </c>
      <c r="K63" s="1893"/>
      <c r="L63" s="1053"/>
      <c r="M63" s="1054"/>
      <c r="N63" s="1054"/>
      <c r="O63" s="1055"/>
      <c r="P63" s="1893">
        <f>'XM.GUI MAIL'!AF94</f>
        <v>0</v>
      </c>
      <c r="Q63" s="1893"/>
      <c r="R63" s="1893">
        <f>'XM.FILE GOC'!AI94</f>
        <v>0</v>
      </c>
      <c r="S63" s="1893"/>
      <c r="T63" s="1053"/>
      <c r="U63" s="1054"/>
      <c r="V63" s="1054"/>
      <c r="W63" s="1055"/>
      <c r="X63" s="1893">
        <f>'XM.GUI MAIL'!AL94</f>
        <v>0</v>
      </c>
      <c r="Y63" s="1893"/>
      <c r="Z63" s="1893">
        <f>'XM.FILE GOC'!AO94</f>
        <v>0</v>
      </c>
      <c r="AA63" s="1893"/>
      <c r="AB63" s="1053"/>
      <c r="AC63" s="1054"/>
      <c r="AD63" s="1054"/>
      <c r="AE63" s="1055"/>
      <c r="AF63" s="91"/>
    </row>
    <row r="64" spans="1:32" ht="48.75" customHeight="1">
      <c r="A64" s="1122">
        <v>5</v>
      </c>
      <c r="B64" s="2002" t="s">
        <v>1043</v>
      </c>
      <c r="C64" s="2003"/>
      <c r="D64" s="2003"/>
      <c r="E64" s="2004"/>
      <c r="F64" s="1126" t="s">
        <v>1039</v>
      </c>
      <c r="G64" s="1171" t="str">
        <f>'XM.GUI MAIL'!$E$95</f>
        <v>24~26ºC
(25OC)</v>
      </c>
      <c r="H64" s="1866">
        <f>'XM.GUI MAIL'!Z95</f>
        <v>0</v>
      </c>
      <c r="I64" s="1867"/>
      <c r="J64" s="1866">
        <f>'XM.FILE GOC'!AC95</f>
        <v>0</v>
      </c>
      <c r="K64" s="1867"/>
      <c r="L64" s="1050"/>
      <c r="M64" s="1051"/>
      <c r="N64" s="1051"/>
      <c r="O64" s="1052"/>
      <c r="P64" s="1866">
        <f>'XM.GUI MAIL'!AF95</f>
        <v>0</v>
      </c>
      <c r="Q64" s="1867"/>
      <c r="R64" s="1866">
        <f>'XM.FILE GOC'!AI95</f>
        <v>0</v>
      </c>
      <c r="S64" s="1867"/>
      <c r="T64" s="1050"/>
      <c r="U64" s="1051"/>
      <c r="V64" s="1051"/>
      <c r="W64" s="1052"/>
      <c r="X64" s="1866">
        <f>'XM.GUI MAIL'!AL95</f>
        <v>0</v>
      </c>
      <c r="Y64" s="1867"/>
      <c r="Z64" s="1866">
        <f>'XM.FILE GOC'!AO95</f>
        <v>0</v>
      </c>
      <c r="AA64" s="1867"/>
      <c r="AB64" s="1053"/>
      <c r="AC64" s="1054"/>
      <c r="AD64" s="1054"/>
      <c r="AE64" s="1055"/>
      <c r="AF64" s="91"/>
    </row>
    <row r="65" spans="1:32" ht="48.75" customHeight="1">
      <c r="A65" s="1122">
        <v>6</v>
      </c>
      <c r="B65" s="2002" t="s">
        <v>1044</v>
      </c>
      <c r="C65" s="2003"/>
      <c r="D65" s="2003"/>
      <c r="E65" s="2004"/>
      <c r="F65" s="1126" t="s">
        <v>1039</v>
      </c>
      <c r="G65" s="1171" t="str">
        <f>'XM.GUI MAIL'!$E$96</f>
        <v>34~36ºC
(35±1OC)</v>
      </c>
      <c r="H65" s="1866">
        <f>'XM.GUI MAIL'!Z96</f>
        <v>0</v>
      </c>
      <c r="I65" s="1867"/>
      <c r="J65" s="1866">
        <f>'XM.FILE GOC'!AC96</f>
        <v>0</v>
      </c>
      <c r="K65" s="1867"/>
      <c r="L65" s="1050"/>
      <c r="M65" s="1051"/>
      <c r="N65" s="1051"/>
      <c r="O65" s="1052"/>
      <c r="P65" s="1866">
        <f>'XM.GUI MAIL'!AF96</f>
        <v>0</v>
      </c>
      <c r="Q65" s="1867"/>
      <c r="R65" s="1866">
        <f>'XM.FILE GOC'!AI96</f>
        <v>0</v>
      </c>
      <c r="S65" s="1867"/>
      <c r="T65" s="1050"/>
      <c r="U65" s="1051"/>
      <c r="V65" s="1051"/>
      <c r="W65" s="1052"/>
      <c r="X65" s="1866">
        <f>'XM.GUI MAIL'!AL96</f>
        <v>0</v>
      </c>
      <c r="Y65" s="1867"/>
      <c r="Z65" s="1866">
        <f>'XM.FILE GOC'!AO96</f>
        <v>0</v>
      </c>
      <c r="AA65" s="1867"/>
      <c r="AB65" s="1053"/>
      <c r="AC65" s="1054"/>
      <c r="AD65" s="1054"/>
      <c r="AE65" s="1055"/>
      <c r="AF65" s="91"/>
    </row>
    <row r="66" spans="1:32" ht="48.75" customHeight="1">
      <c r="A66" s="1122">
        <v>7</v>
      </c>
      <c r="B66" s="2002" t="s">
        <v>1045</v>
      </c>
      <c r="C66" s="2003"/>
      <c r="D66" s="2003"/>
      <c r="E66" s="2004"/>
      <c r="F66" s="1126" t="s">
        <v>1039</v>
      </c>
      <c r="G66" s="1171" t="str">
        <f>'XM.GUI MAIL'!$E$97</f>
        <v>55~65ºC
(60±3OC)</v>
      </c>
      <c r="H66" s="1893">
        <f>'XM.GUI MAIL'!Z97</f>
        <v>0</v>
      </c>
      <c r="I66" s="1893"/>
      <c r="J66" s="1893">
        <f>'XM.FILE GOC'!AC97</f>
        <v>0</v>
      </c>
      <c r="K66" s="1893"/>
      <c r="L66" s="1053"/>
      <c r="M66" s="1054"/>
      <c r="N66" s="1054"/>
      <c r="O66" s="1055"/>
      <c r="P66" s="1893">
        <f>'XM.GUI MAIL'!AF97</f>
        <v>0</v>
      </c>
      <c r="Q66" s="1893"/>
      <c r="R66" s="1893">
        <f>'XM.FILE GOC'!AI97</f>
        <v>0</v>
      </c>
      <c r="S66" s="1893"/>
      <c r="T66" s="1053"/>
      <c r="U66" s="1054"/>
      <c r="V66" s="1054"/>
      <c r="W66" s="1055"/>
      <c r="X66" s="1893">
        <f>'XM.GUI MAIL'!AL97</f>
        <v>0</v>
      </c>
      <c r="Y66" s="1893"/>
      <c r="Z66" s="1893">
        <f>'XM.FILE GOC'!AO97</f>
        <v>0</v>
      </c>
      <c r="AA66" s="1893"/>
      <c r="AB66" s="1053"/>
      <c r="AC66" s="1054"/>
      <c r="AD66" s="1054"/>
      <c r="AE66" s="1055"/>
      <c r="AF66" s="91"/>
    </row>
    <row r="67" spans="1:32" ht="48.75" customHeight="1">
      <c r="A67" s="1122">
        <v>8</v>
      </c>
      <c r="B67" s="2002" t="s">
        <v>1046</v>
      </c>
      <c r="C67" s="2003"/>
      <c r="D67" s="2003"/>
      <c r="E67" s="2004"/>
      <c r="F67" s="1126" t="s">
        <v>1039</v>
      </c>
      <c r="G67" s="1171" t="str">
        <f>'XM.GUI MAIL'!$E$98</f>
        <v>65~75ºC
(70±3OC)</v>
      </c>
      <c r="H67" s="2007" t="s">
        <v>49</v>
      </c>
      <c r="I67" s="2007"/>
      <c r="J67" s="1893">
        <f>'XM.FILE GOC'!AC98</f>
        <v>0</v>
      </c>
      <c r="K67" s="1893"/>
      <c r="L67" s="1056"/>
      <c r="M67" s="1057"/>
      <c r="N67" s="1057"/>
      <c r="O67" s="1058"/>
      <c r="P67" s="2007" t="s">
        <v>49</v>
      </c>
      <c r="Q67" s="2007"/>
      <c r="R67" s="1893">
        <f>'XM.FILE GOC'!AI98</f>
        <v>0</v>
      </c>
      <c r="S67" s="1893"/>
      <c r="T67" s="1056"/>
      <c r="U67" s="1057"/>
      <c r="V67" s="1057"/>
      <c r="W67" s="1058"/>
      <c r="X67" s="2007" t="s">
        <v>49</v>
      </c>
      <c r="Y67" s="2007"/>
      <c r="Z67" s="1893">
        <f>'XM.FILE GOC'!AO98</f>
        <v>0</v>
      </c>
      <c r="AA67" s="1893"/>
      <c r="AB67" s="1056"/>
      <c r="AC67" s="1057"/>
      <c r="AD67" s="1057"/>
      <c r="AE67" s="1058"/>
      <c r="AF67" s="91"/>
    </row>
    <row r="68" spans="1:32" ht="48.75" customHeight="1">
      <c r="A68" s="1122"/>
      <c r="B68" s="2010" t="s">
        <v>154</v>
      </c>
      <c r="C68" s="2011"/>
      <c r="D68" s="2011"/>
      <c r="E68" s="2011"/>
      <c r="F68" s="2011"/>
      <c r="G68" s="2011"/>
      <c r="H68" s="2011"/>
      <c r="I68" s="2011"/>
      <c r="J68" s="2011"/>
      <c r="K68" s="2011"/>
      <c r="L68" s="2011"/>
      <c r="M68" s="2011"/>
      <c r="N68" s="2011"/>
      <c r="O68" s="2011"/>
      <c r="P68" s="2011"/>
      <c r="Q68" s="2011"/>
      <c r="R68" s="2011"/>
      <c r="S68" s="2011"/>
      <c r="T68" s="2011"/>
      <c r="U68" s="2011"/>
      <c r="V68" s="2011"/>
      <c r="W68" s="2011"/>
      <c r="X68" s="2011"/>
      <c r="Y68" s="2011"/>
      <c r="Z68" s="2011"/>
      <c r="AA68" s="2011"/>
      <c r="AB68" s="2011"/>
      <c r="AC68" s="2011"/>
      <c r="AD68" s="2011"/>
      <c r="AE68" s="2011"/>
      <c r="AF68" s="2012"/>
    </row>
    <row r="69" spans="1:32" ht="48.75" customHeight="1">
      <c r="A69" s="1122" t="s">
        <v>7</v>
      </c>
      <c r="B69" s="2002" t="s">
        <v>1047</v>
      </c>
      <c r="C69" s="2003"/>
      <c r="D69" s="2003"/>
      <c r="E69" s="2004"/>
      <c r="F69" s="1125" t="s">
        <v>789</v>
      </c>
      <c r="G69" s="1125" t="s">
        <v>1035</v>
      </c>
      <c r="H69" s="2005" t="s">
        <v>1048</v>
      </c>
      <c r="I69" s="2009"/>
      <c r="J69" s="2009"/>
      <c r="K69" s="2006"/>
      <c r="L69" s="1050"/>
      <c r="M69" s="1051"/>
      <c r="N69" s="1051"/>
      <c r="O69" s="1052"/>
      <c r="P69" s="2005" t="s">
        <v>1048</v>
      </c>
      <c r="Q69" s="2009"/>
      <c r="R69" s="2009"/>
      <c r="S69" s="2006"/>
      <c r="T69" s="1050"/>
      <c r="U69" s="1051"/>
      <c r="V69" s="1051"/>
      <c r="W69" s="1052"/>
      <c r="X69" s="2005" t="s">
        <v>1048</v>
      </c>
      <c r="Y69" s="2009"/>
      <c r="Z69" s="2009"/>
      <c r="AA69" s="2006"/>
      <c r="AB69" s="1050"/>
      <c r="AC69" s="1051"/>
      <c r="AD69" s="1051"/>
      <c r="AE69" s="1052"/>
      <c r="AF69" s="11"/>
    </row>
    <row r="70" spans="1:32" ht="48.75" customHeight="1">
      <c r="A70" s="1122">
        <v>1</v>
      </c>
      <c r="B70" s="1993" t="s">
        <v>1229</v>
      </c>
      <c r="C70" s="1994"/>
      <c r="D70" s="1994"/>
      <c r="E70" s="1995"/>
      <c r="F70" s="728" t="s">
        <v>50</v>
      </c>
      <c r="G70" s="1588" t="str">
        <f>'XM.GUI MAIL'!$E$105</f>
        <v>30~50 
(40)</v>
      </c>
      <c r="H70" s="1866">
        <f>'XM.GUI MAIL'!Z105</f>
        <v>0</v>
      </c>
      <c r="I70" s="1867"/>
      <c r="J70" s="1867"/>
      <c r="K70" s="1867"/>
      <c r="L70" s="1563"/>
      <c r="M70" s="1564"/>
      <c r="N70" s="1564"/>
      <c r="O70" s="1565"/>
      <c r="P70" s="1866">
        <f>'XM.GUI MAIL'!AF105</f>
        <v>0</v>
      </c>
      <c r="Q70" s="1867"/>
      <c r="R70" s="1867"/>
      <c r="S70" s="1867"/>
      <c r="T70" s="1563"/>
      <c r="U70" s="1564"/>
      <c r="V70" s="1564"/>
      <c r="W70" s="1565"/>
      <c r="X70" s="1866">
        <f>'XM.GUI MAIL'!AL105</f>
        <v>0</v>
      </c>
      <c r="Y70" s="1867"/>
      <c r="Z70" s="1867"/>
      <c r="AA70" s="1868"/>
      <c r="AB70" s="1059"/>
      <c r="AC70" s="1032"/>
      <c r="AD70" s="1032"/>
      <c r="AE70" s="1060"/>
      <c r="AF70" s="91"/>
    </row>
    <row r="71" spans="1:32" ht="48.75" customHeight="1">
      <c r="A71" s="1122">
        <v>2</v>
      </c>
      <c r="B71" s="1993" t="s">
        <v>261</v>
      </c>
      <c r="C71" s="1994"/>
      <c r="D71" s="1994"/>
      <c r="E71" s="1995"/>
      <c r="F71" s="728" t="s">
        <v>50</v>
      </c>
      <c r="G71" s="1588" t="str">
        <f>'XM.GUI MAIL'!$E$106</f>
        <v>160~220
(180)</v>
      </c>
      <c r="H71" s="1866">
        <f>'XM.GUI MAIL'!Z106</f>
        <v>0</v>
      </c>
      <c r="I71" s="1867"/>
      <c r="J71" s="1867"/>
      <c r="K71" s="1867"/>
      <c r="L71" s="1560"/>
      <c r="M71" s="1561"/>
      <c r="N71" s="1561"/>
      <c r="O71" s="1562"/>
      <c r="P71" s="1866">
        <f>'XM.GUI MAIL'!AF106</f>
        <v>0</v>
      </c>
      <c r="Q71" s="1867"/>
      <c r="R71" s="1867"/>
      <c r="S71" s="1867"/>
      <c r="T71" s="1560"/>
      <c r="U71" s="1561"/>
      <c r="V71" s="1561"/>
      <c r="W71" s="1562"/>
      <c r="X71" s="1866">
        <f>'XM.GUI MAIL'!AL106</f>
        <v>0</v>
      </c>
      <c r="Y71" s="1867"/>
      <c r="Z71" s="1867"/>
      <c r="AA71" s="1868"/>
      <c r="AB71" s="1061"/>
      <c r="AC71" s="1062"/>
      <c r="AD71" s="1062"/>
      <c r="AE71" s="1063"/>
      <c r="AF71" s="91"/>
    </row>
  </sheetData>
  <sheetProtection selectLockedCells="1"/>
  <mergeCells count="256">
    <mergeCell ref="AC2:AD2"/>
    <mergeCell ref="AE2:AF2"/>
    <mergeCell ref="AC3:AD3"/>
    <mergeCell ref="AE3:AF3"/>
    <mergeCell ref="L40:O40"/>
    <mergeCell ref="M41:O41"/>
    <mergeCell ref="T40:W40"/>
    <mergeCell ref="U41:W41"/>
    <mergeCell ref="AB40:AE40"/>
    <mergeCell ref="AC41:AE41"/>
    <mergeCell ref="AC38:AD38"/>
    <mergeCell ref="AE38:AF38"/>
    <mergeCell ref="AC39:AD39"/>
    <mergeCell ref="AE39:AF39"/>
    <mergeCell ref="Z39:AA39"/>
    <mergeCell ref="Z30:AA30"/>
    <mergeCell ref="Z28:AA28"/>
    <mergeCell ref="Z26:AA26"/>
    <mergeCell ref="Z24:AA24"/>
    <mergeCell ref="B71:E71"/>
    <mergeCell ref="H71:K71"/>
    <mergeCell ref="P71:S71"/>
    <mergeCell ref="X71:AA71"/>
    <mergeCell ref="B68:AF68"/>
    <mergeCell ref="B69:E69"/>
    <mergeCell ref="H69:K69"/>
    <mergeCell ref="P69:S69"/>
    <mergeCell ref="X69:AA69"/>
    <mergeCell ref="B70:E70"/>
    <mergeCell ref="H70:K70"/>
    <mergeCell ref="P70:S70"/>
    <mergeCell ref="X70:AA70"/>
    <mergeCell ref="Z66:AA66"/>
    <mergeCell ref="B67:E67"/>
    <mergeCell ref="H67:I67"/>
    <mergeCell ref="J67:K67"/>
    <mergeCell ref="P67:Q67"/>
    <mergeCell ref="R67:S67"/>
    <mergeCell ref="X67:Y67"/>
    <mergeCell ref="Z67:AA67"/>
    <mergeCell ref="B66:E66"/>
    <mergeCell ref="H66:I66"/>
    <mergeCell ref="J66:K66"/>
    <mergeCell ref="P66:Q66"/>
    <mergeCell ref="R66:S66"/>
    <mergeCell ref="X66:Y66"/>
    <mergeCell ref="Z64:AA64"/>
    <mergeCell ref="B65:E65"/>
    <mergeCell ref="H65:I65"/>
    <mergeCell ref="J65:K65"/>
    <mergeCell ref="P65:Q65"/>
    <mergeCell ref="R65:S65"/>
    <mergeCell ref="X65:Y65"/>
    <mergeCell ref="Z65:AA65"/>
    <mergeCell ref="B64:E64"/>
    <mergeCell ref="H64:I64"/>
    <mergeCell ref="J64:K64"/>
    <mergeCell ref="P64:Q64"/>
    <mergeCell ref="R64:S64"/>
    <mergeCell ref="X64:Y64"/>
    <mergeCell ref="Z62:AA62"/>
    <mergeCell ref="B63:E63"/>
    <mergeCell ref="H63:I63"/>
    <mergeCell ref="J63:K63"/>
    <mergeCell ref="P63:Q63"/>
    <mergeCell ref="R63:S63"/>
    <mergeCell ref="X63:Y63"/>
    <mergeCell ref="Z63:AA63"/>
    <mergeCell ref="B62:E62"/>
    <mergeCell ref="H62:I62"/>
    <mergeCell ref="J62:K62"/>
    <mergeCell ref="P62:Q62"/>
    <mergeCell ref="R62:S62"/>
    <mergeCell ref="X62:Y62"/>
    <mergeCell ref="Z60:AA60"/>
    <mergeCell ref="B61:E61"/>
    <mergeCell ref="H61:I61"/>
    <mergeCell ref="J61:K61"/>
    <mergeCell ref="P61:Q61"/>
    <mergeCell ref="R61:S61"/>
    <mergeCell ref="X61:Y61"/>
    <mergeCell ref="Z61:AA61"/>
    <mergeCell ref="B60:E60"/>
    <mergeCell ref="H60:I60"/>
    <mergeCell ref="J60:K60"/>
    <mergeCell ref="P60:Q60"/>
    <mergeCell ref="R60:S60"/>
    <mergeCell ref="X60:Y60"/>
    <mergeCell ref="B57:E57"/>
    <mergeCell ref="B58:AF58"/>
    <mergeCell ref="B59:E59"/>
    <mergeCell ref="H59:I59"/>
    <mergeCell ref="J59:K59"/>
    <mergeCell ref="P59:Q59"/>
    <mergeCell ref="R59:S59"/>
    <mergeCell ref="X59:Y59"/>
    <mergeCell ref="Z59:AA59"/>
    <mergeCell ref="A52:A53"/>
    <mergeCell ref="B52:D53"/>
    <mergeCell ref="E52:E53"/>
    <mergeCell ref="B54:E54"/>
    <mergeCell ref="B55:E55"/>
    <mergeCell ref="B56:E56"/>
    <mergeCell ref="A48:A49"/>
    <mergeCell ref="B48:C49"/>
    <mergeCell ref="D48:E48"/>
    <mergeCell ref="D49:E49"/>
    <mergeCell ref="A50:A51"/>
    <mergeCell ref="B50:B51"/>
    <mergeCell ref="C50:E50"/>
    <mergeCell ref="C51:E51"/>
    <mergeCell ref="A44:A45"/>
    <mergeCell ref="B44:C45"/>
    <mergeCell ref="D44:E44"/>
    <mergeCell ref="D45:E45"/>
    <mergeCell ref="A46:A47"/>
    <mergeCell ref="B46:C47"/>
    <mergeCell ref="D46:E46"/>
    <mergeCell ref="D47:E47"/>
    <mergeCell ref="AF40:AF41"/>
    <mergeCell ref="I41:K41"/>
    <mergeCell ref="Q41:S41"/>
    <mergeCell ref="Y41:AA41"/>
    <mergeCell ref="A42:A43"/>
    <mergeCell ref="B42:C43"/>
    <mergeCell ref="D42:E42"/>
    <mergeCell ref="D43:E43"/>
    <mergeCell ref="A40:A41"/>
    <mergeCell ref="B40:E41"/>
    <mergeCell ref="F40:F41"/>
    <mergeCell ref="G40:G41"/>
    <mergeCell ref="H40:K40"/>
    <mergeCell ref="P40:S40"/>
    <mergeCell ref="X40:AA40"/>
    <mergeCell ref="B35:E35"/>
    <mergeCell ref="H35:K35"/>
    <mergeCell ref="P35:S35"/>
    <mergeCell ref="X35:AA35"/>
    <mergeCell ref="A37:Y37"/>
    <mergeCell ref="A38:Y38"/>
    <mergeCell ref="Z38:AA38"/>
    <mergeCell ref="B32:AF32"/>
    <mergeCell ref="B33:E33"/>
    <mergeCell ref="H33:K33"/>
    <mergeCell ref="P33:S33"/>
    <mergeCell ref="X33:AA33"/>
    <mergeCell ref="B34:E34"/>
    <mergeCell ref="H34:K34"/>
    <mergeCell ref="P34:S34"/>
    <mergeCell ref="X34:AA34"/>
    <mergeCell ref="B31:E31"/>
    <mergeCell ref="H31:I31"/>
    <mergeCell ref="J31:K31"/>
    <mergeCell ref="P31:Q31"/>
    <mergeCell ref="R31:S31"/>
    <mergeCell ref="X31:Y31"/>
    <mergeCell ref="Z31:AA31"/>
    <mergeCell ref="B30:E30"/>
    <mergeCell ref="H30:I30"/>
    <mergeCell ref="J30:K30"/>
    <mergeCell ref="P30:Q30"/>
    <mergeCell ref="R30:S30"/>
    <mergeCell ref="X30:Y30"/>
    <mergeCell ref="B29:E29"/>
    <mergeCell ref="H29:I29"/>
    <mergeCell ref="J29:K29"/>
    <mergeCell ref="P29:Q29"/>
    <mergeCell ref="R29:S29"/>
    <mergeCell ref="X29:Y29"/>
    <mergeCell ref="Z29:AA29"/>
    <mergeCell ref="B28:E28"/>
    <mergeCell ref="H28:I28"/>
    <mergeCell ref="J28:K28"/>
    <mergeCell ref="P28:Q28"/>
    <mergeCell ref="R28:S28"/>
    <mergeCell ref="X28:Y28"/>
    <mergeCell ref="B27:E27"/>
    <mergeCell ref="H27:I27"/>
    <mergeCell ref="J27:K27"/>
    <mergeCell ref="P27:Q27"/>
    <mergeCell ref="R27:S27"/>
    <mergeCell ref="X27:Y27"/>
    <mergeCell ref="Z27:AA27"/>
    <mergeCell ref="B26:E26"/>
    <mergeCell ref="H26:I26"/>
    <mergeCell ref="J26:K26"/>
    <mergeCell ref="P26:Q26"/>
    <mergeCell ref="R26:S26"/>
    <mergeCell ref="X26:Y26"/>
    <mergeCell ref="B25:E25"/>
    <mergeCell ref="H25:I25"/>
    <mergeCell ref="J25:K25"/>
    <mergeCell ref="P25:Q25"/>
    <mergeCell ref="R25:S25"/>
    <mergeCell ref="X25:Y25"/>
    <mergeCell ref="Z25:AA25"/>
    <mergeCell ref="B24:E24"/>
    <mergeCell ref="H24:I24"/>
    <mergeCell ref="J24:K24"/>
    <mergeCell ref="P24:Q24"/>
    <mergeCell ref="R24:S24"/>
    <mergeCell ref="X24:Y24"/>
    <mergeCell ref="B21:E21"/>
    <mergeCell ref="B22:AF22"/>
    <mergeCell ref="B23:E23"/>
    <mergeCell ref="H23:I23"/>
    <mergeCell ref="J23:K23"/>
    <mergeCell ref="P23:Q23"/>
    <mergeCell ref="R23:S23"/>
    <mergeCell ref="X23:Y23"/>
    <mergeCell ref="Z23:AA23"/>
    <mergeCell ref="A16:A17"/>
    <mergeCell ref="B16:D17"/>
    <mergeCell ref="E16:E17"/>
    <mergeCell ref="B18:E18"/>
    <mergeCell ref="B19:E19"/>
    <mergeCell ref="B20:E20"/>
    <mergeCell ref="A12:A13"/>
    <mergeCell ref="B12:C13"/>
    <mergeCell ref="D12:E12"/>
    <mergeCell ref="D13:E13"/>
    <mergeCell ref="A14:A15"/>
    <mergeCell ref="C14:E14"/>
    <mergeCell ref="C15:E15"/>
    <mergeCell ref="B14:B15"/>
    <mergeCell ref="A8:A9"/>
    <mergeCell ref="B8:C9"/>
    <mergeCell ref="D8:E8"/>
    <mergeCell ref="D9:E9"/>
    <mergeCell ref="A10:A11"/>
    <mergeCell ref="B10:C11"/>
    <mergeCell ref="D10:E10"/>
    <mergeCell ref="D11:E11"/>
    <mergeCell ref="AF4:AF5"/>
    <mergeCell ref="I5:K5"/>
    <mergeCell ref="Q5:S5"/>
    <mergeCell ref="Y5:AA5"/>
    <mergeCell ref="A6:A7"/>
    <mergeCell ref="B6:C7"/>
    <mergeCell ref="D6:E6"/>
    <mergeCell ref="D7:E7"/>
    <mergeCell ref="L4:O4"/>
    <mergeCell ref="M5:O5"/>
    <mergeCell ref="T4:W4"/>
    <mergeCell ref="U5:W5"/>
    <mergeCell ref="AB4:AE4"/>
    <mergeCell ref="AC5:AE5"/>
    <mergeCell ref="A1:Y1"/>
    <mergeCell ref="A2:Y2"/>
    <mergeCell ref="A4:A5"/>
    <mergeCell ref="B4:E5"/>
    <mergeCell ref="F4:F5"/>
    <mergeCell ref="G4:G5"/>
    <mergeCell ref="H4:K4"/>
    <mergeCell ref="P4:S4"/>
    <mergeCell ref="X4:AA4"/>
  </mergeCells>
  <phoneticPr fontId="6" type="noConversion"/>
  <conditionalFormatting sqref="H57 P57 X57 H21 P21 X21">
    <cfRule type="expression" dxfId="2206" priority="891">
      <formula>H21&lt;0.5%</formula>
    </cfRule>
    <cfRule type="expression" dxfId="2205" priority="892">
      <formula>H21&gt;1.5%</formula>
    </cfRule>
  </conditionalFormatting>
  <conditionalFormatting sqref="H60:K61 P60:S61 X60:AA61 X24:AA25 H24:K25 P24:S25 J31:K31 R31:S31 Z31:AA31">
    <cfRule type="expression" dxfId="2204" priority="749">
      <formula>H24&lt;65</formula>
    </cfRule>
    <cfRule type="expression" dxfId="2203" priority="750">
      <formula>H24&gt;75</formula>
    </cfRule>
  </conditionalFormatting>
  <conditionalFormatting sqref="H66:K66 P66:S66 X66:AA66 H30:K30 P30:S30 X30:AA30">
    <cfRule type="expression" dxfId="2202" priority="741">
      <formula>H30&lt;55</formula>
    </cfRule>
    <cfRule type="expression" dxfId="2201" priority="742">
      <formula>H30&gt;65</formula>
    </cfRule>
  </conditionalFormatting>
  <conditionalFormatting sqref="X46 P46 H46 X10 P10 H10 H12 P12 X12">
    <cfRule type="expression" dxfId="2200" priority="444" stopIfTrue="1">
      <formula>H10&lt;50</formula>
    </cfRule>
  </conditionalFormatting>
  <conditionalFormatting sqref="X46 P46 H46 X10 P10 H10 H12 P12 X12">
    <cfRule type="expression" dxfId="2199" priority="443" stopIfTrue="1">
      <formula>H10&gt;70</formula>
    </cfRule>
  </conditionalFormatting>
  <conditionalFormatting sqref="H62:K63 P62:S63 X62:AA63 H26:K27 P26:S27 X26:AA27">
    <cfRule type="expression" dxfId="2198" priority="385">
      <formula>H26&lt;60</formula>
    </cfRule>
    <cfRule type="expression" dxfId="2197" priority="386">
      <formula>H26&gt;70</formula>
    </cfRule>
  </conditionalFormatting>
  <conditionalFormatting sqref="H54:H55 X54:X55 P54:P55 H18:H19 X18:X19 P18:P19">
    <cfRule type="expression" dxfId="2196" priority="381">
      <formula>H18&lt;40%</formula>
    </cfRule>
    <cfRule type="expression" dxfId="2195" priority="382">
      <formula>H18&gt;50%</formula>
    </cfRule>
  </conditionalFormatting>
  <conditionalFormatting sqref="J67:K67">
    <cfRule type="expression" dxfId="2194" priority="293">
      <formula>J67&lt;65</formula>
    </cfRule>
    <cfRule type="expression" dxfId="2193" priority="294">
      <formula>J67&gt;75</formula>
    </cfRule>
  </conditionalFormatting>
  <conditionalFormatting sqref="R67:S67">
    <cfRule type="expression" dxfId="2192" priority="291">
      <formula>R67&lt;65</formula>
    </cfRule>
    <cfRule type="expression" dxfId="2191" priority="292">
      <formula>R67&gt;75</formula>
    </cfRule>
  </conditionalFormatting>
  <conditionalFormatting sqref="Z67:AA67">
    <cfRule type="expression" dxfId="2190" priority="289">
      <formula>Z67&lt;65</formula>
    </cfRule>
    <cfRule type="expression" dxfId="2189" priority="290">
      <formula>Z67&gt;75</formula>
    </cfRule>
  </conditionalFormatting>
  <conditionalFormatting sqref="H42 H6 H8 P6 P8 X6 X8">
    <cfRule type="expression" dxfId="2188" priority="192" stopIfTrue="1">
      <formula>H6&lt;40</formula>
    </cfRule>
  </conditionalFormatting>
  <conditionalFormatting sqref="H42 H6 H8 P6 P8 X6 X8">
    <cfRule type="expression" dxfId="2187" priority="191" stopIfTrue="1">
      <formula>H6&gt;60</formula>
    </cfRule>
  </conditionalFormatting>
  <conditionalFormatting sqref="H44">
    <cfRule type="expression" dxfId="2186" priority="190" stopIfTrue="1">
      <formula>H44&lt;40</formula>
    </cfRule>
  </conditionalFormatting>
  <conditionalFormatting sqref="H44">
    <cfRule type="expression" dxfId="2185" priority="189" stopIfTrue="1">
      <formula>H44&gt;60</formula>
    </cfRule>
  </conditionalFormatting>
  <conditionalFormatting sqref="P42">
    <cfRule type="expression" dxfId="2184" priority="188" stopIfTrue="1">
      <formula>P42&lt;40</formula>
    </cfRule>
  </conditionalFormatting>
  <conditionalFormatting sqref="P42">
    <cfRule type="expression" dxfId="2183" priority="187" stopIfTrue="1">
      <formula>P42&gt;60</formula>
    </cfRule>
  </conditionalFormatting>
  <conditionalFormatting sqref="P44">
    <cfRule type="expression" dxfId="2182" priority="186" stopIfTrue="1">
      <formula>P44&lt;40</formula>
    </cfRule>
  </conditionalFormatting>
  <conditionalFormatting sqref="P44">
    <cfRule type="expression" dxfId="2181" priority="185" stopIfTrue="1">
      <formula>P44&gt;60</formula>
    </cfRule>
  </conditionalFormatting>
  <conditionalFormatting sqref="X42">
    <cfRule type="expression" dxfId="2180" priority="184" stopIfTrue="1">
      <formula>X42&lt;40</formula>
    </cfRule>
  </conditionalFormatting>
  <conditionalFormatting sqref="X42">
    <cfRule type="expression" dxfId="2179" priority="183" stopIfTrue="1">
      <formula>X42&gt;60</formula>
    </cfRule>
  </conditionalFormatting>
  <conditionalFormatting sqref="X44">
    <cfRule type="expression" dxfId="2178" priority="182" stopIfTrue="1">
      <formula>X44&lt;40</formula>
    </cfRule>
  </conditionalFormatting>
  <conditionalFormatting sqref="X44">
    <cfRule type="expression" dxfId="2177" priority="181" stopIfTrue="1">
      <formula>X44&gt;60</formula>
    </cfRule>
  </conditionalFormatting>
  <conditionalFormatting sqref="H20 P20 X20">
    <cfRule type="expression" dxfId="2176" priority="167">
      <formula>H20&lt;20%</formula>
    </cfRule>
    <cfRule type="expression" dxfId="2175" priority="168">
      <formula>H20&gt;40%</formula>
    </cfRule>
  </conditionalFormatting>
  <conditionalFormatting sqref="H56">
    <cfRule type="expression" dxfId="2174" priority="161">
      <formula>H56&lt;20%</formula>
    </cfRule>
    <cfRule type="expression" dxfId="2173" priority="162">
      <formula>H56&gt;40%</formula>
    </cfRule>
  </conditionalFormatting>
  <conditionalFormatting sqref="P56">
    <cfRule type="expression" dxfId="2172" priority="159">
      <formula>P56&lt;20%</formula>
    </cfRule>
    <cfRule type="expression" dxfId="2171" priority="160">
      <formula>P56&gt;40%</formula>
    </cfRule>
  </conditionalFormatting>
  <conditionalFormatting sqref="X56">
    <cfRule type="expression" dxfId="2170" priority="157">
      <formula>X56&lt;20%</formula>
    </cfRule>
    <cfRule type="expression" dxfId="2169" priority="158">
      <formula>X56&gt;40%</formula>
    </cfRule>
  </conditionalFormatting>
  <conditionalFormatting sqref="H34 X34 P34">
    <cfRule type="expression" dxfId="2168" priority="131">
      <formula>H34&lt;30</formula>
    </cfRule>
    <cfRule type="expression" dxfId="2167" priority="132">
      <formula>H34&gt;50</formula>
    </cfRule>
  </conditionalFormatting>
  <conditionalFormatting sqref="H35 X35 P35">
    <cfRule type="expression" dxfId="2166" priority="129">
      <formula>H35&lt;160</formula>
    </cfRule>
    <cfRule type="expression" dxfId="2165" priority="130">
      <formula>H35&gt;220</formula>
    </cfRule>
  </conditionalFormatting>
  <conditionalFormatting sqref="H70">
    <cfRule type="expression" dxfId="2164" priority="119">
      <formula>H70&lt;30</formula>
    </cfRule>
    <cfRule type="expression" dxfId="2163" priority="120">
      <formula>H70&gt;50</formula>
    </cfRule>
  </conditionalFormatting>
  <conditionalFormatting sqref="H71">
    <cfRule type="expression" dxfId="2162" priority="117">
      <formula>H71&lt;160</formula>
    </cfRule>
    <cfRule type="expression" dxfId="2161" priority="118">
      <formula>H71&gt;220</formula>
    </cfRule>
  </conditionalFormatting>
  <conditionalFormatting sqref="X70">
    <cfRule type="expression" dxfId="2160" priority="115">
      <formula>X70&lt;30</formula>
    </cfRule>
    <cfRule type="expression" dxfId="2159" priority="116">
      <formula>X70&gt;50</formula>
    </cfRule>
  </conditionalFormatting>
  <conditionalFormatting sqref="X71">
    <cfRule type="expression" dxfId="2158" priority="113">
      <formula>X71&lt;160</formula>
    </cfRule>
    <cfRule type="expression" dxfId="2157" priority="114">
      <formula>X71&gt;220</formula>
    </cfRule>
  </conditionalFormatting>
  <conditionalFormatting sqref="P70">
    <cfRule type="expression" dxfId="2156" priority="111">
      <formula>P70&lt;30</formula>
    </cfRule>
    <cfRule type="expression" dxfId="2155" priority="112">
      <formula>P70&gt;50</formula>
    </cfRule>
  </conditionalFormatting>
  <conditionalFormatting sqref="P71">
    <cfRule type="expression" dxfId="2154" priority="109">
      <formula>P71&lt;160</formula>
    </cfRule>
    <cfRule type="expression" dxfId="2153" priority="110">
      <formula>P71&gt;220</formula>
    </cfRule>
  </conditionalFormatting>
  <conditionalFormatting sqref="H50 H14 X14 P14">
    <cfRule type="expression" dxfId="2152" priority="108" stopIfTrue="1">
      <formula>H14&lt;135</formula>
    </cfRule>
  </conditionalFormatting>
  <conditionalFormatting sqref="H50 H14 X14 P14">
    <cfRule type="expression" dxfId="2151" priority="107" stopIfTrue="1">
      <formula>H14&gt;145</formula>
    </cfRule>
  </conditionalFormatting>
  <conditionalFormatting sqref="H51 H15 X15 P15">
    <cfRule type="expression" dxfId="2150" priority="106" stopIfTrue="1">
      <formula>H15&lt;6</formula>
    </cfRule>
  </conditionalFormatting>
  <conditionalFormatting sqref="H51 H15 X15 P15">
    <cfRule type="expression" dxfId="2149" priority="105" stopIfTrue="1">
      <formula>H15&gt;8</formula>
    </cfRule>
  </conditionalFormatting>
  <conditionalFormatting sqref="H52 H16 X16 P16">
    <cfRule type="expression" dxfId="2148" priority="103">
      <formula>H16&lt;5</formula>
    </cfRule>
    <cfRule type="expression" dxfId="2147" priority="104">
      <formula>H16&gt;8</formula>
    </cfRule>
  </conditionalFormatting>
  <conditionalFormatting sqref="X50">
    <cfRule type="expression" dxfId="2146" priority="102" stopIfTrue="1">
      <formula>X50&lt;135</formula>
    </cfRule>
  </conditionalFormatting>
  <conditionalFormatting sqref="X50">
    <cfRule type="expression" dxfId="2145" priority="101" stopIfTrue="1">
      <formula>X50&gt;145</formula>
    </cfRule>
  </conditionalFormatting>
  <conditionalFormatting sqref="X51">
    <cfRule type="expression" dxfId="2144" priority="100" stopIfTrue="1">
      <formula>X51&lt;6</formula>
    </cfRule>
  </conditionalFormatting>
  <conditionalFormatting sqref="X51">
    <cfRule type="expression" dxfId="2143" priority="99" stopIfTrue="1">
      <formula>X51&gt;8</formula>
    </cfRule>
  </conditionalFormatting>
  <conditionalFormatting sqref="X52">
    <cfRule type="expression" dxfId="2142" priority="97">
      <formula>X52&lt;5</formula>
    </cfRule>
    <cfRule type="expression" dxfId="2141" priority="98">
      <formula>X52&gt;8</formula>
    </cfRule>
  </conditionalFormatting>
  <conditionalFormatting sqref="P50">
    <cfRule type="expression" dxfId="2140" priority="96" stopIfTrue="1">
      <formula>P50&lt;135</formula>
    </cfRule>
  </conditionalFormatting>
  <conditionalFormatting sqref="P50">
    <cfRule type="expression" dxfId="2139" priority="95" stopIfTrue="1">
      <formula>P50&gt;145</formula>
    </cfRule>
  </conditionalFormatting>
  <conditionalFormatting sqref="P51">
    <cfRule type="expression" dxfId="2138" priority="94" stopIfTrue="1">
      <formula>P51&lt;6</formula>
    </cfRule>
  </conditionalFormatting>
  <conditionalFormatting sqref="P51">
    <cfRule type="expression" dxfId="2137" priority="93" stopIfTrue="1">
      <formula>P51&gt;8</formula>
    </cfRule>
  </conditionalFormatting>
  <conditionalFormatting sqref="P52">
    <cfRule type="expression" dxfId="2136" priority="91">
      <formula>P52&lt;5</formula>
    </cfRule>
    <cfRule type="expression" dxfId="2135" priority="92">
      <formula>P52&gt;8</formula>
    </cfRule>
  </conditionalFormatting>
  <conditionalFormatting sqref="H48">
    <cfRule type="expression" dxfId="2134" priority="66" stopIfTrue="1">
      <formula>H48&lt;50</formula>
    </cfRule>
  </conditionalFormatting>
  <conditionalFormatting sqref="H48">
    <cfRule type="expression" dxfId="2133" priority="65" stopIfTrue="1">
      <formula>H48&gt;70</formula>
    </cfRule>
  </conditionalFormatting>
  <conditionalFormatting sqref="P48">
    <cfRule type="expression" dxfId="2132" priority="64" stopIfTrue="1">
      <formula>P48&lt;50</formula>
    </cfRule>
  </conditionalFormatting>
  <conditionalFormatting sqref="P48">
    <cfRule type="expression" dxfId="2131" priority="63" stopIfTrue="1">
      <formula>P48&gt;70</formula>
    </cfRule>
  </conditionalFormatting>
  <conditionalFormatting sqref="X48">
    <cfRule type="expression" dxfId="2130" priority="62" stopIfTrue="1">
      <formula>X48&lt;50</formula>
    </cfRule>
  </conditionalFormatting>
  <conditionalFormatting sqref="X48">
    <cfRule type="expression" dxfId="2129" priority="61" stopIfTrue="1">
      <formula>X48&gt;70</formula>
    </cfRule>
  </conditionalFormatting>
  <conditionalFormatting sqref="H53 H17 P17 X17">
    <cfRule type="expression" dxfId="2128" priority="59">
      <formula>H17&lt;2</formula>
    </cfRule>
    <cfRule type="expression" dxfId="2127" priority="60">
      <formula>H17&gt;2.4</formula>
    </cfRule>
  </conditionalFormatting>
  <conditionalFormatting sqref="P53">
    <cfRule type="expression" dxfId="2126" priority="57">
      <formula>P53&lt;2</formula>
    </cfRule>
    <cfRule type="expression" dxfId="2125" priority="58">
      <formula>P53&gt;2.4</formula>
    </cfRule>
  </conditionalFormatting>
  <conditionalFormatting sqref="X53">
    <cfRule type="expression" dxfId="2124" priority="55">
      <formula>X53&lt;2</formula>
    </cfRule>
    <cfRule type="expression" dxfId="2123" priority="56">
      <formula>X53&gt;2.4</formula>
    </cfRule>
  </conditionalFormatting>
  <conditionalFormatting sqref="H28 J28 P28 R28 X28 Z28">
    <cfRule type="expression" dxfId="2122" priority="47">
      <formula>H28&lt;24</formula>
    </cfRule>
    <cfRule type="expression" dxfId="2121" priority="48">
      <formula>H28&gt;26</formula>
    </cfRule>
  </conditionalFormatting>
  <conditionalFormatting sqref="H29 J29 P29 R29 X29 Z29">
    <cfRule type="expression" dxfId="2120" priority="45">
      <formula>H29&lt;34</formula>
    </cfRule>
    <cfRule type="expression" dxfId="2119" priority="46">
      <formula>H29&gt;36</formula>
    </cfRule>
  </conditionalFormatting>
  <conditionalFormatting sqref="H64">
    <cfRule type="expression" dxfId="2118" priority="23">
      <formula>H64&lt;24</formula>
    </cfRule>
    <cfRule type="expression" dxfId="2117" priority="24">
      <formula>H64&gt;26</formula>
    </cfRule>
  </conditionalFormatting>
  <conditionalFormatting sqref="H65">
    <cfRule type="expression" dxfId="2116" priority="21">
      <formula>H65&lt;34</formula>
    </cfRule>
    <cfRule type="expression" dxfId="2115" priority="22">
      <formula>H65&gt;36</formula>
    </cfRule>
  </conditionalFormatting>
  <conditionalFormatting sqref="J64">
    <cfRule type="expression" dxfId="2114" priority="19">
      <formula>J64&lt;24</formula>
    </cfRule>
    <cfRule type="expression" dxfId="2113" priority="20">
      <formula>J64&gt;26</formula>
    </cfRule>
  </conditionalFormatting>
  <conditionalFormatting sqref="J65">
    <cfRule type="expression" dxfId="2112" priority="17">
      <formula>J65&lt;34</formula>
    </cfRule>
    <cfRule type="expression" dxfId="2111" priority="18">
      <formula>J65&gt;36</formula>
    </cfRule>
  </conditionalFormatting>
  <conditionalFormatting sqref="P64">
    <cfRule type="expression" dxfId="2110" priority="15">
      <formula>P64&lt;24</formula>
    </cfRule>
    <cfRule type="expression" dxfId="2109" priority="16">
      <formula>P64&gt;26</formula>
    </cfRule>
  </conditionalFormatting>
  <conditionalFormatting sqref="P65">
    <cfRule type="expression" dxfId="2108" priority="13">
      <formula>P65&lt;34</formula>
    </cfRule>
    <cfRule type="expression" dxfId="2107" priority="14">
      <formula>P65&gt;36</formula>
    </cfRule>
  </conditionalFormatting>
  <conditionalFormatting sqref="R64">
    <cfRule type="expression" dxfId="2106" priority="11">
      <formula>R64&lt;24</formula>
    </cfRule>
    <cfRule type="expression" dxfId="2105" priority="12">
      <formula>R64&gt;26</formula>
    </cfRule>
  </conditionalFormatting>
  <conditionalFormatting sqref="R65">
    <cfRule type="expression" dxfId="2104" priority="9">
      <formula>R65&lt;34</formula>
    </cfRule>
    <cfRule type="expression" dxfId="2103" priority="10">
      <formula>R65&gt;36</formula>
    </cfRule>
  </conditionalFormatting>
  <conditionalFormatting sqref="X64">
    <cfRule type="expression" dxfId="2102" priority="7">
      <formula>X64&lt;24</formula>
    </cfRule>
    <cfRule type="expression" dxfId="2101" priority="8">
      <formula>X64&gt;26</formula>
    </cfRule>
  </conditionalFormatting>
  <conditionalFormatting sqref="X65">
    <cfRule type="expression" dxfId="2100" priority="5">
      <formula>X65&lt;34</formula>
    </cfRule>
    <cfRule type="expression" dxfId="2099" priority="6">
      <formula>X65&gt;36</formula>
    </cfRule>
  </conditionalFormatting>
  <conditionalFormatting sqref="Z64">
    <cfRule type="expression" dxfId="2098" priority="3">
      <formula>Z64&lt;24</formula>
    </cfRule>
    <cfRule type="expression" dxfId="2097" priority="4">
      <formula>Z64&gt;26</formula>
    </cfRule>
  </conditionalFormatting>
  <conditionalFormatting sqref="Z65">
    <cfRule type="expression" dxfId="2096" priority="1">
      <formula>Z65&lt;34</formula>
    </cfRule>
    <cfRule type="expression" dxfId="2095" priority="2">
      <formula>Z65&gt;36</formula>
    </cfRule>
  </conditionalFormatting>
  <pageMargins left="0.39" right="0" top="0.17" bottom="0" header="0.12" footer="0"/>
  <pageSetup paperSize="9" scale="50" orientation="portrait" verticalDpi="300" r:id="rId1"/>
  <headerFooter alignWithMargins="0">
    <oddFooter>&amp;L&amp;10DCC No.：      Q4-CXVN-PC01-IS10-02&amp;C&amp;10Ver.： 01&amp;R&amp;10保存期限： 1 年</oddFooter>
  </headerFooter>
  <drawing r:id="rId2"/>
</worksheet>
</file>

<file path=xl/worksheets/sheet17.xml><?xml version="1.0" encoding="utf-8"?>
<worksheet xmlns="http://schemas.openxmlformats.org/spreadsheetml/2006/main" xmlns:r="http://schemas.openxmlformats.org/officeDocument/2006/relationships">
  <sheetPr>
    <tabColor rgb="FFFFC000"/>
  </sheetPr>
  <dimension ref="A1:P69"/>
  <sheetViews>
    <sheetView view="pageBreakPreview" topLeftCell="A40" zoomScale="60" zoomScaleNormal="70" workbookViewId="0">
      <selection activeCell="H25" sqref="H25:O33"/>
    </sheetView>
  </sheetViews>
  <sheetFormatPr defaultRowHeight="16.5"/>
  <cols>
    <col min="1" max="1" width="5" style="9" customWidth="1"/>
    <col min="2" max="2" width="11.125" style="33" customWidth="1"/>
    <col min="3" max="3" width="6.75" style="33" customWidth="1"/>
    <col min="4" max="4" width="12.625" style="33" customWidth="1"/>
    <col min="5" max="5" width="2.75" style="33" customWidth="1"/>
    <col min="6" max="6" width="8.25" style="8" customWidth="1"/>
    <col min="7" max="7" width="18" style="8" customWidth="1"/>
    <col min="8" max="8" width="9.25" style="8" customWidth="1"/>
    <col min="9" max="9" width="3.125" style="8" customWidth="1"/>
    <col min="10" max="10" width="8.75" style="8" customWidth="1"/>
    <col min="11" max="11" width="4" style="8" customWidth="1"/>
    <col min="12" max="12" width="8.375" style="8" customWidth="1"/>
    <col min="13" max="13" width="4.25" style="8" customWidth="1"/>
    <col min="14" max="14" width="9.25" style="8" customWidth="1"/>
    <col min="15" max="15" width="4.875" style="8" customWidth="1"/>
    <col min="16" max="16" width="13.625" style="9" customWidth="1"/>
    <col min="17" max="16384" width="9" style="9"/>
  </cols>
  <sheetData>
    <row r="1" spans="1:16" ht="28.5" customHeight="1">
      <c r="A1" s="1972" t="s">
        <v>152</v>
      </c>
      <c r="B1" s="1972"/>
      <c r="C1" s="1972"/>
      <c r="D1" s="1972"/>
      <c r="E1" s="1972"/>
      <c r="F1" s="1972"/>
      <c r="G1" s="1972"/>
      <c r="H1" s="1972"/>
      <c r="I1" s="1972"/>
      <c r="J1" s="1972"/>
      <c r="K1" s="1972"/>
      <c r="L1" s="1972"/>
      <c r="M1" s="1972"/>
      <c r="N1" s="1141"/>
      <c r="O1" s="1141"/>
      <c r="P1" s="73"/>
    </row>
    <row r="2" spans="1:16" ht="51.75" customHeight="1">
      <c r="A2" s="1973" t="s">
        <v>1066</v>
      </c>
      <c r="B2" s="1973"/>
      <c r="C2" s="1973"/>
      <c r="D2" s="1973"/>
      <c r="E2" s="1973"/>
      <c r="F2" s="1973"/>
      <c r="G2" s="1973"/>
      <c r="H2" s="1973"/>
      <c r="I2" s="1973"/>
      <c r="J2" s="1973"/>
      <c r="K2" s="1973"/>
      <c r="L2" s="1973"/>
      <c r="M2" s="2024"/>
      <c r="N2" s="2025" t="s">
        <v>96</v>
      </c>
      <c r="O2" s="1923"/>
      <c r="P2" s="90" t="s">
        <v>17</v>
      </c>
    </row>
    <row r="3" spans="1:16" ht="28.5" customHeight="1">
      <c r="A3" s="10"/>
      <c r="B3" s="1143" t="s">
        <v>144</v>
      </c>
      <c r="C3" s="74"/>
      <c r="D3" s="74"/>
      <c r="E3" s="74"/>
      <c r="F3" s="75"/>
      <c r="G3" s="235" t="str">
        <f>'1. XL-1E kh'!$G$3</f>
        <v>2022/12/03</v>
      </c>
      <c r="H3" s="30"/>
      <c r="I3" s="30"/>
      <c r="J3" s="30"/>
      <c r="K3" s="31"/>
      <c r="L3" s="31"/>
      <c r="M3" s="31"/>
      <c r="N3" s="2046" t="str">
        <f>'1. XL-1E kh'!$AC$3</f>
        <v>L.Yen</v>
      </c>
      <c r="O3" s="2047"/>
      <c r="P3" s="89" t="s">
        <v>11</v>
      </c>
    </row>
    <row r="4" spans="1:16" s="76" customFormat="1" ht="41.25" customHeight="1">
      <c r="A4" s="2048" t="s">
        <v>7</v>
      </c>
      <c r="B4" s="2049" t="s">
        <v>79</v>
      </c>
      <c r="C4" s="2050"/>
      <c r="D4" s="2050"/>
      <c r="E4" s="2051"/>
      <c r="F4" s="2055" t="s">
        <v>137</v>
      </c>
      <c r="G4" s="2057" t="s">
        <v>67</v>
      </c>
      <c r="H4" s="1921">
        <v>0.26041666666666669</v>
      </c>
      <c r="I4" s="1922"/>
      <c r="J4" s="1922"/>
      <c r="K4" s="1923"/>
      <c r="L4" s="1921">
        <v>0.59375</v>
      </c>
      <c r="M4" s="1922"/>
      <c r="N4" s="1922"/>
      <c r="O4" s="1923"/>
      <c r="P4" s="1970" t="s">
        <v>41</v>
      </c>
    </row>
    <row r="5" spans="1:16" s="76" customFormat="1" ht="30" customHeight="1">
      <c r="A5" s="2048"/>
      <c r="B5" s="2052"/>
      <c r="C5" s="2053"/>
      <c r="D5" s="2053"/>
      <c r="E5" s="2054"/>
      <c r="F5" s="2056"/>
      <c r="G5" s="2058"/>
      <c r="H5" s="63" t="s">
        <v>146</v>
      </c>
      <c r="I5" s="1927" t="s">
        <v>1</v>
      </c>
      <c r="J5" s="1928"/>
      <c r="K5" s="1929"/>
      <c r="L5" s="63" t="s">
        <v>146</v>
      </c>
      <c r="M5" s="1927" t="s">
        <v>1</v>
      </c>
      <c r="N5" s="1928"/>
      <c r="O5" s="1929"/>
      <c r="P5" s="1971"/>
    </row>
    <row r="6" spans="1:16" ht="36" customHeight="1">
      <c r="A6" s="2027">
        <v>1</v>
      </c>
      <c r="B6" s="2040" t="s">
        <v>156</v>
      </c>
      <c r="C6" s="2041"/>
      <c r="D6" s="2044" t="s">
        <v>266</v>
      </c>
      <c r="E6" s="2045"/>
      <c r="F6" s="1210" t="s">
        <v>4</v>
      </c>
      <c r="G6" s="1025" t="str">
        <f>'XM.GUI MAIL'!$E$68</f>
        <v>40~60g/L
(50±5g/L)</v>
      </c>
      <c r="H6" s="64">
        <f>'XM.FILE GOC'!H68</f>
        <v>0</v>
      </c>
      <c r="I6" s="77" t="s">
        <v>8</v>
      </c>
      <c r="J6" s="78">
        <f>'XM.FILE GOC'!K68</f>
        <v>775.85</v>
      </c>
      <c r="K6" s="32" t="s">
        <v>9</v>
      </c>
      <c r="L6" s="64">
        <f>'XM.FILE GOC'!T68</f>
        <v>0</v>
      </c>
      <c r="M6" s="77" t="s">
        <v>8</v>
      </c>
      <c r="N6" s="78">
        <f>'XM.FILE GOC'!W68</f>
        <v>775.85</v>
      </c>
      <c r="O6" s="32" t="s">
        <v>9</v>
      </c>
      <c r="P6" s="1140" t="s">
        <v>42</v>
      </c>
    </row>
    <row r="7" spans="1:16" ht="36" customHeight="1">
      <c r="A7" s="2039"/>
      <c r="B7" s="2042"/>
      <c r="C7" s="2043"/>
      <c r="D7" s="2044" t="s">
        <v>267</v>
      </c>
      <c r="E7" s="2045"/>
      <c r="F7" s="1167" t="s">
        <v>58</v>
      </c>
      <c r="G7" s="1025" t="s">
        <v>1227</v>
      </c>
      <c r="H7" s="64"/>
      <c r="I7" s="77" t="s">
        <v>8</v>
      </c>
      <c r="J7" s="79">
        <f>J6/25*840/1000</f>
        <v>26.068560000000002</v>
      </c>
      <c r="K7" s="80" t="s">
        <v>10</v>
      </c>
      <c r="L7" s="64"/>
      <c r="M7" s="77" t="s">
        <v>8</v>
      </c>
      <c r="N7" s="79">
        <f>N6/25*840/1000</f>
        <v>26.068560000000002</v>
      </c>
      <c r="O7" s="80" t="s">
        <v>10</v>
      </c>
      <c r="P7" s="1140"/>
    </row>
    <row r="8" spans="1:16" ht="36" customHeight="1">
      <c r="A8" s="2027">
        <v>2</v>
      </c>
      <c r="B8" s="2040" t="s">
        <v>157</v>
      </c>
      <c r="C8" s="2041"/>
      <c r="D8" s="2044" t="s">
        <v>266</v>
      </c>
      <c r="E8" s="2045"/>
      <c r="F8" s="1210" t="s">
        <v>4</v>
      </c>
      <c r="G8" s="1025" t="str">
        <f>'XM.GUI MAIL'!$E$69</f>
        <v>40~60g/L
(50±5g/L)</v>
      </c>
      <c r="H8" s="64">
        <f>'XM.FILE GOC'!H69</f>
        <v>0</v>
      </c>
      <c r="I8" s="77" t="s">
        <v>8</v>
      </c>
      <c r="J8" s="78">
        <f>'XM.FILE GOC'!K69</f>
        <v>573.75</v>
      </c>
      <c r="K8" s="32" t="s">
        <v>9</v>
      </c>
      <c r="L8" s="64">
        <f>'XM.FILE GOC'!T69</f>
        <v>0</v>
      </c>
      <c r="M8" s="77" t="s">
        <v>8</v>
      </c>
      <c r="N8" s="78">
        <f>'XM.FILE GOC'!W69</f>
        <v>573.75</v>
      </c>
      <c r="O8" s="32" t="s">
        <v>9</v>
      </c>
      <c r="P8" s="1140" t="s">
        <v>42</v>
      </c>
    </row>
    <row r="9" spans="1:16" ht="36" customHeight="1">
      <c r="A9" s="2039"/>
      <c r="B9" s="2042"/>
      <c r="C9" s="2043"/>
      <c r="D9" s="2044" t="s">
        <v>267</v>
      </c>
      <c r="E9" s="2045"/>
      <c r="F9" s="1167" t="s">
        <v>58</v>
      </c>
      <c r="G9" s="1025" t="s">
        <v>1227</v>
      </c>
      <c r="H9" s="64"/>
      <c r="I9" s="77" t="s">
        <v>8</v>
      </c>
      <c r="J9" s="79">
        <f>J8/25*840/1000</f>
        <v>19.277999999999999</v>
      </c>
      <c r="K9" s="80" t="s">
        <v>10</v>
      </c>
      <c r="L9" s="64"/>
      <c r="M9" s="77" t="s">
        <v>8</v>
      </c>
      <c r="N9" s="79">
        <f>N8/25*840/1000</f>
        <v>19.277999999999999</v>
      </c>
      <c r="O9" s="80" t="s">
        <v>10</v>
      </c>
      <c r="P9" s="1140"/>
    </row>
    <row r="10" spans="1:16" ht="36" customHeight="1">
      <c r="A10" s="2027">
        <v>3</v>
      </c>
      <c r="B10" s="2035" t="s">
        <v>158</v>
      </c>
      <c r="C10" s="2036"/>
      <c r="D10" s="2037" t="s">
        <v>268</v>
      </c>
      <c r="E10" s="2038" t="s">
        <v>268</v>
      </c>
      <c r="F10" s="1210" t="s">
        <v>4</v>
      </c>
      <c r="G10" s="1025" t="str">
        <f>'XM.GUI MAIL'!$E$70</f>
        <v>50~70g/L
(60±5g/L)</v>
      </c>
      <c r="H10" s="64">
        <f>'XM.FILE GOC'!H70</f>
        <v>0</v>
      </c>
      <c r="I10" s="77" t="s">
        <v>8</v>
      </c>
      <c r="J10" s="78">
        <f>'XM.FILE GOC'!K70</f>
        <v>492</v>
      </c>
      <c r="K10" s="32" t="s">
        <v>9</v>
      </c>
      <c r="L10" s="64">
        <f>'XM.FILE GOC'!T70</f>
        <v>0</v>
      </c>
      <c r="M10" s="77" t="s">
        <v>8</v>
      </c>
      <c r="N10" s="78">
        <f>'XM.FILE GOC'!W70</f>
        <v>492</v>
      </c>
      <c r="O10" s="32" t="s">
        <v>9</v>
      </c>
      <c r="P10" s="1140" t="s">
        <v>42</v>
      </c>
    </row>
    <row r="11" spans="1:16" ht="36" customHeight="1">
      <c r="A11" s="2028"/>
      <c r="B11" s="2036"/>
      <c r="C11" s="2036"/>
      <c r="D11" s="2037" t="s">
        <v>269</v>
      </c>
      <c r="E11" s="2038" t="s">
        <v>269</v>
      </c>
      <c r="F11" s="1167" t="s">
        <v>58</v>
      </c>
      <c r="G11" s="1025" t="s">
        <v>1059</v>
      </c>
      <c r="H11" s="64"/>
      <c r="I11" s="77" t="s">
        <v>8</v>
      </c>
      <c r="J11" s="94">
        <f>J10/25*7.5</f>
        <v>147.6</v>
      </c>
      <c r="K11" s="82" t="s">
        <v>10</v>
      </c>
      <c r="L11" s="64"/>
      <c r="M11" s="77" t="s">
        <v>8</v>
      </c>
      <c r="N11" s="94">
        <f>N10/25*7.5</f>
        <v>147.6</v>
      </c>
      <c r="O11" s="82" t="s">
        <v>10</v>
      </c>
      <c r="P11" s="1140"/>
    </row>
    <row r="12" spans="1:16" ht="36" customHeight="1">
      <c r="A12" s="2027">
        <v>4</v>
      </c>
      <c r="B12" s="2035" t="s">
        <v>159</v>
      </c>
      <c r="C12" s="2036"/>
      <c r="D12" s="2037" t="s">
        <v>268</v>
      </c>
      <c r="E12" s="2038" t="s">
        <v>268</v>
      </c>
      <c r="F12" s="1210" t="s">
        <v>4</v>
      </c>
      <c r="G12" s="1025" t="str">
        <f>'XM.GUI MAIL'!$E$71</f>
        <v>50~70g/L
(60±5g/L)</v>
      </c>
      <c r="H12" s="64">
        <f>'XM.FILE GOC'!H71</f>
        <v>0</v>
      </c>
      <c r="I12" s="77" t="s">
        <v>8</v>
      </c>
      <c r="J12" s="78">
        <f>'XM.FILE GOC'!K71</f>
        <v>520.08000000000004</v>
      </c>
      <c r="K12" s="32" t="s">
        <v>9</v>
      </c>
      <c r="L12" s="64">
        <f>'XM.FILE GOC'!T71</f>
        <v>0</v>
      </c>
      <c r="M12" s="77" t="s">
        <v>8</v>
      </c>
      <c r="N12" s="78">
        <f>'XM.FILE GOC'!W71</f>
        <v>520.08000000000004</v>
      </c>
      <c r="O12" s="32" t="s">
        <v>9</v>
      </c>
      <c r="P12" s="1140" t="s">
        <v>42</v>
      </c>
    </row>
    <row r="13" spans="1:16" ht="36" customHeight="1">
      <c r="A13" s="2028"/>
      <c r="B13" s="2036"/>
      <c r="C13" s="2036"/>
      <c r="D13" s="2037" t="s">
        <v>269</v>
      </c>
      <c r="E13" s="2038" t="s">
        <v>269</v>
      </c>
      <c r="F13" s="1167" t="s">
        <v>58</v>
      </c>
      <c r="G13" s="1025" t="s">
        <v>1059</v>
      </c>
      <c r="H13" s="64"/>
      <c r="I13" s="77" t="s">
        <v>8</v>
      </c>
      <c r="J13" s="94">
        <f>J12/25*7.5</f>
        <v>156.024</v>
      </c>
      <c r="K13" s="82" t="s">
        <v>10</v>
      </c>
      <c r="L13" s="64"/>
      <c r="M13" s="77" t="s">
        <v>8</v>
      </c>
      <c r="N13" s="94">
        <f>N12/25*7.5</f>
        <v>156.024</v>
      </c>
      <c r="O13" s="82" t="s">
        <v>10</v>
      </c>
      <c r="P13" s="1140"/>
    </row>
    <row r="14" spans="1:16" ht="30.75" customHeight="1">
      <c r="A14" s="2027">
        <v>5</v>
      </c>
      <c r="B14" s="2013" t="s">
        <v>134</v>
      </c>
      <c r="C14" s="2014"/>
      <c r="D14" s="2019" t="s">
        <v>125</v>
      </c>
      <c r="E14" s="2020"/>
      <c r="F14" s="622" t="s">
        <v>4</v>
      </c>
      <c r="G14" s="1025" t="str">
        <f>'XM.GUI MAIL'!$E$84</f>
        <v>5~6g/L
(5.5± 1g/L)</v>
      </c>
      <c r="H14" s="64">
        <f>'XM.FILE GOC'!H84</f>
        <v>0</v>
      </c>
      <c r="I14" s="930" t="s">
        <v>8</v>
      </c>
      <c r="J14" s="931">
        <f>'XM.FILE GOC'!K84</f>
        <v>44</v>
      </c>
      <c r="K14" s="82" t="s">
        <v>9</v>
      </c>
      <c r="L14" s="64">
        <f>'XM.FILE GOC'!T84</f>
        <v>0</v>
      </c>
      <c r="M14" s="77" t="s">
        <v>8</v>
      </c>
      <c r="N14" s="94">
        <f>'XM.FILE GOC'!W84</f>
        <v>44</v>
      </c>
      <c r="O14" s="82" t="s">
        <v>9</v>
      </c>
      <c r="P14" s="1140" t="s">
        <v>43</v>
      </c>
    </row>
    <row r="15" spans="1:16" ht="30.75" hidden="1" customHeight="1">
      <c r="A15" s="2039"/>
      <c r="B15" s="2015"/>
      <c r="C15" s="2016"/>
      <c r="D15" s="2019" t="s">
        <v>135</v>
      </c>
      <c r="E15" s="2020"/>
      <c r="F15" s="622" t="s">
        <v>4</v>
      </c>
      <c r="G15" s="1025" t="s">
        <v>127</v>
      </c>
      <c r="H15" s="70">
        <f>'XM.FILE GOC'!H85</f>
        <v>0</v>
      </c>
      <c r="I15" s="930"/>
      <c r="J15" s="931">
        <f>'XM.FILE GOC'!K85</f>
        <v>14.4</v>
      </c>
      <c r="K15" s="82"/>
      <c r="L15" s="70">
        <f>'XM.FILE GOC'!T85</f>
        <v>0</v>
      </c>
      <c r="M15" s="77"/>
      <c r="N15" s="94">
        <f>'XM.FILE GOC'!W85</f>
        <v>14.4</v>
      </c>
      <c r="O15" s="82"/>
      <c r="P15" s="1140"/>
    </row>
    <row r="16" spans="1:16" ht="30.75" customHeight="1">
      <c r="A16" s="2028"/>
      <c r="B16" s="2015"/>
      <c r="C16" s="2016"/>
      <c r="D16" s="2019" t="s">
        <v>108</v>
      </c>
      <c r="E16" s="2020"/>
      <c r="F16" s="622" t="s">
        <v>4</v>
      </c>
      <c r="G16" s="1025" t="str">
        <f>'XM.GUI MAIL'!$E$86</f>
        <v>120~130g/L
(125 ± 5g/L)</v>
      </c>
      <c r="H16" s="70">
        <f>'XM.FILE GOC'!H86</f>
        <v>0</v>
      </c>
      <c r="I16" s="930" t="s">
        <v>8</v>
      </c>
      <c r="J16" s="931">
        <f>'XM.FILE GOC'!K86</f>
        <v>1000</v>
      </c>
      <c r="K16" s="82" t="s">
        <v>1472</v>
      </c>
      <c r="L16" s="70">
        <f>'XM.FILE GOC'!T86</f>
        <v>0</v>
      </c>
      <c r="M16" s="77" t="s">
        <v>8</v>
      </c>
      <c r="N16" s="1664">
        <f>'XM.FILE GOC'!W86</f>
        <v>1000</v>
      </c>
      <c r="O16" s="82" t="s">
        <v>9</v>
      </c>
      <c r="P16" s="1140" t="s">
        <v>44</v>
      </c>
    </row>
    <row r="17" spans="1:16" s="8" customFormat="1" ht="30.75" hidden="1" customHeight="1">
      <c r="A17" s="2027">
        <v>6</v>
      </c>
      <c r="B17" s="2017"/>
      <c r="C17" s="2018"/>
      <c r="D17" s="1583" t="s">
        <v>138</v>
      </c>
      <c r="E17" s="1584"/>
      <c r="F17" s="622" t="s">
        <v>4</v>
      </c>
      <c r="G17" s="1025" t="s">
        <v>139</v>
      </c>
      <c r="H17" s="70">
        <f>'XM.FILE GOC'!H87</f>
        <v>-4.45</v>
      </c>
      <c r="I17" s="930" t="s">
        <v>8</v>
      </c>
      <c r="J17" s="931">
        <f>'XM.FILE GOC'!K87</f>
        <v>1075.5999999999999</v>
      </c>
      <c r="K17" s="82" t="s">
        <v>10</v>
      </c>
      <c r="L17" s="70">
        <f>'XM.FILE GOC'!T87</f>
        <v>-4.45</v>
      </c>
      <c r="M17" s="77" t="s">
        <v>8</v>
      </c>
      <c r="N17" s="94">
        <f>'XM.FILE GOC'!W87</f>
        <v>1075.5999999999999</v>
      </c>
      <c r="O17" s="82" t="s">
        <v>10</v>
      </c>
      <c r="P17" s="1140" t="s">
        <v>45</v>
      </c>
    </row>
    <row r="18" spans="1:16" ht="30.75" customHeight="1">
      <c r="A18" s="2028"/>
      <c r="B18" s="2021" t="s">
        <v>136</v>
      </c>
      <c r="C18" s="2022"/>
      <c r="D18" s="2019" t="s">
        <v>5</v>
      </c>
      <c r="E18" s="2020"/>
      <c r="F18" s="92" t="s">
        <v>5</v>
      </c>
      <c r="G18" s="1025" t="str">
        <f>'XM.GUI MAIL'!$E$88</f>
        <v>3.0-4.5(4.3±0.2)</v>
      </c>
      <c r="H18" s="70">
        <f>'XM.FILE GOC'!H88</f>
        <v>0</v>
      </c>
      <c r="I18" s="930" t="s">
        <v>8</v>
      </c>
      <c r="J18" s="931"/>
      <c r="K18" s="82"/>
      <c r="L18" s="70">
        <f>'XM.FILE GOC'!T88</f>
        <v>0</v>
      </c>
      <c r="M18" s="77" t="s">
        <v>8</v>
      </c>
      <c r="N18" s="94"/>
      <c r="O18" s="82"/>
      <c r="P18" s="129"/>
    </row>
    <row r="19" spans="1:16" ht="36" customHeight="1">
      <c r="A19" s="1142">
        <v>7</v>
      </c>
      <c r="B19" s="2029" t="s">
        <v>1060</v>
      </c>
      <c r="C19" s="2030"/>
      <c r="D19" s="2030"/>
      <c r="E19" s="2031"/>
      <c r="F19" s="92" t="s">
        <v>6</v>
      </c>
      <c r="G19" s="1169" t="str">
        <f>'XM.GUI MAIL'!$E$76</f>
        <v>40~50 %V/V
(45±5% V/V)</v>
      </c>
      <c r="H19" s="71">
        <f>'XM.FILE GOC'!H76</f>
        <v>0</v>
      </c>
      <c r="I19" s="77" t="s">
        <v>8</v>
      </c>
      <c r="J19" s="78">
        <f>'XM.FILE GOC'!K76</f>
        <v>1163.5961538461538</v>
      </c>
      <c r="K19" s="32" t="s">
        <v>10</v>
      </c>
      <c r="L19" s="71">
        <f>'XM.FILE GOC'!T76</f>
        <v>0</v>
      </c>
      <c r="M19" s="77" t="s">
        <v>8</v>
      </c>
      <c r="N19" s="78">
        <f>'XM.FILE GOC'!W76</f>
        <v>1163.5961538461538</v>
      </c>
      <c r="O19" s="32" t="s">
        <v>10</v>
      </c>
      <c r="P19" s="1140" t="s">
        <v>46</v>
      </c>
    </row>
    <row r="20" spans="1:16" ht="36" customHeight="1">
      <c r="A20" s="1142">
        <v>8</v>
      </c>
      <c r="B20" s="2029" t="s">
        <v>1061</v>
      </c>
      <c r="C20" s="2030"/>
      <c r="D20" s="2030"/>
      <c r="E20" s="2031"/>
      <c r="F20" s="92" t="s">
        <v>6</v>
      </c>
      <c r="G20" s="1169" t="str">
        <f>'XM.GUI MAIL'!$E$77</f>
        <v>40~50 %V/V
(45±5% V/V)</v>
      </c>
      <c r="H20" s="71">
        <f>'XM.FILE GOC'!H77</f>
        <v>0</v>
      </c>
      <c r="I20" s="77" t="s">
        <v>8</v>
      </c>
      <c r="J20" s="78">
        <f>'XM.FILE GOC'!K77</f>
        <v>1818.8653846153845</v>
      </c>
      <c r="K20" s="32" t="s">
        <v>10</v>
      </c>
      <c r="L20" s="71">
        <f>'XM.FILE GOC'!T77</f>
        <v>0</v>
      </c>
      <c r="M20" s="77" t="s">
        <v>8</v>
      </c>
      <c r="N20" s="78">
        <f>'XM.FILE GOC'!W77</f>
        <v>1818.8653846153845</v>
      </c>
      <c r="O20" s="32" t="s">
        <v>10</v>
      </c>
      <c r="P20" s="1170" t="s">
        <v>46</v>
      </c>
    </row>
    <row r="21" spans="1:16" ht="36" customHeight="1">
      <c r="A21" s="1142">
        <v>9</v>
      </c>
      <c r="B21" s="2032" t="s">
        <v>86</v>
      </c>
      <c r="C21" s="2033"/>
      <c r="D21" s="2033"/>
      <c r="E21" s="2034"/>
      <c r="F21" s="92" t="s">
        <v>6</v>
      </c>
      <c r="G21" s="1169" t="str">
        <f>'XM.GUI MAIL'!$E$78</f>
        <v>20~40 %V/V
(30±5% V/V)</v>
      </c>
      <c r="H21" s="71">
        <f>'XM.FILE GOC'!H78</f>
        <v>0</v>
      </c>
      <c r="I21" s="77" t="s">
        <v>8</v>
      </c>
      <c r="J21" s="78">
        <f>'XM.FILE GOC'!K78</f>
        <v>334.55172413793105</v>
      </c>
      <c r="K21" s="32" t="s">
        <v>10</v>
      </c>
      <c r="L21" s="71">
        <f>'XM.FILE GOC'!T78</f>
        <v>0</v>
      </c>
      <c r="M21" s="77" t="s">
        <v>8</v>
      </c>
      <c r="N21" s="78">
        <f>'XM.FILE GOC'!W78</f>
        <v>334.55172413793105</v>
      </c>
      <c r="O21" s="32" t="s">
        <v>10</v>
      </c>
      <c r="P21" s="1140" t="s">
        <v>47</v>
      </c>
    </row>
    <row r="22" spans="1:16" ht="36" customHeight="1">
      <c r="A22" s="1142">
        <v>10</v>
      </c>
      <c r="B22" s="2032" t="s">
        <v>1062</v>
      </c>
      <c r="C22" s="2033" t="s">
        <v>1062</v>
      </c>
      <c r="D22" s="2033" t="s">
        <v>1062</v>
      </c>
      <c r="E22" s="2034" t="s">
        <v>1062</v>
      </c>
      <c r="F22" s="92" t="s">
        <v>6</v>
      </c>
      <c r="G22" s="1169" t="str">
        <f>'XM.GUI MAIL'!$E$79</f>
        <v>0.5~1.5%
(1±0.4%)</v>
      </c>
      <c r="H22" s="72">
        <f>'XM.FILE GOC'!H79</f>
        <v>0</v>
      </c>
      <c r="I22" s="77" t="s">
        <v>8</v>
      </c>
      <c r="J22" s="81">
        <f>'XM.FILE GOC'!K79</f>
        <v>28.080000000000002</v>
      </c>
      <c r="K22" s="83" t="s">
        <v>10</v>
      </c>
      <c r="L22" s="72">
        <f>'XM.FILE GOC'!T79</f>
        <v>0</v>
      </c>
      <c r="M22" s="77" t="s">
        <v>8</v>
      </c>
      <c r="N22" s="81">
        <f>'XM.FILE GOC'!W79</f>
        <v>28.080000000000002</v>
      </c>
      <c r="O22" s="83" t="s">
        <v>10</v>
      </c>
      <c r="P22" s="1140" t="s">
        <v>47</v>
      </c>
    </row>
    <row r="23" spans="1:16" ht="33.75" customHeight="1">
      <c r="A23" s="1142"/>
      <c r="B23" s="2001" t="s">
        <v>2</v>
      </c>
      <c r="C23" s="2001"/>
      <c r="D23" s="2001"/>
      <c r="E23" s="2001"/>
      <c r="F23" s="2001"/>
      <c r="G23" s="2001"/>
      <c r="H23" s="2001"/>
      <c r="I23" s="2001"/>
      <c r="J23" s="2001"/>
      <c r="K23" s="2001"/>
      <c r="L23" s="2001"/>
      <c r="M23" s="2001"/>
      <c r="N23" s="2001"/>
      <c r="O23" s="2001"/>
      <c r="P23" s="2001"/>
    </row>
    <row r="24" spans="1:16" ht="47.25" customHeight="1">
      <c r="A24" s="1142" t="s">
        <v>7</v>
      </c>
      <c r="B24" s="2010" t="s">
        <v>23</v>
      </c>
      <c r="C24" s="2011"/>
      <c r="D24" s="2011"/>
      <c r="E24" s="2012"/>
      <c r="F24" s="90" t="s">
        <v>24</v>
      </c>
      <c r="G24" s="90" t="s">
        <v>25</v>
      </c>
      <c r="H24" s="2021" t="s">
        <v>26</v>
      </c>
      <c r="I24" s="2022"/>
      <c r="J24" s="2021" t="s">
        <v>27</v>
      </c>
      <c r="K24" s="2022"/>
      <c r="L24" s="2021" t="s">
        <v>26</v>
      </c>
      <c r="M24" s="2022"/>
      <c r="N24" s="2021" t="s">
        <v>27</v>
      </c>
      <c r="O24" s="2022"/>
      <c r="P24" s="11"/>
    </row>
    <row r="25" spans="1:16" ht="42" customHeight="1">
      <c r="A25" s="1142">
        <v>1</v>
      </c>
      <c r="B25" s="2010" t="s">
        <v>36</v>
      </c>
      <c r="C25" s="2011"/>
      <c r="D25" s="2011"/>
      <c r="E25" s="2012"/>
      <c r="F25" s="12" t="s">
        <v>28</v>
      </c>
      <c r="G25" s="1171" t="str">
        <f>'XM.GUI MAIL'!$E$91</f>
        <v>65~75ºC
(70±3OC)</v>
      </c>
      <c r="H25" s="1869">
        <f>'3.XT-C kh'!H24:I24</f>
        <v>0</v>
      </c>
      <c r="I25" s="1869"/>
      <c r="J25" s="1866">
        <f>'3.XT-C kh'!J24:K24</f>
        <v>0</v>
      </c>
      <c r="K25" s="1868"/>
      <c r="L25" s="1869">
        <f>'3.XT-C kh'!X24</f>
        <v>0</v>
      </c>
      <c r="M25" s="1869"/>
      <c r="N25" s="1869">
        <f>'3.XT-C kh'!Z24</f>
        <v>0</v>
      </c>
      <c r="O25" s="1869"/>
      <c r="P25" s="1142"/>
    </row>
    <row r="26" spans="1:16" ht="42" customHeight="1">
      <c r="A26" s="1142">
        <v>2</v>
      </c>
      <c r="B26" s="2010" t="s">
        <v>37</v>
      </c>
      <c r="C26" s="2011"/>
      <c r="D26" s="2011"/>
      <c r="E26" s="2012"/>
      <c r="F26" s="12" t="s">
        <v>28</v>
      </c>
      <c r="G26" s="1171" t="str">
        <f>'XM.GUI MAIL'!$E$92</f>
        <v>65~75ºC
(70±3OC)</v>
      </c>
      <c r="H26" s="1869">
        <f>'3.XT-C kh'!H25:I25</f>
        <v>0</v>
      </c>
      <c r="I26" s="1869"/>
      <c r="J26" s="1866">
        <f>'3.XT-C kh'!J25:K25</f>
        <v>0</v>
      </c>
      <c r="K26" s="1868"/>
      <c r="L26" s="1869">
        <f>'3.XT-C kh'!X25</f>
        <v>0</v>
      </c>
      <c r="M26" s="1869"/>
      <c r="N26" s="1869">
        <f>'3.XT-C kh'!Z25</f>
        <v>0</v>
      </c>
      <c r="O26" s="1869"/>
      <c r="P26" s="1142"/>
    </row>
    <row r="27" spans="1:16" ht="42" customHeight="1">
      <c r="A27" s="1142">
        <v>3</v>
      </c>
      <c r="B27" s="2010" t="s">
        <v>29</v>
      </c>
      <c r="C27" s="2011"/>
      <c r="D27" s="2011"/>
      <c r="E27" s="2012"/>
      <c r="F27" s="12" t="s">
        <v>28</v>
      </c>
      <c r="G27" s="1171" t="str">
        <f>'XM.GUI MAIL'!$E$93</f>
        <v>60~70ºC
(65±3OC)</v>
      </c>
      <c r="H27" s="1869">
        <f>'3.XT-C kh'!H26:I26</f>
        <v>0</v>
      </c>
      <c r="I27" s="1869"/>
      <c r="J27" s="1866">
        <f>'3.XT-C kh'!J26:K26</f>
        <v>0</v>
      </c>
      <c r="K27" s="1868"/>
      <c r="L27" s="1869">
        <f>'3.XT-C kh'!X26</f>
        <v>0</v>
      </c>
      <c r="M27" s="1869"/>
      <c r="N27" s="1869">
        <f>'3.XT-C kh'!Z26</f>
        <v>0</v>
      </c>
      <c r="O27" s="1869"/>
      <c r="P27" s="1142"/>
    </row>
    <row r="28" spans="1:16" ht="42" customHeight="1">
      <c r="A28" s="92">
        <v>4</v>
      </c>
      <c r="B28" s="2021" t="s">
        <v>30</v>
      </c>
      <c r="C28" s="2023"/>
      <c r="D28" s="2023"/>
      <c r="E28" s="2022"/>
      <c r="F28" s="12" t="s">
        <v>28</v>
      </c>
      <c r="G28" s="1171" t="str">
        <f>'XM.GUI MAIL'!$E$94</f>
        <v>60~70ºC
(65±3OC)</v>
      </c>
      <c r="H28" s="1869">
        <f>'3.XT-C kh'!H27:I27</f>
        <v>0</v>
      </c>
      <c r="I28" s="1869"/>
      <c r="J28" s="1866">
        <f>'3.XT-C kh'!J27:K27</f>
        <v>0</v>
      </c>
      <c r="K28" s="1868"/>
      <c r="L28" s="1869">
        <f>'3.XT-C kh'!X27</f>
        <v>0</v>
      </c>
      <c r="M28" s="1869"/>
      <c r="N28" s="1869">
        <f>'3.XT-C kh'!Z27</f>
        <v>0</v>
      </c>
      <c r="O28" s="1869"/>
      <c r="P28" s="1142"/>
    </row>
    <row r="29" spans="1:16" ht="42" customHeight="1">
      <c r="A29" s="92">
        <v>5</v>
      </c>
      <c r="B29" s="2021" t="s">
        <v>128</v>
      </c>
      <c r="C29" s="2023"/>
      <c r="D29" s="2023"/>
      <c r="E29" s="2022"/>
      <c r="F29" s="12" t="s">
        <v>28</v>
      </c>
      <c r="G29" s="120" t="str">
        <f>'XM.GUI MAIL'!$E$101</f>
        <v>24~28ºC
(26±2OC)</v>
      </c>
      <c r="H29" s="1866">
        <f>'XM.FILE GOC'!H101</f>
        <v>0</v>
      </c>
      <c r="I29" s="1867"/>
      <c r="J29" s="1866">
        <f>'XM.FILE GOC'!K101</f>
        <v>0</v>
      </c>
      <c r="K29" s="1867"/>
      <c r="L29" s="1866">
        <f>'XM.FILE GOC'!T101</f>
        <v>0</v>
      </c>
      <c r="M29" s="1867"/>
      <c r="N29" s="1866">
        <f>'XM.FILE GOC'!W101</f>
        <v>0</v>
      </c>
      <c r="O29" s="1867"/>
      <c r="P29" s="1142"/>
    </row>
    <row r="30" spans="1:16" ht="42" customHeight="1">
      <c r="A30" s="92">
        <v>6</v>
      </c>
      <c r="B30" s="2021" t="s">
        <v>126</v>
      </c>
      <c r="C30" s="2023"/>
      <c r="D30" s="2023"/>
      <c r="E30" s="2022"/>
      <c r="F30" s="12" t="s">
        <v>28</v>
      </c>
      <c r="G30" s="120" t="str">
        <f>'XM.GUI MAIL'!$E$102</f>
        <v>40~60ºC
(50±10OC)</v>
      </c>
      <c r="H30" s="1869">
        <f>'XM.FILE GOC'!H102</f>
        <v>0</v>
      </c>
      <c r="I30" s="1869"/>
      <c r="J30" s="1869">
        <f>'XM.FILE GOC'!K102</f>
        <v>0</v>
      </c>
      <c r="K30" s="1869"/>
      <c r="L30" s="1869">
        <f>'XM.FILE GOC'!T102</f>
        <v>0</v>
      </c>
      <c r="M30" s="1869"/>
      <c r="N30" s="1869">
        <f>'XM.FILE GOC'!W102</f>
        <v>0</v>
      </c>
      <c r="O30" s="1869"/>
      <c r="P30" s="1142"/>
    </row>
    <row r="31" spans="1:16" ht="42" customHeight="1">
      <c r="A31" s="92">
        <v>7</v>
      </c>
      <c r="B31" s="2021" t="s">
        <v>133</v>
      </c>
      <c r="C31" s="2023"/>
      <c r="D31" s="2023"/>
      <c r="E31" s="2022"/>
      <c r="F31" s="12" t="s">
        <v>28</v>
      </c>
      <c r="G31" s="120" t="str">
        <f>'XM.GUI MAIL'!$E$103</f>
        <v>20~30ºC
(25±5OC)</v>
      </c>
      <c r="H31" s="1866">
        <f>'XM.FILE GOC'!H103</f>
        <v>0</v>
      </c>
      <c r="I31" s="1867"/>
      <c r="J31" s="1866">
        <f>'XM.FILE GOC'!K103</f>
        <v>0</v>
      </c>
      <c r="K31" s="1867"/>
      <c r="L31" s="1866">
        <f>'XM.FILE GOC'!T103</f>
        <v>0</v>
      </c>
      <c r="M31" s="1867"/>
      <c r="N31" s="1866">
        <f>'XM.FILE GOC'!W103</f>
        <v>0</v>
      </c>
      <c r="O31" s="1867"/>
      <c r="P31" s="1142"/>
    </row>
    <row r="32" spans="1:16" ht="42" customHeight="1">
      <c r="A32" s="92">
        <v>8</v>
      </c>
      <c r="B32" s="2021" t="s">
        <v>33</v>
      </c>
      <c r="C32" s="2023"/>
      <c r="D32" s="2023"/>
      <c r="E32" s="2022"/>
      <c r="F32" s="12" t="s">
        <v>28</v>
      </c>
      <c r="G32" s="1171" t="str">
        <f>'XM.GUI MAIL'!$E$97</f>
        <v>55~65ºC
(60±3OC)</v>
      </c>
      <c r="H32" s="1869">
        <f>'3.XT-C kh'!H30:I30</f>
        <v>0</v>
      </c>
      <c r="I32" s="1869"/>
      <c r="J32" s="1869">
        <f>'3.XT-C kh'!J30:K30</f>
        <v>0</v>
      </c>
      <c r="K32" s="1869"/>
      <c r="L32" s="1869">
        <f>'3.XT-C kh'!X30</f>
        <v>0</v>
      </c>
      <c r="M32" s="1869"/>
      <c r="N32" s="1869">
        <f>'3.XT-C kh'!Z30</f>
        <v>0</v>
      </c>
      <c r="O32" s="1869"/>
      <c r="P32" s="1142"/>
    </row>
    <row r="33" spans="1:16" ht="42" customHeight="1">
      <c r="A33" s="1142">
        <v>9</v>
      </c>
      <c r="B33" s="2010" t="s">
        <v>34</v>
      </c>
      <c r="C33" s="2011"/>
      <c r="D33" s="2011"/>
      <c r="E33" s="2012"/>
      <c r="F33" s="12" t="s">
        <v>28</v>
      </c>
      <c r="G33" s="1171" t="str">
        <f>'XM.GUI MAIL'!$E$98</f>
        <v>65~75ºC
(70±3OC)</v>
      </c>
      <c r="H33" s="2026" t="s">
        <v>49</v>
      </c>
      <c r="I33" s="2026"/>
      <c r="J33" s="1866">
        <f>'3.XT-C kh'!J31:K31</f>
        <v>0</v>
      </c>
      <c r="K33" s="1868"/>
      <c r="L33" s="2026" t="s">
        <v>49</v>
      </c>
      <c r="M33" s="2026"/>
      <c r="N33" s="1869">
        <f>'3.XT-C kh'!Z31</f>
        <v>0</v>
      </c>
      <c r="O33" s="1869"/>
      <c r="P33" s="1142"/>
    </row>
    <row r="34" spans="1:16" ht="36" customHeight="1">
      <c r="A34" s="76"/>
      <c r="B34" s="928"/>
      <c r="C34" s="928"/>
      <c r="D34" s="928"/>
      <c r="E34" s="928"/>
      <c r="F34" s="929"/>
      <c r="G34" s="1177"/>
      <c r="H34" s="1177"/>
      <c r="I34" s="1177"/>
      <c r="J34" s="1177"/>
      <c r="K34" s="1177"/>
      <c r="L34" s="1177"/>
      <c r="M34" s="1177"/>
      <c r="N34" s="1177"/>
      <c r="O34" s="1177"/>
      <c r="P34" s="1177"/>
    </row>
    <row r="35" spans="1:16" ht="24.75" customHeight="1">
      <c r="A35" s="76"/>
      <c r="B35" s="928"/>
      <c r="C35" s="928"/>
      <c r="D35" s="928"/>
      <c r="E35" s="928"/>
      <c r="F35" s="929"/>
      <c r="G35" s="1177"/>
      <c r="H35" s="1177"/>
      <c r="I35" s="1177"/>
      <c r="J35" s="1177"/>
      <c r="K35" s="1177"/>
      <c r="L35" s="1177"/>
      <c r="M35" s="1177"/>
      <c r="N35" s="1177"/>
      <c r="O35" s="1177"/>
      <c r="P35" s="1177"/>
    </row>
    <row r="36" spans="1:16" ht="24.75" customHeight="1">
      <c r="A36" s="76"/>
      <c r="B36" s="928"/>
      <c r="C36" s="928"/>
      <c r="D36" s="928"/>
      <c r="E36" s="928"/>
      <c r="F36" s="929"/>
      <c r="G36" s="1177"/>
      <c r="H36" s="1177"/>
      <c r="I36" s="1177"/>
      <c r="J36" s="1177"/>
      <c r="K36" s="1177"/>
      <c r="L36" s="1177"/>
      <c r="M36" s="1177"/>
      <c r="N36" s="1177"/>
      <c r="O36" s="1177"/>
      <c r="P36" s="1177"/>
    </row>
    <row r="37" spans="1:16" ht="28.5" customHeight="1">
      <c r="A37" s="1972" t="s">
        <v>152</v>
      </c>
      <c r="B37" s="1972"/>
      <c r="C37" s="1972"/>
      <c r="D37" s="1972"/>
      <c r="E37" s="1972"/>
      <c r="F37" s="1972"/>
      <c r="G37" s="1972"/>
      <c r="H37" s="1972"/>
      <c r="I37" s="1972"/>
      <c r="J37" s="1972"/>
      <c r="K37" s="1972"/>
      <c r="L37" s="1972"/>
      <c r="M37" s="1972"/>
      <c r="N37" s="1141"/>
      <c r="O37" s="1141"/>
      <c r="P37" s="73"/>
    </row>
    <row r="38" spans="1:16" ht="43.5" customHeight="1">
      <c r="A38" s="1973" t="s">
        <v>1067</v>
      </c>
      <c r="B38" s="1973"/>
      <c r="C38" s="1973"/>
      <c r="D38" s="1973"/>
      <c r="E38" s="1973"/>
      <c r="F38" s="1973"/>
      <c r="G38" s="1973"/>
      <c r="H38" s="1973"/>
      <c r="I38" s="1973"/>
      <c r="J38" s="1973"/>
      <c r="K38" s="1973"/>
      <c r="L38" s="1973"/>
      <c r="M38" s="2024"/>
      <c r="N38" s="2025" t="s">
        <v>96</v>
      </c>
      <c r="O38" s="1923"/>
      <c r="P38" s="90" t="s">
        <v>17</v>
      </c>
    </row>
    <row r="39" spans="1:16" ht="25.5" customHeight="1">
      <c r="A39" s="10"/>
      <c r="B39" s="1143" t="s">
        <v>144</v>
      </c>
      <c r="C39" s="74"/>
      <c r="D39" s="74"/>
      <c r="E39" s="74"/>
      <c r="F39" s="75"/>
      <c r="G39" s="235" t="str">
        <f>'1. XL-1E kh'!$G$3</f>
        <v>2022/12/03</v>
      </c>
      <c r="H39" s="30"/>
      <c r="I39" s="30"/>
      <c r="J39" s="30"/>
      <c r="K39" s="31"/>
      <c r="L39" s="31"/>
      <c r="M39" s="31"/>
      <c r="N39" s="2046" t="str">
        <f>MENU!AD7</f>
        <v>Trang</v>
      </c>
      <c r="O39" s="2047"/>
      <c r="P39" s="89" t="s">
        <v>11</v>
      </c>
    </row>
    <row r="40" spans="1:16" s="76" customFormat="1" ht="36" customHeight="1">
      <c r="A40" s="2048" t="s">
        <v>7</v>
      </c>
      <c r="B40" s="2049" t="s">
        <v>79</v>
      </c>
      <c r="C40" s="2050"/>
      <c r="D40" s="2050"/>
      <c r="E40" s="2051"/>
      <c r="F40" s="2055" t="s">
        <v>137</v>
      </c>
      <c r="G40" s="2057" t="s">
        <v>67</v>
      </c>
      <c r="H40" s="1921">
        <v>0.76041666666666663</v>
      </c>
      <c r="I40" s="1922"/>
      <c r="J40" s="1922"/>
      <c r="K40" s="1923"/>
      <c r="L40" s="1921">
        <v>9.375E-2</v>
      </c>
      <c r="M40" s="1922"/>
      <c r="N40" s="1922"/>
      <c r="O40" s="1923"/>
      <c r="P40" s="1970" t="s">
        <v>41</v>
      </c>
    </row>
    <row r="41" spans="1:16" s="76" customFormat="1" ht="30" customHeight="1">
      <c r="A41" s="2048"/>
      <c r="B41" s="2052"/>
      <c r="C41" s="2053"/>
      <c r="D41" s="2053"/>
      <c r="E41" s="2054"/>
      <c r="F41" s="2056"/>
      <c r="G41" s="2058"/>
      <c r="H41" s="63" t="s">
        <v>146</v>
      </c>
      <c r="I41" s="1927" t="s">
        <v>1</v>
      </c>
      <c r="J41" s="1928"/>
      <c r="K41" s="1929"/>
      <c r="L41" s="63" t="s">
        <v>146</v>
      </c>
      <c r="M41" s="1927" t="s">
        <v>1</v>
      </c>
      <c r="N41" s="1928"/>
      <c r="O41" s="1929"/>
      <c r="P41" s="1971"/>
    </row>
    <row r="42" spans="1:16" ht="34.5" customHeight="1">
      <c r="A42" s="2027">
        <v>1</v>
      </c>
      <c r="B42" s="2040" t="s">
        <v>156</v>
      </c>
      <c r="C42" s="2041"/>
      <c r="D42" s="2044" t="s">
        <v>266</v>
      </c>
      <c r="E42" s="2045"/>
      <c r="F42" s="1153" t="s">
        <v>4</v>
      </c>
      <c r="G42" s="1025" t="str">
        <f>'XM.GUI MAIL'!$E$68</f>
        <v>40~60g/L
(50±5g/L)</v>
      </c>
      <c r="H42" s="64">
        <f>'XM.FILE GOC'!Z68</f>
        <v>0</v>
      </c>
      <c r="I42" s="77" t="s">
        <v>8</v>
      </c>
      <c r="J42" s="78">
        <f>'XM.FILE GOC'!AC68</f>
        <v>775.85</v>
      </c>
      <c r="K42" s="32" t="s">
        <v>9</v>
      </c>
      <c r="L42" s="64">
        <f>'XM.FILE GOC'!AL68</f>
        <v>0</v>
      </c>
      <c r="M42" s="77" t="s">
        <v>8</v>
      </c>
      <c r="N42" s="78">
        <f>'XM.FILE GOC'!AO68</f>
        <v>775.85</v>
      </c>
      <c r="O42" s="32" t="s">
        <v>9</v>
      </c>
      <c r="P42" s="1140" t="s">
        <v>42</v>
      </c>
    </row>
    <row r="43" spans="1:16" ht="34.5" customHeight="1">
      <c r="A43" s="2039"/>
      <c r="B43" s="2042"/>
      <c r="C43" s="2043"/>
      <c r="D43" s="2044" t="s">
        <v>267</v>
      </c>
      <c r="E43" s="2045"/>
      <c r="F43" s="1173" t="s">
        <v>58</v>
      </c>
      <c r="G43" s="1025" t="s">
        <v>1227</v>
      </c>
      <c r="H43" s="64"/>
      <c r="I43" s="77" t="s">
        <v>8</v>
      </c>
      <c r="J43" s="79">
        <f>J42/25*840/1000</f>
        <v>26.068560000000002</v>
      </c>
      <c r="K43" s="80" t="s">
        <v>10</v>
      </c>
      <c r="L43" s="64"/>
      <c r="M43" s="77" t="s">
        <v>8</v>
      </c>
      <c r="N43" s="79">
        <f>N42/25*840/1000</f>
        <v>26.068560000000002</v>
      </c>
      <c r="O43" s="80" t="s">
        <v>10</v>
      </c>
      <c r="P43" s="1140"/>
    </row>
    <row r="44" spans="1:16" ht="34.5" customHeight="1">
      <c r="A44" s="2027">
        <v>2</v>
      </c>
      <c r="B44" s="2040" t="s">
        <v>157</v>
      </c>
      <c r="C44" s="2041"/>
      <c r="D44" s="2044" t="s">
        <v>266</v>
      </c>
      <c r="E44" s="2045"/>
      <c r="F44" s="1210" t="s">
        <v>4</v>
      </c>
      <c r="G44" s="1025" t="str">
        <f>'XM.GUI MAIL'!$E$69</f>
        <v>40~60g/L
(50±5g/L)</v>
      </c>
      <c r="H44" s="64">
        <f>'XM.FILE GOC'!Z69</f>
        <v>0</v>
      </c>
      <c r="I44" s="77" t="s">
        <v>8</v>
      </c>
      <c r="J44" s="78">
        <f>'XM.FILE GOC'!AC69</f>
        <v>573.75</v>
      </c>
      <c r="K44" s="32" t="s">
        <v>9</v>
      </c>
      <c r="L44" s="64">
        <f>'XM.FILE GOC'!AL69</f>
        <v>0</v>
      </c>
      <c r="M44" s="77" t="s">
        <v>8</v>
      </c>
      <c r="N44" s="78">
        <f>'XM.FILE GOC'!AO69</f>
        <v>573.75</v>
      </c>
      <c r="O44" s="32" t="s">
        <v>9</v>
      </c>
      <c r="P44" s="1140" t="s">
        <v>42</v>
      </c>
    </row>
    <row r="45" spans="1:16" ht="34.5" customHeight="1">
      <c r="A45" s="2039"/>
      <c r="B45" s="2042"/>
      <c r="C45" s="2043"/>
      <c r="D45" s="2044" t="s">
        <v>267</v>
      </c>
      <c r="E45" s="2045"/>
      <c r="F45" s="1167" t="s">
        <v>58</v>
      </c>
      <c r="G45" s="1025" t="s">
        <v>1227</v>
      </c>
      <c r="H45" s="64"/>
      <c r="I45" s="77" t="s">
        <v>8</v>
      </c>
      <c r="J45" s="79">
        <f>J44/25*840/1000</f>
        <v>19.277999999999999</v>
      </c>
      <c r="K45" s="80" t="s">
        <v>10</v>
      </c>
      <c r="L45" s="64"/>
      <c r="M45" s="77" t="s">
        <v>8</v>
      </c>
      <c r="N45" s="79">
        <f>N44/25*840/1000</f>
        <v>19.277999999999999</v>
      </c>
      <c r="O45" s="80" t="s">
        <v>10</v>
      </c>
      <c r="P45" s="1140"/>
    </row>
    <row r="46" spans="1:16" ht="34.5" customHeight="1">
      <c r="A46" s="2027">
        <v>3</v>
      </c>
      <c r="B46" s="2035" t="s">
        <v>158</v>
      </c>
      <c r="C46" s="2036"/>
      <c r="D46" s="2037" t="s">
        <v>268</v>
      </c>
      <c r="E46" s="2038" t="s">
        <v>268</v>
      </c>
      <c r="F46" s="1210" t="s">
        <v>4</v>
      </c>
      <c r="G46" s="1025" t="str">
        <f>'XM.GUI MAIL'!$E$70</f>
        <v>50~70g/L
(60±5g/L)</v>
      </c>
      <c r="H46" s="64">
        <f>'XM.FILE GOC'!Z70</f>
        <v>0</v>
      </c>
      <c r="I46" s="77" t="s">
        <v>8</v>
      </c>
      <c r="J46" s="78">
        <f>'XM.FILE GOC'!AC70</f>
        <v>492</v>
      </c>
      <c r="K46" s="32" t="s">
        <v>9</v>
      </c>
      <c r="L46" s="64">
        <f>'XM.FILE GOC'!AL70</f>
        <v>0</v>
      </c>
      <c r="M46" s="77" t="s">
        <v>8</v>
      </c>
      <c r="N46" s="78">
        <f>'XM.FILE GOC'!AO70</f>
        <v>492</v>
      </c>
      <c r="O46" s="32" t="s">
        <v>9</v>
      </c>
      <c r="P46" s="1140" t="s">
        <v>42</v>
      </c>
    </row>
    <row r="47" spans="1:16" ht="34.5" customHeight="1">
      <c r="A47" s="2028"/>
      <c r="B47" s="2036"/>
      <c r="C47" s="2036"/>
      <c r="D47" s="2037" t="s">
        <v>269</v>
      </c>
      <c r="E47" s="2038" t="s">
        <v>269</v>
      </c>
      <c r="F47" s="1167" t="s">
        <v>58</v>
      </c>
      <c r="G47" s="1025" t="s">
        <v>1059</v>
      </c>
      <c r="H47" s="64"/>
      <c r="I47" s="77" t="s">
        <v>8</v>
      </c>
      <c r="J47" s="94">
        <f>J46/25*7.5</f>
        <v>147.6</v>
      </c>
      <c r="K47" s="82" t="s">
        <v>10</v>
      </c>
      <c r="L47" s="64"/>
      <c r="M47" s="77" t="s">
        <v>8</v>
      </c>
      <c r="N47" s="94">
        <f>N46/25*7.5</f>
        <v>147.6</v>
      </c>
      <c r="O47" s="80" t="s">
        <v>10</v>
      </c>
      <c r="P47" s="1140"/>
    </row>
    <row r="48" spans="1:16" ht="34.5" customHeight="1">
      <c r="A48" s="2027">
        <v>4</v>
      </c>
      <c r="B48" s="2035" t="s">
        <v>159</v>
      </c>
      <c r="C48" s="2036"/>
      <c r="D48" s="2037" t="s">
        <v>268</v>
      </c>
      <c r="E48" s="2038" t="s">
        <v>268</v>
      </c>
      <c r="F48" s="1210" t="s">
        <v>4</v>
      </c>
      <c r="G48" s="1025" t="str">
        <f>'XM.GUI MAIL'!$E$71</f>
        <v>50~70g/L
(60±5g/L)</v>
      </c>
      <c r="H48" s="64">
        <f>'XM.FILE GOC'!Z71</f>
        <v>0</v>
      </c>
      <c r="I48" s="77" t="s">
        <v>8</v>
      </c>
      <c r="J48" s="78">
        <f>'XM.FILE GOC'!AC71</f>
        <v>520.08000000000004</v>
      </c>
      <c r="K48" s="32" t="s">
        <v>9</v>
      </c>
      <c r="L48" s="64">
        <f>'XM.FILE GOC'!AL71</f>
        <v>0</v>
      </c>
      <c r="M48" s="77" t="s">
        <v>8</v>
      </c>
      <c r="N48" s="78">
        <f>'XM.FILE GOC'!AO71</f>
        <v>520.08000000000004</v>
      </c>
      <c r="O48" s="32" t="s">
        <v>9</v>
      </c>
      <c r="P48" s="1140" t="s">
        <v>42</v>
      </c>
    </row>
    <row r="49" spans="1:16" ht="34.5" customHeight="1">
      <c r="A49" s="2028"/>
      <c r="B49" s="2036"/>
      <c r="C49" s="2036"/>
      <c r="D49" s="2037" t="s">
        <v>269</v>
      </c>
      <c r="E49" s="2038" t="s">
        <v>269</v>
      </c>
      <c r="F49" s="1167" t="s">
        <v>58</v>
      </c>
      <c r="G49" s="1025" t="s">
        <v>1059</v>
      </c>
      <c r="H49" s="64"/>
      <c r="I49" s="77" t="s">
        <v>8</v>
      </c>
      <c r="J49" s="94">
        <f>J48/25*7.5</f>
        <v>156.024</v>
      </c>
      <c r="K49" s="82" t="s">
        <v>10</v>
      </c>
      <c r="L49" s="64"/>
      <c r="M49" s="77" t="s">
        <v>8</v>
      </c>
      <c r="N49" s="94">
        <f>N48/25*7.5</f>
        <v>156.024</v>
      </c>
      <c r="O49" s="80" t="s">
        <v>10</v>
      </c>
      <c r="P49" s="1140"/>
    </row>
    <row r="50" spans="1:16" ht="32.25" customHeight="1">
      <c r="A50" s="2027">
        <v>5</v>
      </c>
      <c r="B50" s="2013" t="s">
        <v>134</v>
      </c>
      <c r="C50" s="2014"/>
      <c r="D50" s="2019" t="s">
        <v>125</v>
      </c>
      <c r="E50" s="2020"/>
      <c r="F50" s="622" t="s">
        <v>4</v>
      </c>
      <c r="G50" s="1025" t="str">
        <f>'XM.GUI MAIL'!$E$84</f>
        <v>5~6g/L
(5.5± 1g/L)</v>
      </c>
      <c r="H50" s="64">
        <f>'XM.FILE GOC'!Z84</f>
        <v>0</v>
      </c>
      <c r="I50" s="930" t="s">
        <v>8</v>
      </c>
      <c r="J50" s="931">
        <f>'XM.FILE GOC'!AC84</f>
        <v>44</v>
      </c>
      <c r="K50" s="82" t="s">
        <v>9</v>
      </c>
      <c r="L50" s="64">
        <f>'XM.FILE GOC'!AL84</f>
        <v>0</v>
      </c>
      <c r="M50" s="77" t="s">
        <v>8</v>
      </c>
      <c r="N50" s="78">
        <f>'XM.FILE GOC'!AO84</f>
        <v>44</v>
      </c>
      <c r="O50" s="32" t="s">
        <v>9</v>
      </c>
      <c r="P50" s="1140" t="s">
        <v>43</v>
      </c>
    </row>
    <row r="51" spans="1:16" ht="32.25" hidden="1" customHeight="1">
      <c r="A51" s="2039"/>
      <c r="B51" s="2015"/>
      <c r="C51" s="2016"/>
      <c r="D51" s="2019" t="s">
        <v>135</v>
      </c>
      <c r="E51" s="2020"/>
      <c r="F51" s="622" t="s">
        <v>4</v>
      </c>
      <c r="G51" s="1025" t="s">
        <v>127</v>
      </c>
      <c r="H51" s="70">
        <f>'XM.FILE GOC'!Z85</f>
        <v>0</v>
      </c>
      <c r="I51" s="930"/>
      <c r="J51" s="931">
        <f>'XM.FILE GOC'!AC85</f>
        <v>14.4</v>
      </c>
      <c r="K51" s="82" t="s">
        <v>9</v>
      </c>
      <c r="L51" s="70">
        <f>'XM.FILE GOC'!AL85</f>
        <v>0</v>
      </c>
      <c r="M51" s="77"/>
      <c r="N51" s="78">
        <f>'XM.FILE GOC'!AO85</f>
        <v>14.4</v>
      </c>
      <c r="O51" s="32" t="s">
        <v>9</v>
      </c>
      <c r="P51" s="1140"/>
    </row>
    <row r="52" spans="1:16" ht="33" customHeight="1">
      <c r="A52" s="2028"/>
      <c r="B52" s="2015"/>
      <c r="C52" s="2016"/>
      <c r="D52" s="2019" t="s">
        <v>108</v>
      </c>
      <c r="E52" s="2020"/>
      <c r="F52" s="622" t="s">
        <v>4</v>
      </c>
      <c r="G52" s="1025" t="str">
        <f>'XM.GUI MAIL'!$E$86</f>
        <v>120~130g/L
(125 ± 5g/L)</v>
      </c>
      <c r="H52" s="70">
        <f>'XM.FILE GOC'!Z86</f>
        <v>0</v>
      </c>
      <c r="I52" s="930" t="s">
        <v>8</v>
      </c>
      <c r="J52" s="931">
        <f>'XM.FILE GOC'!AC86</f>
        <v>1000</v>
      </c>
      <c r="K52" s="82" t="s">
        <v>1472</v>
      </c>
      <c r="L52" s="70">
        <f>'XM.FILE GOC'!AL86</f>
        <v>0</v>
      </c>
      <c r="M52" s="77" t="s">
        <v>8</v>
      </c>
      <c r="N52" s="78">
        <f>'XM.FILE GOC'!AO86</f>
        <v>1000</v>
      </c>
      <c r="O52" s="32" t="s">
        <v>9</v>
      </c>
      <c r="P52" s="1140" t="s">
        <v>44</v>
      </c>
    </row>
    <row r="53" spans="1:16" s="8" customFormat="1" ht="34.5" hidden="1" customHeight="1">
      <c r="A53" s="2027">
        <v>6</v>
      </c>
      <c r="B53" s="2017"/>
      <c r="C53" s="2018"/>
      <c r="D53" s="1583" t="s">
        <v>138</v>
      </c>
      <c r="E53" s="1584"/>
      <c r="F53" s="622" t="s">
        <v>4</v>
      </c>
      <c r="G53" s="1025" t="s">
        <v>139</v>
      </c>
      <c r="H53" s="70">
        <f>'XM.FILE GOC'!Z87</f>
        <v>-4.45</v>
      </c>
      <c r="I53" s="930" t="s">
        <v>8</v>
      </c>
      <c r="J53" s="931">
        <f>'XM.FILE GOC'!AC87</f>
        <v>1075.5999999999999</v>
      </c>
      <c r="K53" s="82" t="s">
        <v>10</v>
      </c>
      <c r="L53" s="70">
        <f>'XM.FILE GOC'!AL87</f>
        <v>-4.45</v>
      </c>
      <c r="M53" s="77" t="s">
        <v>8</v>
      </c>
      <c r="N53" s="78">
        <f>'XM.FILE GOC'!AO87</f>
        <v>1075.5999999999999</v>
      </c>
      <c r="O53" s="32" t="s">
        <v>10</v>
      </c>
      <c r="P53" s="1140" t="s">
        <v>45</v>
      </c>
    </row>
    <row r="54" spans="1:16" ht="34.5" customHeight="1">
      <c r="A54" s="2028"/>
      <c r="B54" s="2021" t="s">
        <v>136</v>
      </c>
      <c r="C54" s="2022"/>
      <c r="D54" s="2019" t="s">
        <v>5</v>
      </c>
      <c r="E54" s="2020"/>
      <c r="F54" s="92" t="s">
        <v>5</v>
      </c>
      <c r="G54" s="1025" t="str">
        <f>'XM.GUI MAIL'!$E$88</f>
        <v>3.0-4.5(4.3±0.2)</v>
      </c>
      <c r="H54" s="70">
        <f>'XM.FILE GOC'!Z88</f>
        <v>0</v>
      </c>
      <c r="I54" s="930" t="s">
        <v>8</v>
      </c>
      <c r="J54" s="931"/>
      <c r="K54" s="82"/>
      <c r="L54" s="70">
        <f>'XM.FILE GOC'!AL88</f>
        <v>0</v>
      </c>
      <c r="M54" s="77" t="s">
        <v>8</v>
      </c>
      <c r="N54" s="78"/>
      <c r="O54" s="32"/>
      <c r="P54" s="129"/>
    </row>
    <row r="55" spans="1:16" ht="34.5" customHeight="1">
      <c r="A55" s="1142">
        <v>7</v>
      </c>
      <c r="B55" s="2029" t="s">
        <v>1060</v>
      </c>
      <c r="C55" s="2030"/>
      <c r="D55" s="2030"/>
      <c r="E55" s="2031"/>
      <c r="F55" s="92" t="s">
        <v>6</v>
      </c>
      <c r="G55" s="1169" t="str">
        <f>'XM.GUI MAIL'!$E$76</f>
        <v>40~50 %V/V
(45±5% V/V)</v>
      </c>
      <c r="H55" s="71">
        <f>'XM.FILE GOC'!Z76</f>
        <v>0</v>
      </c>
      <c r="I55" s="77" t="s">
        <v>8</v>
      </c>
      <c r="J55" s="78">
        <f>'XM.FILE GOC'!AC76</f>
        <v>1163.5961538461538</v>
      </c>
      <c r="K55" s="32" t="s">
        <v>10</v>
      </c>
      <c r="L55" s="71">
        <f>'XM.FILE GOC'!AL76</f>
        <v>0</v>
      </c>
      <c r="M55" s="77" t="s">
        <v>8</v>
      </c>
      <c r="N55" s="78">
        <f>'XM.FILE GOC'!AO76</f>
        <v>1163.5961538461538</v>
      </c>
      <c r="O55" s="32" t="s">
        <v>10</v>
      </c>
      <c r="P55" s="1140" t="s">
        <v>46</v>
      </c>
    </row>
    <row r="56" spans="1:16" ht="34.5" customHeight="1">
      <c r="A56" s="1142">
        <v>8</v>
      </c>
      <c r="B56" s="2029" t="s">
        <v>1061</v>
      </c>
      <c r="C56" s="2030"/>
      <c r="D56" s="2030"/>
      <c r="E56" s="2031"/>
      <c r="F56" s="92" t="s">
        <v>6</v>
      </c>
      <c r="G56" s="1169" t="str">
        <f>'XM.GUI MAIL'!$E$77</f>
        <v>40~50 %V/V
(45±5% V/V)</v>
      </c>
      <c r="H56" s="71">
        <f>'XM.FILE GOC'!Z77</f>
        <v>0</v>
      </c>
      <c r="I56" s="77" t="s">
        <v>8</v>
      </c>
      <c r="J56" s="78">
        <f>'XM.FILE GOC'!AC77</f>
        <v>1818.8653846153845</v>
      </c>
      <c r="K56" s="32" t="s">
        <v>10</v>
      </c>
      <c r="L56" s="71">
        <f>'XM.FILE GOC'!AL77</f>
        <v>0</v>
      </c>
      <c r="M56" s="77" t="s">
        <v>8</v>
      </c>
      <c r="N56" s="78">
        <f>'XM.FILE GOC'!AO77</f>
        <v>1818.8653846153845</v>
      </c>
      <c r="O56" s="32" t="s">
        <v>10</v>
      </c>
      <c r="P56" s="1170" t="s">
        <v>46</v>
      </c>
    </row>
    <row r="57" spans="1:16" ht="34.5" customHeight="1">
      <c r="A57" s="1142">
        <v>9</v>
      </c>
      <c r="B57" s="2032" t="s">
        <v>86</v>
      </c>
      <c r="C57" s="2033"/>
      <c r="D57" s="2033"/>
      <c r="E57" s="2034"/>
      <c r="F57" s="92" t="s">
        <v>6</v>
      </c>
      <c r="G57" s="1169" t="str">
        <f>'XM.GUI MAIL'!$E$78</f>
        <v>20~40 %V/V
(30±5% V/V)</v>
      </c>
      <c r="H57" s="71">
        <f>'XM.FILE GOC'!Z78</f>
        <v>0</v>
      </c>
      <c r="I57" s="77" t="s">
        <v>8</v>
      </c>
      <c r="J57" s="78">
        <f>'XM.FILE GOC'!AC78</f>
        <v>334.55172413793105</v>
      </c>
      <c r="K57" s="32" t="s">
        <v>10</v>
      </c>
      <c r="L57" s="71">
        <f>'XM.FILE GOC'!AL78</f>
        <v>0</v>
      </c>
      <c r="M57" s="77" t="s">
        <v>8</v>
      </c>
      <c r="N57" s="78">
        <f>'XM.FILE GOC'!AO78</f>
        <v>334.55172413793105</v>
      </c>
      <c r="O57" s="32" t="s">
        <v>10</v>
      </c>
      <c r="P57" s="1140" t="s">
        <v>47</v>
      </c>
    </row>
    <row r="58" spans="1:16" ht="34.5" customHeight="1">
      <c r="A58" s="1142">
        <v>10</v>
      </c>
      <c r="B58" s="2032" t="s">
        <v>1062</v>
      </c>
      <c r="C58" s="2033" t="s">
        <v>1062</v>
      </c>
      <c r="D58" s="2033" t="s">
        <v>1062</v>
      </c>
      <c r="E58" s="2034" t="s">
        <v>1062</v>
      </c>
      <c r="F58" s="92" t="s">
        <v>6</v>
      </c>
      <c r="G58" s="1169" t="str">
        <f>'XM.GUI MAIL'!$E$79</f>
        <v>0.5~1.5%
(1±0.4%)</v>
      </c>
      <c r="H58" s="72">
        <f>'XM.FILE GOC'!Z79</f>
        <v>0</v>
      </c>
      <c r="I58" s="77" t="s">
        <v>8</v>
      </c>
      <c r="J58" s="81">
        <f>'XM.FILE GOC'!AC79</f>
        <v>28.080000000000002</v>
      </c>
      <c r="K58" s="83" t="s">
        <v>10</v>
      </c>
      <c r="L58" s="72">
        <f>'XM.FILE GOC'!AL79</f>
        <v>0</v>
      </c>
      <c r="M58" s="77" t="s">
        <v>8</v>
      </c>
      <c r="N58" s="81">
        <f>'XM.FILE GOC'!AO79</f>
        <v>15.600000000000001</v>
      </c>
      <c r="O58" s="83" t="s">
        <v>10</v>
      </c>
      <c r="P58" s="1140" t="s">
        <v>47</v>
      </c>
    </row>
    <row r="59" spans="1:16" ht="33.75" customHeight="1">
      <c r="A59" s="1142"/>
      <c r="B59" s="2010" t="s">
        <v>155</v>
      </c>
      <c r="C59" s="2011"/>
      <c r="D59" s="2011"/>
      <c r="E59" s="2011"/>
      <c r="F59" s="2011"/>
      <c r="G59" s="2011"/>
      <c r="H59" s="2011"/>
      <c r="I59" s="2011"/>
      <c r="J59" s="2011"/>
      <c r="K59" s="2011"/>
      <c r="L59" s="2011"/>
      <c r="M59" s="2011"/>
      <c r="N59" s="2011"/>
      <c r="O59" s="2011"/>
      <c r="P59" s="2012"/>
    </row>
    <row r="60" spans="1:16" ht="37.5" customHeight="1">
      <c r="A60" s="1142" t="s">
        <v>7</v>
      </c>
      <c r="B60" s="2010" t="s">
        <v>23</v>
      </c>
      <c r="C60" s="2011"/>
      <c r="D60" s="2011"/>
      <c r="E60" s="2012"/>
      <c r="F60" s="90" t="s">
        <v>24</v>
      </c>
      <c r="G60" s="90" t="s">
        <v>25</v>
      </c>
      <c r="H60" s="2021" t="s">
        <v>26</v>
      </c>
      <c r="I60" s="2022"/>
      <c r="J60" s="2021" t="s">
        <v>27</v>
      </c>
      <c r="K60" s="2022"/>
      <c r="L60" s="2021" t="s">
        <v>26</v>
      </c>
      <c r="M60" s="2022"/>
      <c r="N60" s="2021" t="s">
        <v>27</v>
      </c>
      <c r="O60" s="2022"/>
      <c r="P60" s="11"/>
    </row>
    <row r="61" spans="1:16" ht="42" customHeight="1">
      <c r="A61" s="1142">
        <v>1</v>
      </c>
      <c r="B61" s="2010" t="s">
        <v>36</v>
      </c>
      <c r="C61" s="2011"/>
      <c r="D61" s="2011"/>
      <c r="E61" s="2012"/>
      <c r="F61" s="12" t="s">
        <v>28</v>
      </c>
      <c r="G61" s="1171" t="str">
        <f>'XM.GUI MAIL'!$E$91</f>
        <v>65~75ºC
(70±3OC)</v>
      </c>
      <c r="H61" s="1869">
        <f>'3.XT-C kh'!H60:I60</f>
        <v>0</v>
      </c>
      <c r="I61" s="1869"/>
      <c r="J61" s="1866">
        <f>'3.XT-C kh'!J60:K60</f>
        <v>0</v>
      </c>
      <c r="K61" s="1868"/>
      <c r="L61" s="1869">
        <f>'3.XT-C kh'!X60</f>
        <v>0</v>
      </c>
      <c r="M61" s="1869"/>
      <c r="N61" s="1869">
        <f>'3.XT-C kh'!Z60</f>
        <v>0</v>
      </c>
      <c r="O61" s="1869"/>
      <c r="P61" s="1142"/>
    </row>
    <row r="62" spans="1:16" ht="42" customHeight="1">
      <c r="A62" s="1142">
        <v>2</v>
      </c>
      <c r="B62" s="2010" t="s">
        <v>37</v>
      </c>
      <c r="C62" s="2011"/>
      <c r="D62" s="2011"/>
      <c r="E62" s="2012"/>
      <c r="F62" s="12" t="s">
        <v>28</v>
      </c>
      <c r="G62" s="1171" t="str">
        <f>'XM.GUI MAIL'!$E$92</f>
        <v>65~75ºC
(70±3OC)</v>
      </c>
      <c r="H62" s="1869">
        <f>'3.XT-C kh'!H61:I61</f>
        <v>0</v>
      </c>
      <c r="I62" s="1869"/>
      <c r="J62" s="1866">
        <f>'3.XT-C kh'!J61:K61</f>
        <v>0</v>
      </c>
      <c r="K62" s="1868"/>
      <c r="L62" s="1869">
        <f>'3.XT-C kh'!X61</f>
        <v>0</v>
      </c>
      <c r="M62" s="1869"/>
      <c r="N62" s="1869">
        <f>'3.XT-C kh'!Z61</f>
        <v>0</v>
      </c>
      <c r="O62" s="1869"/>
      <c r="P62" s="1142"/>
    </row>
    <row r="63" spans="1:16" ht="42" customHeight="1">
      <c r="A63" s="92">
        <v>3</v>
      </c>
      <c r="B63" s="2021" t="s">
        <v>29</v>
      </c>
      <c r="C63" s="2023"/>
      <c r="D63" s="2023"/>
      <c r="E63" s="2022"/>
      <c r="F63" s="12" t="s">
        <v>28</v>
      </c>
      <c r="G63" s="1171" t="str">
        <f>'XM.GUI MAIL'!$E$93</f>
        <v>60~70ºC
(65±3OC)</v>
      </c>
      <c r="H63" s="1869">
        <f>'3.XT-C kh'!H62:I62</f>
        <v>0</v>
      </c>
      <c r="I63" s="1869"/>
      <c r="J63" s="1866">
        <f>'3.XT-C kh'!J62:K62</f>
        <v>0</v>
      </c>
      <c r="K63" s="1868"/>
      <c r="L63" s="1869">
        <f>'3.XT-C kh'!X62</f>
        <v>0</v>
      </c>
      <c r="M63" s="1869"/>
      <c r="N63" s="1869">
        <f>'3.XT-C kh'!Z62</f>
        <v>0</v>
      </c>
      <c r="O63" s="1869"/>
      <c r="P63" s="1142"/>
    </row>
    <row r="64" spans="1:16" ht="42" customHeight="1">
      <c r="A64" s="92">
        <v>4</v>
      </c>
      <c r="B64" s="2021" t="s">
        <v>30</v>
      </c>
      <c r="C64" s="2023"/>
      <c r="D64" s="2023"/>
      <c r="E64" s="2022"/>
      <c r="F64" s="12" t="s">
        <v>28</v>
      </c>
      <c r="G64" s="1171" t="str">
        <f>'XM.GUI MAIL'!$E$94</f>
        <v>60~70ºC
(65±3OC)</v>
      </c>
      <c r="H64" s="1869">
        <f>'3.XT-C kh'!H63:I63</f>
        <v>0</v>
      </c>
      <c r="I64" s="1869"/>
      <c r="J64" s="1866">
        <f>'3.XT-C kh'!J63:K63</f>
        <v>0</v>
      </c>
      <c r="K64" s="1868"/>
      <c r="L64" s="1869">
        <f>'3.XT-C kh'!X63</f>
        <v>0</v>
      </c>
      <c r="M64" s="1869"/>
      <c r="N64" s="1869">
        <f>'3.XT-C kh'!Z63</f>
        <v>0</v>
      </c>
      <c r="O64" s="1869"/>
      <c r="P64" s="1142"/>
    </row>
    <row r="65" spans="1:16" ht="42" customHeight="1">
      <c r="A65" s="92">
        <v>5</v>
      </c>
      <c r="B65" s="2021" t="s">
        <v>128</v>
      </c>
      <c r="C65" s="2023"/>
      <c r="D65" s="2023"/>
      <c r="E65" s="2022"/>
      <c r="F65" s="12" t="s">
        <v>28</v>
      </c>
      <c r="G65" s="120" t="str">
        <f>'XM.GUI MAIL'!$E$101</f>
        <v>24~28ºC
(26±2OC)</v>
      </c>
      <c r="H65" s="1866">
        <f>'XM.FILE GOC'!Z101</f>
        <v>0</v>
      </c>
      <c r="I65" s="1867"/>
      <c r="J65" s="1866">
        <f>'XM.FILE GOC'!AC101</f>
        <v>0</v>
      </c>
      <c r="K65" s="1867"/>
      <c r="L65" s="1866">
        <f>'XM.FILE GOC'!AL101</f>
        <v>0</v>
      </c>
      <c r="M65" s="1867"/>
      <c r="N65" s="1866">
        <f>'XM.FILE GOC'!AO101</f>
        <v>0</v>
      </c>
      <c r="O65" s="1867"/>
      <c r="P65" s="1142"/>
    </row>
    <row r="66" spans="1:16" ht="42" customHeight="1">
      <c r="A66" s="92">
        <v>6</v>
      </c>
      <c r="B66" s="2021" t="s">
        <v>126</v>
      </c>
      <c r="C66" s="2023"/>
      <c r="D66" s="2023"/>
      <c r="E66" s="2022"/>
      <c r="F66" s="12" t="s">
        <v>28</v>
      </c>
      <c r="G66" s="120" t="str">
        <f>'XM.GUI MAIL'!$E$102</f>
        <v>40~60ºC
(50±10OC)</v>
      </c>
      <c r="H66" s="1869">
        <f>'XM.FILE GOC'!Z102</f>
        <v>0</v>
      </c>
      <c r="I66" s="1869"/>
      <c r="J66" s="1869">
        <f>'XM.FILE GOC'!AC102</f>
        <v>0</v>
      </c>
      <c r="K66" s="1869"/>
      <c r="L66" s="1869">
        <f>'XM.FILE GOC'!AL102</f>
        <v>0</v>
      </c>
      <c r="M66" s="1869"/>
      <c r="N66" s="1869">
        <f>'XM.FILE GOC'!AO102</f>
        <v>0</v>
      </c>
      <c r="O66" s="1869"/>
      <c r="P66" s="1142"/>
    </row>
    <row r="67" spans="1:16" ht="42" customHeight="1">
      <c r="A67" s="92">
        <v>7</v>
      </c>
      <c r="B67" s="2021" t="s">
        <v>133</v>
      </c>
      <c r="C67" s="2023"/>
      <c r="D67" s="2023"/>
      <c r="E67" s="2022"/>
      <c r="F67" s="12" t="s">
        <v>28</v>
      </c>
      <c r="G67" s="120" t="str">
        <f>'XM.GUI MAIL'!$E$103</f>
        <v>20~30ºC
(25±5OC)</v>
      </c>
      <c r="H67" s="1866">
        <f>'XM.FILE GOC'!Z103</f>
        <v>0</v>
      </c>
      <c r="I67" s="1867"/>
      <c r="J67" s="1866">
        <f>'XM.FILE GOC'!AC103</f>
        <v>0</v>
      </c>
      <c r="K67" s="1867"/>
      <c r="L67" s="1866">
        <f>'XM.FILE GOC'!AL103</f>
        <v>0</v>
      </c>
      <c r="M67" s="1867"/>
      <c r="N67" s="1866">
        <f>'XM.FILE GOC'!AO103</f>
        <v>0</v>
      </c>
      <c r="O67" s="1867"/>
      <c r="P67" s="1142"/>
    </row>
    <row r="68" spans="1:16" ht="42" customHeight="1">
      <c r="A68" s="92">
        <v>8</v>
      </c>
      <c r="B68" s="2021" t="s">
        <v>33</v>
      </c>
      <c r="C68" s="2023"/>
      <c r="D68" s="2023"/>
      <c r="E68" s="2022"/>
      <c r="F68" s="12" t="s">
        <v>28</v>
      </c>
      <c r="G68" s="1171" t="str">
        <f>'XM.GUI MAIL'!$E$97</f>
        <v>55~65ºC
(60±3OC)</v>
      </c>
      <c r="H68" s="1869">
        <f>'3.XT-C kh'!H66:I66</f>
        <v>0</v>
      </c>
      <c r="I68" s="1869"/>
      <c r="J68" s="1869">
        <f>'3.XT-C kh'!J66:K66</f>
        <v>0</v>
      </c>
      <c r="K68" s="1869"/>
      <c r="L68" s="1869">
        <f>'3.XT-C kh'!X66</f>
        <v>0</v>
      </c>
      <c r="M68" s="1869"/>
      <c r="N68" s="1869">
        <f>'3.XT-C kh'!Z66</f>
        <v>0</v>
      </c>
      <c r="O68" s="1869"/>
      <c r="P68" s="1142"/>
    </row>
    <row r="69" spans="1:16" ht="42" customHeight="1">
      <c r="A69" s="1142">
        <v>9</v>
      </c>
      <c r="B69" s="2010" t="s">
        <v>34</v>
      </c>
      <c r="C69" s="2011"/>
      <c r="D69" s="2011"/>
      <c r="E69" s="2012"/>
      <c r="F69" s="12" t="s">
        <v>28</v>
      </c>
      <c r="G69" s="1171" t="str">
        <f>'XM.GUI MAIL'!$E$98</f>
        <v>65~75ºC
(70±3OC)</v>
      </c>
      <c r="H69" s="2026" t="str">
        <f>'3.XT-C kh'!H67:I67</f>
        <v>\</v>
      </c>
      <c r="I69" s="2026"/>
      <c r="J69" s="1866">
        <f>'3.XT-C kh'!J67:K67</f>
        <v>0</v>
      </c>
      <c r="K69" s="1868"/>
      <c r="L69" s="2026" t="str">
        <f>'3.XT-C kh'!X67</f>
        <v>\</v>
      </c>
      <c r="M69" s="2026"/>
      <c r="N69" s="1869">
        <f>'3.XT-C kh'!Z67</f>
        <v>0</v>
      </c>
      <c r="O69" s="1869"/>
      <c r="P69" s="1142"/>
    </row>
  </sheetData>
  <sheetProtection selectLockedCells="1"/>
  <mergeCells count="184">
    <mergeCell ref="A1:M1"/>
    <mergeCell ref="A2:M2"/>
    <mergeCell ref="N2:O2"/>
    <mergeCell ref="N3:O3"/>
    <mergeCell ref="A4:A5"/>
    <mergeCell ref="B4:E5"/>
    <mergeCell ref="F4:F5"/>
    <mergeCell ref="G4:G5"/>
    <mergeCell ref="H4:K4"/>
    <mergeCell ref="L4:O4"/>
    <mergeCell ref="P4:P5"/>
    <mergeCell ref="I5:K5"/>
    <mergeCell ref="M5:O5"/>
    <mergeCell ref="A6:A7"/>
    <mergeCell ref="B6:C7"/>
    <mergeCell ref="D6:E6"/>
    <mergeCell ref="D7:E7"/>
    <mergeCell ref="D8:E8"/>
    <mergeCell ref="A12:A13"/>
    <mergeCell ref="B12:C13"/>
    <mergeCell ref="D12:E12"/>
    <mergeCell ref="D13:E13"/>
    <mergeCell ref="A8:A9"/>
    <mergeCell ref="B8:C9"/>
    <mergeCell ref="D9:E9"/>
    <mergeCell ref="D10:E10"/>
    <mergeCell ref="A10:A11"/>
    <mergeCell ref="B10:C11"/>
    <mergeCell ref="D11:E11"/>
    <mergeCell ref="B22:E22"/>
    <mergeCell ref="B23:P23"/>
    <mergeCell ref="B24:E24"/>
    <mergeCell ref="H24:I24"/>
    <mergeCell ref="J24:K24"/>
    <mergeCell ref="L24:M24"/>
    <mergeCell ref="N24:O24"/>
    <mergeCell ref="A17:A18"/>
    <mergeCell ref="B19:E19"/>
    <mergeCell ref="B20:E20"/>
    <mergeCell ref="B21:E21"/>
    <mergeCell ref="B14:C17"/>
    <mergeCell ref="D14:E14"/>
    <mergeCell ref="D15:E15"/>
    <mergeCell ref="D16:E16"/>
    <mergeCell ref="B18:C18"/>
    <mergeCell ref="D18:E18"/>
    <mergeCell ref="A14:A16"/>
    <mergeCell ref="N25:O25"/>
    <mergeCell ref="B26:E26"/>
    <mergeCell ref="H26:I26"/>
    <mergeCell ref="J26:K26"/>
    <mergeCell ref="L26:M26"/>
    <mergeCell ref="N26:O26"/>
    <mergeCell ref="B25:E25"/>
    <mergeCell ref="H25:I25"/>
    <mergeCell ref="J25:K25"/>
    <mergeCell ref="L25:M25"/>
    <mergeCell ref="N27:O27"/>
    <mergeCell ref="B28:E28"/>
    <mergeCell ref="H28:I28"/>
    <mergeCell ref="J28:K28"/>
    <mergeCell ref="L28:M28"/>
    <mergeCell ref="N28:O28"/>
    <mergeCell ref="B27:E27"/>
    <mergeCell ref="H27:I27"/>
    <mergeCell ref="J27:K27"/>
    <mergeCell ref="L27:M27"/>
    <mergeCell ref="N39:O39"/>
    <mergeCell ref="A40:A41"/>
    <mergeCell ref="B40:E41"/>
    <mergeCell ref="F40:F41"/>
    <mergeCell ref="G40:G41"/>
    <mergeCell ref="H40:K40"/>
    <mergeCell ref="L40:O40"/>
    <mergeCell ref="N30:O30"/>
    <mergeCell ref="B31:E31"/>
    <mergeCell ref="H31:I31"/>
    <mergeCell ref="J31:K31"/>
    <mergeCell ref="L31:M31"/>
    <mergeCell ref="N31:O31"/>
    <mergeCell ref="B30:E30"/>
    <mergeCell ref="H30:I30"/>
    <mergeCell ref="J30:K30"/>
    <mergeCell ref="L30:M30"/>
    <mergeCell ref="A44:A45"/>
    <mergeCell ref="B44:C45"/>
    <mergeCell ref="D44:E44"/>
    <mergeCell ref="D45:E45"/>
    <mergeCell ref="D47:E47"/>
    <mergeCell ref="A46:A47"/>
    <mergeCell ref="B46:C47"/>
    <mergeCell ref="D46:E46"/>
    <mergeCell ref="P40:P41"/>
    <mergeCell ref="I41:K41"/>
    <mergeCell ref="M41:O41"/>
    <mergeCell ref="A42:A43"/>
    <mergeCell ref="B42:C43"/>
    <mergeCell ref="D42:E42"/>
    <mergeCell ref="D43:E43"/>
    <mergeCell ref="N60:O60"/>
    <mergeCell ref="A53:A54"/>
    <mergeCell ref="B55:E55"/>
    <mergeCell ref="B56:E56"/>
    <mergeCell ref="B57:E57"/>
    <mergeCell ref="A48:A49"/>
    <mergeCell ref="B48:C49"/>
    <mergeCell ref="D48:E48"/>
    <mergeCell ref="D49:E49"/>
    <mergeCell ref="A50:A52"/>
    <mergeCell ref="B58:E58"/>
    <mergeCell ref="B59:P59"/>
    <mergeCell ref="B60:E60"/>
    <mergeCell ref="H60:I60"/>
    <mergeCell ref="J60:K60"/>
    <mergeCell ref="L60:M60"/>
    <mergeCell ref="N68:O68"/>
    <mergeCell ref="J63:K63"/>
    <mergeCell ref="L63:M63"/>
    <mergeCell ref="N61:O61"/>
    <mergeCell ref="B62:E62"/>
    <mergeCell ref="H62:I62"/>
    <mergeCell ref="J62:K62"/>
    <mergeCell ref="L62:M62"/>
    <mergeCell ref="N62:O62"/>
    <mergeCell ref="B61:E61"/>
    <mergeCell ref="H61:I61"/>
    <mergeCell ref="J61:K61"/>
    <mergeCell ref="L61:M61"/>
    <mergeCell ref="N63:O63"/>
    <mergeCell ref="B64:E64"/>
    <mergeCell ref="H64:I64"/>
    <mergeCell ref="J64:K64"/>
    <mergeCell ref="L64:M64"/>
    <mergeCell ref="N64:O64"/>
    <mergeCell ref="B63:E63"/>
    <mergeCell ref="H63:I63"/>
    <mergeCell ref="B69:E69"/>
    <mergeCell ref="H69:I69"/>
    <mergeCell ref="J69:K69"/>
    <mergeCell ref="L69:M69"/>
    <mergeCell ref="N69:O69"/>
    <mergeCell ref="B68:E68"/>
    <mergeCell ref="H68:I68"/>
    <mergeCell ref="N65:O65"/>
    <mergeCell ref="B65:E65"/>
    <mergeCell ref="H65:I65"/>
    <mergeCell ref="J65:K65"/>
    <mergeCell ref="L65:M65"/>
    <mergeCell ref="J68:K68"/>
    <mergeCell ref="L68:M68"/>
    <mergeCell ref="N66:O66"/>
    <mergeCell ref="B67:E67"/>
    <mergeCell ref="H67:I67"/>
    <mergeCell ref="J67:K67"/>
    <mergeCell ref="L67:M67"/>
    <mergeCell ref="N67:O67"/>
    <mergeCell ref="B66:E66"/>
    <mergeCell ref="H66:I66"/>
    <mergeCell ref="J66:K66"/>
    <mergeCell ref="L66:M66"/>
    <mergeCell ref="N29:O29"/>
    <mergeCell ref="B50:C53"/>
    <mergeCell ref="D50:E50"/>
    <mergeCell ref="D51:E51"/>
    <mergeCell ref="D52:E52"/>
    <mergeCell ref="B54:C54"/>
    <mergeCell ref="D54:E54"/>
    <mergeCell ref="B29:E29"/>
    <mergeCell ref="H29:I29"/>
    <mergeCell ref="J29:K29"/>
    <mergeCell ref="L29:M29"/>
    <mergeCell ref="A37:M37"/>
    <mergeCell ref="A38:M38"/>
    <mergeCell ref="N38:O38"/>
    <mergeCell ref="N32:O32"/>
    <mergeCell ref="B33:E33"/>
    <mergeCell ref="H33:I33"/>
    <mergeCell ref="J33:K33"/>
    <mergeCell ref="L33:M33"/>
    <mergeCell ref="N33:O33"/>
    <mergeCell ref="B32:E32"/>
    <mergeCell ref="H32:I32"/>
    <mergeCell ref="J32:K32"/>
    <mergeCell ref="L32:M32"/>
  </mergeCells>
  <phoneticPr fontId="6" type="noConversion"/>
  <conditionalFormatting sqref="L55:L56 L19:L20 H19:H20 H55:H56">
    <cfRule type="expression" dxfId="2094" priority="395">
      <formula>H19&lt;30%</formula>
    </cfRule>
    <cfRule type="expression" dxfId="2093" priority="396">
      <formula>H19&gt;60%</formula>
    </cfRule>
  </conditionalFormatting>
  <conditionalFormatting sqref="H58 L58 H22 L22">
    <cfRule type="expression" dxfId="2092" priority="393">
      <formula>H22&lt;0.5%</formula>
    </cfRule>
    <cfRule type="expression" dxfId="2091" priority="394">
      <formula>H22&gt;1.5%</formula>
    </cfRule>
  </conditionalFormatting>
  <conditionalFormatting sqref="H44 L44 H42 L42 H8 L8 H6 L6">
    <cfRule type="expression" dxfId="2090" priority="223" stopIfTrue="1">
      <formula>H6&gt;60</formula>
    </cfRule>
    <cfRule type="expression" dxfId="2089" priority="224" stopIfTrue="1">
      <formula>H6&lt;45</formula>
    </cfRule>
  </conditionalFormatting>
  <conditionalFormatting sqref="H46 H48 L46 L48 H10 H12 L10 L12">
    <cfRule type="expression" dxfId="2088" priority="219" stopIfTrue="1">
      <formula>H10&gt;80</formula>
    </cfRule>
    <cfRule type="expression" dxfId="2087" priority="220" stopIfTrue="1">
      <formula>H10&lt;60</formula>
    </cfRule>
  </conditionalFormatting>
  <conditionalFormatting sqref="H57">
    <cfRule type="expression" dxfId="2086" priority="95">
      <formula>H57&lt;20%</formula>
    </cfRule>
    <cfRule type="expression" dxfId="2085" priority="96">
      <formula>H57&gt;40%</formula>
    </cfRule>
  </conditionalFormatting>
  <conditionalFormatting sqref="L57">
    <cfRule type="expression" dxfId="2084" priority="93">
      <formula>L57&lt;20%</formula>
    </cfRule>
    <cfRule type="expression" dxfId="2083" priority="94">
      <formula>L57&gt;40%</formula>
    </cfRule>
  </conditionalFormatting>
  <conditionalFormatting sqref="H21">
    <cfRule type="expression" dxfId="2082" priority="91">
      <formula>H21&lt;20%</formula>
    </cfRule>
    <cfRule type="expression" dxfId="2081" priority="92">
      <formula>H21&gt;40%</formula>
    </cfRule>
  </conditionalFormatting>
  <conditionalFormatting sqref="L21">
    <cfRule type="expression" dxfId="2080" priority="89">
      <formula>L21&lt;20%</formula>
    </cfRule>
    <cfRule type="expression" dxfId="2079" priority="90">
      <formula>L21&gt;40%</formula>
    </cfRule>
  </conditionalFormatting>
  <conditionalFormatting sqref="H50">
    <cfRule type="expression" dxfId="2078" priority="87" stopIfTrue="1">
      <formula>H50&gt;6</formula>
    </cfRule>
    <cfRule type="expression" dxfId="2077" priority="88" stopIfTrue="1">
      <formula>H50&lt;5</formula>
    </cfRule>
  </conditionalFormatting>
  <conditionalFormatting sqref="H51">
    <cfRule type="expression" dxfId="2076" priority="85" stopIfTrue="1">
      <formula>H51&gt;1.9</formula>
    </cfRule>
    <cfRule type="expression" dxfId="2075" priority="86" stopIfTrue="1">
      <formula>H51&lt;1.7</formula>
    </cfRule>
  </conditionalFormatting>
  <conditionalFormatting sqref="H52">
    <cfRule type="expression" dxfId="2074" priority="83" stopIfTrue="1">
      <formula>H52&gt;130</formula>
    </cfRule>
    <cfRule type="expression" dxfId="2073" priority="84" stopIfTrue="1">
      <formula>H52&lt;120</formula>
    </cfRule>
  </conditionalFormatting>
  <conditionalFormatting sqref="H53">
    <cfRule type="expression" dxfId="2072" priority="81" stopIfTrue="1">
      <formula>H53&gt;135</formula>
    </cfRule>
    <cfRule type="expression" dxfId="2071" priority="82" stopIfTrue="1">
      <formula>H53&lt;125</formula>
    </cfRule>
  </conditionalFormatting>
  <conditionalFormatting sqref="H54">
    <cfRule type="expression" dxfId="2070" priority="79" stopIfTrue="1">
      <formula>H54&gt;4.5</formula>
    </cfRule>
    <cfRule type="expression" dxfId="2069" priority="80" stopIfTrue="1">
      <formula>H54&lt;3</formula>
    </cfRule>
  </conditionalFormatting>
  <conditionalFormatting sqref="L50">
    <cfRule type="expression" dxfId="2068" priority="77" stopIfTrue="1">
      <formula>L50&gt;6</formula>
    </cfRule>
    <cfRule type="expression" dxfId="2067" priority="78" stopIfTrue="1">
      <formula>L50&lt;5</formula>
    </cfRule>
  </conditionalFormatting>
  <conditionalFormatting sqref="L51">
    <cfRule type="expression" dxfId="2066" priority="75" stopIfTrue="1">
      <formula>L51&gt;1.9</formula>
    </cfRule>
    <cfRule type="expression" dxfId="2065" priority="76" stopIfTrue="1">
      <formula>L51&lt;1.7</formula>
    </cfRule>
  </conditionalFormatting>
  <conditionalFormatting sqref="L52">
    <cfRule type="expression" dxfId="2064" priority="73" stopIfTrue="1">
      <formula>L52&gt;130</formula>
    </cfRule>
    <cfRule type="expression" dxfId="2063" priority="74" stopIfTrue="1">
      <formula>L52&lt;120</formula>
    </cfRule>
  </conditionalFormatting>
  <conditionalFormatting sqref="L53">
    <cfRule type="expression" dxfId="2062" priority="71" stopIfTrue="1">
      <formula>L53&gt;135</formula>
    </cfRule>
    <cfRule type="expression" dxfId="2061" priority="72" stopIfTrue="1">
      <formula>L53&lt;125</formula>
    </cfRule>
  </conditionalFormatting>
  <conditionalFormatting sqref="L54">
    <cfRule type="expression" dxfId="2060" priority="69" stopIfTrue="1">
      <formula>L54&gt;4.5</formula>
    </cfRule>
    <cfRule type="expression" dxfId="2059" priority="70" stopIfTrue="1">
      <formula>L54&lt;3</formula>
    </cfRule>
  </conditionalFormatting>
  <conditionalFormatting sqref="H14">
    <cfRule type="expression" dxfId="2058" priority="67" stopIfTrue="1">
      <formula>H14&gt;6</formula>
    </cfRule>
    <cfRule type="expression" dxfId="2057" priority="68" stopIfTrue="1">
      <formula>H14&lt;5</formula>
    </cfRule>
  </conditionalFormatting>
  <conditionalFormatting sqref="H15">
    <cfRule type="expression" dxfId="2056" priority="65" stopIfTrue="1">
      <formula>H15&gt;1.9</formula>
    </cfRule>
    <cfRule type="expression" dxfId="2055" priority="66" stopIfTrue="1">
      <formula>H15&lt;1.7</formula>
    </cfRule>
  </conditionalFormatting>
  <conditionalFormatting sqref="H16">
    <cfRule type="expression" dxfId="2054" priority="63" stopIfTrue="1">
      <formula>H16&gt;130</formula>
    </cfRule>
    <cfRule type="expression" dxfId="2053" priority="64" stopIfTrue="1">
      <formula>H16&lt;120</formula>
    </cfRule>
  </conditionalFormatting>
  <conditionalFormatting sqref="H17">
    <cfRule type="expression" dxfId="2052" priority="61" stopIfTrue="1">
      <formula>H17&gt;135</formula>
    </cfRule>
    <cfRule type="expression" dxfId="2051" priority="62" stopIfTrue="1">
      <formula>H17&lt;125</formula>
    </cfRule>
  </conditionalFormatting>
  <conditionalFormatting sqref="H18">
    <cfRule type="expression" dxfId="2050" priority="59" stopIfTrue="1">
      <formula>H18&gt;4.5</formula>
    </cfRule>
    <cfRule type="expression" dxfId="2049" priority="60" stopIfTrue="1">
      <formula>H18&lt;3</formula>
    </cfRule>
  </conditionalFormatting>
  <conditionalFormatting sqref="L14">
    <cfRule type="expression" dxfId="2048" priority="57" stopIfTrue="1">
      <formula>L14&gt;6</formula>
    </cfRule>
    <cfRule type="expression" dxfId="2047" priority="58" stopIfTrue="1">
      <formula>L14&lt;5</formula>
    </cfRule>
  </conditionalFormatting>
  <conditionalFormatting sqref="L15">
    <cfRule type="expression" dxfId="2046" priority="55" stopIfTrue="1">
      <formula>L15&gt;1.9</formula>
    </cfRule>
    <cfRule type="expression" dxfId="2045" priority="56" stopIfTrue="1">
      <formula>L15&lt;1.7</formula>
    </cfRule>
  </conditionalFormatting>
  <conditionalFormatting sqref="L16">
    <cfRule type="expression" dxfId="2044" priority="53" stopIfTrue="1">
      <formula>L16&gt;130</formula>
    </cfRule>
    <cfRule type="expression" dxfId="2043" priority="54" stopIfTrue="1">
      <formula>L16&lt;120</formula>
    </cfRule>
  </conditionalFormatting>
  <conditionalFormatting sqref="L17">
    <cfRule type="expression" dxfId="2042" priority="51" stopIfTrue="1">
      <formula>L17&gt;135</formula>
    </cfRule>
    <cfRule type="expression" dxfId="2041" priority="52" stopIfTrue="1">
      <formula>L17&lt;125</formula>
    </cfRule>
  </conditionalFormatting>
  <conditionalFormatting sqref="L18">
    <cfRule type="expression" dxfId="2040" priority="49" stopIfTrue="1">
      <formula>L18&gt;4.5</formula>
    </cfRule>
    <cfRule type="expression" dxfId="2039" priority="50" stopIfTrue="1">
      <formula>L18&lt;3</formula>
    </cfRule>
  </conditionalFormatting>
  <conditionalFormatting sqref="H61:O62">
    <cfRule type="expression" dxfId="2038" priority="47">
      <formula>H61&lt;65</formula>
    </cfRule>
    <cfRule type="expression" dxfId="2037" priority="48">
      <formula>H61&gt;75</formula>
    </cfRule>
  </conditionalFormatting>
  <conditionalFormatting sqref="H63:O64 H68:O68">
    <cfRule type="expression" dxfId="2036" priority="45">
      <formula>H63&lt;60</formula>
    </cfRule>
    <cfRule type="expression" dxfId="2035" priority="46">
      <formula>H63&gt;70</formula>
    </cfRule>
  </conditionalFormatting>
  <conditionalFormatting sqref="N69:O69 J69:K69">
    <cfRule type="expression" dxfId="2034" priority="43">
      <formula>J69&lt;40</formula>
    </cfRule>
    <cfRule type="expression" dxfId="2033" priority="44">
      <formula>J69&gt;70</formula>
    </cfRule>
  </conditionalFormatting>
  <conditionalFormatting sqref="H66:O66">
    <cfRule type="expression" dxfId="2032" priority="41">
      <formula>H66&lt;40</formula>
    </cfRule>
    <cfRule type="expression" dxfId="2031" priority="42">
      <formula>H66&gt;60</formula>
    </cfRule>
  </conditionalFormatting>
  <conditionalFormatting sqref="H65">
    <cfRule type="expression" dxfId="2030" priority="39">
      <formula>H65&lt;24</formula>
    </cfRule>
    <cfRule type="expression" dxfId="2029" priority="40">
      <formula>H65&gt;28</formula>
    </cfRule>
  </conditionalFormatting>
  <conditionalFormatting sqref="J65">
    <cfRule type="expression" dxfId="2028" priority="37">
      <formula>J65&lt;24</formula>
    </cfRule>
    <cfRule type="expression" dxfId="2027" priority="38">
      <formula>J65&gt;28</formula>
    </cfRule>
  </conditionalFormatting>
  <conditionalFormatting sqref="L65">
    <cfRule type="expression" dxfId="2026" priority="35">
      <formula>L65&lt;24</formula>
    </cfRule>
    <cfRule type="expression" dxfId="2025" priority="36">
      <formula>L65&gt;28</formula>
    </cfRule>
  </conditionalFormatting>
  <conditionalFormatting sqref="N65">
    <cfRule type="expression" dxfId="2024" priority="33">
      <formula>N65&lt;24</formula>
    </cfRule>
    <cfRule type="expression" dxfId="2023" priority="34">
      <formula>N65&gt;28</formula>
    </cfRule>
  </conditionalFormatting>
  <conditionalFormatting sqref="H67">
    <cfRule type="expression" dxfId="2022" priority="31">
      <formula>H67&lt;20</formula>
    </cfRule>
    <cfRule type="expression" dxfId="2021" priority="32">
      <formula>H67&gt;30</formula>
    </cfRule>
  </conditionalFormatting>
  <conditionalFormatting sqref="J67">
    <cfRule type="expression" dxfId="2020" priority="29">
      <formula>J67&lt;20</formula>
    </cfRule>
    <cfRule type="expression" dxfId="2019" priority="30">
      <formula>J67&gt;30</formula>
    </cfRule>
  </conditionalFormatting>
  <conditionalFormatting sqref="L67">
    <cfRule type="expression" dxfId="2018" priority="27">
      <formula>L67&lt;20</formula>
    </cfRule>
    <cfRule type="expression" dxfId="2017" priority="28">
      <formula>L67&gt;30</formula>
    </cfRule>
  </conditionalFormatting>
  <conditionalFormatting sqref="N67">
    <cfRule type="expression" dxfId="2016" priority="25">
      <formula>N67&lt;20</formula>
    </cfRule>
    <cfRule type="expression" dxfId="2015" priority="26">
      <formula>N67&gt;30</formula>
    </cfRule>
  </conditionalFormatting>
  <conditionalFormatting sqref="H25:O26">
    <cfRule type="expression" dxfId="2014" priority="23">
      <formula>H25&lt;65</formula>
    </cfRule>
    <cfRule type="expression" dxfId="2013" priority="24">
      <formula>H25&gt;75</formula>
    </cfRule>
  </conditionalFormatting>
  <conditionalFormatting sqref="H27:O28 H32:O32">
    <cfRule type="expression" dxfId="2012" priority="21">
      <formula>H27&lt;60</formula>
    </cfRule>
    <cfRule type="expression" dxfId="2011" priority="22">
      <formula>H27&gt;70</formula>
    </cfRule>
  </conditionalFormatting>
  <conditionalFormatting sqref="N33:O33 J33:K33">
    <cfRule type="expression" dxfId="2010" priority="19">
      <formula>J33&lt;40</formula>
    </cfRule>
    <cfRule type="expression" dxfId="2009" priority="20">
      <formula>J33&gt;70</formula>
    </cfRule>
  </conditionalFormatting>
  <conditionalFormatting sqref="H30:O30">
    <cfRule type="expression" dxfId="2008" priority="17">
      <formula>H30&lt;40</formula>
    </cfRule>
    <cfRule type="expression" dxfId="2007" priority="18">
      <formula>H30&gt;60</formula>
    </cfRule>
  </conditionalFormatting>
  <conditionalFormatting sqref="H29">
    <cfRule type="expression" dxfId="2006" priority="15">
      <formula>H29&lt;24</formula>
    </cfRule>
    <cfRule type="expression" dxfId="2005" priority="16">
      <formula>H29&gt;28</formula>
    </cfRule>
  </conditionalFormatting>
  <conditionalFormatting sqref="J29">
    <cfRule type="expression" dxfId="2004" priority="13">
      <formula>J29&lt;24</formula>
    </cfRule>
    <cfRule type="expression" dxfId="2003" priority="14">
      <formula>J29&gt;28</formula>
    </cfRule>
  </conditionalFormatting>
  <conditionalFormatting sqref="L29">
    <cfRule type="expression" dxfId="2002" priority="11">
      <formula>L29&lt;24</formula>
    </cfRule>
    <cfRule type="expression" dxfId="2001" priority="12">
      <formula>L29&gt;28</formula>
    </cfRule>
  </conditionalFormatting>
  <conditionalFormatting sqref="N29">
    <cfRule type="expression" dxfId="2000" priority="9">
      <formula>N29&lt;24</formula>
    </cfRule>
    <cfRule type="expression" dxfId="1999" priority="10">
      <formula>N29&gt;28</formula>
    </cfRule>
  </conditionalFormatting>
  <conditionalFormatting sqref="H31">
    <cfRule type="expression" dxfId="1998" priority="7">
      <formula>H31&lt;20</formula>
    </cfRule>
    <cfRule type="expression" dxfId="1997" priority="8">
      <formula>H31&gt;30</formula>
    </cfRule>
  </conditionalFormatting>
  <conditionalFormatting sqref="J31">
    <cfRule type="expression" dxfId="1996" priority="5">
      <formula>J31&lt;20</formula>
    </cfRule>
    <cfRule type="expression" dxfId="1995" priority="6">
      <formula>J31&gt;30</formula>
    </cfRule>
  </conditionalFormatting>
  <conditionalFormatting sqref="L31">
    <cfRule type="expression" dxfId="1994" priority="3">
      <formula>L31&lt;20</formula>
    </cfRule>
    <cfRule type="expression" dxfId="1993" priority="4">
      <formula>L31&gt;30</formula>
    </cfRule>
  </conditionalFormatting>
  <conditionalFormatting sqref="N31">
    <cfRule type="expression" dxfId="1992" priority="1">
      <formula>N31&lt;20</formula>
    </cfRule>
    <cfRule type="expression" dxfId="1991" priority="2">
      <formula>N31&gt;30</formula>
    </cfRule>
  </conditionalFormatting>
  <pageMargins left="0.39" right="0" top="0" bottom="0" header="0" footer="0"/>
  <pageSetup paperSize="9" scale="70" orientation="portrait" verticalDpi="300" r:id="rId1"/>
  <headerFooter alignWithMargins="0">
    <oddFooter>&amp;L&amp;10DCC No.：      Q4-CXVN-PC01-IS10-02&amp;C&amp;10Ver.： 01&amp;R&amp;10保存期限： 1 年</oddFooter>
  </headerFooter>
  <drawing r:id="rId2"/>
</worksheet>
</file>

<file path=xl/worksheets/sheet18.xml><?xml version="1.0" encoding="utf-8"?>
<worksheet xmlns="http://schemas.openxmlformats.org/spreadsheetml/2006/main" xmlns:r="http://schemas.openxmlformats.org/officeDocument/2006/relationships">
  <sheetPr codeName="Sheet8">
    <tabColor rgb="FFFF0000"/>
  </sheetPr>
  <dimension ref="A1:T79"/>
  <sheetViews>
    <sheetView tabSelected="1" view="pageBreakPreview" topLeftCell="A43" zoomScale="60" zoomScaleNormal="70" workbookViewId="0">
      <selection activeCell="Y55" sqref="Y55"/>
    </sheetView>
  </sheetViews>
  <sheetFormatPr defaultRowHeight="15"/>
  <cols>
    <col min="1" max="1" width="3.75" style="16" customWidth="1"/>
    <col min="2" max="2" width="10" style="16" customWidth="1"/>
    <col min="3" max="3" width="4.625" style="16" customWidth="1"/>
    <col min="4" max="4" width="13.375" style="16" customWidth="1"/>
    <col min="5" max="5" width="3" style="16" customWidth="1"/>
    <col min="6" max="6" width="7.875" style="16" customWidth="1"/>
    <col min="7" max="7" width="14" style="16" customWidth="1"/>
    <col min="8" max="8" width="8" style="16" customWidth="1"/>
    <col min="9" max="9" width="3.625" style="16" customWidth="1"/>
    <col min="10" max="10" width="8.5" style="16" customWidth="1"/>
    <col min="11" max="11" width="3.875" style="16" customWidth="1"/>
    <col min="12" max="12" width="6.5" style="16" customWidth="1"/>
    <col min="13" max="13" width="3.375" style="16" customWidth="1"/>
    <col min="14" max="14" width="7.5" style="16" customWidth="1"/>
    <col min="15" max="15" width="4.375" style="16" customWidth="1"/>
    <col min="16" max="16" width="6.375" style="16" customWidth="1"/>
    <col min="17" max="17" width="4" style="16" customWidth="1"/>
    <col min="18" max="18" width="8" style="16" customWidth="1"/>
    <col min="19" max="19" width="5.625" style="16" customWidth="1"/>
    <col min="20" max="20" width="12.375" style="16" customWidth="1"/>
    <col min="21" max="16384" width="9" style="16"/>
  </cols>
  <sheetData>
    <row r="1" spans="1:20" ht="28.5" customHeight="1">
      <c r="A1" s="2070" t="s">
        <v>613</v>
      </c>
      <c r="B1" s="2070"/>
      <c r="C1" s="2070"/>
      <c r="D1" s="2070"/>
      <c r="E1" s="2070"/>
      <c r="F1" s="2070"/>
      <c r="G1" s="2070"/>
      <c r="H1" s="2070"/>
      <c r="I1" s="2070"/>
      <c r="J1" s="2070"/>
      <c r="K1" s="2070"/>
      <c r="L1" s="2070"/>
      <c r="M1" s="2070"/>
      <c r="N1" s="2070"/>
      <c r="O1" s="2070"/>
      <c r="P1" s="2070"/>
      <c r="Q1" s="2070"/>
      <c r="R1" s="1174"/>
      <c r="S1" s="1174"/>
      <c r="T1" s="1175" t="s">
        <v>142</v>
      </c>
    </row>
    <row r="2" spans="1:20" ht="47.25" customHeight="1">
      <c r="A2" s="1889" t="s">
        <v>240</v>
      </c>
      <c r="B2" s="1889"/>
      <c r="C2" s="1889"/>
      <c r="D2" s="1889"/>
      <c r="E2" s="1889"/>
      <c r="F2" s="1889"/>
      <c r="G2" s="1889"/>
      <c r="H2" s="1889"/>
      <c r="I2" s="1889"/>
      <c r="J2" s="1889"/>
      <c r="K2" s="1889"/>
      <c r="L2" s="1889"/>
      <c r="M2" s="1889"/>
      <c r="N2" s="1889"/>
      <c r="O2" s="1889"/>
      <c r="P2" s="1889"/>
      <c r="Q2" s="1890"/>
      <c r="R2" s="1887" t="s">
        <v>96</v>
      </c>
      <c r="S2" s="1888"/>
      <c r="T2" s="1188" t="s">
        <v>97</v>
      </c>
    </row>
    <row r="3" spans="1:20" ht="32.25" customHeight="1">
      <c r="B3" s="2071" t="s">
        <v>236</v>
      </c>
      <c r="C3" s="2071"/>
      <c r="D3" s="2071"/>
      <c r="E3" s="2071"/>
      <c r="F3" s="99"/>
      <c r="G3" s="235" t="str">
        <f>'2. XL-1F kh'!G3</f>
        <v>2022/12/03</v>
      </c>
      <c r="H3" s="1920"/>
      <c r="I3" s="1920"/>
      <c r="J3" s="1920"/>
      <c r="K3" s="1920"/>
      <c r="L3" s="1184"/>
      <c r="M3" s="1184"/>
      <c r="N3" s="1184"/>
      <c r="O3" s="1184"/>
      <c r="P3" s="1184"/>
      <c r="Q3" s="1184"/>
      <c r="R3" s="2072" t="str">
        <f>'1. XL-1E kh'!AC3:AC3</f>
        <v>L.Yen</v>
      </c>
      <c r="S3" s="2073"/>
      <c r="T3" s="1186" t="s">
        <v>11</v>
      </c>
    </row>
    <row r="4" spans="1:20" s="17" customFormat="1" ht="35.25" customHeight="1">
      <c r="A4" s="2062" t="s">
        <v>7</v>
      </c>
      <c r="B4" s="2049" t="s">
        <v>79</v>
      </c>
      <c r="C4" s="2050"/>
      <c r="D4" s="2050"/>
      <c r="E4" s="2051"/>
      <c r="F4" s="2055" t="s">
        <v>137</v>
      </c>
      <c r="G4" s="2057" t="s">
        <v>67</v>
      </c>
      <c r="H4" s="1921">
        <v>0.26041666666666669</v>
      </c>
      <c r="I4" s="1922"/>
      <c r="J4" s="1922"/>
      <c r="K4" s="1923"/>
      <c r="L4" s="1921">
        <v>0.42708333333333331</v>
      </c>
      <c r="M4" s="1922"/>
      <c r="N4" s="1922"/>
      <c r="O4" s="1923"/>
      <c r="P4" s="1921">
        <v>0.59375</v>
      </c>
      <c r="Q4" s="1922"/>
      <c r="R4" s="1922"/>
      <c r="S4" s="1923"/>
      <c r="T4" s="1187" t="s">
        <v>98</v>
      </c>
    </row>
    <row r="5" spans="1:20" s="17" customFormat="1" ht="34.5" customHeight="1">
      <c r="A5" s="2063"/>
      <c r="B5" s="2052"/>
      <c r="C5" s="2053"/>
      <c r="D5" s="2053"/>
      <c r="E5" s="2054"/>
      <c r="F5" s="2056"/>
      <c r="G5" s="2058"/>
      <c r="H5" s="63" t="s">
        <v>146</v>
      </c>
      <c r="I5" s="1927" t="s">
        <v>1</v>
      </c>
      <c r="J5" s="1928"/>
      <c r="K5" s="1929"/>
      <c r="L5" s="63" t="s">
        <v>146</v>
      </c>
      <c r="M5" s="1927" t="s">
        <v>1</v>
      </c>
      <c r="N5" s="1928"/>
      <c r="O5" s="1929"/>
      <c r="P5" s="63" t="s">
        <v>146</v>
      </c>
      <c r="Q5" s="1927" t="s">
        <v>1</v>
      </c>
      <c r="R5" s="1928"/>
      <c r="S5" s="1929"/>
      <c r="T5" s="4" t="s">
        <v>99</v>
      </c>
    </row>
    <row r="6" spans="1:20" ht="31.5" customHeight="1">
      <c r="A6" s="2062">
        <v>1</v>
      </c>
      <c r="B6" s="2049" t="s">
        <v>148</v>
      </c>
      <c r="C6" s="2065"/>
      <c r="D6" s="2044" t="s">
        <v>108</v>
      </c>
      <c r="E6" s="2045"/>
      <c r="F6" s="1203" t="s">
        <v>4</v>
      </c>
      <c r="G6" s="1025" t="str">
        <f>'XM.GUI MAIL'!$E$6</f>
        <v>25~35g/L
(30±2g/L)</v>
      </c>
      <c r="H6" s="64">
        <f>'XM.GUI MAIL'!H6</f>
        <v>30</v>
      </c>
      <c r="I6" s="18" t="s">
        <v>8</v>
      </c>
      <c r="J6" s="29">
        <f>'XM.GUI MAIL'!K6</f>
        <v>0</v>
      </c>
      <c r="K6" s="19" t="s">
        <v>9</v>
      </c>
      <c r="L6" s="64">
        <f>'XM.GUI MAIL'!N6</f>
        <v>29.6</v>
      </c>
      <c r="M6" s="18" t="s">
        <v>8</v>
      </c>
      <c r="N6" s="29">
        <f>'XM.GUI MAIL'!Q6</f>
        <v>1.0771999999999962</v>
      </c>
      <c r="O6" s="19" t="s">
        <v>9</v>
      </c>
      <c r="P6" s="64">
        <f>'XM.GUI MAIL'!T6</f>
        <v>29.6</v>
      </c>
      <c r="Q6" s="18" t="s">
        <v>8</v>
      </c>
      <c r="R6" s="29">
        <f>'XM.GUI MAIL'!W6</f>
        <v>1.0771999999999962</v>
      </c>
      <c r="S6" s="19" t="s">
        <v>9</v>
      </c>
      <c r="T6" s="129" t="s">
        <v>42</v>
      </c>
    </row>
    <row r="7" spans="1:20" ht="31.5" customHeight="1">
      <c r="A7" s="2064"/>
      <c r="B7" s="2066"/>
      <c r="C7" s="2067"/>
      <c r="D7" s="2037" t="s">
        <v>109</v>
      </c>
      <c r="E7" s="2038"/>
      <c r="F7" s="1203" t="s">
        <v>58</v>
      </c>
      <c r="G7" s="1025" t="s">
        <v>110</v>
      </c>
      <c r="H7" s="64"/>
      <c r="I7" s="65" t="s">
        <v>8</v>
      </c>
      <c r="J7" s="68">
        <f>J6/25*840/1000</f>
        <v>0</v>
      </c>
      <c r="K7" s="67" t="s">
        <v>10</v>
      </c>
      <c r="L7" s="64"/>
      <c r="M7" s="65" t="s">
        <v>8</v>
      </c>
      <c r="N7" s="68">
        <f>N6/25*840/1000</f>
        <v>3.6193919999999873E-2</v>
      </c>
      <c r="O7" s="67" t="s">
        <v>10</v>
      </c>
      <c r="P7" s="64"/>
      <c r="Q7" s="65" t="s">
        <v>8</v>
      </c>
      <c r="R7" s="68">
        <f>R6/25*840/1000</f>
        <v>3.6193919999999873E-2</v>
      </c>
      <c r="S7" s="67" t="s">
        <v>10</v>
      </c>
      <c r="T7" s="129"/>
    </row>
    <row r="8" spans="1:20" ht="31.5" customHeight="1">
      <c r="A8" s="2063"/>
      <c r="B8" s="2068"/>
      <c r="C8" s="2069"/>
      <c r="D8" s="2037" t="s">
        <v>111</v>
      </c>
      <c r="E8" s="2038"/>
      <c r="F8" s="1203" t="s">
        <v>58</v>
      </c>
      <c r="G8" s="1025" t="s">
        <v>110</v>
      </c>
      <c r="H8" s="64"/>
      <c r="I8" s="65" t="s">
        <v>8</v>
      </c>
      <c r="J8" s="68">
        <f>J7*10</f>
        <v>0</v>
      </c>
      <c r="K8" s="67" t="s">
        <v>10</v>
      </c>
      <c r="L8" s="64"/>
      <c r="M8" s="65" t="s">
        <v>8</v>
      </c>
      <c r="N8" s="68">
        <f>N7*10</f>
        <v>0.36193919999999874</v>
      </c>
      <c r="O8" s="67" t="s">
        <v>10</v>
      </c>
      <c r="P8" s="64"/>
      <c r="Q8" s="65" t="s">
        <v>8</v>
      </c>
      <c r="R8" s="68">
        <f>R7*10</f>
        <v>0.36193919999999874</v>
      </c>
      <c r="S8" s="67" t="s">
        <v>10</v>
      </c>
      <c r="T8" s="129"/>
    </row>
    <row r="9" spans="1:20" ht="31.5" customHeight="1">
      <c r="A9" s="2062">
        <v>2</v>
      </c>
      <c r="B9" s="2049" t="s">
        <v>149</v>
      </c>
      <c r="C9" s="2065"/>
      <c r="D9" s="2044" t="s">
        <v>108</v>
      </c>
      <c r="E9" s="2045"/>
      <c r="F9" s="1203" t="s">
        <v>4</v>
      </c>
      <c r="G9" s="1025" t="str">
        <f>'XM.GUI MAIL'!$E$7</f>
        <v>25~35g/L
(30±2g/L)</v>
      </c>
      <c r="H9" s="64">
        <f>'XM.GUI MAIL'!H7</f>
        <v>30.8</v>
      </c>
      <c r="I9" s="18" t="s">
        <v>8</v>
      </c>
      <c r="J9" s="29">
        <f>'XM.GUI MAIL'!K7</f>
        <v>0</v>
      </c>
      <c r="K9" s="19" t="s">
        <v>9</v>
      </c>
      <c r="L9" s="64">
        <f>'XM.GUI MAIL'!N7</f>
        <v>30</v>
      </c>
      <c r="M9" s="18" t="s">
        <v>8</v>
      </c>
      <c r="N9" s="29">
        <f>'XM.GUI MAIL'!Q7</f>
        <v>0</v>
      </c>
      <c r="O9" s="19" t="s">
        <v>9</v>
      </c>
      <c r="P9" s="64">
        <f>'XM.GUI MAIL'!T7</f>
        <v>30.8</v>
      </c>
      <c r="Q9" s="18" t="s">
        <v>8</v>
      </c>
      <c r="R9" s="29">
        <f>'XM.GUI MAIL'!W7</f>
        <v>0</v>
      </c>
      <c r="S9" s="19" t="s">
        <v>9</v>
      </c>
      <c r="T9" s="129" t="s">
        <v>42</v>
      </c>
    </row>
    <row r="10" spans="1:20" ht="31.5" customHeight="1">
      <c r="A10" s="2064"/>
      <c r="B10" s="2066"/>
      <c r="C10" s="2067"/>
      <c r="D10" s="2037" t="s">
        <v>109</v>
      </c>
      <c r="E10" s="2038"/>
      <c r="F10" s="1203" t="s">
        <v>58</v>
      </c>
      <c r="G10" s="1025" t="s">
        <v>110</v>
      </c>
      <c r="H10" s="64"/>
      <c r="I10" s="65" t="s">
        <v>8</v>
      </c>
      <c r="J10" s="68">
        <f>J9/25*840/1000</f>
        <v>0</v>
      </c>
      <c r="K10" s="67" t="s">
        <v>10</v>
      </c>
      <c r="L10" s="64"/>
      <c r="M10" s="65" t="s">
        <v>8</v>
      </c>
      <c r="N10" s="68">
        <f>N9/25*840/1000</f>
        <v>0</v>
      </c>
      <c r="O10" s="67" t="s">
        <v>10</v>
      </c>
      <c r="P10" s="64"/>
      <c r="Q10" s="65" t="s">
        <v>8</v>
      </c>
      <c r="R10" s="68">
        <f>R9/25*840/1000</f>
        <v>0</v>
      </c>
      <c r="S10" s="67" t="s">
        <v>10</v>
      </c>
      <c r="T10" s="129"/>
    </row>
    <row r="11" spans="1:20" ht="31.5" customHeight="1">
      <c r="A11" s="2063"/>
      <c r="B11" s="2068"/>
      <c r="C11" s="2069"/>
      <c r="D11" s="2037" t="s">
        <v>111</v>
      </c>
      <c r="E11" s="2038"/>
      <c r="F11" s="1203" t="s">
        <v>58</v>
      </c>
      <c r="G11" s="1025" t="s">
        <v>110</v>
      </c>
      <c r="H11" s="64"/>
      <c r="I11" s="65" t="s">
        <v>8</v>
      </c>
      <c r="J11" s="68">
        <f>J10*10</f>
        <v>0</v>
      </c>
      <c r="K11" s="67" t="s">
        <v>10</v>
      </c>
      <c r="L11" s="64"/>
      <c r="M11" s="65" t="s">
        <v>8</v>
      </c>
      <c r="N11" s="68">
        <f>N10*10</f>
        <v>0</v>
      </c>
      <c r="O11" s="67" t="s">
        <v>10</v>
      </c>
      <c r="P11" s="64"/>
      <c r="Q11" s="65" t="s">
        <v>8</v>
      </c>
      <c r="R11" s="68">
        <f>R10*10</f>
        <v>0</v>
      </c>
      <c r="S11" s="67" t="s">
        <v>10</v>
      </c>
      <c r="T11" s="129"/>
    </row>
    <row r="12" spans="1:20" ht="31.5" customHeight="1">
      <c r="A12" s="2062">
        <v>3</v>
      </c>
      <c r="B12" s="2035" t="s">
        <v>150</v>
      </c>
      <c r="C12" s="2036"/>
      <c r="D12" s="2044" t="s">
        <v>108</v>
      </c>
      <c r="E12" s="2045"/>
      <c r="F12" s="1203" t="s">
        <v>4</v>
      </c>
      <c r="G12" s="1025" t="str">
        <f>'XM.GUI MAIL'!$E$8</f>
        <v>60~80g/L
(70±10g/L)</v>
      </c>
      <c r="H12" s="64">
        <f>'XM.GUI MAIL'!H8</f>
        <v>65.599999999999994</v>
      </c>
      <c r="I12" s="18" t="s">
        <v>8</v>
      </c>
      <c r="J12" s="29">
        <f>'XM.GUI MAIL'!K8</f>
        <v>5.0864000000000065</v>
      </c>
      <c r="K12" s="19" t="s">
        <v>9</v>
      </c>
      <c r="L12" s="64">
        <f>'XM.GUI MAIL'!N8</f>
        <v>65.2</v>
      </c>
      <c r="M12" s="18" t="s">
        <v>8</v>
      </c>
      <c r="N12" s="29">
        <f>'XM.GUI MAIL'!Q8</f>
        <v>5.5487999999999964</v>
      </c>
      <c r="O12" s="19" t="s">
        <v>9</v>
      </c>
      <c r="P12" s="64">
        <f>'XM.GUI MAIL'!T8</f>
        <v>66.8</v>
      </c>
      <c r="Q12" s="18" t="s">
        <v>8</v>
      </c>
      <c r="R12" s="29">
        <f>'XM.GUI MAIL'!W8</f>
        <v>3.6992000000000034</v>
      </c>
      <c r="S12" s="19" t="s">
        <v>9</v>
      </c>
      <c r="T12" s="129" t="s">
        <v>42</v>
      </c>
    </row>
    <row r="13" spans="1:20" ht="31.5" customHeight="1">
      <c r="A13" s="2063"/>
      <c r="B13" s="2036"/>
      <c r="C13" s="2036"/>
      <c r="D13" s="2037" t="s">
        <v>112</v>
      </c>
      <c r="E13" s="2038"/>
      <c r="F13" s="1203" t="s">
        <v>58</v>
      </c>
      <c r="G13" s="1025" t="s">
        <v>110</v>
      </c>
      <c r="H13" s="64"/>
      <c r="I13" s="65" t="s">
        <v>8</v>
      </c>
      <c r="J13" s="68">
        <f>J12/25*7.5</f>
        <v>1.5259200000000019</v>
      </c>
      <c r="K13" s="67" t="s">
        <v>10</v>
      </c>
      <c r="L13" s="64"/>
      <c r="M13" s="65" t="s">
        <v>8</v>
      </c>
      <c r="N13" s="68">
        <f>N12/25*7.5</f>
        <v>1.6646399999999988</v>
      </c>
      <c r="O13" s="67" t="s">
        <v>10</v>
      </c>
      <c r="P13" s="64"/>
      <c r="Q13" s="65" t="s">
        <v>8</v>
      </c>
      <c r="R13" s="68">
        <f>R12/25*7.5</f>
        <v>1.109760000000001</v>
      </c>
      <c r="S13" s="67" t="s">
        <v>10</v>
      </c>
      <c r="T13" s="129"/>
    </row>
    <row r="14" spans="1:20" ht="31.5" customHeight="1">
      <c r="A14" s="2062">
        <v>4</v>
      </c>
      <c r="B14" s="2035" t="s">
        <v>151</v>
      </c>
      <c r="C14" s="2036"/>
      <c r="D14" s="2044" t="s">
        <v>108</v>
      </c>
      <c r="E14" s="2045"/>
      <c r="F14" s="1203" t="s">
        <v>4</v>
      </c>
      <c r="G14" s="1025" t="str">
        <f>'XM.GUI MAIL'!$E$9</f>
        <v>60~80g/L
(70±10g/L)</v>
      </c>
      <c r="H14" s="64">
        <f>'XM.GUI MAIL'!H9</f>
        <v>72.8</v>
      </c>
      <c r="I14" s="18" t="s">
        <v>8</v>
      </c>
      <c r="J14" s="29">
        <f>'XM.GUI MAIL'!K9</f>
        <v>0</v>
      </c>
      <c r="K14" s="19" t="s">
        <v>9</v>
      </c>
      <c r="L14" s="64">
        <f>'XM.GUI MAIL'!N9</f>
        <v>71.2</v>
      </c>
      <c r="M14" s="18" t="s">
        <v>8</v>
      </c>
      <c r="N14" s="29">
        <f>'XM.GUI MAIL'!Q9</f>
        <v>0</v>
      </c>
      <c r="O14" s="19" t="s">
        <v>9</v>
      </c>
      <c r="P14" s="64">
        <f>'XM.GUI MAIL'!T9</f>
        <v>71.599999999999994</v>
      </c>
      <c r="Q14" s="18" t="s">
        <v>8</v>
      </c>
      <c r="R14" s="29">
        <f>'XM.GUI MAIL'!W9</f>
        <v>0</v>
      </c>
      <c r="S14" s="19" t="s">
        <v>9</v>
      </c>
      <c r="T14" s="129" t="s">
        <v>42</v>
      </c>
    </row>
    <row r="15" spans="1:20" ht="31.5" customHeight="1">
      <c r="A15" s="2063"/>
      <c r="B15" s="2036"/>
      <c r="C15" s="2036"/>
      <c r="D15" s="2037" t="s">
        <v>112</v>
      </c>
      <c r="E15" s="2038"/>
      <c r="F15" s="1203" t="s">
        <v>58</v>
      </c>
      <c r="G15" s="1025" t="s">
        <v>110</v>
      </c>
      <c r="H15" s="64"/>
      <c r="I15" s="65" t="s">
        <v>8</v>
      </c>
      <c r="J15" s="68">
        <f>J14/25*7.5</f>
        <v>0</v>
      </c>
      <c r="K15" s="67" t="s">
        <v>10</v>
      </c>
      <c r="L15" s="64"/>
      <c r="M15" s="65" t="s">
        <v>8</v>
      </c>
      <c r="N15" s="68">
        <f>N14/25*7.5</f>
        <v>0</v>
      </c>
      <c r="O15" s="67" t="s">
        <v>10</v>
      </c>
      <c r="P15" s="64"/>
      <c r="Q15" s="65" t="s">
        <v>8</v>
      </c>
      <c r="R15" s="68">
        <f>R14/25*7.5</f>
        <v>0</v>
      </c>
      <c r="S15" s="67" t="s">
        <v>10</v>
      </c>
      <c r="T15" s="129"/>
    </row>
    <row r="16" spans="1:20" ht="31.5" customHeight="1">
      <c r="A16" s="2062">
        <v>5</v>
      </c>
      <c r="B16" s="2037" t="s">
        <v>82</v>
      </c>
      <c r="C16" s="2059"/>
      <c r="D16" s="2059"/>
      <c r="E16" s="2038"/>
      <c r="F16" s="1203" t="s">
        <v>4</v>
      </c>
      <c r="G16" s="1168" t="str">
        <f>'XM.GUI MAIL'!$E$10</f>
        <v>130 - 150g/L
(140±5g/L)</v>
      </c>
      <c r="H16" s="5">
        <f>'XM.GUI MAIL'!H10</f>
        <v>140</v>
      </c>
      <c r="I16" s="18" t="s">
        <v>8</v>
      </c>
      <c r="J16" s="131">
        <f>'XM.GUI MAIL'!K10</f>
        <v>0</v>
      </c>
      <c r="K16" s="130" t="s">
        <v>9</v>
      </c>
      <c r="L16" s="5">
        <f>'XM.GUI MAIL'!N10</f>
        <v>139.19999999999999</v>
      </c>
      <c r="M16" s="18" t="s">
        <v>8</v>
      </c>
      <c r="N16" s="131">
        <f>'XM.GUI MAIL'!Q10</f>
        <v>15.960800000000226</v>
      </c>
      <c r="O16" s="130" t="s">
        <v>9</v>
      </c>
      <c r="P16" s="5">
        <f>'XM.GUI MAIL'!T10</f>
        <v>140.80000000000001</v>
      </c>
      <c r="Q16" s="18" t="s">
        <v>8</v>
      </c>
      <c r="R16" s="131">
        <f>'XM.GUI MAIL'!W10</f>
        <v>0</v>
      </c>
      <c r="S16" s="130" t="s">
        <v>9</v>
      </c>
      <c r="T16" s="129" t="s">
        <v>43</v>
      </c>
    </row>
    <row r="17" spans="1:20" ht="31.5" customHeight="1">
      <c r="A17" s="2063"/>
      <c r="B17" s="2037" t="s">
        <v>60</v>
      </c>
      <c r="C17" s="2059"/>
      <c r="D17" s="2059"/>
      <c r="E17" s="2038"/>
      <c r="F17" s="1203" t="s">
        <v>4</v>
      </c>
      <c r="G17" s="1168" t="str">
        <f>'XM.GUI MAIL'!$E$11</f>
        <v>7-12g/l
(9g±1g/l)</v>
      </c>
      <c r="H17" s="64">
        <f>'XM.GUI MAIL'!H11</f>
        <v>10.01</v>
      </c>
      <c r="I17" s="18" t="s">
        <v>8</v>
      </c>
      <c r="J17" s="29">
        <f>'XM.GUI MAIL'!K11</f>
        <v>0</v>
      </c>
      <c r="K17" s="130" t="s">
        <v>9</v>
      </c>
      <c r="L17" s="64">
        <f>'XM.GUI MAIL'!N11</f>
        <v>10.01</v>
      </c>
      <c r="M17" s="18" t="s">
        <v>8</v>
      </c>
      <c r="N17" s="29">
        <f>'XM.GUI MAIL'!Q11</f>
        <v>0</v>
      </c>
      <c r="O17" s="130" t="s">
        <v>9</v>
      </c>
      <c r="P17" s="64">
        <f>'XM.GUI MAIL'!T11</f>
        <v>9.75</v>
      </c>
      <c r="Q17" s="18" t="s">
        <v>8</v>
      </c>
      <c r="R17" s="29">
        <f>'XM.GUI MAIL'!W11</f>
        <v>0</v>
      </c>
      <c r="S17" s="130" t="s">
        <v>9</v>
      </c>
      <c r="T17" s="129" t="s">
        <v>44</v>
      </c>
    </row>
    <row r="18" spans="1:20" ht="31.5" customHeight="1">
      <c r="A18" s="2062">
        <v>6</v>
      </c>
      <c r="B18" s="2049" t="s">
        <v>1065</v>
      </c>
      <c r="C18" s="2050"/>
      <c r="D18" s="2050"/>
      <c r="E18" s="2051"/>
      <c r="F18" s="1203" t="s">
        <v>3</v>
      </c>
      <c r="G18" s="1168" t="str">
        <f>'XM.GUI MAIL'!$E$12</f>
        <v>12~18 %
(14±2%)</v>
      </c>
      <c r="H18" s="64">
        <f>'XM.GUI MAIL'!H12</f>
        <v>13.669064748201439</v>
      </c>
      <c r="I18" s="65" t="s">
        <v>8</v>
      </c>
      <c r="J18" s="66">
        <f>'XM.GUI MAIL'!K12</f>
        <v>1.902877697841725</v>
      </c>
      <c r="K18" s="67" t="s">
        <v>10</v>
      </c>
      <c r="L18" s="64">
        <f>'XM.GUI MAIL'!N12</f>
        <v>14.388489208633093</v>
      </c>
      <c r="M18" s="65" t="s">
        <v>8</v>
      </c>
      <c r="N18" s="66">
        <f>'XM.GUI MAIL'!Q12</f>
        <v>0</v>
      </c>
      <c r="O18" s="67" t="s">
        <v>10</v>
      </c>
      <c r="P18" s="64">
        <f>'XM.GUI MAIL'!T12</f>
        <v>15.25179856115108</v>
      </c>
      <c r="Q18" s="65" t="s">
        <v>8</v>
      </c>
      <c r="R18" s="66">
        <f>'XM.GUI MAIL'!W12</f>
        <v>0</v>
      </c>
      <c r="S18" s="67" t="s">
        <v>10</v>
      </c>
      <c r="T18" s="129" t="s">
        <v>45</v>
      </c>
    </row>
    <row r="19" spans="1:20" ht="31.5" customHeight="1">
      <c r="A19" s="2063"/>
      <c r="B19" s="2052"/>
      <c r="C19" s="2053"/>
      <c r="D19" s="2053"/>
      <c r="E19" s="2054"/>
      <c r="F19" s="1203" t="s">
        <v>5</v>
      </c>
      <c r="G19" s="1168" t="str">
        <f>'XM.GUI MAIL'!$E$13</f>
        <v>1.6~2.2(1.8±0.1 )</v>
      </c>
      <c r="H19" s="70">
        <f>'XM.GUI MAIL'!H13</f>
        <v>1.76</v>
      </c>
      <c r="I19" s="6"/>
      <c r="J19" s="29">
        <f>'XM.GUI MAIL'!K13</f>
        <v>0</v>
      </c>
      <c r="K19" s="7"/>
      <c r="L19" s="70">
        <f>'XM.GUI MAIL'!N13</f>
        <v>1.75</v>
      </c>
      <c r="M19" s="6"/>
      <c r="N19" s="29">
        <f>'XM.GUI MAIL'!Q13</f>
        <v>0</v>
      </c>
      <c r="O19" s="7"/>
      <c r="P19" s="70">
        <f>'XM.GUI MAIL'!T13</f>
        <v>1.89</v>
      </c>
      <c r="Q19" s="6"/>
      <c r="R19" s="29">
        <f>'XM.GUI MAIL'!W13</f>
        <v>0</v>
      </c>
      <c r="S19" s="7"/>
      <c r="T19" s="129"/>
    </row>
    <row r="20" spans="1:20" ht="31.5" customHeight="1">
      <c r="A20" s="129">
        <v>7</v>
      </c>
      <c r="B20" s="2037" t="s">
        <v>61</v>
      </c>
      <c r="C20" s="2059"/>
      <c r="D20" s="2059"/>
      <c r="E20" s="2038"/>
      <c r="F20" s="1192" t="s">
        <v>6</v>
      </c>
      <c r="G20" s="1168" t="str">
        <f>'XM.GUI MAIL'!$E$14</f>
        <v>30~60 %V/V
(45±5% V/V)</v>
      </c>
      <c r="H20" s="71">
        <f>'XM.GUI MAIL'!H14</f>
        <v>0.49046874999999995</v>
      </c>
      <c r="I20" s="18" t="s">
        <v>8</v>
      </c>
      <c r="J20" s="29">
        <f>'XM.GUI MAIL'!K14</f>
        <v>0</v>
      </c>
      <c r="K20" s="19" t="s">
        <v>10</v>
      </c>
      <c r="L20" s="71">
        <f>'XM.GUI MAIL'!N14</f>
        <v>0.45624999999999999</v>
      </c>
      <c r="M20" s="18" t="s">
        <v>8</v>
      </c>
      <c r="N20" s="29">
        <f>'XM.GUI MAIL'!Q14</f>
        <v>0</v>
      </c>
      <c r="O20" s="19" t="s">
        <v>10</v>
      </c>
      <c r="P20" s="71">
        <f>'XM.GUI MAIL'!T14</f>
        <v>0.46765624999999994</v>
      </c>
      <c r="Q20" s="18" t="s">
        <v>8</v>
      </c>
      <c r="R20" s="29">
        <f>'XM.GUI MAIL'!W14</f>
        <v>0</v>
      </c>
      <c r="S20" s="19" t="s">
        <v>10</v>
      </c>
      <c r="T20" s="129" t="s">
        <v>46</v>
      </c>
    </row>
    <row r="21" spans="1:20" ht="31.5" customHeight="1">
      <c r="A21" s="129">
        <v>8</v>
      </c>
      <c r="B21" s="2037" t="s">
        <v>62</v>
      </c>
      <c r="C21" s="2059"/>
      <c r="D21" s="2059"/>
      <c r="E21" s="2038"/>
      <c r="F21" s="1192" t="s">
        <v>6</v>
      </c>
      <c r="G21" s="1168" t="str">
        <f>'XM.GUI MAIL'!$E$15</f>
        <v>15~30 %V/V
(22±5 V/V)</v>
      </c>
      <c r="H21" s="71">
        <f>'XM.GUI MAIL'!H15</f>
        <v>0.26234374999999999</v>
      </c>
      <c r="I21" s="65" t="s">
        <v>8</v>
      </c>
      <c r="J21" s="66">
        <f>'XM.GUI MAIL'!K15</f>
        <v>0</v>
      </c>
      <c r="K21" s="67" t="s">
        <v>10</v>
      </c>
      <c r="L21" s="71">
        <f>'XM.GUI MAIL'!N15</f>
        <v>0.28515625</v>
      </c>
      <c r="M21" s="65" t="s">
        <v>8</v>
      </c>
      <c r="N21" s="66">
        <f>'XM.GUI MAIL'!Q15</f>
        <v>0</v>
      </c>
      <c r="O21" s="67" t="s">
        <v>10</v>
      </c>
      <c r="P21" s="71">
        <f>'XM.GUI MAIL'!T15</f>
        <v>0.29656250000000001</v>
      </c>
      <c r="Q21" s="65" t="s">
        <v>8</v>
      </c>
      <c r="R21" s="66">
        <f>'XM.GUI MAIL'!W15</f>
        <v>0</v>
      </c>
      <c r="S21" s="19" t="s">
        <v>10</v>
      </c>
      <c r="T21" s="129" t="s">
        <v>46</v>
      </c>
    </row>
    <row r="22" spans="1:20" ht="31.5" customHeight="1">
      <c r="A22" s="129">
        <v>9</v>
      </c>
      <c r="B22" s="2037" t="s">
        <v>116</v>
      </c>
      <c r="C22" s="2059"/>
      <c r="D22" s="2059"/>
      <c r="E22" s="2038"/>
      <c r="F22" s="1192" t="s">
        <v>6</v>
      </c>
      <c r="G22" s="1168" t="str">
        <f>'XM.GUI MAIL'!$E$16</f>
        <v>5~15 %V/V
(10±3% V/V)</v>
      </c>
      <c r="H22" s="71">
        <f>'XM.GUI MAIL'!H16</f>
        <v>0.1140625</v>
      </c>
      <c r="I22" s="18" t="s">
        <v>8</v>
      </c>
      <c r="J22" s="29">
        <f>'XM.GUI MAIL'!K16</f>
        <v>0</v>
      </c>
      <c r="K22" s="19" t="s">
        <v>10</v>
      </c>
      <c r="L22" s="71">
        <f>'XM.GUI MAIL'!N16</f>
        <v>0.10493749999999999</v>
      </c>
      <c r="M22" s="18" t="s">
        <v>8</v>
      </c>
      <c r="N22" s="29">
        <f>'XM.GUI MAIL'!Q16</f>
        <v>0</v>
      </c>
      <c r="O22" s="19" t="s">
        <v>10</v>
      </c>
      <c r="P22" s="71">
        <f>'XM.GUI MAIL'!T16</f>
        <v>9.3531249999999982E-2</v>
      </c>
      <c r="Q22" s="18" t="s">
        <v>8</v>
      </c>
      <c r="R22" s="29">
        <f>'XM.GUI MAIL'!W16</f>
        <v>3.7195312500000135</v>
      </c>
      <c r="S22" s="19" t="s">
        <v>10</v>
      </c>
      <c r="T22" s="129" t="s">
        <v>47</v>
      </c>
    </row>
    <row r="23" spans="1:20" ht="31.5" customHeight="1">
      <c r="A23" s="129">
        <v>10</v>
      </c>
      <c r="B23" s="2037" t="s">
        <v>115</v>
      </c>
      <c r="C23" s="2059"/>
      <c r="D23" s="2059"/>
      <c r="E23" s="2038"/>
      <c r="F23" s="1192" t="s">
        <v>3</v>
      </c>
      <c r="G23" s="1168" t="str">
        <f>'XM.GUI MAIL'!$E$17</f>
        <v>0.5~1.5%
(1±0.4%)</v>
      </c>
      <c r="H23" s="72">
        <f>'XM.GUI MAIL'!H17</f>
        <v>1.1341800000000003E-2</v>
      </c>
      <c r="I23" s="18" t="s">
        <v>8</v>
      </c>
      <c r="J23" s="53">
        <f>'XM.GUI MAIL'!K17</f>
        <v>0</v>
      </c>
      <c r="K23" s="19" t="s">
        <v>10</v>
      </c>
      <c r="L23" s="72">
        <f>'XM.GUI MAIL'!N17</f>
        <v>1.0081600000000001E-2</v>
      </c>
      <c r="M23" s="18" t="s">
        <v>8</v>
      </c>
      <c r="N23" s="53">
        <f>'XM.GUI MAIL'!Q17</f>
        <v>0</v>
      </c>
      <c r="O23" s="19" t="s">
        <v>10</v>
      </c>
      <c r="P23" s="72">
        <f>'XM.GUI MAIL'!T17</f>
        <v>1.1341800000000003E-2</v>
      </c>
      <c r="Q23" s="18" t="s">
        <v>8</v>
      </c>
      <c r="R23" s="53">
        <f>'XM.GUI MAIL'!W17</f>
        <v>0</v>
      </c>
      <c r="S23" s="19" t="s">
        <v>10</v>
      </c>
      <c r="T23" s="129" t="s">
        <v>47</v>
      </c>
    </row>
    <row r="24" spans="1:20" ht="27.75" customHeight="1">
      <c r="A24" s="2060">
        <v>13</v>
      </c>
      <c r="B24" s="2049" t="s">
        <v>77</v>
      </c>
      <c r="C24" s="2050"/>
      <c r="D24" s="2050"/>
      <c r="E24" s="2051"/>
      <c r="F24" s="1203" t="s">
        <v>3</v>
      </c>
      <c r="G24" s="1168" t="str">
        <f>'XM.GUI MAIL'!$E$18</f>
        <v>5-10%
(7.5±1%)</v>
      </c>
      <c r="H24" s="93">
        <f>'XM.GUI MAIL'!H18</f>
        <v>7.68</v>
      </c>
      <c r="I24" s="65" t="s">
        <v>8</v>
      </c>
      <c r="J24" s="66">
        <f>'XM.GUI MAIL'!K18</f>
        <v>0</v>
      </c>
      <c r="K24" s="67" t="s">
        <v>10</v>
      </c>
      <c r="L24" s="93" t="str">
        <f>'XM.GUI MAIL'!N18</f>
        <v/>
      </c>
      <c r="M24" s="65" t="s">
        <v>8</v>
      </c>
      <c r="N24" s="66" t="str">
        <f>'XM.GUI MAIL'!Q18</f>
        <v/>
      </c>
      <c r="O24" s="67" t="s">
        <v>10</v>
      </c>
      <c r="P24" s="93" t="str">
        <f>'XM.GUI MAIL'!T18</f>
        <v/>
      </c>
      <c r="Q24" s="65" t="s">
        <v>8</v>
      </c>
      <c r="R24" s="66" t="str">
        <f>'XM.GUI MAIL'!W18</f>
        <v/>
      </c>
      <c r="S24" s="67" t="s">
        <v>10</v>
      </c>
      <c r="T24" s="129"/>
    </row>
    <row r="25" spans="1:20" ht="27.75" customHeight="1">
      <c r="A25" s="2061"/>
      <c r="B25" s="2052"/>
      <c r="C25" s="2053"/>
      <c r="D25" s="2053"/>
      <c r="E25" s="2054"/>
      <c r="F25" s="1203" t="s">
        <v>5</v>
      </c>
      <c r="G25" s="1168" t="str">
        <f>'XM.GUI MAIL'!$E$19</f>
        <v>1.6~2.0(1.8±0.1)</v>
      </c>
      <c r="H25" s="128">
        <f>'XM.GUI MAIL'!H19</f>
        <v>2.25</v>
      </c>
      <c r="I25" s="65"/>
      <c r="J25" s="66">
        <f>'XM.GUI MAIL'!K19</f>
        <v>0</v>
      </c>
      <c r="K25" s="67"/>
      <c r="L25" s="128">
        <f>'XM.GUI MAIL'!N19</f>
        <v>0</v>
      </c>
      <c r="M25" s="65"/>
      <c r="N25" s="66">
        <f>'XM.GUI MAIL'!Q19</f>
        <v>0</v>
      </c>
      <c r="O25" s="67"/>
      <c r="P25" s="128">
        <f>'XM.GUI MAIL'!T19</f>
        <v>0</v>
      </c>
      <c r="Q25" s="65"/>
      <c r="R25" s="66">
        <f>'XM.GUI MAIL'!W19</f>
        <v>0</v>
      </c>
      <c r="S25" s="67"/>
      <c r="T25" s="129"/>
    </row>
    <row r="26" spans="1:20" ht="36.75" customHeight="1">
      <c r="A26" s="302"/>
      <c r="B26" s="303"/>
      <c r="C26" s="303"/>
      <c r="D26" s="303"/>
      <c r="E26" s="303"/>
      <c r="F26" s="303"/>
      <c r="G26" s="301" t="s">
        <v>117</v>
      </c>
      <c r="H26" s="303"/>
      <c r="I26" s="303"/>
      <c r="J26" s="303"/>
      <c r="K26" s="303"/>
      <c r="L26" s="303"/>
      <c r="M26" s="303"/>
      <c r="N26" s="303"/>
      <c r="O26" s="303"/>
      <c r="P26" s="303"/>
      <c r="Q26" s="303"/>
      <c r="R26" s="303"/>
      <c r="S26" s="303"/>
      <c r="T26" s="304"/>
    </row>
    <row r="27" spans="1:20" ht="40.5" customHeight="1">
      <c r="A27" s="129" t="s">
        <v>7</v>
      </c>
      <c r="B27" s="2037" t="s">
        <v>64</v>
      </c>
      <c r="C27" s="2059"/>
      <c r="D27" s="2059"/>
      <c r="E27" s="2038"/>
      <c r="F27" s="1196" t="s">
        <v>66</v>
      </c>
      <c r="G27" s="1196" t="s">
        <v>67</v>
      </c>
      <c r="H27" s="1934" t="s">
        <v>48</v>
      </c>
      <c r="I27" s="1934"/>
      <c r="J27" s="1934" t="s">
        <v>65</v>
      </c>
      <c r="K27" s="1934"/>
      <c r="L27" s="1934" t="s">
        <v>48</v>
      </c>
      <c r="M27" s="1934"/>
      <c r="N27" s="1934" t="s">
        <v>65</v>
      </c>
      <c r="O27" s="1934"/>
      <c r="P27" s="1934" t="s">
        <v>48</v>
      </c>
      <c r="Q27" s="1934"/>
      <c r="R27" s="1934" t="s">
        <v>65</v>
      </c>
      <c r="S27" s="1934"/>
      <c r="T27" s="1185"/>
    </row>
    <row r="28" spans="1:20" ht="32.25" customHeight="1">
      <c r="A28" s="129">
        <v>1</v>
      </c>
      <c r="B28" s="2037" t="s">
        <v>68</v>
      </c>
      <c r="C28" s="2059"/>
      <c r="D28" s="2059"/>
      <c r="E28" s="2038"/>
      <c r="F28" s="22" t="s">
        <v>113</v>
      </c>
      <c r="G28" s="1169" t="str">
        <f>'XM.GUI MAIL'!$E$22</f>
        <v>65~75ºC
(70±3OC)</v>
      </c>
      <c r="H28" s="1866">
        <f>'XM.FILE GOC'!H22</f>
        <v>69</v>
      </c>
      <c r="I28" s="1868"/>
      <c r="J28" s="1866">
        <f>'XM.GUI MAIL'!K22</f>
        <v>68</v>
      </c>
      <c r="K28" s="1868"/>
      <c r="L28" s="1866">
        <f>'XM.FILE GOC'!N22</f>
        <v>66</v>
      </c>
      <c r="M28" s="1868"/>
      <c r="N28" s="1866">
        <f>'XM.GUI MAIL'!Q22</f>
        <v>65</v>
      </c>
      <c r="O28" s="1868"/>
      <c r="P28" s="1866">
        <f>'XM.FILE GOC'!T22</f>
        <v>66</v>
      </c>
      <c r="Q28" s="1868"/>
      <c r="R28" s="1866">
        <f>'XM.GUI MAIL'!W22</f>
        <v>65</v>
      </c>
      <c r="S28" s="1868"/>
      <c r="T28" s="129"/>
    </row>
    <row r="29" spans="1:20" ht="32.25" customHeight="1">
      <c r="A29" s="129">
        <v>2</v>
      </c>
      <c r="B29" s="2037" t="s">
        <v>69</v>
      </c>
      <c r="C29" s="2059" t="s">
        <v>69</v>
      </c>
      <c r="D29" s="2059" t="s">
        <v>69</v>
      </c>
      <c r="E29" s="2038" t="s">
        <v>69</v>
      </c>
      <c r="F29" s="22" t="s">
        <v>113</v>
      </c>
      <c r="G29" s="1169" t="str">
        <f>'XM.GUI MAIL'!$E$23</f>
        <v>65~75ºC
(70±3OC)</v>
      </c>
      <c r="H29" s="1869">
        <f>'XM.FILE GOC'!H23</f>
        <v>71</v>
      </c>
      <c r="I29" s="1869"/>
      <c r="J29" s="1869">
        <f>'XM.GUI MAIL'!K23</f>
        <v>70</v>
      </c>
      <c r="K29" s="1869"/>
      <c r="L29" s="1869">
        <f>'XM.FILE GOC'!N23</f>
        <v>71</v>
      </c>
      <c r="M29" s="1869"/>
      <c r="N29" s="1869">
        <f>'XM.GUI MAIL'!Q23</f>
        <v>70</v>
      </c>
      <c r="O29" s="1869"/>
      <c r="P29" s="1869">
        <f>'XM.FILE GOC'!T23</f>
        <v>71</v>
      </c>
      <c r="Q29" s="1869"/>
      <c r="R29" s="1869">
        <f>'XM.GUI MAIL'!W23</f>
        <v>70</v>
      </c>
      <c r="S29" s="1869"/>
      <c r="T29" s="129"/>
    </row>
    <row r="30" spans="1:20" ht="32.25" customHeight="1">
      <c r="A30" s="129">
        <v>3</v>
      </c>
      <c r="B30" s="2037" t="s">
        <v>71</v>
      </c>
      <c r="C30" s="2059" t="s">
        <v>71</v>
      </c>
      <c r="D30" s="2059" t="s">
        <v>71</v>
      </c>
      <c r="E30" s="2038" t="s">
        <v>71</v>
      </c>
      <c r="F30" s="22" t="s">
        <v>113</v>
      </c>
      <c r="G30" s="1169" t="str">
        <f>'XM.GUI MAIL'!$E$24</f>
        <v>50~60ºC
(55±3OC)</v>
      </c>
      <c r="H30" s="1866">
        <f>'XM.FILE GOC'!H24</f>
        <v>58</v>
      </c>
      <c r="I30" s="1867"/>
      <c r="J30" s="1866">
        <f>'XM.GUI MAIL'!K24</f>
        <v>57</v>
      </c>
      <c r="K30" s="1867"/>
      <c r="L30" s="1866">
        <f>'XM.FILE GOC'!N24</f>
        <v>58</v>
      </c>
      <c r="M30" s="1867"/>
      <c r="N30" s="1866">
        <f>'XM.GUI MAIL'!Q24</f>
        <v>57</v>
      </c>
      <c r="O30" s="1867"/>
      <c r="P30" s="1866">
        <f>'XM.FILE GOC'!T24</f>
        <v>58</v>
      </c>
      <c r="Q30" s="1867"/>
      <c r="R30" s="1866">
        <f>'XM.GUI MAIL'!W24</f>
        <v>60</v>
      </c>
      <c r="S30" s="1867"/>
      <c r="T30" s="129"/>
    </row>
    <row r="31" spans="1:20" ht="32.25" customHeight="1">
      <c r="A31" s="129">
        <v>4</v>
      </c>
      <c r="B31" s="2037" t="s">
        <v>70</v>
      </c>
      <c r="C31" s="2059" t="s">
        <v>70</v>
      </c>
      <c r="D31" s="2059" t="s">
        <v>70</v>
      </c>
      <c r="E31" s="2038" t="s">
        <v>70</v>
      </c>
      <c r="F31" s="22" t="s">
        <v>113</v>
      </c>
      <c r="G31" s="1169" t="str">
        <f>'XM.GUI MAIL'!$E$25</f>
        <v>50~60ºC
(55±3OC)</v>
      </c>
      <c r="H31" s="1866">
        <f>'XM.FILE GOC'!H25</f>
        <v>55</v>
      </c>
      <c r="I31" s="1867"/>
      <c r="J31" s="1866">
        <f>'XM.GUI MAIL'!K25</f>
        <v>54</v>
      </c>
      <c r="K31" s="1867"/>
      <c r="L31" s="1866">
        <f>'XM.FILE GOC'!N25</f>
        <v>56</v>
      </c>
      <c r="M31" s="1867"/>
      <c r="N31" s="1866">
        <f>'XM.GUI MAIL'!Q25</f>
        <v>55</v>
      </c>
      <c r="O31" s="1867"/>
      <c r="P31" s="1866">
        <f>'XM.FILE GOC'!T25</f>
        <v>56</v>
      </c>
      <c r="Q31" s="1867"/>
      <c r="R31" s="1866">
        <f>'XM.GUI MAIL'!W25</f>
        <v>54</v>
      </c>
      <c r="S31" s="1867"/>
      <c r="T31" s="129"/>
    </row>
    <row r="32" spans="1:20" ht="32.25" customHeight="1">
      <c r="A32" s="129">
        <v>5</v>
      </c>
      <c r="B32" s="2037" t="s">
        <v>72</v>
      </c>
      <c r="C32" s="2059" t="s">
        <v>72</v>
      </c>
      <c r="D32" s="2059" t="s">
        <v>72</v>
      </c>
      <c r="E32" s="2038" t="s">
        <v>72</v>
      </c>
      <c r="F32" s="22" t="s">
        <v>113</v>
      </c>
      <c r="G32" s="1169" t="str">
        <f>'XM.GUI MAIL'!$E$26</f>
        <v>20~30ºC
(25±3OC)</v>
      </c>
      <c r="H32" s="1869">
        <f>'XM.FILE GOC'!H26</f>
        <v>32</v>
      </c>
      <c r="I32" s="1869"/>
      <c r="J32" s="1869">
        <f>'XM.GUI MAIL'!K26</f>
        <v>31</v>
      </c>
      <c r="K32" s="1869"/>
      <c r="L32" s="1869">
        <f>'XM.FILE GOC'!N26</f>
        <v>33</v>
      </c>
      <c r="M32" s="1869"/>
      <c r="N32" s="1869">
        <f>'XM.GUI MAIL'!Q26</f>
        <v>32</v>
      </c>
      <c r="O32" s="1869"/>
      <c r="P32" s="1869">
        <f>'XM.FILE GOC'!T26</f>
        <v>34</v>
      </c>
      <c r="Q32" s="1869"/>
      <c r="R32" s="1869">
        <f>'XM.GUI MAIL'!W26</f>
        <v>33</v>
      </c>
      <c r="S32" s="1869"/>
      <c r="T32" s="129"/>
    </row>
    <row r="33" spans="1:20" ht="32.25" customHeight="1">
      <c r="A33" s="129">
        <v>6</v>
      </c>
      <c r="B33" s="2037" t="s">
        <v>1064</v>
      </c>
      <c r="C33" s="2059" t="s">
        <v>1064</v>
      </c>
      <c r="D33" s="2059" t="s">
        <v>1064</v>
      </c>
      <c r="E33" s="2038" t="s">
        <v>1064</v>
      </c>
      <c r="F33" s="22" t="s">
        <v>113</v>
      </c>
      <c r="G33" s="1169" t="str">
        <f>'XM.GUI MAIL'!$E$27</f>
        <v>35-45ºC
(40±3OC)</v>
      </c>
      <c r="H33" s="1866">
        <f>'XM.FILE GOC'!H27</f>
        <v>42</v>
      </c>
      <c r="I33" s="1867"/>
      <c r="J33" s="1866">
        <f>'XM.GUI MAIL'!K27</f>
        <v>41</v>
      </c>
      <c r="K33" s="1867"/>
      <c r="L33" s="1866">
        <f>'XM.FILE GOC'!N27</f>
        <v>42</v>
      </c>
      <c r="M33" s="1867"/>
      <c r="N33" s="1866">
        <f>'XM.GUI MAIL'!Q27</f>
        <v>41</v>
      </c>
      <c r="O33" s="1867"/>
      <c r="P33" s="1866">
        <f>'XM.FILE GOC'!T27</f>
        <v>42</v>
      </c>
      <c r="Q33" s="1867"/>
      <c r="R33" s="1866">
        <f>'XM.GUI MAIL'!W27</f>
        <v>41</v>
      </c>
      <c r="S33" s="1867"/>
      <c r="T33" s="129"/>
    </row>
    <row r="34" spans="1:20" ht="32.25" customHeight="1">
      <c r="A34" s="129">
        <v>7</v>
      </c>
      <c r="B34" s="2037" t="s">
        <v>73</v>
      </c>
      <c r="C34" s="2059" t="s">
        <v>73</v>
      </c>
      <c r="D34" s="2059" t="s">
        <v>73</v>
      </c>
      <c r="E34" s="2038" t="s">
        <v>73</v>
      </c>
      <c r="F34" s="22" t="s">
        <v>113</v>
      </c>
      <c r="G34" s="1169" t="str">
        <f>'XM.GUI MAIL'!$E$28</f>
        <v>55~65ºC
(60±3OC)</v>
      </c>
      <c r="H34" s="1866">
        <f>'XM.FILE GOC'!H28</f>
        <v>57</v>
      </c>
      <c r="I34" s="1867"/>
      <c r="J34" s="1866">
        <f>'XM.GUI MAIL'!K28</f>
        <v>56</v>
      </c>
      <c r="K34" s="1867"/>
      <c r="L34" s="1866">
        <f>'XM.FILE GOC'!N28</f>
        <v>58</v>
      </c>
      <c r="M34" s="1867"/>
      <c r="N34" s="1866">
        <f>'XM.GUI MAIL'!Q28</f>
        <v>57</v>
      </c>
      <c r="O34" s="1867"/>
      <c r="P34" s="1866">
        <f>'XM.FILE GOC'!T28</f>
        <v>58</v>
      </c>
      <c r="Q34" s="1867"/>
      <c r="R34" s="1866">
        <f>'XM.GUI MAIL'!W28</f>
        <v>57</v>
      </c>
      <c r="S34" s="1867"/>
      <c r="T34" s="129"/>
    </row>
    <row r="35" spans="1:20" ht="32.25" customHeight="1">
      <c r="A35" s="129">
        <v>8</v>
      </c>
      <c r="B35" s="1870" t="s">
        <v>74</v>
      </c>
      <c r="C35" s="1871" t="s">
        <v>74</v>
      </c>
      <c r="D35" s="1871" t="s">
        <v>74</v>
      </c>
      <c r="E35" s="1872" t="s">
        <v>74</v>
      </c>
      <c r="F35" s="22" t="s">
        <v>113</v>
      </c>
      <c r="G35" s="1169" t="str">
        <f>'XM.GUI MAIL'!$E$29</f>
        <v>65~75ºC
(70±3OC)</v>
      </c>
      <c r="H35" s="1934" t="str">
        <f>'XM.FILE GOC'!H29</f>
        <v>\</v>
      </c>
      <c r="I35" s="1934"/>
      <c r="J35" s="1869">
        <f>'XM.GUI MAIL'!K29</f>
        <v>73</v>
      </c>
      <c r="K35" s="1869"/>
      <c r="L35" s="1934" t="str">
        <f>'XM.FILE GOC'!N29</f>
        <v>\</v>
      </c>
      <c r="M35" s="1934"/>
      <c r="N35" s="1869">
        <f>'XM.GUI MAIL'!Q29</f>
        <v>74</v>
      </c>
      <c r="O35" s="1869"/>
      <c r="P35" s="1934" t="str">
        <f>'XM.FILE GOC'!T29</f>
        <v>\</v>
      </c>
      <c r="Q35" s="1934"/>
      <c r="R35" s="1869">
        <f>'XM.GUI MAIL'!W29</f>
        <v>70</v>
      </c>
      <c r="S35" s="1869"/>
      <c r="T35" s="129"/>
    </row>
    <row r="36" spans="1:20" ht="32.25" customHeight="1">
      <c r="A36" s="302"/>
      <c r="B36" s="298"/>
      <c r="C36" s="299"/>
      <c r="D36" s="299"/>
      <c r="E36" s="299"/>
      <c r="F36" s="299"/>
      <c r="G36" s="301" t="s">
        <v>118</v>
      </c>
      <c r="H36" s="299"/>
      <c r="I36" s="299"/>
      <c r="J36" s="299"/>
      <c r="K36" s="299"/>
      <c r="L36" s="299"/>
      <c r="M36" s="299"/>
      <c r="N36" s="299"/>
      <c r="O36" s="299"/>
      <c r="P36" s="299"/>
      <c r="Q36" s="299"/>
      <c r="R36" s="299"/>
      <c r="S36" s="299"/>
      <c r="T36" s="300"/>
    </row>
    <row r="37" spans="1:20" ht="34.5" customHeight="1">
      <c r="A37" s="129" t="s">
        <v>7</v>
      </c>
      <c r="B37" s="2037" t="s">
        <v>100</v>
      </c>
      <c r="C37" s="2059"/>
      <c r="D37" s="2059"/>
      <c r="E37" s="2038"/>
      <c r="F37" s="1191" t="s">
        <v>101</v>
      </c>
      <c r="G37" s="1196" t="s">
        <v>67</v>
      </c>
      <c r="H37" s="1944" t="s">
        <v>119</v>
      </c>
      <c r="I37" s="1945"/>
      <c r="J37" s="1945"/>
      <c r="K37" s="1946"/>
      <c r="L37" s="1944" t="s">
        <v>119</v>
      </c>
      <c r="M37" s="1945"/>
      <c r="N37" s="1945"/>
      <c r="O37" s="1946"/>
      <c r="P37" s="1944" t="s">
        <v>119</v>
      </c>
      <c r="Q37" s="1945"/>
      <c r="R37" s="1945"/>
      <c r="S37" s="1946"/>
      <c r="T37" s="1185"/>
    </row>
    <row r="38" spans="1:20" ht="37.5" customHeight="1">
      <c r="A38" s="129">
        <v>1</v>
      </c>
      <c r="B38" s="2037" t="s">
        <v>54</v>
      </c>
      <c r="C38" s="2059"/>
      <c r="D38" s="2059"/>
      <c r="E38" s="2038"/>
      <c r="F38" s="24" t="s">
        <v>50</v>
      </c>
      <c r="G38" s="305" t="str">
        <f>'XM.GUI MAIL'!$E$31</f>
        <v>300-360</v>
      </c>
      <c r="H38" s="1866">
        <f>'XM.FILE GOC'!H31</f>
        <v>350</v>
      </c>
      <c r="I38" s="1867"/>
      <c r="J38" s="1867"/>
      <c r="K38" s="1867"/>
      <c r="L38" s="1866">
        <f>'XM.FILE GOC'!N31</f>
        <v>345</v>
      </c>
      <c r="M38" s="1867"/>
      <c r="N38" s="1867"/>
      <c r="O38" s="1867"/>
      <c r="P38" s="1866">
        <f>'XM.FILE GOC'!T31</f>
        <v>330</v>
      </c>
      <c r="Q38" s="1867"/>
      <c r="R38" s="1867"/>
      <c r="S38" s="1867"/>
      <c r="T38" s="129"/>
    </row>
    <row r="39" spans="1:20" ht="37.5" customHeight="1">
      <c r="A39" s="129">
        <v>2</v>
      </c>
      <c r="B39" s="2037" t="s">
        <v>94</v>
      </c>
      <c r="C39" s="2059"/>
      <c r="D39" s="2059"/>
      <c r="E39" s="2038"/>
      <c r="F39" s="24" t="s">
        <v>50</v>
      </c>
      <c r="G39" s="306" t="str">
        <f>'XM.GUI MAIL'!$E$32</f>
        <v>30-50</v>
      </c>
      <c r="H39" s="1866">
        <f>'XM.FILE GOC'!H32</f>
        <v>44</v>
      </c>
      <c r="I39" s="1867"/>
      <c r="J39" s="1867"/>
      <c r="K39" s="1867"/>
      <c r="L39" s="1866">
        <f>'XM.FILE GOC'!N32</f>
        <v>42</v>
      </c>
      <c r="M39" s="1867"/>
      <c r="N39" s="1867"/>
      <c r="O39" s="1867"/>
      <c r="P39" s="1866">
        <f>'XM.FILE GOC'!T32</f>
        <v>42</v>
      </c>
      <c r="Q39" s="1867"/>
      <c r="R39" s="1867"/>
      <c r="S39" s="1867"/>
      <c r="T39" s="129"/>
    </row>
    <row r="40" spans="1:20" ht="29.25" customHeight="1">
      <c r="A40" s="17"/>
      <c r="B40" s="1700"/>
      <c r="C40" s="1700"/>
      <c r="D40" s="1700"/>
      <c r="E40" s="1700"/>
      <c r="F40" s="1027"/>
      <c r="G40" s="1027"/>
      <c r="H40" s="1027"/>
      <c r="I40" s="1027"/>
      <c r="J40" s="1027"/>
      <c r="K40" s="1027"/>
      <c r="L40" s="1027"/>
      <c r="M40" s="1027"/>
      <c r="N40" s="1027"/>
      <c r="O40" s="1027"/>
      <c r="P40" s="1027"/>
      <c r="Q40" s="1027"/>
      <c r="R40" s="1027"/>
      <c r="S40" s="1027"/>
      <c r="T40" s="1703"/>
    </row>
    <row r="41" spans="1:20" ht="25.5" customHeight="1">
      <c r="A41" s="2070" t="s">
        <v>613</v>
      </c>
      <c r="B41" s="2070"/>
      <c r="C41" s="2070"/>
      <c r="D41" s="2070"/>
      <c r="E41" s="2070"/>
      <c r="F41" s="2070"/>
      <c r="G41" s="2070"/>
      <c r="H41" s="2070"/>
      <c r="I41" s="2070"/>
      <c r="J41" s="2070"/>
      <c r="K41" s="2070"/>
      <c r="L41" s="2070"/>
      <c r="M41" s="2070"/>
      <c r="N41" s="2070"/>
      <c r="O41" s="2070"/>
      <c r="P41" s="2070"/>
      <c r="Q41" s="2070"/>
      <c r="R41" s="1174"/>
      <c r="S41" s="1174"/>
      <c r="T41" s="1176"/>
    </row>
    <row r="42" spans="1:20" ht="43.5" customHeight="1">
      <c r="A42" s="1889" t="s">
        <v>240</v>
      </c>
      <c r="B42" s="1889"/>
      <c r="C42" s="1889"/>
      <c r="D42" s="1889"/>
      <c r="E42" s="1889"/>
      <c r="F42" s="1889"/>
      <c r="G42" s="1889"/>
      <c r="H42" s="1889"/>
      <c r="I42" s="1889"/>
      <c r="J42" s="1889"/>
      <c r="K42" s="1889"/>
      <c r="L42" s="1889"/>
      <c r="M42" s="1889"/>
      <c r="N42" s="1889"/>
      <c r="O42" s="1889"/>
      <c r="P42" s="1889"/>
      <c r="Q42" s="1890"/>
      <c r="R42" s="1887" t="s">
        <v>96</v>
      </c>
      <c r="S42" s="1888"/>
      <c r="T42" s="1188" t="s">
        <v>97</v>
      </c>
    </row>
    <row r="43" spans="1:20" ht="27" customHeight="1">
      <c r="B43" s="2071" t="s">
        <v>236</v>
      </c>
      <c r="C43" s="2071"/>
      <c r="D43" s="2071"/>
      <c r="E43" s="2071"/>
      <c r="F43" s="99"/>
      <c r="G43" s="235" t="str">
        <f>$G$3</f>
        <v>2022/12/03</v>
      </c>
      <c r="H43" s="1920"/>
      <c r="I43" s="1920"/>
      <c r="J43" s="1920"/>
      <c r="K43" s="1920"/>
      <c r="L43" s="1184"/>
      <c r="M43" s="1184"/>
      <c r="N43" s="1184"/>
      <c r="O43" s="1184"/>
      <c r="P43" s="1184"/>
      <c r="Q43" s="1184"/>
      <c r="R43" s="1879" t="str">
        <f>MENU!AD7</f>
        <v>Trang</v>
      </c>
      <c r="S43" s="1880"/>
      <c r="T43" s="1186" t="s">
        <v>11</v>
      </c>
    </row>
    <row r="44" spans="1:20" s="17" customFormat="1" ht="36" customHeight="1">
      <c r="A44" s="2062" t="s">
        <v>7</v>
      </c>
      <c r="B44" s="2049" t="s">
        <v>79</v>
      </c>
      <c r="C44" s="2050"/>
      <c r="D44" s="2050"/>
      <c r="E44" s="2051"/>
      <c r="F44" s="2055" t="s">
        <v>137</v>
      </c>
      <c r="G44" s="2057" t="s">
        <v>67</v>
      </c>
      <c r="H44" s="1921">
        <v>0.76041666666666663</v>
      </c>
      <c r="I44" s="1922"/>
      <c r="J44" s="1922"/>
      <c r="K44" s="1923"/>
      <c r="L44" s="1921">
        <v>0.92708333333333337</v>
      </c>
      <c r="M44" s="1922"/>
      <c r="N44" s="1922"/>
      <c r="O44" s="1923"/>
      <c r="P44" s="1921">
        <v>9.375E-2</v>
      </c>
      <c r="Q44" s="1922"/>
      <c r="R44" s="1922"/>
      <c r="S44" s="1923"/>
      <c r="T44" s="1187" t="s">
        <v>98</v>
      </c>
    </row>
    <row r="45" spans="1:20" s="17" customFormat="1" ht="30.75" customHeight="1">
      <c r="A45" s="2063"/>
      <c r="B45" s="2052"/>
      <c r="C45" s="2053"/>
      <c r="D45" s="2053"/>
      <c r="E45" s="2054"/>
      <c r="F45" s="2056"/>
      <c r="G45" s="2058"/>
      <c r="H45" s="63" t="s">
        <v>146</v>
      </c>
      <c r="I45" s="1927" t="s">
        <v>1</v>
      </c>
      <c r="J45" s="1928"/>
      <c r="K45" s="1929"/>
      <c r="L45" s="63" t="s">
        <v>146</v>
      </c>
      <c r="M45" s="1927" t="s">
        <v>1</v>
      </c>
      <c r="N45" s="1928"/>
      <c r="O45" s="1929"/>
      <c r="P45" s="63" t="s">
        <v>146</v>
      </c>
      <c r="Q45" s="1927" t="s">
        <v>1</v>
      </c>
      <c r="R45" s="1928"/>
      <c r="S45" s="1929"/>
      <c r="T45" s="4" t="s">
        <v>99</v>
      </c>
    </row>
    <row r="46" spans="1:20" ht="32.25" customHeight="1">
      <c r="A46" s="2062">
        <v>1</v>
      </c>
      <c r="B46" s="2049" t="s">
        <v>148</v>
      </c>
      <c r="C46" s="2065"/>
      <c r="D46" s="2044" t="s">
        <v>108</v>
      </c>
      <c r="E46" s="2045"/>
      <c r="F46" s="1203" t="s">
        <v>4</v>
      </c>
      <c r="G46" s="1025" t="str">
        <f>'XM.GUI MAIL'!$E$6</f>
        <v>25~35g/L
(30±2g/L)</v>
      </c>
      <c r="H46" s="64">
        <f>'XM.GUI MAIL'!Z6</f>
        <v>30</v>
      </c>
      <c r="I46" s="18" t="s">
        <v>8</v>
      </c>
      <c r="J46" s="29">
        <f>'XM.GUI MAIL'!AC6</f>
        <v>0</v>
      </c>
      <c r="K46" s="19" t="s">
        <v>9</v>
      </c>
      <c r="L46" s="64"/>
      <c r="M46" s="18"/>
      <c r="N46" s="29"/>
      <c r="O46" s="19"/>
      <c r="P46" s="64"/>
      <c r="Q46" s="18"/>
      <c r="R46" s="29"/>
      <c r="S46" s="19"/>
      <c r="T46" s="129" t="s">
        <v>42</v>
      </c>
    </row>
    <row r="47" spans="1:20" ht="32.25" customHeight="1">
      <c r="A47" s="2064"/>
      <c r="B47" s="2066"/>
      <c r="C47" s="2067"/>
      <c r="D47" s="2037" t="s">
        <v>109</v>
      </c>
      <c r="E47" s="2038"/>
      <c r="F47" s="1203" t="s">
        <v>58</v>
      </c>
      <c r="G47" s="1025" t="s">
        <v>110</v>
      </c>
      <c r="H47" s="64"/>
      <c r="I47" s="65" t="s">
        <v>8</v>
      </c>
      <c r="J47" s="68">
        <f>J46/25*840/1000</f>
        <v>0</v>
      </c>
      <c r="K47" s="67" t="s">
        <v>10</v>
      </c>
      <c r="L47" s="64"/>
      <c r="M47" s="65"/>
      <c r="N47" s="68"/>
      <c r="O47" s="67"/>
      <c r="P47" s="64"/>
      <c r="Q47" s="65"/>
      <c r="R47" s="68"/>
      <c r="S47" s="67"/>
      <c r="T47" s="129"/>
    </row>
    <row r="48" spans="1:20" ht="32.25" customHeight="1">
      <c r="A48" s="2063"/>
      <c r="B48" s="2068"/>
      <c r="C48" s="2069"/>
      <c r="D48" s="2037" t="s">
        <v>111</v>
      </c>
      <c r="E48" s="2038"/>
      <c r="F48" s="1203" t="s">
        <v>58</v>
      </c>
      <c r="G48" s="1025" t="s">
        <v>110</v>
      </c>
      <c r="H48" s="64"/>
      <c r="I48" s="65" t="s">
        <v>8</v>
      </c>
      <c r="J48" s="68">
        <f>J47*10</f>
        <v>0</v>
      </c>
      <c r="K48" s="67" t="s">
        <v>10</v>
      </c>
      <c r="L48" s="64"/>
      <c r="M48" s="65"/>
      <c r="N48" s="68"/>
      <c r="O48" s="67"/>
      <c r="P48" s="64"/>
      <c r="Q48" s="65"/>
      <c r="R48" s="68"/>
      <c r="S48" s="67"/>
      <c r="T48" s="129"/>
    </row>
    <row r="49" spans="1:20" ht="32.25" customHeight="1">
      <c r="A49" s="2062">
        <v>2</v>
      </c>
      <c r="B49" s="2049" t="s">
        <v>149</v>
      </c>
      <c r="C49" s="2065"/>
      <c r="D49" s="2044" t="s">
        <v>108</v>
      </c>
      <c r="E49" s="2045"/>
      <c r="F49" s="1203" t="s">
        <v>4</v>
      </c>
      <c r="G49" s="1025" t="str">
        <f>'XM.GUI MAIL'!$E$7</f>
        <v>25~35g/L
(30±2g/L)</v>
      </c>
      <c r="H49" s="64">
        <f>'XM.GUI MAIL'!Z7</f>
        <v>31.6</v>
      </c>
      <c r="I49" s="18" t="s">
        <v>8</v>
      </c>
      <c r="J49" s="29">
        <f>'XM.GUI MAIL'!AC7</f>
        <v>0</v>
      </c>
      <c r="K49" s="19" t="s">
        <v>9</v>
      </c>
      <c r="L49" s="64"/>
      <c r="M49" s="18"/>
      <c r="N49" s="29"/>
      <c r="O49" s="19"/>
      <c r="P49" s="64"/>
      <c r="Q49" s="18"/>
      <c r="R49" s="29"/>
      <c r="S49" s="19"/>
      <c r="T49" s="129" t="s">
        <v>42</v>
      </c>
    </row>
    <row r="50" spans="1:20" ht="32.25" customHeight="1">
      <c r="A50" s="2064"/>
      <c r="B50" s="2066"/>
      <c r="C50" s="2067"/>
      <c r="D50" s="2037" t="s">
        <v>109</v>
      </c>
      <c r="E50" s="2038"/>
      <c r="F50" s="1203" t="s">
        <v>58</v>
      </c>
      <c r="G50" s="1025" t="s">
        <v>110</v>
      </c>
      <c r="H50" s="64"/>
      <c r="I50" s="65" t="s">
        <v>8</v>
      </c>
      <c r="J50" s="68">
        <f>J49/25*840/1000</f>
        <v>0</v>
      </c>
      <c r="K50" s="67" t="s">
        <v>10</v>
      </c>
      <c r="L50" s="64"/>
      <c r="M50" s="65"/>
      <c r="N50" s="68"/>
      <c r="O50" s="67"/>
      <c r="P50" s="64"/>
      <c r="Q50" s="65"/>
      <c r="R50" s="68"/>
      <c r="S50" s="67"/>
      <c r="T50" s="129"/>
    </row>
    <row r="51" spans="1:20" ht="32.25" customHeight="1">
      <c r="A51" s="2063"/>
      <c r="B51" s="2068"/>
      <c r="C51" s="2069"/>
      <c r="D51" s="2037" t="s">
        <v>111</v>
      </c>
      <c r="E51" s="2038"/>
      <c r="F51" s="1203" t="s">
        <v>58</v>
      </c>
      <c r="G51" s="1025" t="s">
        <v>110</v>
      </c>
      <c r="H51" s="64"/>
      <c r="I51" s="65" t="s">
        <v>8</v>
      </c>
      <c r="J51" s="68">
        <f>J50*10</f>
        <v>0</v>
      </c>
      <c r="K51" s="67" t="s">
        <v>10</v>
      </c>
      <c r="L51" s="64"/>
      <c r="M51" s="65"/>
      <c r="N51" s="68"/>
      <c r="O51" s="67"/>
      <c r="P51" s="64"/>
      <c r="Q51" s="65"/>
      <c r="R51" s="68"/>
      <c r="S51" s="67"/>
      <c r="T51" s="129"/>
    </row>
    <row r="52" spans="1:20" ht="32.25" customHeight="1">
      <c r="A52" s="2062">
        <v>3</v>
      </c>
      <c r="B52" s="2035" t="s">
        <v>150</v>
      </c>
      <c r="C52" s="2036"/>
      <c r="D52" s="2044" t="s">
        <v>108</v>
      </c>
      <c r="E52" s="2045"/>
      <c r="F52" s="1203" t="s">
        <v>4</v>
      </c>
      <c r="G52" s="1025" t="str">
        <f>'XM.GUI MAIL'!$E$8</f>
        <v>60~80g/L
(70±10g/L)</v>
      </c>
      <c r="H52" s="64">
        <f>'XM.GUI MAIL'!Z8</f>
        <v>72.8</v>
      </c>
      <c r="I52" s="18" t="s">
        <v>8</v>
      </c>
      <c r="J52" s="29">
        <f>'XM.GUI MAIL'!AC8</f>
        <v>0</v>
      </c>
      <c r="K52" s="19" t="s">
        <v>9</v>
      </c>
      <c r="L52" s="64"/>
      <c r="M52" s="18"/>
      <c r="N52" s="29"/>
      <c r="O52" s="19"/>
      <c r="P52" s="64"/>
      <c r="Q52" s="18"/>
      <c r="R52" s="29"/>
      <c r="S52" s="19"/>
      <c r="T52" s="129" t="s">
        <v>42</v>
      </c>
    </row>
    <row r="53" spans="1:20" ht="32.25" customHeight="1">
      <c r="A53" s="2063"/>
      <c r="B53" s="2036"/>
      <c r="C53" s="2036"/>
      <c r="D53" s="2037" t="s">
        <v>112</v>
      </c>
      <c r="E53" s="2038"/>
      <c r="F53" s="1203" t="s">
        <v>58</v>
      </c>
      <c r="G53" s="1025" t="s">
        <v>110</v>
      </c>
      <c r="H53" s="64"/>
      <c r="I53" s="65" t="s">
        <v>8</v>
      </c>
      <c r="J53" s="68">
        <f>J52/25*7.5</f>
        <v>0</v>
      </c>
      <c r="K53" s="67" t="s">
        <v>10</v>
      </c>
      <c r="L53" s="64"/>
      <c r="M53" s="65"/>
      <c r="N53" s="68"/>
      <c r="O53" s="67"/>
      <c r="P53" s="64"/>
      <c r="Q53" s="65"/>
      <c r="R53" s="68"/>
      <c r="S53" s="67"/>
      <c r="T53" s="129"/>
    </row>
    <row r="54" spans="1:20" ht="32.25" customHeight="1">
      <c r="A54" s="2062">
        <v>4</v>
      </c>
      <c r="B54" s="2035" t="s">
        <v>151</v>
      </c>
      <c r="C54" s="2036"/>
      <c r="D54" s="2044" t="s">
        <v>108</v>
      </c>
      <c r="E54" s="2045"/>
      <c r="F54" s="1203" t="s">
        <v>4</v>
      </c>
      <c r="G54" s="1025" t="str">
        <f>'XM.GUI MAIL'!$E$9</f>
        <v>60~80g/L
(70±10g/L)</v>
      </c>
      <c r="H54" s="64">
        <f>'XM.GUI MAIL'!Z9</f>
        <v>70.400000000000006</v>
      </c>
      <c r="I54" s="18" t="s">
        <v>8</v>
      </c>
      <c r="J54" s="29">
        <f>'XM.GUI MAIL'!AC9</f>
        <v>0</v>
      </c>
      <c r="K54" s="19" t="s">
        <v>9</v>
      </c>
      <c r="L54" s="64"/>
      <c r="M54" s="18"/>
      <c r="N54" s="29"/>
      <c r="O54" s="19"/>
      <c r="P54" s="64"/>
      <c r="Q54" s="18"/>
      <c r="R54" s="29"/>
      <c r="S54" s="19"/>
      <c r="T54" s="129" t="s">
        <v>42</v>
      </c>
    </row>
    <row r="55" spans="1:20" ht="32.25" customHeight="1">
      <c r="A55" s="2063"/>
      <c r="B55" s="2036"/>
      <c r="C55" s="2036"/>
      <c r="D55" s="2037" t="s">
        <v>112</v>
      </c>
      <c r="E55" s="2038"/>
      <c r="F55" s="1203" t="s">
        <v>58</v>
      </c>
      <c r="G55" s="1025" t="s">
        <v>110</v>
      </c>
      <c r="H55" s="64"/>
      <c r="I55" s="65" t="s">
        <v>8</v>
      </c>
      <c r="J55" s="68">
        <f>J54/25*7.5</f>
        <v>0</v>
      </c>
      <c r="K55" s="67" t="s">
        <v>10</v>
      </c>
      <c r="L55" s="64"/>
      <c r="M55" s="65"/>
      <c r="N55" s="68"/>
      <c r="O55" s="67"/>
      <c r="P55" s="64"/>
      <c r="Q55" s="65"/>
      <c r="R55" s="68"/>
      <c r="S55" s="67"/>
      <c r="T55" s="129"/>
    </row>
    <row r="56" spans="1:20" ht="32.25" customHeight="1">
      <c r="A56" s="2062">
        <v>5</v>
      </c>
      <c r="B56" s="2037" t="s">
        <v>82</v>
      </c>
      <c r="C56" s="2059"/>
      <c r="D56" s="2059"/>
      <c r="E56" s="2038"/>
      <c r="F56" s="1203" t="s">
        <v>4</v>
      </c>
      <c r="G56" s="1168" t="str">
        <f>'XM.GUI MAIL'!$E$10</f>
        <v>130 - 150g/L
(140±5g/L)</v>
      </c>
      <c r="H56" s="5">
        <f>'XM.GUI MAIL'!Z10</f>
        <v>140.80000000000001</v>
      </c>
      <c r="I56" s="18" t="s">
        <v>8</v>
      </c>
      <c r="J56" s="131">
        <f>'XM.GUI MAIL'!AC10</f>
        <v>0</v>
      </c>
      <c r="K56" s="130" t="s">
        <v>9</v>
      </c>
      <c r="L56" s="5"/>
      <c r="M56" s="18"/>
      <c r="N56" s="131"/>
      <c r="O56" s="130"/>
      <c r="P56" s="5"/>
      <c r="Q56" s="18"/>
      <c r="R56" s="131"/>
      <c r="S56" s="130"/>
      <c r="T56" s="129" t="s">
        <v>43</v>
      </c>
    </row>
    <row r="57" spans="1:20" ht="32.25" customHeight="1">
      <c r="A57" s="2063"/>
      <c r="B57" s="2037" t="s">
        <v>60</v>
      </c>
      <c r="C57" s="2059"/>
      <c r="D57" s="2059"/>
      <c r="E57" s="2038"/>
      <c r="F57" s="1203" t="s">
        <v>4</v>
      </c>
      <c r="G57" s="1168" t="str">
        <f>'XM.GUI MAIL'!$E$11</f>
        <v>7-12g/l
(9g±1g/l)</v>
      </c>
      <c r="H57" s="64">
        <f>'XM.GUI MAIL'!Z11</f>
        <v>9.879999999999999</v>
      </c>
      <c r="I57" s="18" t="s">
        <v>8</v>
      </c>
      <c r="J57" s="29">
        <f>'XM.GUI MAIL'!AC11</f>
        <v>0</v>
      </c>
      <c r="K57" s="130" t="s">
        <v>9</v>
      </c>
      <c r="L57" s="64"/>
      <c r="M57" s="18"/>
      <c r="N57" s="29"/>
      <c r="O57" s="130"/>
      <c r="P57" s="64"/>
      <c r="Q57" s="18"/>
      <c r="R57" s="29"/>
      <c r="S57" s="130"/>
      <c r="T57" s="129" t="s">
        <v>44</v>
      </c>
    </row>
    <row r="58" spans="1:20" ht="32.25" customHeight="1">
      <c r="A58" s="2062">
        <v>6</v>
      </c>
      <c r="B58" s="2049" t="s">
        <v>1065</v>
      </c>
      <c r="C58" s="2050"/>
      <c r="D58" s="2050"/>
      <c r="E58" s="2051"/>
      <c r="F58" s="1203" t="s">
        <v>3</v>
      </c>
      <c r="G58" s="1168" t="str">
        <f>'XM.GUI MAIL'!$E$12</f>
        <v>12~18 %
(14±2%)</v>
      </c>
      <c r="H58" s="64">
        <f>'XM.GUI MAIL'!Z12</f>
        <v>11.654676258992804</v>
      </c>
      <c r="I58" s="65" t="s">
        <v>8</v>
      </c>
      <c r="J58" s="66">
        <f>'XM.GUI MAIL'!AC12</f>
        <v>13.485611510791376</v>
      </c>
      <c r="K58" s="67" t="s">
        <v>10</v>
      </c>
      <c r="L58" s="64"/>
      <c r="M58" s="65"/>
      <c r="N58" s="66"/>
      <c r="O58" s="67"/>
      <c r="P58" s="64"/>
      <c r="Q58" s="65"/>
      <c r="R58" s="66"/>
      <c r="S58" s="67"/>
      <c r="T58" s="129" t="s">
        <v>45</v>
      </c>
    </row>
    <row r="59" spans="1:20" ht="32.25" customHeight="1">
      <c r="A59" s="2063"/>
      <c r="B59" s="2052"/>
      <c r="C59" s="2053"/>
      <c r="D59" s="2053"/>
      <c r="E59" s="2054"/>
      <c r="F59" s="1203" t="s">
        <v>5</v>
      </c>
      <c r="G59" s="1168" t="str">
        <f>'XM.GUI MAIL'!$E$13</f>
        <v>1.6~2.2(1.8±0.1 )</v>
      </c>
      <c r="H59" s="70">
        <f>'XM.GUI MAIL'!Z13</f>
        <v>1.78</v>
      </c>
      <c r="I59" s="6"/>
      <c r="J59" s="29">
        <f>'XM.GUI MAIL'!AC13</f>
        <v>0</v>
      </c>
      <c r="K59" s="7"/>
      <c r="L59" s="70"/>
      <c r="M59" s="6"/>
      <c r="N59" s="29"/>
      <c r="O59" s="7"/>
      <c r="P59" s="70"/>
      <c r="Q59" s="6"/>
      <c r="R59" s="29"/>
      <c r="S59" s="7"/>
      <c r="T59" s="129"/>
    </row>
    <row r="60" spans="1:20" ht="32.25" customHeight="1">
      <c r="A60" s="129">
        <v>7</v>
      </c>
      <c r="B60" s="2037" t="s">
        <v>61</v>
      </c>
      <c r="C60" s="2059"/>
      <c r="D60" s="2059"/>
      <c r="E60" s="2038"/>
      <c r="F60" s="1192" t="s">
        <v>6</v>
      </c>
      <c r="G60" s="1168" t="str">
        <f>'XM.GUI MAIL'!$E$14</f>
        <v>30~60 %V/V
(45±5% V/V)</v>
      </c>
      <c r="H60" s="71">
        <f>'XM.GUI MAIL'!Z14</f>
        <v>0.45624999999999999</v>
      </c>
      <c r="I60" s="18" t="s">
        <v>8</v>
      </c>
      <c r="J60" s="29">
        <f>'XM.GUI MAIL'!AC14</f>
        <v>0</v>
      </c>
      <c r="K60" s="19" t="s">
        <v>10</v>
      </c>
      <c r="L60" s="71"/>
      <c r="M60" s="18"/>
      <c r="N60" s="29"/>
      <c r="O60" s="19"/>
      <c r="P60" s="71"/>
      <c r="Q60" s="18"/>
      <c r="R60" s="29"/>
      <c r="S60" s="19"/>
      <c r="T60" s="129" t="s">
        <v>46</v>
      </c>
    </row>
    <row r="61" spans="1:20" ht="32.25" customHeight="1">
      <c r="A61" s="129">
        <v>8</v>
      </c>
      <c r="B61" s="2037" t="s">
        <v>62</v>
      </c>
      <c r="C61" s="2059"/>
      <c r="D61" s="2059"/>
      <c r="E61" s="2038"/>
      <c r="F61" s="1192" t="s">
        <v>6</v>
      </c>
      <c r="G61" s="1168" t="str">
        <f>'XM.GUI MAIL'!$E$15</f>
        <v>15~30 %V/V
(22±5 V/V)</v>
      </c>
      <c r="H61" s="71">
        <f>'XM.GUI MAIL'!Z15</f>
        <v>0.25093750000000004</v>
      </c>
      <c r="I61" s="65" t="s">
        <v>8</v>
      </c>
      <c r="J61" s="66">
        <f>'XM.GUI MAIL'!AC15</f>
        <v>0</v>
      </c>
      <c r="K61" s="67" t="s">
        <v>10</v>
      </c>
      <c r="L61" s="71"/>
      <c r="M61" s="65"/>
      <c r="N61" s="66"/>
      <c r="O61" s="67"/>
      <c r="P61" s="71"/>
      <c r="Q61" s="65"/>
      <c r="R61" s="66"/>
      <c r="S61" s="19"/>
      <c r="T61" s="129" t="s">
        <v>46</v>
      </c>
    </row>
    <row r="62" spans="1:20" ht="32.25" customHeight="1">
      <c r="A62" s="129">
        <v>9</v>
      </c>
      <c r="B62" s="2037" t="s">
        <v>116</v>
      </c>
      <c r="C62" s="2059"/>
      <c r="D62" s="2059"/>
      <c r="E62" s="2038"/>
      <c r="F62" s="1192" t="s">
        <v>6</v>
      </c>
      <c r="G62" s="1168" t="str">
        <f>'XM.GUI MAIL'!$E$16</f>
        <v>5~15 %V/V
(10±3% V/V)</v>
      </c>
      <c r="H62" s="71">
        <f>'XM.GUI MAIL'!Z16</f>
        <v>0.10265625</v>
      </c>
      <c r="I62" s="18" t="s">
        <v>8</v>
      </c>
      <c r="J62" s="29">
        <f>'XM.GUI MAIL'!AC16</f>
        <v>0</v>
      </c>
      <c r="K62" s="19" t="s">
        <v>10</v>
      </c>
      <c r="L62" s="71"/>
      <c r="M62" s="18"/>
      <c r="N62" s="29"/>
      <c r="O62" s="19"/>
      <c r="P62" s="71"/>
      <c r="Q62" s="18"/>
      <c r="R62" s="29"/>
      <c r="S62" s="19"/>
      <c r="T62" s="129" t="s">
        <v>47</v>
      </c>
    </row>
    <row r="63" spans="1:20" ht="32.25" customHeight="1">
      <c r="A63" s="129">
        <v>10</v>
      </c>
      <c r="B63" s="2037" t="s">
        <v>115</v>
      </c>
      <c r="C63" s="2059"/>
      <c r="D63" s="2059"/>
      <c r="E63" s="2038"/>
      <c r="F63" s="1192" t="s">
        <v>3</v>
      </c>
      <c r="G63" s="1168" t="str">
        <f>'XM.GUI MAIL'!$E$17</f>
        <v>0.5~1.5%
(1±0.4%)</v>
      </c>
      <c r="H63" s="72">
        <f>'XM.GUI MAIL'!Z17</f>
        <v>1.2602E-2</v>
      </c>
      <c r="I63" s="18" t="s">
        <v>8</v>
      </c>
      <c r="J63" s="53">
        <f>'XM.GUI MAIL'!AC17</f>
        <v>0</v>
      </c>
      <c r="K63" s="19" t="s">
        <v>10</v>
      </c>
      <c r="L63" s="72"/>
      <c r="M63" s="18"/>
      <c r="N63" s="53"/>
      <c r="O63" s="19"/>
      <c r="P63" s="72"/>
      <c r="Q63" s="18"/>
      <c r="R63" s="53"/>
      <c r="S63" s="19"/>
      <c r="T63" s="129" t="s">
        <v>47</v>
      </c>
    </row>
    <row r="64" spans="1:20" ht="28.5" customHeight="1">
      <c r="A64" s="2060">
        <v>13</v>
      </c>
      <c r="B64" s="2049" t="s">
        <v>77</v>
      </c>
      <c r="C64" s="2050"/>
      <c r="D64" s="2050"/>
      <c r="E64" s="2051"/>
      <c r="F64" s="1203" t="s">
        <v>3</v>
      </c>
      <c r="G64" s="1168" t="str">
        <f>'XM.GUI MAIL'!$E$18</f>
        <v>5-10%
(7.5±1%)</v>
      </c>
      <c r="H64" s="93">
        <f>'XM.GUI MAIL'!Z18</f>
        <v>8</v>
      </c>
      <c r="I64" s="65" t="s">
        <v>8</v>
      </c>
      <c r="J64" s="66">
        <f>'XM.GUI MAIL'!AC18</f>
        <v>0</v>
      </c>
      <c r="K64" s="67" t="s">
        <v>10</v>
      </c>
      <c r="L64" s="93" t="str">
        <f>'XM.GUI MAIL'!AF18</f>
        <v/>
      </c>
      <c r="M64" s="65" t="s">
        <v>8</v>
      </c>
      <c r="N64" s="66" t="str">
        <f>'XM.GUI MAIL'!AI18</f>
        <v/>
      </c>
      <c r="O64" s="67" t="s">
        <v>10</v>
      </c>
      <c r="P64" s="93"/>
      <c r="Q64" s="65"/>
      <c r="R64" s="66"/>
      <c r="S64" s="67"/>
      <c r="T64" s="129"/>
    </row>
    <row r="65" spans="1:20" ht="24" customHeight="1">
      <c r="A65" s="2061"/>
      <c r="B65" s="2052"/>
      <c r="C65" s="2053"/>
      <c r="D65" s="2053"/>
      <c r="E65" s="2054"/>
      <c r="F65" s="1203" t="s">
        <v>5</v>
      </c>
      <c r="G65" s="1168" t="str">
        <f>'XM.GUI MAIL'!$E$19</f>
        <v>1.6~2.0(1.8±0.1)</v>
      </c>
      <c r="H65" s="128">
        <f>'XM.GUI MAIL'!Z19</f>
        <v>2.2999999999999998</v>
      </c>
      <c r="I65" s="65"/>
      <c r="J65" s="66">
        <f>'XM.GUI MAIL'!AC19</f>
        <v>0</v>
      </c>
      <c r="K65" s="67"/>
      <c r="L65" s="128">
        <f>'XM.GUI MAIL'!AF19</f>
        <v>0</v>
      </c>
      <c r="M65" s="65"/>
      <c r="N65" s="66">
        <f>'XM.GUI MAIL'!AI19</f>
        <v>0</v>
      </c>
      <c r="O65" s="67"/>
      <c r="P65" s="128"/>
      <c r="Q65" s="65"/>
      <c r="R65" s="66"/>
      <c r="S65" s="67"/>
      <c r="T65" s="129"/>
    </row>
    <row r="66" spans="1:20" ht="27.75" customHeight="1">
      <c r="A66" s="302"/>
      <c r="B66" s="303"/>
      <c r="C66" s="303"/>
      <c r="D66" s="303"/>
      <c r="E66" s="303"/>
      <c r="F66" s="303"/>
      <c r="G66" s="301" t="s">
        <v>117</v>
      </c>
      <c r="H66" s="303"/>
      <c r="I66" s="303"/>
      <c r="J66" s="303"/>
      <c r="K66" s="303"/>
      <c r="L66" s="303"/>
      <c r="M66" s="303"/>
      <c r="N66" s="303"/>
      <c r="O66" s="303"/>
      <c r="P66" s="303"/>
      <c r="Q66" s="303"/>
      <c r="R66" s="303"/>
      <c r="S66" s="303"/>
      <c r="T66" s="304"/>
    </row>
    <row r="67" spans="1:20" ht="37.5" customHeight="1">
      <c r="A67" s="129" t="s">
        <v>7</v>
      </c>
      <c r="B67" s="2037" t="s">
        <v>64</v>
      </c>
      <c r="C67" s="2059"/>
      <c r="D67" s="2059"/>
      <c r="E67" s="2038"/>
      <c r="F67" s="1196" t="s">
        <v>66</v>
      </c>
      <c r="G67" s="1196" t="s">
        <v>67</v>
      </c>
      <c r="H67" s="1944" t="s">
        <v>48</v>
      </c>
      <c r="I67" s="1946"/>
      <c r="J67" s="1944" t="s">
        <v>65</v>
      </c>
      <c r="K67" s="1946"/>
      <c r="L67" s="1944" t="s">
        <v>48</v>
      </c>
      <c r="M67" s="1946"/>
      <c r="N67" s="1944" t="s">
        <v>65</v>
      </c>
      <c r="O67" s="1946"/>
      <c r="P67" s="1944" t="s">
        <v>48</v>
      </c>
      <c r="Q67" s="1946"/>
      <c r="R67" s="1944" t="s">
        <v>65</v>
      </c>
      <c r="S67" s="1946"/>
      <c r="T67" s="1185"/>
    </row>
    <row r="68" spans="1:20" ht="34.5" customHeight="1">
      <c r="A68" s="129">
        <v>1</v>
      </c>
      <c r="B68" s="2037" t="s">
        <v>68</v>
      </c>
      <c r="C68" s="2059"/>
      <c r="D68" s="2059"/>
      <c r="E68" s="2038"/>
      <c r="F68" s="22" t="s">
        <v>113</v>
      </c>
      <c r="G68" s="1169" t="str">
        <f>'XM.GUI MAIL'!$E$22</f>
        <v>65~75ºC
(70±3OC)</v>
      </c>
      <c r="H68" s="1866"/>
      <c r="I68" s="1868"/>
      <c r="J68" s="1866"/>
      <c r="K68" s="1868"/>
      <c r="L68" s="1866"/>
      <c r="M68" s="1868"/>
      <c r="N68" s="1866"/>
      <c r="O68" s="1868"/>
      <c r="P68" s="1866"/>
      <c r="Q68" s="1868"/>
      <c r="R68" s="1866"/>
      <c r="S68" s="1868"/>
      <c r="T68" s="129"/>
    </row>
    <row r="69" spans="1:20" ht="34.5" customHeight="1">
      <c r="A69" s="129">
        <v>2</v>
      </c>
      <c r="B69" s="2037" t="s">
        <v>69</v>
      </c>
      <c r="C69" s="2059" t="s">
        <v>69</v>
      </c>
      <c r="D69" s="2059" t="s">
        <v>69</v>
      </c>
      <c r="E69" s="2038" t="s">
        <v>69</v>
      </c>
      <c r="F69" s="22" t="s">
        <v>113</v>
      </c>
      <c r="G69" s="1169" t="str">
        <f>'XM.GUI MAIL'!$E$23</f>
        <v>65~75ºC
(70±3OC)</v>
      </c>
      <c r="H69" s="1869"/>
      <c r="I69" s="1869"/>
      <c r="J69" s="1869"/>
      <c r="K69" s="1869"/>
      <c r="L69" s="1869"/>
      <c r="M69" s="1869"/>
      <c r="N69" s="1869"/>
      <c r="O69" s="1869"/>
      <c r="P69" s="1869"/>
      <c r="Q69" s="1869"/>
      <c r="R69" s="1869"/>
      <c r="S69" s="1869"/>
      <c r="T69" s="129"/>
    </row>
    <row r="70" spans="1:20" ht="34.5" customHeight="1">
      <c r="A70" s="129">
        <v>3</v>
      </c>
      <c r="B70" s="2037" t="s">
        <v>71</v>
      </c>
      <c r="C70" s="2059" t="s">
        <v>71</v>
      </c>
      <c r="D70" s="2059" t="s">
        <v>71</v>
      </c>
      <c r="E70" s="2038" t="s">
        <v>71</v>
      </c>
      <c r="F70" s="22" t="s">
        <v>113</v>
      </c>
      <c r="G70" s="1169" t="str">
        <f>'XM.GUI MAIL'!$E$24</f>
        <v>50~60ºC
(55±3OC)</v>
      </c>
      <c r="H70" s="1866"/>
      <c r="I70" s="1867"/>
      <c r="J70" s="1866"/>
      <c r="K70" s="1867"/>
      <c r="L70" s="1866"/>
      <c r="M70" s="1867"/>
      <c r="N70" s="1866"/>
      <c r="O70" s="1867"/>
      <c r="P70" s="1866"/>
      <c r="Q70" s="1867"/>
      <c r="R70" s="1866"/>
      <c r="S70" s="1867"/>
      <c r="T70" s="129"/>
    </row>
    <row r="71" spans="1:20" ht="34.5" customHeight="1">
      <c r="A71" s="129">
        <v>4</v>
      </c>
      <c r="B71" s="2037" t="s">
        <v>70</v>
      </c>
      <c r="C71" s="2059" t="s">
        <v>70</v>
      </c>
      <c r="D71" s="2059" t="s">
        <v>70</v>
      </c>
      <c r="E71" s="2038" t="s">
        <v>70</v>
      </c>
      <c r="F71" s="22" t="s">
        <v>113</v>
      </c>
      <c r="G71" s="1169" t="str">
        <f>'XM.GUI MAIL'!$E$25</f>
        <v>50~60ºC
(55±3OC)</v>
      </c>
      <c r="H71" s="1866"/>
      <c r="I71" s="1867"/>
      <c r="J71" s="1866"/>
      <c r="K71" s="1867"/>
      <c r="L71" s="1866"/>
      <c r="M71" s="1867"/>
      <c r="N71" s="1866"/>
      <c r="O71" s="1867"/>
      <c r="P71" s="1866"/>
      <c r="Q71" s="1867"/>
      <c r="R71" s="1866"/>
      <c r="S71" s="1867"/>
      <c r="T71" s="129"/>
    </row>
    <row r="72" spans="1:20" ht="34.5" customHeight="1">
      <c r="A72" s="129">
        <v>5</v>
      </c>
      <c r="B72" s="2037" t="s">
        <v>72</v>
      </c>
      <c r="C72" s="2059" t="s">
        <v>72</v>
      </c>
      <c r="D72" s="2059" t="s">
        <v>72</v>
      </c>
      <c r="E72" s="2038" t="s">
        <v>72</v>
      </c>
      <c r="F72" s="22" t="s">
        <v>113</v>
      </c>
      <c r="G72" s="1169" t="str">
        <f>'XM.GUI MAIL'!$E$26</f>
        <v>20~30ºC
(25±3OC)</v>
      </c>
      <c r="H72" s="1869"/>
      <c r="I72" s="1869"/>
      <c r="J72" s="1869"/>
      <c r="K72" s="1869"/>
      <c r="L72" s="1869"/>
      <c r="M72" s="1869"/>
      <c r="N72" s="1869"/>
      <c r="O72" s="1869"/>
      <c r="P72" s="1869"/>
      <c r="Q72" s="1869"/>
      <c r="R72" s="1869"/>
      <c r="S72" s="1869"/>
      <c r="T72" s="129"/>
    </row>
    <row r="73" spans="1:20" ht="34.5" customHeight="1">
      <c r="A73" s="129">
        <v>6</v>
      </c>
      <c r="B73" s="2037" t="s">
        <v>1064</v>
      </c>
      <c r="C73" s="2059" t="s">
        <v>1064</v>
      </c>
      <c r="D73" s="2059" t="s">
        <v>1064</v>
      </c>
      <c r="E73" s="2038" t="s">
        <v>1064</v>
      </c>
      <c r="F73" s="22" t="s">
        <v>113</v>
      </c>
      <c r="G73" s="1169" t="str">
        <f>'XM.GUI MAIL'!$E$27</f>
        <v>35-45ºC
(40±3OC)</v>
      </c>
      <c r="H73" s="1866"/>
      <c r="I73" s="1867"/>
      <c r="J73" s="1866"/>
      <c r="K73" s="1867"/>
      <c r="L73" s="1866"/>
      <c r="M73" s="1867"/>
      <c r="N73" s="1866"/>
      <c r="O73" s="1867"/>
      <c r="P73" s="1866"/>
      <c r="Q73" s="1867"/>
      <c r="R73" s="1866"/>
      <c r="S73" s="1867"/>
      <c r="T73" s="129"/>
    </row>
    <row r="74" spans="1:20" ht="34.5" customHeight="1">
      <c r="A74" s="129">
        <v>7</v>
      </c>
      <c r="B74" s="2037" t="s">
        <v>73</v>
      </c>
      <c r="C74" s="2059" t="s">
        <v>73</v>
      </c>
      <c r="D74" s="2059" t="s">
        <v>73</v>
      </c>
      <c r="E74" s="2038" t="s">
        <v>73</v>
      </c>
      <c r="F74" s="22" t="s">
        <v>113</v>
      </c>
      <c r="G74" s="1169" t="str">
        <f>'XM.GUI MAIL'!$E$28</f>
        <v>55~65ºC
(60±3OC)</v>
      </c>
      <c r="H74" s="1866"/>
      <c r="I74" s="1867"/>
      <c r="J74" s="1866"/>
      <c r="K74" s="1867"/>
      <c r="L74" s="1866"/>
      <c r="M74" s="1867"/>
      <c r="N74" s="1866"/>
      <c r="O74" s="1867"/>
      <c r="P74" s="1866"/>
      <c r="Q74" s="1867"/>
      <c r="R74" s="1866"/>
      <c r="S74" s="1867"/>
      <c r="T74" s="129"/>
    </row>
    <row r="75" spans="1:20" ht="34.5" customHeight="1">
      <c r="A75" s="129">
        <v>8</v>
      </c>
      <c r="B75" s="1870" t="s">
        <v>74</v>
      </c>
      <c r="C75" s="1871" t="s">
        <v>74</v>
      </c>
      <c r="D75" s="1871" t="s">
        <v>74</v>
      </c>
      <c r="E75" s="1872" t="s">
        <v>74</v>
      </c>
      <c r="F75" s="22" t="s">
        <v>113</v>
      </c>
      <c r="G75" s="1169" t="str">
        <f>'XM.GUI MAIL'!$E$29</f>
        <v>65~75ºC
(70±3OC)</v>
      </c>
      <c r="H75" s="1934"/>
      <c r="I75" s="1934"/>
      <c r="J75" s="1869"/>
      <c r="K75" s="1869"/>
      <c r="L75" s="1934"/>
      <c r="M75" s="1934"/>
      <c r="N75" s="1869"/>
      <c r="O75" s="1869"/>
      <c r="P75" s="1934"/>
      <c r="Q75" s="1934"/>
      <c r="R75" s="1869"/>
      <c r="S75" s="1869"/>
      <c r="T75" s="129"/>
    </row>
    <row r="76" spans="1:20" ht="36" customHeight="1">
      <c r="A76" s="302"/>
      <c r="B76" s="298"/>
      <c r="C76" s="299"/>
      <c r="D76" s="299"/>
      <c r="E76" s="299"/>
      <c r="F76" s="299"/>
      <c r="G76" s="301" t="s">
        <v>118</v>
      </c>
      <c r="H76" s="299"/>
      <c r="I76" s="299"/>
      <c r="J76" s="299"/>
      <c r="K76" s="299"/>
      <c r="L76" s="299"/>
      <c r="M76" s="299"/>
      <c r="N76" s="299"/>
      <c r="O76" s="299"/>
      <c r="P76" s="299"/>
      <c r="Q76" s="299"/>
      <c r="R76" s="299"/>
      <c r="S76" s="299"/>
      <c r="T76" s="300"/>
    </row>
    <row r="77" spans="1:20" ht="38.25" customHeight="1">
      <c r="A77" s="129" t="s">
        <v>7</v>
      </c>
      <c r="B77" s="2037" t="s">
        <v>100</v>
      </c>
      <c r="C77" s="2059"/>
      <c r="D77" s="2059"/>
      <c r="E77" s="2038"/>
      <c r="F77" s="1191" t="s">
        <v>101</v>
      </c>
      <c r="G77" s="1196" t="s">
        <v>67</v>
      </c>
      <c r="H77" s="1944"/>
      <c r="I77" s="1945"/>
      <c r="J77" s="1945"/>
      <c r="K77" s="1946"/>
      <c r="L77" s="1944"/>
      <c r="M77" s="1945"/>
      <c r="N77" s="1945"/>
      <c r="O77" s="1946"/>
      <c r="P77" s="1944"/>
      <c r="Q77" s="1945"/>
      <c r="R77" s="1945"/>
      <c r="S77" s="1946"/>
      <c r="T77" s="1185"/>
    </row>
    <row r="78" spans="1:20" ht="42.75" customHeight="1">
      <c r="A78" s="129">
        <v>1</v>
      </c>
      <c r="B78" s="2037" t="s">
        <v>54</v>
      </c>
      <c r="C78" s="2059"/>
      <c r="D78" s="2059"/>
      <c r="E78" s="2038"/>
      <c r="F78" s="24" t="s">
        <v>50</v>
      </c>
      <c r="G78" s="305" t="str">
        <f>'XM.GUI MAIL'!$E$31</f>
        <v>300-360</v>
      </c>
      <c r="H78" s="1866"/>
      <c r="I78" s="1867"/>
      <c r="J78" s="1867"/>
      <c r="K78" s="1867"/>
      <c r="L78" s="1866"/>
      <c r="M78" s="1867"/>
      <c r="N78" s="1867"/>
      <c r="O78" s="1867"/>
      <c r="P78" s="1866"/>
      <c r="Q78" s="1867"/>
      <c r="R78" s="1867"/>
      <c r="S78" s="1867"/>
      <c r="T78" s="129"/>
    </row>
    <row r="79" spans="1:20" ht="42.75" customHeight="1">
      <c r="A79" s="129">
        <v>2</v>
      </c>
      <c r="B79" s="2037" t="s">
        <v>94</v>
      </c>
      <c r="C79" s="2059"/>
      <c r="D79" s="2059"/>
      <c r="E79" s="2038"/>
      <c r="F79" s="24" t="s">
        <v>50</v>
      </c>
      <c r="G79" s="306" t="str">
        <f>'XM.GUI MAIL'!$E$32</f>
        <v>30-50</v>
      </c>
      <c r="H79" s="1866">
        <f>'XM.FILE GOC'!Z32</f>
        <v>40</v>
      </c>
      <c r="I79" s="1867"/>
      <c r="J79" s="1867"/>
      <c r="K79" s="1867"/>
      <c r="L79" s="1866">
        <f>'XM.FILE GOC'!AF32</f>
        <v>0</v>
      </c>
      <c r="M79" s="1867"/>
      <c r="N79" s="1867"/>
      <c r="O79" s="1867"/>
      <c r="P79" s="1866">
        <f>'XM.FILE GOC'!AL32</f>
        <v>42</v>
      </c>
      <c r="Q79" s="1867"/>
      <c r="R79" s="1867"/>
      <c r="S79" s="1867"/>
      <c r="T79" s="129"/>
    </row>
  </sheetData>
  <mergeCells count="240">
    <mergeCell ref="B22:E22"/>
    <mergeCell ref="B23:E23"/>
    <mergeCell ref="B24:E25"/>
    <mergeCell ref="B27:E27"/>
    <mergeCell ref="B20:E20"/>
    <mergeCell ref="B21:E21"/>
    <mergeCell ref="P28:Q28"/>
    <mergeCell ref="R28:S28"/>
    <mergeCell ref="R29:S29"/>
    <mergeCell ref="H30:I30"/>
    <mergeCell ref="J30:K30"/>
    <mergeCell ref="L30:M30"/>
    <mergeCell ref="N30:O30"/>
    <mergeCell ref="P30:Q30"/>
    <mergeCell ref="R30:S30"/>
    <mergeCell ref="A6:A8"/>
    <mergeCell ref="A1:Q1"/>
    <mergeCell ref="A2:Q2"/>
    <mergeCell ref="R2:S2"/>
    <mergeCell ref="H3:K3"/>
    <mergeCell ref="R3:S3"/>
    <mergeCell ref="A4:A5"/>
    <mergeCell ref="F4:F5"/>
    <mergeCell ref="G4:G5"/>
    <mergeCell ref="H4:K4"/>
    <mergeCell ref="B4:E5"/>
    <mergeCell ref="B6:C8"/>
    <mergeCell ref="D6:E6"/>
    <mergeCell ref="D7:E7"/>
    <mergeCell ref="D8:E8"/>
    <mergeCell ref="B3:E3"/>
    <mergeCell ref="L4:O4"/>
    <mergeCell ref="P4:S4"/>
    <mergeCell ref="I5:K5"/>
    <mergeCell ref="M5:O5"/>
    <mergeCell ref="Q5:S5"/>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B31:E31"/>
    <mergeCell ref="B32:E32"/>
    <mergeCell ref="R33:S33"/>
    <mergeCell ref="H34:I34"/>
    <mergeCell ref="J34:K34"/>
    <mergeCell ref="B28:E28"/>
    <mergeCell ref="B29:E29"/>
    <mergeCell ref="B30:E30"/>
    <mergeCell ref="A24:A25"/>
    <mergeCell ref="H27:I27"/>
    <mergeCell ref="J27:K27"/>
    <mergeCell ref="L27:M27"/>
    <mergeCell ref="N27:O27"/>
    <mergeCell ref="P27:Q27"/>
    <mergeCell ref="H29:I29"/>
    <mergeCell ref="J29:K29"/>
    <mergeCell ref="L29:M29"/>
    <mergeCell ref="N29:O29"/>
    <mergeCell ref="P29:Q29"/>
    <mergeCell ref="R27:S27"/>
    <mergeCell ref="H28:I28"/>
    <mergeCell ref="J28:K28"/>
    <mergeCell ref="L28:M28"/>
    <mergeCell ref="N28:O28"/>
    <mergeCell ref="R31:S31"/>
    <mergeCell ref="H32:I32"/>
    <mergeCell ref="J32:K32"/>
    <mergeCell ref="L32:M32"/>
    <mergeCell ref="N32:O32"/>
    <mergeCell ref="P32:Q32"/>
    <mergeCell ref="R32:S32"/>
    <mergeCell ref="H31:I31"/>
    <mergeCell ref="J31:K31"/>
    <mergeCell ref="L31:M31"/>
    <mergeCell ref="N31:O31"/>
    <mergeCell ref="P31:Q31"/>
    <mergeCell ref="B35:E35"/>
    <mergeCell ref="B37:E37"/>
    <mergeCell ref="L34:M34"/>
    <mergeCell ref="N34:O34"/>
    <mergeCell ref="P34:Q34"/>
    <mergeCell ref="R34:S34"/>
    <mergeCell ref="H33:I33"/>
    <mergeCell ref="J33:K33"/>
    <mergeCell ref="L33:M33"/>
    <mergeCell ref="N33:O33"/>
    <mergeCell ref="P33:Q33"/>
    <mergeCell ref="R35:S35"/>
    <mergeCell ref="L37:O37"/>
    <mergeCell ref="P37:S37"/>
    <mergeCell ref="H35:I35"/>
    <mergeCell ref="J35:K35"/>
    <mergeCell ref="L35:M35"/>
    <mergeCell ref="N35:O35"/>
    <mergeCell ref="P35:Q35"/>
    <mergeCell ref="H37:K37"/>
    <mergeCell ref="B33:E33"/>
    <mergeCell ref="B34:E34"/>
    <mergeCell ref="L39:O39"/>
    <mergeCell ref="P39:S39"/>
    <mergeCell ref="L38:O38"/>
    <mergeCell ref="P38:S38"/>
    <mergeCell ref="H38:K38"/>
    <mergeCell ref="H39:K39"/>
    <mergeCell ref="L44:O44"/>
    <mergeCell ref="P44:S44"/>
    <mergeCell ref="B38:E38"/>
    <mergeCell ref="B39:E39"/>
    <mergeCell ref="I45:K45"/>
    <mergeCell ref="M45:O45"/>
    <mergeCell ref="Q45:S45"/>
    <mergeCell ref="A46:A48"/>
    <mergeCell ref="A41:Q41"/>
    <mergeCell ref="A42:Q42"/>
    <mergeCell ref="R42:S42"/>
    <mergeCell ref="H43:K43"/>
    <mergeCell ref="R43:S43"/>
    <mergeCell ref="A44:A45"/>
    <mergeCell ref="F44:F45"/>
    <mergeCell ref="G44:G45"/>
    <mergeCell ref="H44:K44"/>
    <mergeCell ref="B44:E45"/>
    <mergeCell ref="B46:C48"/>
    <mergeCell ref="D46:E46"/>
    <mergeCell ref="D47:E47"/>
    <mergeCell ref="D48:E48"/>
    <mergeCell ref="B43:E43"/>
    <mergeCell ref="B62:E62"/>
    <mergeCell ref="B63:E63"/>
    <mergeCell ref="B64:E65"/>
    <mergeCell ref="B67:E67"/>
    <mergeCell ref="A56:A57"/>
    <mergeCell ref="A58:A59"/>
    <mergeCell ref="A49:A51"/>
    <mergeCell ref="A52:A53"/>
    <mergeCell ref="A54:A55"/>
    <mergeCell ref="B49:C51"/>
    <mergeCell ref="B56:E56"/>
    <mergeCell ref="B57:E57"/>
    <mergeCell ref="B58:E59"/>
    <mergeCell ref="B60:E60"/>
    <mergeCell ref="B61:E61"/>
    <mergeCell ref="D49:E49"/>
    <mergeCell ref="D50:E50"/>
    <mergeCell ref="D51:E51"/>
    <mergeCell ref="B52:C53"/>
    <mergeCell ref="D52:E52"/>
    <mergeCell ref="D53:E53"/>
    <mergeCell ref="B54:C55"/>
    <mergeCell ref="D54:E54"/>
    <mergeCell ref="D55:E55"/>
    <mergeCell ref="R67:S67"/>
    <mergeCell ref="H68:I68"/>
    <mergeCell ref="J68:K68"/>
    <mergeCell ref="L68:M68"/>
    <mergeCell ref="N68:O68"/>
    <mergeCell ref="P68:Q68"/>
    <mergeCell ref="R68:S68"/>
    <mergeCell ref="R69:S69"/>
    <mergeCell ref="H70:I70"/>
    <mergeCell ref="J70:K70"/>
    <mergeCell ref="L70:M70"/>
    <mergeCell ref="N70:O70"/>
    <mergeCell ref="P70:Q70"/>
    <mergeCell ref="R70:S70"/>
    <mergeCell ref="B68:E68"/>
    <mergeCell ref="B69:E69"/>
    <mergeCell ref="B70:E70"/>
    <mergeCell ref="A64:A65"/>
    <mergeCell ref="H67:I67"/>
    <mergeCell ref="J67:K67"/>
    <mergeCell ref="L67:M67"/>
    <mergeCell ref="N67:O67"/>
    <mergeCell ref="P67:Q67"/>
    <mergeCell ref="H69:I69"/>
    <mergeCell ref="J69:K69"/>
    <mergeCell ref="L69:M69"/>
    <mergeCell ref="N69:O69"/>
    <mergeCell ref="P69:Q69"/>
    <mergeCell ref="B74:E74"/>
    <mergeCell ref="R71:S71"/>
    <mergeCell ref="H72:I72"/>
    <mergeCell ref="J72:K72"/>
    <mergeCell ref="L72:M72"/>
    <mergeCell ref="N72:O72"/>
    <mergeCell ref="P72:Q72"/>
    <mergeCell ref="R72:S72"/>
    <mergeCell ref="H71:I71"/>
    <mergeCell ref="J71:K71"/>
    <mergeCell ref="L71:M71"/>
    <mergeCell ref="N71:O71"/>
    <mergeCell ref="P71:Q71"/>
    <mergeCell ref="B71:E71"/>
    <mergeCell ref="B72:E72"/>
    <mergeCell ref="R73:S73"/>
    <mergeCell ref="H74:I74"/>
    <mergeCell ref="J74:K74"/>
    <mergeCell ref="R74:S74"/>
    <mergeCell ref="H73:I73"/>
    <mergeCell ref="J73:K73"/>
    <mergeCell ref="L73:M73"/>
    <mergeCell ref="N73:O73"/>
    <mergeCell ref="B75:E75"/>
    <mergeCell ref="B77:E77"/>
    <mergeCell ref="B78:E78"/>
    <mergeCell ref="B79:E79"/>
    <mergeCell ref="L74:M74"/>
    <mergeCell ref="N74:O74"/>
    <mergeCell ref="P74:Q74"/>
    <mergeCell ref="P73:Q73"/>
    <mergeCell ref="L79:O79"/>
    <mergeCell ref="P79:S79"/>
    <mergeCell ref="L78:O78"/>
    <mergeCell ref="P78:S78"/>
    <mergeCell ref="H78:K78"/>
    <mergeCell ref="H79:K79"/>
    <mergeCell ref="R75:S75"/>
    <mergeCell ref="L77:O77"/>
    <mergeCell ref="P77:S77"/>
    <mergeCell ref="H75:I75"/>
    <mergeCell ref="J75:K75"/>
    <mergeCell ref="L75:M75"/>
    <mergeCell ref="N75:O75"/>
    <mergeCell ref="P75:Q75"/>
    <mergeCell ref="H77:K77"/>
    <mergeCell ref="B73:E73"/>
  </mergeCells>
  <phoneticPr fontId="6" type="noConversion"/>
  <conditionalFormatting sqref="H60 L60 P60 H20 L20 P20">
    <cfRule type="expression" dxfId="1990" priority="721">
      <formula>H20&lt;30%</formula>
    </cfRule>
    <cfRule type="expression" dxfId="1989" priority="722">
      <formula>H20&gt;60%</formula>
    </cfRule>
  </conditionalFormatting>
  <conditionalFormatting sqref="H61 L61 P61 H21 L21 P21">
    <cfRule type="expression" dxfId="1988" priority="719">
      <formula>H21&lt;15%</formula>
    </cfRule>
    <cfRule type="expression" dxfId="1987" priority="720">
      <formula>H21&gt;30%</formula>
    </cfRule>
  </conditionalFormatting>
  <conditionalFormatting sqref="H56 L56 P56 H16 L16 P16">
    <cfRule type="expression" dxfId="1986" priority="725">
      <formula>H16&lt;130</formula>
    </cfRule>
    <cfRule type="expression" dxfId="1985" priority="726">
      <formula>H16&gt;150</formula>
    </cfRule>
  </conditionalFormatting>
  <conditionalFormatting sqref="H63 L63 P63 L23 P23 H23">
    <cfRule type="expression" dxfId="1984" priority="709">
      <formula>H23&lt;0.5%</formula>
    </cfRule>
    <cfRule type="expression" dxfId="1983" priority="710">
      <formula>H23&gt;1.5%</formula>
    </cfRule>
  </conditionalFormatting>
  <conditionalFormatting sqref="H57 L57 P57 H17 L17 P17">
    <cfRule type="expression" dxfId="1982" priority="413" stopIfTrue="1">
      <formula>H17&gt;12</formula>
    </cfRule>
    <cfRule type="expression" dxfId="1981" priority="414" stopIfTrue="1">
      <formula>H17&lt;7</formula>
    </cfRule>
  </conditionalFormatting>
  <conditionalFormatting sqref="H59 L59 P59 H19 L19 P19">
    <cfRule type="expression" dxfId="1980" priority="389">
      <formula>H19&lt;1.6</formula>
    </cfRule>
    <cfRule type="expression" dxfId="1979" priority="390">
      <formula>H19&gt;2.2</formula>
    </cfRule>
  </conditionalFormatting>
  <conditionalFormatting sqref="H78 L78 P78 H38 L38 P38">
    <cfRule type="expression" dxfId="1978" priority="337">
      <formula>H38&lt;300</formula>
    </cfRule>
    <cfRule type="expression" dxfId="1977" priority="338">
      <formula>H38&gt;360</formula>
    </cfRule>
  </conditionalFormatting>
  <conditionalFormatting sqref="H79 L79 P79 H39 L39 P39">
    <cfRule type="expression" dxfId="1976" priority="335">
      <formula>H39&lt;30</formula>
    </cfRule>
    <cfRule type="expression" dxfId="1975" priority="336">
      <formula>H39&gt;50</formula>
    </cfRule>
  </conditionalFormatting>
  <conditionalFormatting sqref="H62 L62 P62 H22 L22 P22">
    <cfRule type="expression" dxfId="1974" priority="299">
      <formula>H22&lt;5%</formula>
    </cfRule>
    <cfRule type="expression" dxfId="1973" priority="300">
      <formula>H22&gt;15%</formula>
    </cfRule>
  </conditionalFormatting>
  <conditionalFormatting sqref="H68:S69 J75:K75 N75:O75 R75:S75 H28:S29 J35:K35 N35:O35 R35:S35">
    <cfRule type="expression" dxfId="1972" priority="245">
      <formula>H28&lt;65</formula>
    </cfRule>
    <cfRule type="expression" dxfId="1971" priority="246">
      <formula>H28&gt;75</formula>
    </cfRule>
  </conditionalFormatting>
  <conditionalFormatting sqref="H72:S72 H32:S32">
    <cfRule type="expression" dxfId="1970" priority="239">
      <formula>H32&lt;20</formula>
    </cfRule>
    <cfRule type="expression" dxfId="1969" priority="240">
      <formula>H32&gt;30</formula>
    </cfRule>
  </conditionalFormatting>
  <conditionalFormatting sqref="J70:J71 H70:H71 L70:L71 N70:N71 P70:P71 R70:R71 J30:J31 H30:H31 L30:L31 N30:N31 P30:P31 R30:R31">
    <cfRule type="expression" dxfId="1968" priority="237">
      <formula>H30&lt;50</formula>
    </cfRule>
    <cfRule type="expression" dxfId="1967" priority="238">
      <formula>H30&gt;60</formula>
    </cfRule>
  </conditionalFormatting>
  <conditionalFormatting sqref="J73 H73 L73 N73 P73 R73 J33 H33 L33 N33 P33 R33">
    <cfRule type="expression" dxfId="1966" priority="231">
      <formula>H33&lt;35</formula>
    </cfRule>
    <cfRule type="expression" dxfId="1965" priority="232">
      <formula>H33&gt;45</formula>
    </cfRule>
  </conditionalFormatting>
  <conditionalFormatting sqref="J74 H74 L74 N74 P74 R74 J34 H34 L34 N34 P34 R34">
    <cfRule type="expression" dxfId="1964" priority="229">
      <formula>H34&lt;55</formula>
    </cfRule>
    <cfRule type="expression" dxfId="1963" priority="230">
      <formula>H34&gt;65</formula>
    </cfRule>
  </conditionalFormatting>
  <conditionalFormatting sqref="H49 L49 P49 H46 L46 P46 H9 L9 P9 H6 L6 P6">
    <cfRule type="expression" dxfId="1962" priority="137" stopIfTrue="1">
      <formula>H6&gt;35</formula>
    </cfRule>
    <cfRule type="expression" dxfId="1961" priority="138" stopIfTrue="1">
      <formula>H6&lt;25</formula>
    </cfRule>
  </conditionalFormatting>
  <conditionalFormatting sqref="H52 H54 L52 L54 P52 P54 H12 H14 L12 L14 P12 P14">
    <cfRule type="expression" dxfId="1960" priority="135" stopIfTrue="1">
      <formula>H12&gt;80</formula>
    </cfRule>
    <cfRule type="expression" dxfId="1959" priority="136" stopIfTrue="1">
      <formula>H12&lt;60</formula>
    </cfRule>
  </conditionalFormatting>
  <conditionalFormatting sqref="H58 L58 P58 H18 L18 P18">
    <cfRule type="expression" dxfId="1958" priority="23" stopIfTrue="1">
      <formula>H18&gt;18</formula>
    </cfRule>
    <cfRule type="expression" dxfId="1957" priority="24" stopIfTrue="1">
      <formula>H18&lt;12</formula>
    </cfRule>
  </conditionalFormatting>
  <pageMargins left="0.39370078740157483" right="0" top="0" bottom="0" header="0" footer="0"/>
  <pageSetup paperSize="9" scale="6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9.xml><?xml version="1.0" encoding="utf-8"?>
<worksheet xmlns="http://schemas.openxmlformats.org/spreadsheetml/2006/main" xmlns:r="http://schemas.openxmlformats.org/officeDocument/2006/relationships">
  <sheetPr codeName="Sheet9">
    <tabColor rgb="FFFF0000"/>
  </sheetPr>
  <dimension ref="A1:T75"/>
  <sheetViews>
    <sheetView view="pageBreakPreview" topLeftCell="A38" zoomScale="60" zoomScaleNormal="70" workbookViewId="0">
      <selection activeCell="AB59" sqref="AB59"/>
    </sheetView>
  </sheetViews>
  <sheetFormatPr defaultRowHeight="15"/>
  <cols>
    <col min="1" max="1" width="4.125" style="20" customWidth="1"/>
    <col min="2" max="2" width="8.5" style="34" customWidth="1"/>
    <col min="3" max="3" width="5" style="34" customWidth="1"/>
    <col min="4" max="4" width="2.875" style="34" customWidth="1"/>
    <col min="5" max="5" width="13" style="34" customWidth="1"/>
    <col min="6" max="6" width="8" style="20" customWidth="1"/>
    <col min="7" max="7" width="18.5" style="35" customWidth="1"/>
    <col min="8" max="8" width="7" style="20" customWidth="1"/>
    <col min="9" max="9" width="3.125" style="20" customWidth="1"/>
    <col min="10" max="10" width="8" style="20" customWidth="1"/>
    <col min="11" max="11" width="4.5" style="20" customWidth="1"/>
    <col min="12" max="12" width="6.75" style="20" customWidth="1"/>
    <col min="13" max="13" width="3.25" style="20" customWidth="1"/>
    <col min="14" max="14" width="8.125" style="20" customWidth="1"/>
    <col min="15" max="15" width="4.25" style="20" customWidth="1"/>
    <col min="16" max="16" width="6.625" style="20" customWidth="1"/>
    <col min="17" max="17" width="3.75" style="20" customWidth="1"/>
    <col min="18" max="18" width="7.75" style="20" customWidth="1"/>
    <col min="19" max="19" width="4.5" style="20" customWidth="1"/>
    <col min="20" max="20" width="12.75" style="20" customWidth="1"/>
    <col min="21" max="16384" width="9" style="20"/>
  </cols>
  <sheetData>
    <row r="1" spans="1:20" ht="28.5" customHeight="1">
      <c r="A1" s="2079" t="s">
        <v>613</v>
      </c>
      <c r="B1" s="2079"/>
      <c r="C1" s="2079"/>
      <c r="D1" s="2079"/>
      <c r="E1" s="2079"/>
      <c r="F1" s="2079"/>
      <c r="G1" s="2079"/>
      <c r="H1" s="2079"/>
      <c r="I1" s="2079"/>
      <c r="J1" s="2079"/>
      <c r="K1" s="2079"/>
      <c r="L1" s="2079"/>
      <c r="M1" s="2079"/>
      <c r="N1" s="2079"/>
      <c r="O1" s="2079"/>
      <c r="P1" s="2079"/>
      <c r="Q1" s="2079"/>
      <c r="R1" s="1172"/>
      <c r="S1" s="1172"/>
      <c r="T1" s="1172"/>
    </row>
    <row r="2" spans="1:20" ht="46.5" customHeight="1">
      <c r="A2" s="1889" t="s">
        <v>239</v>
      </c>
      <c r="B2" s="1889"/>
      <c r="C2" s="1889"/>
      <c r="D2" s="1889"/>
      <c r="E2" s="1889"/>
      <c r="F2" s="1889"/>
      <c r="G2" s="1889"/>
      <c r="H2" s="1889"/>
      <c r="I2" s="1889"/>
      <c r="J2" s="1889"/>
      <c r="K2" s="1889"/>
      <c r="L2" s="1889"/>
      <c r="M2" s="1889"/>
      <c r="N2" s="1889"/>
      <c r="O2" s="1889"/>
      <c r="P2" s="1889"/>
      <c r="Q2" s="1890"/>
      <c r="R2" s="2025" t="s">
        <v>96</v>
      </c>
      <c r="S2" s="1923"/>
      <c r="T2" s="1191" t="s">
        <v>97</v>
      </c>
    </row>
    <row r="3" spans="1:20" ht="34.5" customHeight="1">
      <c r="A3" s="60"/>
      <c r="B3" s="2083" t="s">
        <v>235</v>
      </c>
      <c r="C3" s="2083"/>
      <c r="D3" s="2083"/>
      <c r="E3" s="26"/>
      <c r="F3" s="61"/>
      <c r="G3" s="235" t="str">
        <f>'1. XL-1E kh'!$G$3</f>
        <v>2022/12/03</v>
      </c>
      <c r="H3" s="27"/>
      <c r="I3" s="27"/>
      <c r="J3" s="27"/>
      <c r="K3" s="27"/>
      <c r="L3" s="58"/>
      <c r="M3" s="58"/>
      <c r="N3" s="58"/>
      <c r="Q3" s="58"/>
      <c r="R3" s="2046" t="str">
        <f>'1. XL-1E kh'!$AC$3</f>
        <v>L.Yen</v>
      </c>
      <c r="S3" s="2047"/>
      <c r="T3" s="3" t="s">
        <v>11</v>
      </c>
    </row>
    <row r="4" spans="1:20" s="62" customFormat="1" ht="31.5" customHeight="1">
      <c r="A4" s="2056" t="s">
        <v>7</v>
      </c>
      <c r="B4" s="2049" t="s">
        <v>79</v>
      </c>
      <c r="C4" s="2050"/>
      <c r="D4" s="2050"/>
      <c r="E4" s="2051"/>
      <c r="F4" s="2055" t="s">
        <v>137</v>
      </c>
      <c r="G4" s="2057" t="s">
        <v>67</v>
      </c>
      <c r="H4" s="1921">
        <v>0.26041666666666669</v>
      </c>
      <c r="I4" s="1922"/>
      <c r="J4" s="1922"/>
      <c r="K4" s="1923"/>
      <c r="L4" s="1921">
        <v>0.42708333333333331</v>
      </c>
      <c r="M4" s="1922"/>
      <c r="N4" s="1922"/>
      <c r="O4" s="1923"/>
      <c r="P4" s="1921">
        <v>0.59375</v>
      </c>
      <c r="Q4" s="1922"/>
      <c r="R4" s="1922"/>
      <c r="S4" s="1923"/>
      <c r="T4" s="1970" t="s">
        <v>98</v>
      </c>
    </row>
    <row r="5" spans="1:20" s="62" customFormat="1" ht="30" customHeight="1">
      <c r="A5" s="2056"/>
      <c r="B5" s="2052"/>
      <c r="C5" s="2053"/>
      <c r="D5" s="2053"/>
      <c r="E5" s="2054"/>
      <c r="F5" s="2056"/>
      <c r="G5" s="2058"/>
      <c r="H5" s="63" t="s">
        <v>146</v>
      </c>
      <c r="I5" s="1927" t="s">
        <v>1</v>
      </c>
      <c r="J5" s="1928"/>
      <c r="K5" s="1929"/>
      <c r="L5" s="63" t="s">
        <v>146</v>
      </c>
      <c r="M5" s="1927" t="s">
        <v>1</v>
      </c>
      <c r="N5" s="1928"/>
      <c r="O5" s="1929"/>
      <c r="P5" s="63" t="s">
        <v>146</v>
      </c>
      <c r="Q5" s="1927" t="s">
        <v>1</v>
      </c>
      <c r="R5" s="1928"/>
      <c r="S5" s="1929"/>
      <c r="T5" s="1971"/>
    </row>
    <row r="6" spans="1:20" ht="33" customHeight="1">
      <c r="A6" s="2060">
        <v>1</v>
      </c>
      <c r="B6" s="2049" t="s">
        <v>148</v>
      </c>
      <c r="C6" s="2065"/>
      <c r="D6" s="2044" t="s">
        <v>266</v>
      </c>
      <c r="E6" s="2045"/>
      <c r="F6" s="1203" t="s">
        <v>4</v>
      </c>
      <c r="G6" s="1025" t="str">
        <f>'XM.GUI MAIL'!$E$37</f>
        <v>60~80g/L
(70±5g/L)</v>
      </c>
      <c r="H6" s="64">
        <f>'XM.GUI MAIL'!H37</f>
        <v>72.039000000000001</v>
      </c>
      <c r="I6" s="65" t="s">
        <v>8</v>
      </c>
      <c r="J6" s="66">
        <f>'XM.GUI MAIL'!K37</f>
        <v>0</v>
      </c>
      <c r="K6" s="67" t="s">
        <v>9</v>
      </c>
      <c r="L6" s="64">
        <f>'XM.GUI MAIL'!N37</f>
        <v>70.741</v>
      </c>
      <c r="M6" s="65" t="s">
        <v>8</v>
      </c>
      <c r="N6" s="66">
        <f>'XM.GUI MAIL'!Q37</f>
        <v>0</v>
      </c>
      <c r="O6" s="67" t="s">
        <v>9</v>
      </c>
      <c r="P6" s="64">
        <f>'XM.GUI MAIL'!T37</f>
        <v>73.337000000000003</v>
      </c>
      <c r="Q6" s="65" t="s">
        <v>8</v>
      </c>
      <c r="R6" s="66">
        <f>'XM.GUI MAIL'!W37</f>
        <v>0</v>
      </c>
      <c r="S6" s="67" t="s">
        <v>9</v>
      </c>
      <c r="T6" s="316" t="s">
        <v>12</v>
      </c>
    </row>
    <row r="7" spans="1:20" ht="33" customHeight="1">
      <c r="A7" s="2076"/>
      <c r="B7" s="2066"/>
      <c r="C7" s="2067"/>
      <c r="D7" s="2044" t="s">
        <v>267</v>
      </c>
      <c r="E7" s="2045"/>
      <c r="F7" s="1173"/>
      <c r="G7" s="1025" t="s">
        <v>1071</v>
      </c>
      <c r="H7" s="64"/>
      <c r="I7" s="65"/>
      <c r="J7" s="68">
        <f>J6/25*7.5</f>
        <v>0</v>
      </c>
      <c r="K7" s="67" t="s">
        <v>10</v>
      </c>
      <c r="L7" s="64"/>
      <c r="M7" s="65"/>
      <c r="N7" s="68">
        <f>N6/25*7.5</f>
        <v>0</v>
      </c>
      <c r="O7" s="67" t="s">
        <v>10</v>
      </c>
      <c r="P7" s="64"/>
      <c r="Q7" s="65"/>
      <c r="R7" s="68">
        <f>R6/25*7.5</f>
        <v>0</v>
      </c>
      <c r="S7" s="67" t="s">
        <v>10</v>
      </c>
      <c r="T7" s="21"/>
    </row>
    <row r="8" spans="1:20" ht="33" customHeight="1">
      <c r="A8" s="2060">
        <v>2</v>
      </c>
      <c r="B8" s="2049" t="s">
        <v>149</v>
      </c>
      <c r="C8" s="2065"/>
      <c r="D8" s="2044" t="s">
        <v>266</v>
      </c>
      <c r="E8" s="2045"/>
      <c r="F8" s="1203" t="s">
        <v>4</v>
      </c>
      <c r="G8" s="1025" t="str">
        <f>'XM.GUI MAIL'!$E$38</f>
        <v>60~80g/L
(70±5g/L)</v>
      </c>
      <c r="H8" s="64">
        <f>'XM.GUI MAIL'!H38</f>
        <v>79.177999999999997</v>
      </c>
      <c r="I8" s="65" t="s">
        <v>8</v>
      </c>
      <c r="J8" s="66">
        <f>'XM.GUI MAIL'!K38</f>
        <v>0</v>
      </c>
      <c r="K8" s="67" t="s">
        <v>9</v>
      </c>
      <c r="L8" s="64">
        <f>'XM.GUI MAIL'!N38</f>
        <v>79.177999999999997</v>
      </c>
      <c r="M8" s="65" t="s">
        <v>8</v>
      </c>
      <c r="N8" s="66">
        <f>'XM.GUI MAIL'!Q38</f>
        <v>0</v>
      </c>
      <c r="O8" s="67" t="s">
        <v>9</v>
      </c>
      <c r="P8" s="64">
        <f>'XM.GUI MAIL'!T38</f>
        <v>79.827000000000012</v>
      </c>
      <c r="Q8" s="65" t="s">
        <v>8</v>
      </c>
      <c r="R8" s="66">
        <f>'XM.GUI MAIL'!W38</f>
        <v>0</v>
      </c>
      <c r="S8" s="67" t="s">
        <v>9</v>
      </c>
      <c r="T8" s="316" t="s">
        <v>12</v>
      </c>
    </row>
    <row r="9" spans="1:20" ht="33" customHeight="1">
      <c r="A9" s="2076"/>
      <c r="B9" s="2066"/>
      <c r="C9" s="2067"/>
      <c r="D9" s="2044" t="s">
        <v>267</v>
      </c>
      <c r="E9" s="2045"/>
      <c r="F9" s="1173"/>
      <c r="G9" s="1025" t="s">
        <v>1071</v>
      </c>
      <c r="H9" s="64"/>
      <c r="I9" s="65"/>
      <c r="J9" s="68">
        <f>J8/25*7.5</f>
        <v>0</v>
      </c>
      <c r="K9" s="67" t="s">
        <v>10</v>
      </c>
      <c r="L9" s="64"/>
      <c r="M9" s="65"/>
      <c r="N9" s="68">
        <f>N8/25*7.5</f>
        <v>0</v>
      </c>
      <c r="O9" s="67" t="s">
        <v>10</v>
      </c>
      <c r="P9" s="64"/>
      <c r="Q9" s="65"/>
      <c r="R9" s="68">
        <f>R8/25*7.5</f>
        <v>0</v>
      </c>
      <c r="S9" s="67" t="s">
        <v>10</v>
      </c>
      <c r="T9" s="21"/>
    </row>
    <row r="10" spans="1:20" ht="33" customHeight="1">
      <c r="A10" s="2060">
        <v>3</v>
      </c>
      <c r="B10" s="2035" t="s">
        <v>150</v>
      </c>
      <c r="C10" s="2036"/>
      <c r="D10" s="2037" t="s">
        <v>268</v>
      </c>
      <c r="E10" s="2038" t="s">
        <v>268</v>
      </c>
      <c r="F10" s="1203" t="s">
        <v>4</v>
      </c>
      <c r="G10" s="1025" t="str">
        <f>'XM.GUI MAIL'!$E$39</f>
        <v>50~70g/L
(60±5g/L)</v>
      </c>
      <c r="H10" s="64">
        <f>'XM.GUI MAIL'!H39</f>
        <v>51.744</v>
      </c>
      <c r="I10" s="65" t="s">
        <v>8</v>
      </c>
      <c r="J10" s="66">
        <f>'XM.GUI MAIL'!K39</f>
        <v>9.5439360000000004</v>
      </c>
      <c r="K10" s="67" t="s">
        <v>9</v>
      </c>
      <c r="L10" s="64">
        <f>'XM.GUI MAIL'!N39</f>
        <v>53.591999999999999</v>
      </c>
      <c r="M10" s="65" t="s">
        <v>8</v>
      </c>
      <c r="N10" s="66">
        <f>'XM.GUI MAIL'!Q39</f>
        <v>7.4076480000000009</v>
      </c>
      <c r="O10" s="67" t="s">
        <v>9</v>
      </c>
      <c r="P10" s="64">
        <f>'XM.GUI MAIL'!T39</f>
        <v>55.902000000000001</v>
      </c>
      <c r="Q10" s="65" t="s">
        <v>8</v>
      </c>
      <c r="R10" s="66">
        <f>'XM.GUI MAIL'!W39</f>
        <v>4.7372879999999986</v>
      </c>
      <c r="S10" s="67" t="s">
        <v>9</v>
      </c>
      <c r="T10" s="316" t="s">
        <v>12</v>
      </c>
    </row>
    <row r="11" spans="1:20" ht="33" customHeight="1">
      <c r="A11" s="2061"/>
      <c r="B11" s="2036"/>
      <c r="C11" s="2036"/>
      <c r="D11" s="2037" t="s">
        <v>269</v>
      </c>
      <c r="E11" s="2038" t="s">
        <v>269</v>
      </c>
      <c r="F11" s="1173"/>
      <c r="G11" s="1025" t="s">
        <v>1072</v>
      </c>
      <c r="H11" s="64"/>
      <c r="I11" s="65"/>
      <c r="J11" s="68">
        <f>J10/25*7</f>
        <v>2.6723020800000001</v>
      </c>
      <c r="K11" s="67" t="s">
        <v>10</v>
      </c>
      <c r="L11" s="64"/>
      <c r="M11" s="65"/>
      <c r="N11" s="68">
        <f>N10/25*7</f>
        <v>2.0741414400000004</v>
      </c>
      <c r="O11" s="67" t="s">
        <v>10</v>
      </c>
      <c r="P11" s="64"/>
      <c r="Q11" s="65"/>
      <c r="R11" s="68">
        <f>R10/25*7</f>
        <v>1.3264406399999995</v>
      </c>
      <c r="S11" s="67" t="s">
        <v>10</v>
      </c>
      <c r="T11" s="21"/>
    </row>
    <row r="12" spans="1:20" ht="33" customHeight="1">
      <c r="A12" s="2060">
        <v>4</v>
      </c>
      <c r="B12" s="2035" t="s">
        <v>151</v>
      </c>
      <c r="C12" s="2036"/>
      <c r="D12" s="2037" t="s">
        <v>268</v>
      </c>
      <c r="E12" s="2038" t="s">
        <v>268</v>
      </c>
      <c r="F12" s="1203" t="s">
        <v>4</v>
      </c>
      <c r="G12" s="1025" t="str">
        <f>'XM.GUI MAIL'!$E$40</f>
        <v>50~70g/L
(60±5g/L)</v>
      </c>
      <c r="H12" s="64">
        <f>'XM.GUI MAIL'!H40</f>
        <v>75.768000000000001</v>
      </c>
      <c r="I12" s="65" t="s">
        <v>8</v>
      </c>
      <c r="J12" s="66">
        <f>'XM.GUI MAIL'!K40</f>
        <v>0</v>
      </c>
      <c r="K12" s="67" t="s">
        <v>9</v>
      </c>
      <c r="L12" s="64">
        <f>'XM.GUI MAIL'!N40</f>
        <v>42.503999999999998</v>
      </c>
      <c r="M12" s="65" t="s">
        <v>8</v>
      </c>
      <c r="N12" s="66">
        <f>'XM.GUI MAIL'!Q40</f>
        <v>25.526664000000004</v>
      </c>
      <c r="O12" s="67" t="s">
        <v>9</v>
      </c>
      <c r="P12" s="64">
        <f>'XM.GUI MAIL'!T40</f>
        <v>54.053999999999995</v>
      </c>
      <c r="Q12" s="65" t="s">
        <v>8</v>
      </c>
      <c r="R12" s="66">
        <f>'XM.GUI MAIL'!W40</f>
        <v>8.6752140000000075</v>
      </c>
      <c r="S12" s="67" t="s">
        <v>9</v>
      </c>
      <c r="T12" s="316" t="s">
        <v>12</v>
      </c>
    </row>
    <row r="13" spans="1:20" ht="33" customHeight="1">
      <c r="A13" s="2061"/>
      <c r="B13" s="2036"/>
      <c r="C13" s="2036"/>
      <c r="D13" s="2037" t="s">
        <v>269</v>
      </c>
      <c r="E13" s="2038" t="s">
        <v>269</v>
      </c>
      <c r="F13" s="1173"/>
      <c r="G13" s="1025" t="s">
        <v>1072</v>
      </c>
      <c r="H13" s="64"/>
      <c r="I13" s="65"/>
      <c r="J13" s="68">
        <f>J12/25*7</f>
        <v>0</v>
      </c>
      <c r="K13" s="67" t="s">
        <v>10</v>
      </c>
      <c r="L13" s="64"/>
      <c r="M13" s="65"/>
      <c r="N13" s="68">
        <f>N12/25*7</f>
        <v>7.147465920000001</v>
      </c>
      <c r="O13" s="67" t="s">
        <v>10</v>
      </c>
      <c r="P13" s="64"/>
      <c r="Q13" s="65"/>
      <c r="R13" s="68">
        <f>R12/25*7</f>
        <v>2.429059920000002</v>
      </c>
      <c r="S13" s="67" t="s">
        <v>10</v>
      </c>
      <c r="T13" s="21"/>
    </row>
    <row r="14" spans="1:20" ht="33" customHeight="1">
      <c r="A14" s="1203">
        <v>5</v>
      </c>
      <c r="B14" s="2037" t="s">
        <v>82</v>
      </c>
      <c r="C14" s="2059"/>
      <c r="D14" s="2059"/>
      <c r="E14" s="2038"/>
      <c r="F14" s="1203" t="s">
        <v>4</v>
      </c>
      <c r="G14" s="1168" t="str">
        <f>'XM.GUI MAIL'!$E$41</f>
        <v>130 - 150g/L
(140±10g/L)</v>
      </c>
      <c r="H14" s="64">
        <f>'XM.GUI MAIL'!H41</f>
        <v>140</v>
      </c>
      <c r="I14" s="65" t="s">
        <v>8</v>
      </c>
      <c r="J14" s="66">
        <f>'XM.GUI MAIL'!K41</f>
        <v>0</v>
      </c>
      <c r="K14" s="67" t="s">
        <v>9</v>
      </c>
      <c r="L14" s="64">
        <f>'XM.GUI MAIL'!N41</f>
        <v>140</v>
      </c>
      <c r="M14" s="65" t="s">
        <v>8</v>
      </c>
      <c r="N14" s="66">
        <f>'XM.GUI MAIL'!Q41</f>
        <v>0</v>
      </c>
      <c r="O14" s="67" t="s">
        <v>9</v>
      </c>
      <c r="P14" s="64">
        <f>'XM.GUI MAIL'!T41</f>
        <v>140</v>
      </c>
      <c r="Q14" s="65" t="s">
        <v>8</v>
      </c>
      <c r="R14" s="66">
        <f>'XM.GUI MAIL'!W41</f>
        <v>0</v>
      </c>
      <c r="S14" s="67" t="s">
        <v>9</v>
      </c>
      <c r="T14" s="316" t="s">
        <v>13</v>
      </c>
    </row>
    <row r="15" spans="1:20" ht="33" customHeight="1">
      <c r="A15" s="1203">
        <v>6</v>
      </c>
      <c r="B15" s="2037" t="s">
        <v>60</v>
      </c>
      <c r="C15" s="2059"/>
      <c r="D15" s="2059"/>
      <c r="E15" s="2038"/>
      <c r="F15" s="1203" t="s">
        <v>4</v>
      </c>
      <c r="G15" s="1168" t="str">
        <f>'XM.GUI MAIL'!$E$42</f>
        <v>8-12g/l
(10±1g/l)</v>
      </c>
      <c r="H15" s="64">
        <f>'XM.GUI MAIL'!H42</f>
        <v>8.19</v>
      </c>
      <c r="I15" s="18" t="s">
        <v>8</v>
      </c>
      <c r="J15" s="29">
        <f>'XM.GUI MAIL'!K42</f>
        <v>36.11131000000001</v>
      </c>
      <c r="K15" s="67" t="s">
        <v>9</v>
      </c>
      <c r="L15" s="64">
        <f>'XM.GUI MAIL'!N42</f>
        <v>8.19</v>
      </c>
      <c r="M15" s="65" t="s">
        <v>8</v>
      </c>
      <c r="N15" s="66">
        <f>'XM.GUI MAIL'!Q42</f>
        <v>36.11131000000001</v>
      </c>
      <c r="O15" s="67" t="s">
        <v>9</v>
      </c>
      <c r="P15" s="64">
        <f>'XM.GUI MAIL'!T42</f>
        <v>8.125</v>
      </c>
      <c r="Q15" s="65" t="s">
        <v>8</v>
      </c>
      <c r="R15" s="66">
        <f>'XM.GUI MAIL'!W42</f>
        <v>37.408124999999998</v>
      </c>
      <c r="S15" s="67" t="s">
        <v>9</v>
      </c>
      <c r="T15" s="316" t="s">
        <v>14</v>
      </c>
    </row>
    <row r="16" spans="1:20" ht="33" customHeight="1">
      <c r="A16" s="2060">
        <v>7</v>
      </c>
      <c r="B16" s="2049" t="s">
        <v>1063</v>
      </c>
      <c r="C16" s="2050"/>
      <c r="D16" s="2050"/>
      <c r="E16" s="2051"/>
      <c r="F16" s="1203" t="s">
        <v>3</v>
      </c>
      <c r="G16" s="1168" t="str">
        <f>'XM.GUI MAIL'!$E$43</f>
        <v>6~10 %
(8±0.5%)</v>
      </c>
      <c r="H16" s="64">
        <f>'XM.GUI MAIL'!H43</f>
        <v>5.8178400000000003</v>
      </c>
      <c r="I16" s="18" t="s">
        <v>8</v>
      </c>
      <c r="J16" s="29">
        <f>'XM.GUI MAIL'!K43</f>
        <v>12.547419999999997</v>
      </c>
      <c r="K16" s="19" t="s">
        <v>10</v>
      </c>
      <c r="L16" s="64">
        <f>'XM.GUI MAIL'!N43</f>
        <v>5.7331000000000003</v>
      </c>
      <c r="M16" s="18" t="s">
        <v>8</v>
      </c>
      <c r="N16" s="29">
        <f>'XM.GUI MAIL'!Q43</f>
        <v>13.034674999999998</v>
      </c>
      <c r="O16" s="19" t="s">
        <v>10</v>
      </c>
      <c r="P16" s="64">
        <f>'XM.GUI MAIL'!T43</f>
        <v>5.2670300000000001</v>
      </c>
      <c r="Q16" s="65" t="s">
        <v>8</v>
      </c>
      <c r="R16" s="66">
        <f>'XM.GUI MAIL'!W43</f>
        <v>15.714577500000001</v>
      </c>
      <c r="S16" s="67" t="s">
        <v>10</v>
      </c>
      <c r="T16" s="316"/>
    </row>
    <row r="17" spans="1:20" ht="33" customHeight="1">
      <c r="A17" s="2061"/>
      <c r="B17" s="2052"/>
      <c r="C17" s="2077"/>
      <c r="D17" s="2077"/>
      <c r="E17" s="2078"/>
      <c r="F17" s="1203" t="s">
        <v>5</v>
      </c>
      <c r="G17" s="1168" t="str">
        <f>'XM.GUI MAIL'!$E$44</f>
        <v>2~2.5(2.3±0.1 )</v>
      </c>
      <c r="H17" s="70">
        <f>'XM.GUI MAIL'!H44</f>
        <v>2.35</v>
      </c>
      <c r="I17" s="6"/>
      <c r="J17" s="29"/>
      <c r="K17" s="7"/>
      <c r="L17" s="70">
        <f>'XM.GUI MAIL'!N44</f>
        <v>2.3199999999999998</v>
      </c>
      <c r="M17" s="6"/>
      <c r="N17" s="29"/>
      <c r="O17" s="7"/>
      <c r="P17" s="70">
        <f>'XM.GUI MAIL'!T44</f>
        <v>2.4300000000000002</v>
      </c>
      <c r="Q17" s="65"/>
      <c r="R17" s="66">
        <f>'XM.GUI MAIL'!W44</f>
        <v>0</v>
      </c>
      <c r="S17" s="67"/>
      <c r="T17" s="21"/>
    </row>
    <row r="18" spans="1:20" ht="33" customHeight="1">
      <c r="A18" s="1203">
        <v>8</v>
      </c>
      <c r="B18" s="2037" t="s">
        <v>61</v>
      </c>
      <c r="C18" s="2059"/>
      <c r="D18" s="2059"/>
      <c r="E18" s="2038"/>
      <c r="F18" s="1192" t="s">
        <v>6</v>
      </c>
      <c r="G18" s="1168" t="str">
        <f>'XM.GUI MAIL'!$E$45</f>
        <v>30~60 %V/V
(45±5% V/V)</v>
      </c>
      <c r="H18" s="71">
        <f>'XM.GUI MAIL'!H45</f>
        <v>0.47906250000000006</v>
      </c>
      <c r="I18" s="65" t="s">
        <v>8</v>
      </c>
      <c r="J18" s="66">
        <f>'XM.GUI MAIL'!K45</f>
        <v>0</v>
      </c>
      <c r="K18" s="67" t="s">
        <v>10</v>
      </c>
      <c r="L18" s="71">
        <f>'XM.GUI MAIL'!N45</f>
        <v>0.50187500000000007</v>
      </c>
      <c r="M18" s="65" t="s">
        <v>8</v>
      </c>
      <c r="N18" s="66">
        <f>'XM.GUI MAIL'!Q45</f>
        <v>0</v>
      </c>
      <c r="O18" s="67" t="s">
        <v>10</v>
      </c>
      <c r="P18" s="71">
        <f>'XM.GUI MAIL'!T45</f>
        <v>0.50187500000000007</v>
      </c>
      <c r="Q18" s="65" t="s">
        <v>8</v>
      </c>
      <c r="R18" s="66">
        <f>'XM.GUI MAIL'!W45</f>
        <v>0</v>
      </c>
      <c r="S18" s="67" t="s">
        <v>10</v>
      </c>
      <c r="T18" s="316" t="s">
        <v>15</v>
      </c>
    </row>
    <row r="19" spans="1:20" ht="33" customHeight="1">
      <c r="A19" s="1203">
        <v>9</v>
      </c>
      <c r="B19" s="2037" t="s">
        <v>62</v>
      </c>
      <c r="C19" s="2059"/>
      <c r="D19" s="2059"/>
      <c r="E19" s="2038"/>
      <c r="F19" s="1192" t="s">
        <v>6</v>
      </c>
      <c r="G19" s="1168" t="str">
        <f>'XM.GUI MAIL'!$E$46</f>
        <v>15~30 %V/V
(22±5 V/V)</v>
      </c>
      <c r="H19" s="71">
        <f>'XM.GUI MAIL'!H46</f>
        <v>0.25093750000000004</v>
      </c>
      <c r="I19" s="65" t="s">
        <v>8</v>
      </c>
      <c r="J19" s="66">
        <f>'XM.GUI MAIL'!K46</f>
        <v>0</v>
      </c>
      <c r="K19" s="67" t="s">
        <v>10</v>
      </c>
      <c r="L19" s="71">
        <f>'XM.GUI MAIL'!N46</f>
        <v>0.25093750000000004</v>
      </c>
      <c r="M19" s="65" t="s">
        <v>8</v>
      </c>
      <c r="N19" s="66">
        <f>'XM.GUI MAIL'!Q46</f>
        <v>0</v>
      </c>
      <c r="O19" s="67" t="s">
        <v>10</v>
      </c>
      <c r="P19" s="71">
        <f>'XM.GUI MAIL'!T46</f>
        <v>0.25093750000000004</v>
      </c>
      <c r="Q19" s="65" t="s">
        <v>8</v>
      </c>
      <c r="R19" s="66">
        <f>'XM.GUI MAIL'!W46</f>
        <v>0</v>
      </c>
      <c r="S19" s="67" t="s">
        <v>10</v>
      </c>
      <c r="T19" s="316" t="s">
        <v>15</v>
      </c>
    </row>
    <row r="20" spans="1:20" ht="33" customHeight="1">
      <c r="A20" s="1203">
        <v>11</v>
      </c>
      <c r="B20" s="2037" t="s">
        <v>116</v>
      </c>
      <c r="C20" s="2059"/>
      <c r="D20" s="2059"/>
      <c r="E20" s="2038"/>
      <c r="F20" s="1192" t="s">
        <v>6</v>
      </c>
      <c r="G20" s="1168" t="str">
        <f>'XM.GUI MAIL'!$E$47</f>
        <v>5~15 %V/V
(10±3% V/V)</v>
      </c>
      <c r="H20" s="71">
        <f>'XM.GUI MAIL'!H47</f>
        <v>0.10721875</v>
      </c>
      <c r="I20" s="18" t="s">
        <v>8</v>
      </c>
      <c r="J20" s="29">
        <f>'XM.GUI MAIL'!K47</f>
        <v>0</v>
      </c>
      <c r="K20" s="19" t="s">
        <v>10</v>
      </c>
      <c r="L20" s="71">
        <f>'XM.GUI MAIL'!N47</f>
        <v>0.13915624999999998</v>
      </c>
      <c r="M20" s="18" t="s">
        <v>8</v>
      </c>
      <c r="N20" s="29">
        <f>'XM.GUI MAIL'!Q47</f>
        <v>0</v>
      </c>
      <c r="O20" s="19" t="s">
        <v>10</v>
      </c>
      <c r="P20" s="71">
        <f>'XM.GUI MAIL'!T47</f>
        <v>0.12774999999999997</v>
      </c>
      <c r="Q20" s="65" t="s">
        <v>8</v>
      </c>
      <c r="R20" s="66">
        <f>'XM.GUI MAIL'!W47</f>
        <v>0</v>
      </c>
      <c r="S20" s="67" t="s">
        <v>10</v>
      </c>
      <c r="T20" s="316" t="s">
        <v>16</v>
      </c>
    </row>
    <row r="21" spans="1:20" ht="33" customHeight="1">
      <c r="A21" s="1203">
        <v>12</v>
      </c>
      <c r="B21" s="2037" t="s">
        <v>115</v>
      </c>
      <c r="C21" s="2059"/>
      <c r="D21" s="2059"/>
      <c r="E21" s="2038"/>
      <c r="F21" s="1192" t="s">
        <v>3</v>
      </c>
      <c r="G21" s="1168" t="str">
        <f>'XM.GUI MAIL'!$E$48</f>
        <v>0.5~1.5%
(1±0.2%)</v>
      </c>
      <c r="H21" s="72">
        <f>'XM.GUI MAIL'!H48</f>
        <v>1.1341800000000003E-2</v>
      </c>
      <c r="I21" s="65" t="s">
        <v>8</v>
      </c>
      <c r="J21" s="68">
        <f>'XM.GUI MAIL'!K48</f>
        <v>0</v>
      </c>
      <c r="K21" s="67" t="s">
        <v>10</v>
      </c>
      <c r="L21" s="72">
        <f>'XM.GUI MAIL'!N48</f>
        <v>1.2602E-2</v>
      </c>
      <c r="M21" s="65" t="s">
        <v>8</v>
      </c>
      <c r="N21" s="68">
        <f>'XM.GUI MAIL'!Q48</f>
        <v>0</v>
      </c>
      <c r="O21" s="67" t="s">
        <v>10</v>
      </c>
      <c r="P21" s="72">
        <f>'XM.GUI MAIL'!T48</f>
        <v>1.1341800000000003E-2</v>
      </c>
      <c r="Q21" s="65" t="s">
        <v>8</v>
      </c>
      <c r="R21" s="68">
        <f>'XM.GUI MAIL'!W48</f>
        <v>0</v>
      </c>
      <c r="S21" s="67" t="s">
        <v>10</v>
      </c>
      <c r="T21" s="316" t="s">
        <v>16</v>
      </c>
    </row>
    <row r="22" spans="1:20" ht="31.5" customHeight="1">
      <c r="A22" s="2060">
        <v>13</v>
      </c>
      <c r="B22" s="2049" t="s">
        <v>271</v>
      </c>
      <c r="C22" s="2050"/>
      <c r="D22" s="2050"/>
      <c r="E22" s="2051"/>
      <c r="F22" s="1203" t="s">
        <v>3</v>
      </c>
      <c r="G22" s="1168" t="str">
        <f>'XM.GUI MAIL'!$E$49</f>
        <v>5~8%
(6%±0.5)</v>
      </c>
      <c r="H22" s="93">
        <f>'XM.GUI MAIL'!H49</f>
        <v>5.9</v>
      </c>
      <c r="I22" s="65" t="s">
        <v>8</v>
      </c>
      <c r="J22" s="66">
        <f>'XM.GUI MAIL'!K49</f>
        <v>0.60526315789473473</v>
      </c>
      <c r="K22" s="67" t="s">
        <v>10</v>
      </c>
      <c r="L22" s="93" t="str">
        <f>'XM.GUI MAIL'!N49</f>
        <v/>
      </c>
      <c r="M22" s="65" t="s">
        <v>8</v>
      </c>
      <c r="N22" s="66" t="str">
        <f>'XM.GUI MAIL'!Q49</f>
        <v/>
      </c>
      <c r="O22" s="67" t="s">
        <v>10</v>
      </c>
      <c r="P22" s="93" t="str">
        <f>'XM.GUI MAIL'!T49</f>
        <v/>
      </c>
      <c r="Q22" s="65" t="s">
        <v>8</v>
      </c>
      <c r="R22" s="66" t="str">
        <f>'XM.GUI MAIL'!W49</f>
        <v/>
      </c>
      <c r="S22" s="67" t="s">
        <v>10</v>
      </c>
      <c r="T22" s="316"/>
    </row>
    <row r="23" spans="1:20" ht="31.5" customHeight="1">
      <c r="A23" s="2061"/>
      <c r="B23" s="2052"/>
      <c r="C23" s="2053"/>
      <c r="D23" s="2053"/>
      <c r="E23" s="2054"/>
      <c r="F23" s="1203" t="s">
        <v>5</v>
      </c>
      <c r="G23" s="1168" t="str">
        <f>'XM.GUI MAIL'!$E$50</f>
        <v>1.8~2.4
(2.1±0.1 )</v>
      </c>
      <c r="H23" s="93">
        <f>'XM.GUI MAIL'!H50</f>
        <v>1.84</v>
      </c>
      <c r="I23" s="65"/>
      <c r="J23" s="66"/>
      <c r="K23" s="67"/>
      <c r="L23" s="93">
        <f>'XM.GUI MAIL'!N50</f>
        <v>0</v>
      </c>
      <c r="M23" s="65"/>
      <c r="N23" s="66"/>
      <c r="O23" s="67"/>
      <c r="P23" s="93">
        <f>'XM.GUI MAIL'!T50</f>
        <v>0</v>
      </c>
      <c r="Q23" s="65"/>
      <c r="R23" s="66">
        <f>'XM.GUI MAIL'!W50</f>
        <v>0</v>
      </c>
      <c r="S23" s="67"/>
      <c r="T23" s="316"/>
    </row>
    <row r="24" spans="1:20" ht="33.75" customHeight="1">
      <c r="A24" s="1203"/>
      <c r="B24" s="298"/>
      <c r="C24" s="299"/>
      <c r="D24" s="299"/>
      <c r="E24" s="299"/>
      <c r="F24" s="299"/>
      <c r="G24" s="301" t="s">
        <v>117</v>
      </c>
      <c r="H24" s="299"/>
      <c r="I24" s="299"/>
      <c r="J24" s="299"/>
      <c r="K24" s="299"/>
      <c r="L24" s="299"/>
      <c r="M24" s="299"/>
      <c r="N24" s="299"/>
      <c r="O24" s="299"/>
      <c r="P24" s="299"/>
      <c r="Q24" s="299"/>
      <c r="R24" s="299"/>
      <c r="S24" s="299"/>
      <c r="T24" s="300"/>
    </row>
    <row r="25" spans="1:20" ht="33.75" customHeight="1">
      <c r="A25" s="1192" t="s">
        <v>7</v>
      </c>
      <c r="B25" s="2037" t="s">
        <v>64</v>
      </c>
      <c r="C25" s="2059"/>
      <c r="D25" s="2059"/>
      <c r="E25" s="2038"/>
      <c r="F25" s="1196" t="s">
        <v>66</v>
      </c>
      <c r="G25" s="1196" t="s">
        <v>67</v>
      </c>
      <c r="H25" s="2074" t="s">
        <v>48</v>
      </c>
      <c r="I25" s="2075"/>
      <c r="J25" s="2074" t="s">
        <v>65</v>
      </c>
      <c r="K25" s="2075"/>
      <c r="L25" s="2074" t="s">
        <v>48</v>
      </c>
      <c r="M25" s="2075"/>
      <c r="N25" s="2074" t="s">
        <v>65</v>
      </c>
      <c r="O25" s="2075"/>
      <c r="P25" s="2074" t="s">
        <v>48</v>
      </c>
      <c r="Q25" s="2075"/>
      <c r="R25" s="2074" t="s">
        <v>65</v>
      </c>
      <c r="S25" s="2075"/>
      <c r="T25" s="1193"/>
    </row>
    <row r="26" spans="1:20" ht="37.5" customHeight="1">
      <c r="A26" s="1192">
        <v>1</v>
      </c>
      <c r="B26" s="2037" t="s">
        <v>68</v>
      </c>
      <c r="C26" s="2059"/>
      <c r="D26" s="2059"/>
      <c r="E26" s="2038"/>
      <c r="F26" s="22" t="s">
        <v>113</v>
      </c>
      <c r="G26" s="1169" t="str">
        <f>'XM.GUI MAIL'!$E$53</f>
        <v>50~70ºC
(60±3OC)</v>
      </c>
      <c r="H26" s="1869">
        <f>'XM.GUI MAIL'!H53</f>
        <v>63</v>
      </c>
      <c r="I26" s="1869"/>
      <c r="J26" s="1869">
        <f>'XM.GUI MAIL'!K53</f>
        <v>64</v>
      </c>
      <c r="K26" s="1869"/>
      <c r="L26" s="1869">
        <f>'XM.GUI MAIL'!N53</f>
        <v>64</v>
      </c>
      <c r="M26" s="1869"/>
      <c r="N26" s="1869">
        <f>'XM.GUI MAIL'!Q53</f>
        <v>65</v>
      </c>
      <c r="O26" s="1869"/>
      <c r="P26" s="1869">
        <f>'XM.GUI MAIL'!T53</f>
        <v>64</v>
      </c>
      <c r="Q26" s="1869"/>
      <c r="R26" s="1869">
        <f>'XM.GUI MAIL'!W53</f>
        <v>66</v>
      </c>
      <c r="S26" s="1869"/>
      <c r="T26" s="21"/>
    </row>
    <row r="27" spans="1:20" ht="37.5" customHeight="1">
      <c r="A27" s="1192">
        <v>2</v>
      </c>
      <c r="B27" s="2037" t="s">
        <v>69</v>
      </c>
      <c r="C27" s="2059" t="s">
        <v>69</v>
      </c>
      <c r="D27" s="2059" t="s">
        <v>69</v>
      </c>
      <c r="E27" s="2038" t="s">
        <v>69</v>
      </c>
      <c r="F27" s="22" t="s">
        <v>113</v>
      </c>
      <c r="G27" s="1169" t="str">
        <f>'XM.GUI MAIL'!$E$54</f>
        <v>50~70ºC
(60±3OC)</v>
      </c>
      <c r="H27" s="1869">
        <f>'XM.GUI MAIL'!H54</f>
        <v>62</v>
      </c>
      <c r="I27" s="1869"/>
      <c r="J27" s="1869">
        <f>'XM.GUI MAIL'!K54</f>
        <v>63</v>
      </c>
      <c r="K27" s="1869"/>
      <c r="L27" s="1869">
        <f>'XM.GUI MAIL'!N54</f>
        <v>63</v>
      </c>
      <c r="M27" s="1869"/>
      <c r="N27" s="1869">
        <f>'XM.GUI MAIL'!Q54</f>
        <v>64</v>
      </c>
      <c r="O27" s="1869"/>
      <c r="P27" s="1869">
        <f>'XM.GUI MAIL'!T54</f>
        <v>62</v>
      </c>
      <c r="Q27" s="1869"/>
      <c r="R27" s="1869">
        <f>'XM.GUI MAIL'!W54</f>
        <v>64</v>
      </c>
      <c r="S27" s="1869"/>
      <c r="T27" s="21"/>
    </row>
    <row r="28" spans="1:20" ht="37.5" customHeight="1">
      <c r="A28" s="1192">
        <v>3</v>
      </c>
      <c r="B28" s="2037" t="s">
        <v>71</v>
      </c>
      <c r="C28" s="2059" t="s">
        <v>71</v>
      </c>
      <c r="D28" s="2059" t="s">
        <v>71</v>
      </c>
      <c r="E28" s="2038" t="s">
        <v>71</v>
      </c>
      <c r="F28" s="22" t="s">
        <v>113</v>
      </c>
      <c r="G28" s="1169" t="str">
        <f>'XM.GUI MAIL'!$E$55</f>
        <v>50~70ºC
(60±3OC)</v>
      </c>
      <c r="H28" s="1869">
        <f>'XM.GUI MAIL'!H55</f>
        <v>55</v>
      </c>
      <c r="I28" s="1869"/>
      <c r="J28" s="1869">
        <f>'XM.GUI MAIL'!K55</f>
        <v>54</v>
      </c>
      <c r="K28" s="1869"/>
      <c r="L28" s="1869">
        <f>'XM.GUI MAIL'!N55</f>
        <v>60</v>
      </c>
      <c r="M28" s="1869"/>
      <c r="N28" s="1869">
        <f>'XM.GUI MAIL'!Q55</f>
        <v>61</v>
      </c>
      <c r="O28" s="1869"/>
      <c r="P28" s="1869">
        <f>'XM.GUI MAIL'!T55</f>
        <v>60</v>
      </c>
      <c r="Q28" s="1869"/>
      <c r="R28" s="1869">
        <f>'XM.GUI MAIL'!W55</f>
        <v>59</v>
      </c>
      <c r="S28" s="1869"/>
      <c r="T28" s="21"/>
    </row>
    <row r="29" spans="1:20" ht="37.5" customHeight="1">
      <c r="A29" s="1192">
        <v>4</v>
      </c>
      <c r="B29" s="2037" t="s">
        <v>70</v>
      </c>
      <c r="C29" s="2059" t="s">
        <v>70</v>
      </c>
      <c r="D29" s="2059" t="s">
        <v>70</v>
      </c>
      <c r="E29" s="2038" t="s">
        <v>70</v>
      </c>
      <c r="F29" s="22" t="s">
        <v>113</v>
      </c>
      <c r="G29" s="1169" t="str">
        <f>'XM.GUI MAIL'!$E$56</f>
        <v>50~70ºC
(60±3OC)</v>
      </c>
      <c r="H29" s="1869">
        <f>'XM.GUI MAIL'!H56</f>
        <v>54</v>
      </c>
      <c r="I29" s="1869"/>
      <c r="J29" s="1869">
        <f>'XM.GUI MAIL'!K56</f>
        <v>53</v>
      </c>
      <c r="K29" s="1869"/>
      <c r="L29" s="1869">
        <f>'XM.GUI MAIL'!N56</f>
        <v>51</v>
      </c>
      <c r="M29" s="1869"/>
      <c r="N29" s="1869">
        <f>'XM.GUI MAIL'!Q56</f>
        <v>50</v>
      </c>
      <c r="O29" s="1869"/>
      <c r="P29" s="1869">
        <f>'XM.GUI MAIL'!T56</f>
        <v>51</v>
      </c>
      <c r="Q29" s="1869"/>
      <c r="R29" s="1869">
        <f>'XM.GUI MAIL'!W56</f>
        <v>50</v>
      </c>
      <c r="S29" s="1869"/>
      <c r="T29" s="21"/>
    </row>
    <row r="30" spans="1:20" ht="37.5" customHeight="1">
      <c r="A30" s="1192">
        <v>5</v>
      </c>
      <c r="B30" s="2037" t="s">
        <v>72</v>
      </c>
      <c r="C30" s="2059" t="s">
        <v>72</v>
      </c>
      <c r="D30" s="2059" t="s">
        <v>72</v>
      </c>
      <c r="E30" s="2038" t="s">
        <v>72</v>
      </c>
      <c r="F30" s="22" t="s">
        <v>113</v>
      </c>
      <c r="G30" s="1169" t="str">
        <f>'XM.GUI MAIL'!$E$57</f>
        <v>22~30ºC
(24±1OC)</v>
      </c>
      <c r="H30" s="1869">
        <f>'XM.GUI MAIL'!H57</f>
        <v>26</v>
      </c>
      <c r="I30" s="1869"/>
      <c r="J30" s="1869">
        <f>'XM.GUI MAIL'!K57</f>
        <v>25</v>
      </c>
      <c r="K30" s="1869"/>
      <c r="L30" s="1869">
        <f>'XM.GUI MAIL'!N57</f>
        <v>28</v>
      </c>
      <c r="M30" s="1869"/>
      <c r="N30" s="1869">
        <f>'XM.GUI MAIL'!Q57</f>
        <v>27</v>
      </c>
      <c r="O30" s="1869"/>
      <c r="P30" s="1869">
        <f>'XM.GUI MAIL'!T57</f>
        <v>28</v>
      </c>
      <c r="Q30" s="1869"/>
      <c r="R30" s="1869">
        <f>'XM.GUI MAIL'!W57</f>
        <v>27</v>
      </c>
      <c r="S30" s="1869"/>
      <c r="T30" s="21"/>
    </row>
    <row r="31" spans="1:20" ht="37.5" customHeight="1">
      <c r="A31" s="1192">
        <v>6</v>
      </c>
      <c r="B31" s="2037" t="s">
        <v>1064</v>
      </c>
      <c r="C31" s="2059" t="s">
        <v>1064</v>
      </c>
      <c r="D31" s="2059" t="s">
        <v>1064</v>
      </c>
      <c r="E31" s="2038" t="s">
        <v>1064</v>
      </c>
      <c r="F31" s="22" t="s">
        <v>113</v>
      </c>
      <c r="G31" s="1169" t="str">
        <f>'XM.GUI MAIL'!$E$58</f>
        <v>30-38ºC
(34±2OC)</v>
      </c>
      <c r="H31" s="1866">
        <f>'XM.GUI MAIL'!H58</f>
        <v>36</v>
      </c>
      <c r="I31" s="1867"/>
      <c r="J31" s="1866">
        <f>'XM.GUI MAIL'!K58</f>
        <v>35</v>
      </c>
      <c r="K31" s="1867"/>
      <c r="L31" s="1866">
        <f>'XM.GUI MAIL'!N58</f>
        <v>37</v>
      </c>
      <c r="M31" s="1867"/>
      <c r="N31" s="1866">
        <f>'XM.GUI MAIL'!Q58</f>
        <v>36</v>
      </c>
      <c r="O31" s="1867"/>
      <c r="P31" s="1866">
        <f>'XM.GUI MAIL'!T58</f>
        <v>37</v>
      </c>
      <c r="Q31" s="1867"/>
      <c r="R31" s="1866">
        <f>'XM.GUI MAIL'!W58</f>
        <v>36</v>
      </c>
      <c r="S31" s="1867"/>
      <c r="T31" s="23"/>
    </row>
    <row r="32" spans="1:20" ht="37.5" customHeight="1">
      <c r="A32" s="1192">
        <v>7</v>
      </c>
      <c r="B32" s="2037" t="s">
        <v>73</v>
      </c>
      <c r="C32" s="2059" t="s">
        <v>73</v>
      </c>
      <c r="D32" s="2059" t="s">
        <v>73</v>
      </c>
      <c r="E32" s="2038" t="s">
        <v>73</v>
      </c>
      <c r="F32" s="22" t="s">
        <v>113</v>
      </c>
      <c r="G32" s="1169" t="str">
        <f>'XM.GUI MAIL'!$E$59</f>
        <v>55~65ºC
(60±3OC)</v>
      </c>
      <c r="H32" s="1866">
        <f>'XM.GUI MAIL'!H59</f>
        <v>62</v>
      </c>
      <c r="I32" s="1867"/>
      <c r="J32" s="1866">
        <f>'XM.GUI MAIL'!K59</f>
        <v>61</v>
      </c>
      <c r="K32" s="1867"/>
      <c r="L32" s="1866">
        <f>'XM.GUI MAIL'!N59</f>
        <v>58</v>
      </c>
      <c r="M32" s="1867"/>
      <c r="N32" s="1866">
        <f>'XM.GUI MAIL'!Q59</f>
        <v>56</v>
      </c>
      <c r="O32" s="1867"/>
      <c r="P32" s="1866">
        <f>'XM.GUI MAIL'!T59</f>
        <v>58</v>
      </c>
      <c r="Q32" s="1867"/>
      <c r="R32" s="1866">
        <f>'XM.GUI MAIL'!W59</f>
        <v>55</v>
      </c>
      <c r="S32" s="1867"/>
      <c r="T32" s="21"/>
    </row>
    <row r="33" spans="1:20" ht="37.5" customHeight="1">
      <c r="A33" s="1192">
        <v>8</v>
      </c>
      <c r="B33" s="1870" t="s">
        <v>74</v>
      </c>
      <c r="C33" s="1871" t="s">
        <v>74</v>
      </c>
      <c r="D33" s="1871" t="s">
        <v>74</v>
      </c>
      <c r="E33" s="1872" t="s">
        <v>74</v>
      </c>
      <c r="F33" s="22" t="s">
        <v>113</v>
      </c>
      <c r="G33" s="1169" t="str">
        <f>'XM.GUI MAIL'!$E$60</f>
        <v>65~75ºC
(70±3OC)</v>
      </c>
      <c r="H33" s="1934" t="s">
        <v>49</v>
      </c>
      <c r="I33" s="1934"/>
      <c r="J33" s="1866">
        <f>'XM.GUI MAIL'!K60</f>
        <v>73</v>
      </c>
      <c r="K33" s="1867"/>
      <c r="L33" s="1934" t="s">
        <v>49</v>
      </c>
      <c r="M33" s="1934"/>
      <c r="N33" s="1866">
        <f>'XM.GUI MAIL'!Q60</f>
        <v>71</v>
      </c>
      <c r="O33" s="1867"/>
      <c r="P33" s="1934" t="s">
        <v>49</v>
      </c>
      <c r="Q33" s="1934"/>
      <c r="R33" s="1866">
        <f>'XM.GUI MAIL'!W60</f>
        <v>71</v>
      </c>
      <c r="S33" s="1867"/>
      <c r="T33" s="21"/>
    </row>
    <row r="34" spans="1:20" ht="30.75" customHeight="1">
      <c r="A34" s="1203"/>
      <c r="B34" s="298"/>
      <c r="C34" s="299"/>
      <c r="D34" s="299"/>
      <c r="E34" s="299"/>
      <c r="F34" s="299"/>
      <c r="G34" s="301" t="s">
        <v>118</v>
      </c>
      <c r="H34" s="299"/>
      <c r="I34" s="299"/>
      <c r="J34" s="299"/>
      <c r="K34" s="299"/>
      <c r="L34" s="299"/>
      <c r="M34" s="299"/>
      <c r="N34" s="299"/>
      <c r="O34" s="299"/>
      <c r="P34" s="299"/>
      <c r="Q34" s="299"/>
      <c r="R34" s="299"/>
      <c r="S34" s="299"/>
      <c r="T34" s="300"/>
    </row>
    <row r="35" spans="1:20" ht="41.25" customHeight="1">
      <c r="A35" s="1192" t="s">
        <v>7</v>
      </c>
      <c r="B35" s="2037" t="s">
        <v>100</v>
      </c>
      <c r="C35" s="2059"/>
      <c r="D35" s="2059"/>
      <c r="E35" s="2038"/>
      <c r="F35" s="1191" t="s">
        <v>101</v>
      </c>
      <c r="G35" s="1196" t="s">
        <v>67</v>
      </c>
      <c r="H35" s="1875" t="s">
        <v>119</v>
      </c>
      <c r="I35" s="1875"/>
      <c r="J35" s="1875"/>
      <c r="K35" s="1875"/>
      <c r="L35" s="1875" t="s">
        <v>119</v>
      </c>
      <c r="M35" s="1875"/>
      <c r="N35" s="1875"/>
      <c r="O35" s="1875"/>
      <c r="P35" s="1875" t="s">
        <v>119</v>
      </c>
      <c r="Q35" s="1875"/>
      <c r="R35" s="1875"/>
      <c r="S35" s="1875"/>
      <c r="T35" s="1193"/>
    </row>
    <row r="36" spans="1:20" ht="39" customHeight="1">
      <c r="A36" s="1203">
        <v>1</v>
      </c>
      <c r="B36" s="2080" t="s">
        <v>261</v>
      </c>
      <c r="C36" s="2081"/>
      <c r="D36" s="2081"/>
      <c r="E36" s="2082"/>
      <c r="F36" s="24" t="s">
        <v>50</v>
      </c>
      <c r="G36" s="311" t="str">
        <f>'XM.GUI MAIL'!$E$62</f>
        <v>100-200</v>
      </c>
      <c r="H36" s="1866">
        <f>'XM.GUI MAIL'!H62</f>
        <v>200</v>
      </c>
      <c r="I36" s="1867"/>
      <c r="J36" s="1867"/>
      <c r="K36" s="1867"/>
      <c r="L36" s="1866">
        <f>'XM.GUI MAIL'!N62</f>
        <v>195</v>
      </c>
      <c r="M36" s="1867"/>
      <c r="N36" s="1867"/>
      <c r="O36" s="1867"/>
      <c r="P36" s="1866">
        <f>'XM.GUI MAIL'!T62</f>
        <v>190</v>
      </c>
      <c r="Q36" s="1867"/>
      <c r="R36" s="1867"/>
      <c r="S36" s="1867"/>
      <c r="T36" s="23"/>
    </row>
    <row r="37" spans="1:20" ht="39" customHeight="1">
      <c r="A37" s="1203">
        <v>2</v>
      </c>
      <c r="B37" s="2080" t="s">
        <v>262</v>
      </c>
      <c r="C37" s="2081"/>
      <c r="D37" s="2081"/>
      <c r="E37" s="2082"/>
      <c r="F37" s="24" t="s">
        <v>50</v>
      </c>
      <c r="G37" s="311" t="str">
        <f>'XM.GUI MAIL'!$E$63</f>
        <v>20-50</v>
      </c>
      <c r="H37" s="1866">
        <f>'XM.GUI MAIL'!H63</f>
        <v>43</v>
      </c>
      <c r="I37" s="1867"/>
      <c r="J37" s="1867"/>
      <c r="K37" s="1867"/>
      <c r="L37" s="1866">
        <f>'XM.GUI MAIL'!N63</f>
        <v>42</v>
      </c>
      <c r="M37" s="1867"/>
      <c r="N37" s="1867"/>
      <c r="O37" s="1867"/>
      <c r="P37" s="1866">
        <f>'XM.GUI MAIL'!S63</f>
        <v>43</v>
      </c>
      <c r="Q37" s="1867"/>
      <c r="R37" s="1867"/>
      <c r="S37" s="1867"/>
      <c r="T37" s="23"/>
    </row>
    <row r="38" spans="1:20" ht="39" customHeight="1">
      <c r="A38" s="472"/>
      <c r="B38" s="698"/>
      <c r="C38" s="698"/>
      <c r="D38" s="698"/>
      <c r="E38" s="698"/>
      <c r="F38" s="1027"/>
      <c r="G38" s="1027"/>
      <c r="H38" s="1027"/>
      <c r="I38" s="1027"/>
      <c r="J38" s="1027"/>
      <c r="K38" s="1027"/>
      <c r="L38" s="1027"/>
      <c r="M38" s="1027"/>
      <c r="N38" s="1027"/>
      <c r="O38" s="1027"/>
      <c r="P38" s="1027"/>
      <c r="Q38" s="1027"/>
      <c r="R38" s="1701"/>
      <c r="S38" s="1701"/>
      <c r="T38" s="1028"/>
    </row>
    <row r="39" spans="1:20" ht="36" customHeight="1">
      <c r="A39" s="2079" t="s">
        <v>613</v>
      </c>
      <c r="B39" s="2079"/>
      <c r="C39" s="2079"/>
      <c r="D39" s="2079"/>
      <c r="E39" s="2079"/>
      <c r="F39" s="2079"/>
      <c r="G39" s="2079"/>
      <c r="H39" s="2079"/>
      <c r="I39" s="2079"/>
      <c r="J39" s="2079"/>
      <c r="K39" s="2079"/>
      <c r="L39" s="2079"/>
      <c r="M39" s="2079"/>
      <c r="N39" s="2079"/>
      <c r="O39" s="2079"/>
      <c r="P39" s="2079"/>
      <c r="Q39" s="2079"/>
      <c r="R39" s="1172"/>
      <c r="S39" s="1172"/>
      <c r="T39" s="1172"/>
    </row>
    <row r="40" spans="1:20" ht="46.5" customHeight="1">
      <c r="A40" s="1889" t="s">
        <v>239</v>
      </c>
      <c r="B40" s="1889"/>
      <c r="C40" s="1889"/>
      <c r="D40" s="1889"/>
      <c r="E40" s="1889"/>
      <c r="F40" s="1889"/>
      <c r="G40" s="1889"/>
      <c r="H40" s="1889"/>
      <c r="I40" s="1889"/>
      <c r="J40" s="1889"/>
      <c r="K40" s="1889"/>
      <c r="L40" s="1889"/>
      <c r="M40" s="1889"/>
      <c r="N40" s="1889"/>
      <c r="O40" s="1889"/>
      <c r="P40" s="1889"/>
      <c r="Q40" s="1890"/>
      <c r="R40" s="2025" t="s">
        <v>96</v>
      </c>
      <c r="S40" s="1923"/>
      <c r="T40" s="1191" t="s">
        <v>97</v>
      </c>
    </row>
    <row r="41" spans="1:20" ht="26.25" customHeight="1">
      <c r="A41" s="60"/>
      <c r="B41" s="2083" t="s">
        <v>235</v>
      </c>
      <c r="C41" s="2083"/>
      <c r="D41" s="2083"/>
      <c r="E41" s="26"/>
      <c r="F41" s="61"/>
      <c r="G41" s="235" t="str">
        <f>'1. XL-1E kh'!$G$3</f>
        <v>2022/12/03</v>
      </c>
      <c r="H41" s="27"/>
      <c r="I41" s="27"/>
      <c r="J41" s="27"/>
      <c r="K41" s="28"/>
      <c r="L41" s="58"/>
      <c r="M41" s="58"/>
      <c r="N41" s="58"/>
      <c r="Q41" s="58"/>
      <c r="R41" s="2046" t="str">
        <f>MENU!AD7</f>
        <v>Trang</v>
      </c>
      <c r="S41" s="2047"/>
      <c r="T41" s="3" t="s">
        <v>11</v>
      </c>
    </row>
    <row r="42" spans="1:20" s="62" customFormat="1" ht="35.25" customHeight="1">
      <c r="A42" s="2056" t="s">
        <v>7</v>
      </c>
      <c r="B42" s="2049" t="s">
        <v>79</v>
      </c>
      <c r="C42" s="2050"/>
      <c r="D42" s="2050"/>
      <c r="E42" s="2051"/>
      <c r="F42" s="2055" t="s">
        <v>137</v>
      </c>
      <c r="G42" s="2057" t="s">
        <v>67</v>
      </c>
      <c r="H42" s="1921">
        <v>0.76041666666666663</v>
      </c>
      <c r="I42" s="1922"/>
      <c r="J42" s="1922"/>
      <c r="K42" s="1923"/>
      <c r="L42" s="1921">
        <v>0.92708333333333337</v>
      </c>
      <c r="M42" s="1922"/>
      <c r="N42" s="1922"/>
      <c r="O42" s="1923"/>
      <c r="P42" s="1921">
        <v>9.375E-2</v>
      </c>
      <c r="Q42" s="1922"/>
      <c r="R42" s="1922"/>
      <c r="S42" s="1923"/>
      <c r="T42" s="1970" t="s">
        <v>98</v>
      </c>
    </row>
    <row r="43" spans="1:20" s="62" customFormat="1" ht="30" customHeight="1">
      <c r="A43" s="2056"/>
      <c r="B43" s="2052"/>
      <c r="C43" s="2053"/>
      <c r="D43" s="2053"/>
      <c r="E43" s="2054"/>
      <c r="F43" s="2056"/>
      <c r="G43" s="2058"/>
      <c r="H43" s="63" t="s">
        <v>146</v>
      </c>
      <c r="I43" s="1927" t="s">
        <v>1</v>
      </c>
      <c r="J43" s="1928"/>
      <c r="K43" s="1929"/>
      <c r="L43" s="63" t="s">
        <v>146</v>
      </c>
      <c r="M43" s="1927" t="s">
        <v>1</v>
      </c>
      <c r="N43" s="1928"/>
      <c r="O43" s="1929"/>
      <c r="P43" s="63" t="s">
        <v>146</v>
      </c>
      <c r="Q43" s="1927" t="s">
        <v>1</v>
      </c>
      <c r="R43" s="1928"/>
      <c r="S43" s="1929"/>
      <c r="T43" s="1971"/>
    </row>
    <row r="44" spans="1:20" ht="34.5" customHeight="1">
      <c r="A44" s="2060">
        <v>1</v>
      </c>
      <c r="B44" s="2049" t="s">
        <v>148</v>
      </c>
      <c r="C44" s="2065"/>
      <c r="D44" s="2044" t="s">
        <v>266</v>
      </c>
      <c r="E44" s="2045"/>
      <c r="F44" s="1203" t="s">
        <v>4</v>
      </c>
      <c r="G44" s="1025" t="str">
        <f>'XM.GUI MAIL'!$E$37</f>
        <v>60~80g/L
(70±5g/L)</v>
      </c>
      <c r="H44" s="64">
        <f>'XM.GUI MAIL'!Z37</f>
        <v>72.039000000000001</v>
      </c>
      <c r="I44" s="65" t="s">
        <v>8</v>
      </c>
      <c r="J44" s="66">
        <f>'XM.GUI MAIL'!AC37</f>
        <v>0</v>
      </c>
      <c r="K44" s="67" t="s">
        <v>9</v>
      </c>
      <c r="L44" s="64">
        <f>'XM.GUI MAIL'!AF37</f>
        <v>0</v>
      </c>
      <c r="M44" s="65" t="s">
        <v>8</v>
      </c>
      <c r="N44" s="66">
        <f>'XM.GUI MAIL'!AI37</f>
        <v>188.51</v>
      </c>
      <c r="O44" s="67" t="s">
        <v>9</v>
      </c>
      <c r="P44" s="64">
        <f>'XM.GUI MAIL'!AL37</f>
        <v>71.39</v>
      </c>
      <c r="Q44" s="65" t="s">
        <v>8</v>
      </c>
      <c r="R44" s="66">
        <f>'XM.GUI MAIL'!AO37</f>
        <v>0</v>
      </c>
      <c r="S44" s="67" t="s">
        <v>9</v>
      </c>
      <c r="T44" s="316" t="s">
        <v>12</v>
      </c>
    </row>
    <row r="45" spans="1:20" ht="34.5" customHeight="1">
      <c r="A45" s="2076"/>
      <c r="B45" s="2066"/>
      <c r="C45" s="2067"/>
      <c r="D45" s="2044" t="s">
        <v>267</v>
      </c>
      <c r="E45" s="2045"/>
      <c r="F45" s="1173"/>
      <c r="G45" s="1025" t="s">
        <v>1022</v>
      </c>
      <c r="H45" s="64"/>
      <c r="I45" s="65"/>
      <c r="J45" s="68">
        <f>J44/25*7.5</f>
        <v>0</v>
      </c>
      <c r="K45" s="67" t="s">
        <v>10</v>
      </c>
      <c r="L45" s="64"/>
      <c r="M45" s="65"/>
      <c r="N45" s="68">
        <f>N44/25*7.5</f>
        <v>56.552999999999997</v>
      </c>
      <c r="O45" s="67" t="s">
        <v>10</v>
      </c>
      <c r="P45" s="64"/>
      <c r="Q45" s="65"/>
      <c r="R45" s="68">
        <f>R44/25*7.5</f>
        <v>0</v>
      </c>
      <c r="S45" s="67" t="s">
        <v>10</v>
      </c>
      <c r="T45" s="21"/>
    </row>
    <row r="46" spans="1:20" ht="34.5" customHeight="1">
      <c r="A46" s="2060">
        <v>2</v>
      </c>
      <c r="B46" s="2049" t="s">
        <v>149</v>
      </c>
      <c r="C46" s="2065"/>
      <c r="D46" s="2044" t="s">
        <v>266</v>
      </c>
      <c r="E46" s="2045"/>
      <c r="F46" s="1203" t="s">
        <v>4</v>
      </c>
      <c r="G46" s="1025" t="str">
        <f>'XM.GUI MAIL'!$E$38</f>
        <v>60~80g/L
(70±5g/L)</v>
      </c>
      <c r="H46" s="64">
        <f>'XM.GUI MAIL'!Z38</f>
        <v>81.125</v>
      </c>
      <c r="I46" s="65" t="s">
        <v>8</v>
      </c>
      <c r="J46" s="66">
        <f>'XM.GUI MAIL'!AC38</f>
        <v>0</v>
      </c>
      <c r="K46" s="67" t="s">
        <v>9</v>
      </c>
      <c r="L46" s="64">
        <f>'XM.GUI MAIL'!AF38</f>
        <v>0</v>
      </c>
      <c r="M46" s="65" t="s">
        <v>8</v>
      </c>
      <c r="N46" s="66">
        <f>'XM.GUI MAIL'!AI38</f>
        <v>231.35</v>
      </c>
      <c r="O46" s="67" t="s">
        <v>9</v>
      </c>
      <c r="P46" s="64">
        <f>'XM.GUI MAIL'!AL38</f>
        <v>80.475999999999999</v>
      </c>
      <c r="Q46" s="65" t="s">
        <v>8</v>
      </c>
      <c r="R46" s="66">
        <f>'XM.GUI MAIL'!AO38</f>
        <v>0</v>
      </c>
      <c r="S46" s="67" t="s">
        <v>9</v>
      </c>
      <c r="T46" s="316" t="s">
        <v>12</v>
      </c>
    </row>
    <row r="47" spans="1:20" ht="34.5" customHeight="1">
      <c r="A47" s="2076"/>
      <c r="B47" s="2066"/>
      <c r="C47" s="2067"/>
      <c r="D47" s="2044" t="s">
        <v>267</v>
      </c>
      <c r="E47" s="2045"/>
      <c r="F47" s="1173"/>
      <c r="G47" s="1025" t="s">
        <v>1022</v>
      </c>
      <c r="H47" s="64"/>
      <c r="I47" s="65"/>
      <c r="J47" s="68">
        <f>J46/25*7.5</f>
        <v>0</v>
      </c>
      <c r="K47" s="67" t="s">
        <v>10</v>
      </c>
      <c r="L47" s="64"/>
      <c r="M47" s="65"/>
      <c r="N47" s="68">
        <f>N46/25*7.5</f>
        <v>69.405000000000001</v>
      </c>
      <c r="O47" s="67" t="s">
        <v>10</v>
      </c>
      <c r="P47" s="64"/>
      <c r="Q47" s="65"/>
      <c r="R47" s="68">
        <f>R46/25*7.5</f>
        <v>0</v>
      </c>
      <c r="S47" s="67" t="s">
        <v>10</v>
      </c>
      <c r="T47" s="21"/>
    </row>
    <row r="48" spans="1:20" ht="34.5" customHeight="1">
      <c r="A48" s="2060">
        <v>3</v>
      </c>
      <c r="B48" s="2035" t="s">
        <v>150</v>
      </c>
      <c r="C48" s="2036"/>
      <c r="D48" s="2037" t="s">
        <v>268</v>
      </c>
      <c r="E48" s="2038" t="s">
        <v>268</v>
      </c>
      <c r="F48" s="1203" t="s">
        <v>4</v>
      </c>
      <c r="G48" s="1025" t="str">
        <f>'XM.GUI MAIL'!$E$39</f>
        <v>50~70g/L
(60±5g/L)</v>
      </c>
      <c r="H48" s="64">
        <f>'XM.GUI MAIL'!Z39</f>
        <v>62.370000000000005</v>
      </c>
      <c r="I48" s="65" t="s">
        <v>8</v>
      </c>
      <c r="J48" s="66">
        <f>'XM.GUI MAIL'!AC39</f>
        <v>0</v>
      </c>
      <c r="K48" s="67" t="s">
        <v>9</v>
      </c>
      <c r="L48" s="64">
        <f>'XM.GUI MAIL'!AF39</f>
        <v>0</v>
      </c>
      <c r="M48" s="65" t="s">
        <v>8</v>
      </c>
      <c r="N48" s="66">
        <f>'XM.GUI MAIL'!AI39</f>
        <v>69.36</v>
      </c>
      <c r="O48" s="67" t="s">
        <v>9</v>
      </c>
      <c r="P48" s="64">
        <f>'XM.GUI MAIL'!AL39</f>
        <v>60.983999999999995</v>
      </c>
      <c r="Q48" s="65" t="s">
        <v>8</v>
      </c>
      <c r="R48" s="66">
        <f>'XM.GUI MAIL'!AO39</f>
        <v>0</v>
      </c>
      <c r="S48" s="67" t="s">
        <v>9</v>
      </c>
      <c r="T48" s="316" t="s">
        <v>12</v>
      </c>
    </row>
    <row r="49" spans="1:20" ht="34.5" customHeight="1">
      <c r="A49" s="2061"/>
      <c r="B49" s="2036"/>
      <c r="C49" s="2036"/>
      <c r="D49" s="2037" t="s">
        <v>269</v>
      </c>
      <c r="E49" s="2038" t="s">
        <v>269</v>
      </c>
      <c r="F49" s="1173"/>
      <c r="G49" s="1025" t="s">
        <v>1072</v>
      </c>
      <c r="H49" s="64"/>
      <c r="I49" s="65"/>
      <c r="J49" s="68">
        <f>J48/25*7</f>
        <v>0</v>
      </c>
      <c r="K49" s="67" t="s">
        <v>10</v>
      </c>
      <c r="L49" s="64"/>
      <c r="M49" s="65"/>
      <c r="N49" s="68">
        <f>N48/25*7</f>
        <v>19.4208</v>
      </c>
      <c r="O49" s="67" t="s">
        <v>10</v>
      </c>
      <c r="P49" s="64"/>
      <c r="Q49" s="65"/>
      <c r="R49" s="68">
        <f>R48/25*7</f>
        <v>0</v>
      </c>
      <c r="S49" s="67" t="s">
        <v>10</v>
      </c>
      <c r="T49" s="21"/>
    </row>
    <row r="50" spans="1:20" ht="34.5" customHeight="1">
      <c r="A50" s="2060">
        <v>4</v>
      </c>
      <c r="B50" s="2035" t="s">
        <v>151</v>
      </c>
      <c r="C50" s="2036"/>
      <c r="D50" s="2037" t="s">
        <v>268</v>
      </c>
      <c r="E50" s="2038" t="s">
        <v>268</v>
      </c>
      <c r="F50" s="1203" t="s">
        <v>4</v>
      </c>
      <c r="G50" s="1025" t="str">
        <f>'XM.GUI MAIL'!$E$40</f>
        <v>50~70g/L
(60±5g/L)</v>
      </c>
      <c r="H50" s="64">
        <f>'XM.GUI MAIL'!Z40</f>
        <v>58.211999999999996</v>
      </c>
      <c r="I50" s="65" t="s">
        <v>8</v>
      </c>
      <c r="J50" s="66">
        <f>'XM.GUI MAIL'!AC40</f>
        <v>2.6086920000000053</v>
      </c>
      <c r="K50" s="67" t="s">
        <v>9</v>
      </c>
      <c r="L50" s="64">
        <f>'XM.GUI MAIL'!AF40</f>
        <v>0</v>
      </c>
      <c r="M50" s="65" t="s">
        <v>8</v>
      </c>
      <c r="N50" s="66">
        <f>'XM.GUI MAIL'!AI40</f>
        <v>87.54</v>
      </c>
      <c r="O50" s="67" t="s">
        <v>9</v>
      </c>
      <c r="P50" s="64">
        <f>'XM.GUI MAIL'!AL40</f>
        <v>57.75</v>
      </c>
      <c r="Q50" s="65" t="s">
        <v>8</v>
      </c>
      <c r="R50" s="66">
        <f>'XM.GUI MAIL'!AO40</f>
        <v>3.2827500000000001</v>
      </c>
      <c r="S50" s="67" t="s">
        <v>9</v>
      </c>
      <c r="T50" s="316" t="s">
        <v>12</v>
      </c>
    </row>
    <row r="51" spans="1:20" ht="34.5" customHeight="1">
      <c r="A51" s="2061"/>
      <c r="B51" s="2036"/>
      <c r="C51" s="2036"/>
      <c r="D51" s="2037" t="s">
        <v>269</v>
      </c>
      <c r="E51" s="2038" t="s">
        <v>269</v>
      </c>
      <c r="F51" s="1173"/>
      <c r="G51" s="1025" t="s">
        <v>1072</v>
      </c>
      <c r="H51" s="64"/>
      <c r="I51" s="65"/>
      <c r="J51" s="68">
        <f>J50/25*7</f>
        <v>0.73043376000000149</v>
      </c>
      <c r="K51" s="67" t="s">
        <v>10</v>
      </c>
      <c r="L51" s="64"/>
      <c r="M51" s="65"/>
      <c r="N51" s="68">
        <f>N50/25*7</f>
        <v>24.511200000000002</v>
      </c>
      <c r="O51" s="67" t="s">
        <v>10</v>
      </c>
      <c r="P51" s="64"/>
      <c r="Q51" s="65"/>
      <c r="R51" s="68">
        <f>R50/25*7</f>
        <v>0.91917000000000004</v>
      </c>
      <c r="S51" s="67" t="s">
        <v>10</v>
      </c>
      <c r="T51" s="21"/>
    </row>
    <row r="52" spans="1:20" ht="34.5" customHeight="1">
      <c r="A52" s="1203">
        <v>5</v>
      </c>
      <c r="B52" s="2037" t="s">
        <v>82</v>
      </c>
      <c r="C52" s="2059"/>
      <c r="D52" s="2059"/>
      <c r="E52" s="2038"/>
      <c r="F52" s="1203" t="s">
        <v>4</v>
      </c>
      <c r="G52" s="1168" t="str">
        <f>'XM.GUI MAIL'!$E$41</f>
        <v>130 - 150g/L
(140±10g/L)</v>
      </c>
      <c r="H52" s="64">
        <f>'XM.GUI MAIL'!Z41</f>
        <v>140</v>
      </c>
      <c r="I52" s="65" t="s">
        <v>8</v>
      </c>
      <c r="J52" s="66">
        <f>'XM.GUI MAIL'!AC41</f>
        <v>0</v>
      </c>
      <c r="K52" s="67" t="s">
        <v>9</v>
      </c>
      <c r="L52" s="64">
        <f>'XM.GUI MAIL'!AF41</f>
        <v>0</v>
      </c>
      <c r="M52" s="65" t="s">
        <v>8</v>
      </c>
      <c r="N52" s="66">
        <f>'XM.GUI MAIL'!AI41</f>
        <v>2793.14</v>
      </c>
      <c r="O52" s="67" t="s">
        <v>9</v>
      </c>
      <c r="P52" s="64">
        <f>'XM.GUI MAIL'!AL41</f>
        <v>140</v>
      </c>
      <c r="Q52" s="65" t="s">
        <v>8</v>
      </c>
      <c r="R52" s="66">
        <f>'XM.GUI MAIL'!AO41</f>
        <v>0</v>
      </c>
      <c r="S52" s="67" t="s">
        <v>9</v>
      </c>
      <c r="T52" s="316" t="s">
        <v>13</v>
      </c>
    </row>
    <row r="53" spans="1:20" ht="34.5" customHeight="1">
      <c r="A53" s="1203">
        <v>6</v>
      </c>
      <c r="B53" s="2037" t="s">
        <v>60</v>
      </c>
      <c r="C53" s="2059"/>
      <c r="D53" s="2059"/>
      <c r="E53" s="2038"/>
      <c r="F53" s="1203" t="s">
        <v>4</v>
      </c>
      <c r="G53" s="1168" t="str">
        <f>'XM.GUI MAIL'!$E$42</f>
        <v>8-12g/l
(10±1g/l)</v>
      </c>
      <c r="H53" s="64">
        <f>'XM.GUI MAIL'!Z42</f>
        <v>8.4500000000000011</v>
      </c>
      <c r="I53" s="18" t="s">
        <v>8</v>
      </c>
      <c r="J53" s="29">
        <f>'XM.GUI MAIL'!AC42</f>
        <v>30.924049999999976</v>
      </c>
      <c r="K53" s="67" t="s">
        <v>9</v>
      </c>
      <c r="L53" s="64">
        <f>'XM.GUI MAIL'!AF42</f>
        <v>0</v>
      </c>
      <c r="M53" s="65" t="s">
        <v>8</v>
      </c>
      <c r="N53" s="66">
        <f>'XM.GUI MAIL'!AI42</f>
        <v>199.51</v>
      </c>
      <c r="O53" s="67" t="s">
        <v>9</v>
      </c>
      <c r="P53" s="64">
        <f>'XM.GUI MAIL'!AL42</f>
        <v>8.4500000000000011</v>
      </c>
      <c r="Q53" s="65" t="s">
        <v>8</v>
      </c>
      <c r="R53" s="66">
        <f>'XM.GUI MAIL'!AO42</f>
        <v>30.924049999999976</v>
      </c>
      <c r="S53" s="67" t="s">
        <v>9</v>
      </c>
      <c r="T53" s="316" t="s">
        <v>14</v>
      </c>
    </row>
    <row r="54" spans="1:20" ht="34.5" customHeight="1">
      <c r="A54" s="2060">
        <v>7</v>
      </c>
      <c r="B54" s="2049" t="s">
        <v>1063</v>
      </c>
      <c r="C54" s="2050"/>
      <c r="D54" s="2050"/>
      <c r="E54" s="2051"/>
      <c r="F54" s="1203" t="s">
        <v>3</v>
      </c>
      <c r="G54" s="1168" t="str">
        <f>'XM.GUI MAIL'!$E$43</f>
        <v>6~10 %
(8±0.5%)</v>
      </c>
      <c r="H54" s="64">
        <f>'XM.GUI MAIL'!Z43</f>
        <v>4.1230399999999996</v>
      </c>
      <c r="I54" s="18" t="s">
        <v>8</v>
      </c>
      <c r="J54" s="29">
        <f>'XM.GUI MAIL'!AC43</f>
        <v>22.292520000000003</v>
      </c>
      <c r="K54" s="19" t="s">
        <v>10</v>
      </c>
      <c r="L54" s="64">
        <f>'XM.GUI MAIL'!AF43</f>
        <v>-1.0461</v>
      </c>
      <c r="M54" s="18" t="s">
        <v>8</v>
      </c>
      <c r="N54" s="29">
        <f>'XM.GUI MAIL'!AI43</f>
        <v>52.015074999999996</v>
      </c>
      <c r="O54" s="19" t="s">
        <v>10</v>
      </c>
      <c r="P54" s="64">
        <f>'XM.GUI MAIL'!AL43</f>
        <v>4.5467399999999998</v>
      </c>
      <c r="Q54" s="65" t="s">
        <v>8</v>
      </c>
      <c r="R54" s="66">
        <f>'XM.GUI MAIL'!AO43</f>
        <v>19.856245000000001</v>
      </c>
      <c r="S54" s="67" t="s">
        <v>10</v>
      </c>
      <c r="T54" s="316"/>
    </row>
    <row r="55" spans="1:20" ht="34.5" customHeight="1">
      <c r="A55" s="2061"/>
      <c r="B55" s="2052"/>
      <c r="C55" s="2077"/>
      <c r="D55" s="2077"/>
      <c r="E55" s="2078"/>
      <c r="F55" s="1203" t="s">
        <v>5</v>
      </c>
      <c r="G55" s="1168" t="str">
        <f>'XM.GUI MAIL'!$E$44</f>
        <v>2~2.5(2.3±0.1 )</v>
      </c>
      <c r="H55" s="70">
        <f>'XM.GUI MAIL'!Z44</f>
        <v>2.4</v>
      </c>
      <c r="I55" s="6"/>
      <c r="J55" s="29">
        <f>'XM.GUI MAIL'!AC44</f>
        <v>0</v>
      </c>
      <c r="K55" s="7"/>
      <c r="L55" s="70">
        <f>'XM.GUI MAIL'!AF44</f>
        <v>0</v>
      </c>
      <c r="M55" s="6"/>
      <c r="N55" s="29">
        <f>'XM.GUI MAIL'!AI44</f>
        <v>0</v>
      </c>
      <c r="O55" s="7"/>
      <c r="P55" s="70">
        <f>'XM.GUI MAIL'!AL44</f>
        <v>2.35</v>
      </c>
      <c r="Q55" s="65"/>
      <c r="R55" s="66">
        <f>'XM.GUI MAIL'!AO44</f>
        <v>0</v>
      </c>
      <c r="S55" s="67"/>
      <c r="T55" s="21"/>
    </row>
    <row r="56" spans="1:20" ht="34.5" customHeight="1">
      <c r="A56" s="1203">
        <v>8</v>
      </c>
      <c r="B56" s="2037" t="s">
        <v>61</v>
      </c>
      <c r="C56" s="2059"/>
      <c r="D56" s="2059"/>
      <c r="E56" s="2038"/>
      <c r="F56" s="1192" t="s">
        <v>6</v>
      </c>
      <c r="G56" s="1168" t="str">
        <f>'XM.GUI MAIL'!$E$45</f>
        <v>30~60 %V/V
(45±5% V/V)</v>
      </c>
      <c r="H56" s="71">
        <f>'XM.GUI MAIL'!Z45</f>
        <v>0.46765624999999994</v>
      </c>
      <c r="I56" s="65" t="s">
        <v>8</v>
      </c>
      <c r="J56" s="66">
        <f>'XM.GUI MAIL'!AC45</f>
        <v>0</v>
      </c>
      <c r="K56" s="67" t="s">
        <v>10</v>
      </c>
      <c r="L56" s="71">
        <f>'XM.GUI MAIL'!AF45</f>
        <v>0</v>
      </c>
      <c r="M56" s="65" t="s">
        <v>8</v>
      </c>
      <c r="N56" s="66">
        <f>'XM.GUI MAIL'!AI45</f>
        <v>954.9</v>
      </c>
      <c r="O56" s="67" t="s">
        <v>10</v>
      </c>
      <c r="P56" s="71">
        <f>'XM.GUI MAIL'!AL45</f>
        <v>0.45624999999999999</v>
      </c>
      <c r="Q56" s="65" t="s">
        <v>8</v>
      </c>
      <c r="R56" s="66">
        <f>'XM.GUI MAIL'!AO45</f>
        <v>0</v>
      </c>
      <c r="S56" s="67" t="s">
        <v>10</v>
      </c>
      <c r="T56" s="316" t="s">
        <v>15</v>
      </c>
    </row>
    <row r="57" spans="1:20" ht="34.5" customHeight="1">
      <c r="A57" s="1203">
        <v>9</v>
      </c>
      <c r="B57" s="2037" t="s">
        <v>62</v>
      </c>
      <c r="C57" s="2059"/>
      <c r="D57" s="2059"/>
      <c r="E57" s="2038"/>
      <c r="F57" s="1192" t="s">
        <v>6</v>
      </c>
      <c r="G57" s="1168" t="str">
        <f>'XM.GUI MAIL'!$E$46</f>
        <v>15~30 %V/V
(22±5 V/V)</v>
      </c>
      <c r="H57" s="71">
        <f>'XM.GUI MAIL'!Z46</f>
        <v>0.26234374999999999</v>
      </c>
      <c r="I57" s="65" t="s">
        <v>8</v>
      </c>
      <c r="J57" s="66">
        <f>'XM.GUI MAIL'!AC46</f>
        <v>0</v>
      </c>
      <c r="K57" s="67" t="s">
        <v>10</v>
      </c>
      <c r="L57" s="71">
        <f>'XM.GUI MAIL'!AF46</f>
        <v>0</v>
      </c>
      <c r="M57" s="65" t="s">
        <v>8</v>
      </c>
      <c r="N57" s="66">
        <f>'XM.GUI MAIL'!AI46</f>
        <v>134.64000000000001</v>
      </c>
      <c r="O57" s="67" t="s">
        <v>10</v>
      </c>
      <c r="P57" s="71">
        <f>'XM.GUI MAIL'!AL46</f>
        <v>0.25093750000000004</v>
      </c>
      <c r="Q57" s="65" t="s">
        <v>8</v>
      </c>
      <c r="R57" s="66">
        <f>'XM.GUI MAIL'!AO46</f>
        <v>0</v>
      </c>
      <c r="S57" s="67" t="s">
        <v>10</v>
      </c>
      <c r="T57" s="316" t="s">
        <v>15</v>
      </c>
    </row>
    <row r="58" spans="1:20" ht="34.5" customHeight="1">
      <c r="A58" s="1203">
        <v>11</v>
      </c>
      <c r="B58" s="2037" t="s">
        <v>116</v>
      </c>
      <c r="C58" s="2059"/>
      <c r="D58" s="2059"/>
      <c r="E58" s="2038"/>
      <c r="F58" s="1192" t="s">
        <v>6</v>
      </c>
      <c r="G58" s="1168" t="str">
        <f>'XM.GUI MAIL'!$E$47</f>
        <v>5~15 %V/V
(10±3% V/V)</v>
      </c>
      <c r="H58" s="71">
        <f>'XM.GUI MAIL'!Z47</f>
        <v>0.12090624999999999</v>
      </c>
      <c r="I58" s="18" t="s">
        <v>8</v>
      </c>
      <c r="J58" s="29">
        <f>'XM.GUI MAIL'!AC47</f>
        <v>0</v>
      </c>
      <c r="K58" s="19" t="s">
        <v>10</v>
      </c>
      <c r="L58" s="71">
        <f>'XM.GUI MAIL'!AF47</f>
        <v>0</v>
      </c>
      <c r="M58" s="18" t="s">
        <v>8</v>
      </c>
      <c r="N58" s="29">
        <f>'XM.GUI MAIL'!AI47</f>
        <v>57.5</v>
      </c>
      <c r="O58" s="19" t="s">
        <v>10</v>
      </c>
      <c r="P58" s="71">
        <f>'XM.GUI MAIL'!AL47</f>
        <v>0.1140625</v>
      </c>
      <c r="Q58" s="65" t="s">
        <v>8</v>
      </c>
      <c r="R58" s="66">
        <f>'XM.GUI MAIL'!AO47</f>
        <v>0</v>
      </c>
      <c r="S58" s="67" t="s">
        <v>10</v>
      </c>
      <c r="T58" s="316" t="s">
        <v>16</v>
      </c>
    </row>
    <row r="59" spans="1:20" ht="34.5" customHeight="1">
      <c r="A59" s="1203">
        <v>12</v>
      </c>
      <c r="B59" s="2037" t="s">
        <v>115</v>
      </c>
      <c r="C59" s="2059"/>
      <c r="D59" s="2059"/>
      <c r="E59" s="2038"/>
      <c r="F59" s="1192" t="s">
        <v>3</v>
      </c>
      <c r="G59" s="1168" t="str">
        <f>'XM.GUI MAIL'!$E$48</f>
        <v>0.5~1.5%
(1±0.2%)</v>
      </c>
      <c r="H59" s="72">
        <f>'XM.GUI MAIL'!Z48</f>
        <v>1.1341800000000003E-2</v>
      </c>
      <c r="I59" s="65" t="s">
        <v>8</v>
      </c>
      <c r="J59" s="68">
        <f>'XM.GUI MAIL'!AC48</f>
        <v>0</v>
      </c>
      <c r="K59" s="67" t="s">
        <v>10</v>
      </c>
      <c r="L59" s="72">
        <f>'XM.GUI MAIL'!AF48</f>
        <v>0</v>
      </c>
      <c r="M59" s="65" t="s">
        <v>8</v>
      </c>
      <c r="N59" s="68">
        <f>'XM.GUI MAIL'!AI48</f>
        <v>8.1538461538461533</v>
      </c>
      <c r="O59" s="67" t="s">
        <v>10</v>
      </c>
      <c r="P59" s="72">
        <f>'XM.GUI MAIL'!AL48</f>
        <v>1.209792E-2</v>
      </c>
      <c r="Q59" s="65" t="s">
        <v>8</v>
      </c>
      <c r="R59" s="68">
        <f>'XM.GUI MAIL'!AO48</f>
        <v>0</v>
      </c>
      <c r="S59" s="67" t="s">
        <v>10</v>
      </c>
      <c r="T59" s="316" t="s">
        <v>16</v>
      </c>
    </row>
    <row r="60" spans="1:20" ht="30.75" customHeight="1">
      <c r="A60" s="2060">
        <v>13</v>
      </c>
      <c r="B60" s="2049" t="s">
        <v>271</v>
      </c>
      <c r="C60" s="2050"/>
      <c r="D60" s="2050"/>
      <c r="E60" s="2051"/>
      <c r="F60" s="1203" t="s">
        <v>3</v>
      </c>
      <c r="G60" s="1168" t="str">
        <f>'XM.GUI MAIL'!$E$49</f>
        <v>5~8%
(6%±0.5)</v>
      </c>
      <c r="H60" s="93">
        <f>'XM.GUI MAIL'!Z49</f>
        <v>5.98</v>
      </c>
      <c r="I60" s="65" t="s">
        <v>8</v>
      </c>
      <c r="J60" s="66">
        <f>'XM.GUI MAIL'!AC49</f>
        <v>0.12105263157894479</v>
      </c>
      <c r="K60" s="67" t="s">
        <v>10</v>
      </c>
      <c r="L60" s="93" t="str">
        <f>'XM.GUI MAIL'!AF49</f>
        <v/>
      </c>
      <c r="M60" s="65" t="s">
        <v>8</v>
      </c>
      <c r="N60" s="66" t="str">
        <f>'XM.GUI MAIL'!AI49</f>
        <v/>
      </c>
      <c r="O60" s="67" t="s">
        <v>10</v>
      </c>
      <c r="P60" s="93" t="str">
        <f>'XM.GUI MAIL'!AL49</f>
        <v/>
      </c>
      <c r="Q60" s="65" t="s">
        <v>8</v>
      </c>
      <c r="R60" s="66" t="str">
        <f>'XM.GUI MAIL'!AO49</f>
        <v/>
      </c>
      <c r="S60" s="67" t="s">
        <v>10</v>
      </c>
      <c r="T60" s="316"/>
    </row>
    <row r="61" spans="1:20" ht="30.75" customHeight="1">
      <c r="A61" s="2061"/>
      <c r="B61" s="2052"/>
      <c r="C61" s="2053"/>
      <c r="D61" s="2053"/>
      <c r="E61" s="2054"/>
      <c r="F61" s="1203" t="s">
        <v>5</v>
      </c>
      <c r="G61" s="1168" t="str">
        <f>'XM.GUI MAIL'!$E$50</f>
        <v>1.8~2.4
(2.1±0.1 )</v>
      </c>
      <c r="H61" s="93">
        <f>'XM.GUI MAIL'!Z50</f>
        <v>1.8</v>
      </c>
      <c r="I61" s="65"/>
      <c r="J61" s="66">
        <f>'XM.GUI MAIL'!AC50</f>
        <v>0</v>
      </c>
      <c r="K61" s="67"/>
      <c r="L61" s="93">
        <f>'XM.GUI MAIL'!AF50</f>
        <v>0</v>
      </c>
      <c r="M61" s="65"/>
      <c r="N61" s="66">
        <f>'XM.GUI MAIL'!AI50</f>
        <v>0</v>
      </c>
      <c r="O61" s="67"/>
      <c r="P61" s="93">
        <f>'XM.GUI MAIL'!AL50</f>
        <v>0</v>
      </c>
      <c r="Q61" s="65"/>
      <c r="R61" s="66">
        <f>'XM.GUI MAIL'!AO50</f>
        <v>0</v>
      </c>
      <c r="S61" s="67"/>
      <c r="T61" s="316"/>
    </row>
    <row r="62" spans="1:20" ht="33" customHeight="1">
      <c r="A62" s="1203"/>
      <c r="B62" s="298"/>
      <c r="C62" s="299"/>
      <c r="D62" s="299"/>
      <c r="E62" s="299"/>
      <c r="F62" s="299"/>
      <c r="G62" s="301" t="s">
        <v>117</v>
      </c>
      <c r="H62" s="299"/>
      <c r="I62" s="299"/>
      <c r="J62" s="299"/>
      <c r="K62" s="299"/>
      <c r="L62" s="299"/>
      <c r="M62" s="299"/>
      <c r="N62" s="299"/>
      <c r="O62" s="299"/>
      <c r="P62" s="299"/>
      <c r="Q62" s="299"/>
      <c r="R62" s="299"/>
      <c r="S62" s="299"/>
      <c r="T62" s="300"/>
    </row>
    <row r="63" spans="1:20" ht="33" customHeight="1">
      <c r="A63" s="1192" t="s">
        <v>7</v>
      </c>
      <c r="B63" s="2037" t="s">
        <v>64</v>
      </c>
      <c r="C63" s="2059"/>
      <c r="D63" s="2059"/>
      <c r="E63" s="2038"/>
      <c r="F63" s="1196" t="s">
        <v>66</v>
      </c>
      <c r="G63" s="1196" t="s">
        <v>67</v>
      </c>
      <c r="H63" s="2074" t="s">
        <v>48</v>
      </c>
      <c r="I63" s="2075"/>
      <c r="J63" s="2074" t="s">
        <v>65</v>
      </c>
      <c r="K63" s="2075"/>
      <c r="L63" s="2074" t="s">
        <v>48</v>
      </c>
      <c r="M63" s="2075"/>
      <c r="N63" s="2074" t="s">
        <v>65</v>
      </c>
      <c r="O63" s="2075"/>
      <c r="P63" s="2074" t="s">
        <v>48</v>
      </c>
      <c r="Q63" s="2075"/>
      <c r="R63" s="2074" t="s">
        <v>65</v>
      </c>
      <c r="S63" s="2075"/>
      <c r="T63" s="1193"/>
    </row>
    <row r="64" spans="1:20" ht="34.5" customHeight="1">
      <c r="A64" s="1192">
        <v>1</v>
      </c>
      <c r="B64" s="2037" t="s">
        <v>68</v>
      </c>
      <c r="C64" s="2059"/>
      <c r="D64" s="2059"/>
      <c r="E64" s="2038"/>
      <c r="F64" s="22" t="s">
        <v>113</v>
      </c>
      <c r="G64" s="1169" t="str">
        <f>'XM.GUI MAIL'!$E$53</f>
        <v>50~70ºC
(60±3OC)</v>
      </c>
      <c r="H64" s="1869">
        <f>'XM.GUI MAIL'!Z53</f>
        <v>67</v>
      </c>
      <c r="I64" s="1869"/>
      <c r="J64" s="1869">
        <f>'XM.GUI MAIL'!AC53</f>
        <v>65</v>
      </c>
      <c r="K64" s="1869"/>
      <c r="L64" s="1869">
        <f>'XM.GUI MAIL'!AF53</f>
        <v>0</v>
      </c>
      <c r="M64" s="1869"/>
      <c r="N64" s="1869">
        <f>'XM.GUI MAIL'!AI53</f>
        <v>0</v>
      </c>
      <c r="O64" s="1869"/>
      <c r="P64" s="1869">
        <f>'XM.GUI MAIL'!AL53</f>
        <v>67</v>
      </c>
      <c r="Q64" s="1869"/>
      <c r="R64" s="1869">
        <f>'XM.GUI MAIL'!AO53</f>
        <v>66</v>
      </c>
      <c r="S64" s="1869"/>
      <c r="T64" s="21"/>
    </row>
    <row r="65" spans="1:20" ht="34.5" customHeight="1">
      <c r="A65" s="1192">
        <v>2</v>
      </c>
      <c r="B65" s="2037" t="s">
        <v>69</v>
      </c>
      <c r="C65" s="2059" t="s">
        <v>69</v>
      </c>
      <c r="D65" s="2059" t="s">
        <v>69</v>
      </c>
      <c r="E65" s="2038" t="s">
        <v>69</v>
      </c>
      <c r="F65" s="22" t="s">
        <v>113</v>
      </c>
      <c r="G65" s="1169" t="str">
        <f>'XM.GUI MAIL'!$E$54</f>
        <v>50~70ºC
(60±3OC)</v>
      </c>
      <c r="H65" s="1869">
        <f>'XM.GUI MAIL'!Z54</f>
        <v>65</v>
      </c>
      <c r="I65" s="1869"/>
      <c r="J65" s="1869">
        <f>'XM.GUI MAIL'!AC54</f>
        <v>64</v>
      </c>
      <c r="K65" s="1869"/>
      <c r="L65" s="1869">
        <f>'XM.GUI MAIL'!AF54</f>
        <v>0</v>
      </c>
      <c r="M65" s="1869"/>
      <c r="N65" s="1869">
        <f>'XM.GUI MAIL'!AI54</f>
        <v>0</v>
      </c>
      <c r="O65" s="1869"/>
      <c r="P65" s="1869">
        <f>'XM.GUI MAIL'!AL54</f>
        <v>66</v>
      </c>
      <c r="Q65" s="1869"/>
      <c r="R65" s="1869">
        <f>'XM.GUI MAIL'!AO54</f>
        <v>65</v>
      </c>
      <c r="S65" s="1869"/>
      <c r="T65" s="21"/>
    </row>
    <row r="66" spans="1:20" ht="34.5" customHeight="1">
      <c r="A66" s="1192">
        <v>3</v>
      </c>
      <c r="B66" s="2037" t="s">
        <v>71</v>
      </c>
      <c r="C66" s="2059" t="s">
        <v>71</v>
      </c>
      <c r="D66" s="2059" t="s">
        <v>71</v>
      </c>
      <c r="E66" s="2038" t="s">
        <v>71</v>
      </c>
      <c r="F66" s="22" t="s">
        <v>113</v>
      </c>
      <c r="G66" s="1169" t="str">
        <f>'XM.GUI MAIL'!$E$55</f>
        <v>50~70ºC
(60±3OC)</v>
      </c>
      <c r="H66" s="1869">
        <f>'XM.GUI MAIL'!Z55</f>
        <v>61</v>
      </c>
      <c r="I66" s="1869"/>
      <c r="J66" s="1869">
        <f>'XM.GUI MAIL'!AC55</f>
        <v>60</v>
      </c>
      <c r="K66" s="1869"/>
      <c r="L66" s="1869">
        <f>'XM.GUI MAIL'!AF55</f>
        <v>0</v>
      </c>
      <c r="M66" s="1869"/>
      <c r="N66" s="1869">
        <f>'XM.GUI MAIL'!AI55</f>
        <v>0</v>
      </c>
      <c r="O66" s="1869"/>
      <c r="P66" s="1869">
        <f>'XM.GUI MAIL'!AL55</f>
        <v>59</v>
      </c>
      <c r="Q66" s="1869"/>
      <c r="R66" s="1869">
        <f>'XM.GUI MAIL'!AO55</f>
        <v>58</v>
      </c>
      <c r="S66" s="1869"/>
      <c r="T66" s="21"/>
    </row>
    <row r="67" spans="1:20" ht="34.5" customHeight="1">
      <c r="A67" s="1192">
        <v>4</v>
      </c>
      <c r="B67" s="2037" t="s">
        <v>70</v>
      </c>
      <c r="C67" s="2059" t="s">
        <v>70</v>
      </c>
      <c r="D67" s="2059" t="s">
        <v>70</v>
      </c>
      <c r="E67" s="2038" t="s">
        <v>70</v>
      </c>
      <c r="F67" s="22" t="s">
        <v>113</v>
      </c>
      <c r="G67" s="1169" t="str">
        <f>'XM.GUI MAIL'!$E$56</f>
        <v>50~70ºC
(60±3OC)</v>
      </c>
      <c r="H67" s="1869">
        <f>'XM.GUI MAIL'!Z56</f>
        <v>52</v>
      </c>
      <c r="I67" s="1869"/>
      <c r="J67" s="1869">
        <f>'XM.GUI MAIL'!AC56</f>
        <v>50</v>
      </c>
      <c r="K67" s="1869"/>
      <c r="L67" s="1869">
        <f>'XM.GUI MAIL'!AF56</f>
        <v>0</v>
      </c>
      <c r="M67" s="1869"/>
      <c r="N67" s="1869">
        <f>'XM.GUI MAIL'!AI56</f>
        <v>0</v>
      </c>
      <c r="O67" s="1869"/>
      <c r="P67" s="1869">
        <f>'XM.GUI MAIL'!AL56</f>
        <v>54</v>
      </c>
      <c r="Q67" s="1869"/>
      <c r="R67" s="1869">
        <f>'XM.GUI MAIL'!AO56</f>
        <v>52</v>
      </c>
      <c r="S67" s="1869"/>
      <c r="T67" s="21"/>
    </row>
    <row r="68" spans="1:20" ht="34.5" customHeight="1">
      <c r="A68" s="1192">
        <v>5</v>
      </c>
      <c r="B68" s="2037" t="s">
        <v>72</v>
      </c>
      <c r="C68" s="2059" t="s">
        <v>72</v>
      </c>
      <c r="D68" s="2059" t="s">
        <v>72</v>
      </c>
      <c r="E68" s="2038" t="s">
        <v>72</v>
      </c>
      <c r="F68" s="22" t="s">
        <v>113</v>
      </c>
      <c r="G68" s="1169" t="str">
        <f>'XM.GUI MAIL'!$E$57</f>
        <v>22~30ºC
(24±1OC)</v>
      </c>
      <c r="H68" s="1869">
        <f>'XM.GUI MAIL'!Z57</f>
        <v>27</v>
      </c>
      <c r="I68" s="1869"/>
      <c r="J68" s="1869">
        <f>'XM.GUI MAIL'!AC57</f>
        <v>27</v>
      </c>
      <c r="K68" s="1869"/>
      <c r="L68" s="1869">
        <f>'XM.GUI MAIL'!AF57</f>
        <v>0</v>
      </c>
      <c r="M68" s="1869"/>
      <c r="N68" s="1869">
        <f>'XM.GUI MAIL'!AI57</f>
        <v>0</v>
      </c>
      <c r="O68" s="1869"/>
      <c r="P68" s="1869">
        <f>'XM.GUI MAIL'!AL57</f>
        <v>27</v>
      </c>
      <c r="Q68" s="1869"/>
      <c r="R68" s="1869">
        <f>'XM.GUI MAIL'!AO57</f>
        <v>26</v>
      </c>
      <c r="S68" s="1869"/>
      <c r="T68" s="21"/>
    </row>
    <row r="69" spans="1:20" ht="34.5" customHeight="1">
      <c r="A69" s="1192">
        <v>6</v>
      </c>
      <c r="B69" s="2037" t="s">
        <v>1064</v>
      </c>
      <c r="C69" s="2059" t="s">
        <v>1064</v>
      </c>
      <c r="D69" s="2059" t="s">
        <v>1064</v>
      </c>
      <c r="E69" s="2038" t="s">
        <v>1064</v>
      </c>
      <c r="F69" s="22" t="s">
        <v>113</v>
      </c>
      <c r="G69" s="1169" t="str">
        <f>'XM.GUI MAIL'!$E$58</f>
        <v>30-38ºC
(34±2OC)</v>
      </c>
      <c r="H69" s="1866">
        <f>'XM.GUI MAIL'!Z58</f>
        <v>36</v>
      </c>
      <c r="I69" s="1867"/>
      <c r="J69" s="1866">
        <f>'XM.GUI MAIL'!AC58</f>
        <v>35</v>
      </c>
      <c r="K69" s="1867"/>
      <c r="L69" s="1866">
        <f>'XM.GUI MAIL'!AF58</f>
        <v>0</v>
      </c>
      <c r="M69" s="1867"/>
      <c r="N69" s="1866">
        <f>'XM.GUI MAIL'!AI58</f>
        <v>0</v>
      </c>
      <c r="O69" s="1867"/>
      <c r="P69" s="1866">
        <f>'XM.GUI MAIL'!AL58</f>
        <v>36</v>
      </c>
      <c r="Q69" s="1867"/>
      <c r="R69" s="1866">
        <f>'XM.GUI MAIL'!AO58</f>
        <v>35</v>
      </c>
      <c r="S69" s="1867"/>
      <c r="T69" s="23"/>
    </row>
    <row r="70" spans="1:20" ht="34.5" customHeight="1">
      <c r="A70" s="1192">
        <v>7</v>
      </c>
      <c r="B70" s="2037" t="s">
        <v>73</v>
      </c>
      <c r="C70" s="2059" t="s">
        <v>73</v>
      </c>
      <c r="D70" s="2059" t="s">
        <v>73</v>
      </c>
      <c r="E70" s="2038" t="s">
        <v>73</v>
      </c>
      <c r="F70" s="22" t="s">
        <v>113</v>
      </c>
      <c r="G70" s="1169" t="str">
        <f>'XM.GUI MAIL'!$E$59</f>
        <v>55~65ºC
(60±3OC)</v>
      </c>
      <c r="H70" s="1866">
        <f>'XM.GUI MAIL'!Z59</f>
        <v>55</v>
      </c>
      <c r="I70" s="1867"/>
      <c r="J70" s="1866">
        <f>'XM.GUI MAIL'!AC59</f>
        <v>54</v>
      </c>
      <c r="K70" s="1867"/>
      <c r="L70" s="1866">
        <f>'XM.GUI MAIL'!AF59</f>
        <v>0</v>
      </c>
      <c r="M70" s="1867"/>
      <c r="N70" s="1866">
        <f>'XM.GUI MAIL'!AI59</f>
        <v>0</v>
      </c>
      <c r="O70" s="1867"/>
      <c r="P70" s="1866">
        <f>'XM.GUI MAIL'!AL59</f>
        <v>57</v>
      </c>
      <c r="Q70" s="1867"/>
      <c r="R70" s="1866">
        <f>'XM.GUI MAIL'!AO59</f>
        <v>56</v>
      </c>
      <c r="S70" s="1867"/>
      <c r="T70" s="21"/>
    </row>
    <row r="71" spans="1:20" ht="34.5" customHeight="1">
      <c r="A71" s="1192">
        <v>8</v>
      </c>
      <c r="B71" s="1870" t="s">
        <v>74</v>
      </c>
      <c r="C71" s="1871" t="s">
        <v>74</v>
      </c>
      <c r="D71" s="1871" t="s">
        <v>74</v>
      </c>
      <c r="E71" s="1872" t="s">
        <v>74</v>
      </c>
      <c r="F71" s="22" t="s">
        <v>113</v>
      </c>
      <c r="G71" s="1169" t="str">
        <f>'XM.GUI MAIL'!$E$60</f>
        <v>65~75ºC
(70±3OC)</v>
      </c>
      <c r="H71" s="1934" t="s">
        <v>49</v>
      </c>
      <c r="I71" s="1934"/>
      <c r="J71" s="1866">
        <f>'XM.GUI MAIL'!AC60</f>
        <v>73</v>
      </c>
      <c r="K71" s="1867"/>
      <c r="L71" s="1934" t="s">
        <v>49</v>
      </c>
      <c r="M71" s="1934"/>
      <c r="N71" s="1866">
        <f>'XM.GUI MAIL'!AI60</f>
        <v>0</v>
      </c>
      <c r="O71" s="1867"/>
      <c r="P71" s="1934" t="s">
        <v>49</v>
      </c>
      <c r="Q71" s="1934"/>
      <c r="R71" s="1866">
        <f>'XM.GUI MAIL'!AO60</f>
        <v>71</v>
      </c>
      <c r="S71" s="1867"/>
      <c r="T71" s="21"/>
    </row>
    <row r="72" spans="1:20" ht="36.75" customHeight="1">
      <c r="A72" s="1203"/>
      <c r="B72" s="298"/>
      <c r="C72" s="299"/>
      <c r="D72" s="299"/>
      <c r="E72" s="299"/>
      <c r="F72" s="299"/>
      <c r="G72" s="301" t="s">
        <v>118</v>
      </c>
      <c r="H72" s="299"/>
      <c r="I72" s="299"/>
      <c r="J72" s="299"/>
      <c r="K72" s="299"/>
      <c r="L72" s="299"/>
      <c r="M72" s="299"/>
      <c r="N72" s="299"/>
      <c r="O72" s="299"/>
      <c r="P72" s="299"/>
      <c r="Q72" s="299"/>
      <c r="R72" s="299"/>
      <c r="S72" s="299"/>
      <c r="T72" s="300"/>
    </row>
    <row r="73" spans="1:20" ht="40.5" customHeight="1">
      <c r="A73" s="1192" t="s">
        <v>7</v>
      </c>
      <c r="B73" s="2037" t="s">
        <v>100</v>
      </c>
      <c r="C73" s="2059"/>
      <c r="D73" s="2059"/>
      <c r="E73" s="2038"/>
      <c r="F73" s="1191" t="s">
        <v>101</v>
      </c>
      <c r="G73" s="1196" t="s">
        <v>67</v>
      </c>
      <c r="H73" s="1870" t="s">
        <v>119</v>
      </c>
      <c r="I73" s="1871"/>
      <c r="J73" s="1871"/>
      <c r="K73" s="1872"/>
      <c r="L73" s="1870" t="s">
        <v>119</v>
      </c>
      <c r="M73" s="1871"/>
      <c r="N73" s="1871"/>
      <c r="O73" s="1872"/>
      <c r="P73" s="1870" t="s">
        <v>119</v>
      </c>
      <c r="Q73" s="1871"/>
      <c r="R73" s="1871"/>
      <c r="S73" s="1872"/>
      <c r="T73" s="1193"/>
    </row>
    <row r="74" spans="1:20" ht="42.75" customHeight="1">
      <c r="A74" s="1203">
        <v>1</v>
      </c>
      <c r="B74" s="2080" t="s">
        <v>261</v>
      </c>
      <c r="C74" s="2081"/>
      <c r="D74" s="2081"/>
      <c r="E74" s="2082"/>
      <c r="F74" s="24" t="s">
        <v>50</v>
      </c>
      <c r="G74" s="311" t="str">
        <f>'XM.GUI MAIL'!$E$62</f>
        <v>100-200</v>
      </c>
      <c r="H74" s="1866">
        <f>'XM.GUI MAIL'!Z62</f>
        <v>195</v>
      </c>
      <c r="I74" s="1867"/>
      <c r="J74" s="1867"/>
      <c r="K74" s="1867"/>
      <c r="L74" s="1866">
        <f>'XM.GUI MAIL'!AF62</f>
        <v>0</v>
      </c>
      <c r="M74" s="1867"/>
      <c r="N74" s="1867"/>
      <c r="O74" s="1867"/>
      <c r="P74" s="1866">
        <f>'XM.GUI MAIL'!AL62</f>
        <v>190</v>
      </c>
      <c r="Q74" s="1867"/>
      <c r="R74" s="1867"/>
      <c r="S74" s="1867"/>
      <c r="T74" s="23"/>
    </row>
    <row r="75" spans="1:20" ht="42.75" customHeight="1">
      <c r="A75" s="1203">
        <v>2</v>
      </c>
      <c r="B75" s="2080" t="s">
        <v>262</v>
      </c>
      <c r="C75" s="2081"/>
      <c r="D75" s="2081"/>
      <c r="E75" s="2082"/>
      <c r="F75" s="24" t="s">
        <v>50</v>
      </c>
      <c r="G75" s="311" t="str">
        <f>'XM.GUI MAIL'!$E$63</f>
        <v>20-50</v>
      </c>
      <c r="H75" s="1866">
        <f>'XM.GUI MAIL'!Z63</f>
        <v>42</v>
      </c>
      <c r="I75" s="1867"/>
      <c r="J75" s="1867"/>
      <c r="K75" s="1867"/>
      <c r="L75" s="1866">
        <f>'XM.GUI MAIL'!AF63</f>
        <v>0</v>
      </c>
      <c r="M75" s="1867"/>
      <c r="N75" s="1867"/>
      <c r="O75" s="1867"/>
      <c r="P75" s="1866">
        <f>'XM.GUI MAIL'!AL63</f>
        <v>39</v>
      </c>
      <c r="Q75" s="1867"/>
      <c r="R75" s="1867"/>
      <c r="S75" s="1867"/>
      <c r="T75" s="23"/>
    </row>
  </sheetData>
  <sheetProtection formatCells="0" formatColumns="0" formatRows="0" insertColumns="0" insertRows="0" insertHyperlinks="0" deleteColumns="0" deleteRows="0" selectLockedCells="1" sort="0" autoFilter="0" pivotTables="0"/>
  <mergeCells count="234">
    <mergeCell ref="B3:D3"/>
    <mergeCell ref="R40:S40"/>
    <mergeCell ref="J25:K25"/>
    <mergeCell ref="H26:I26"/>
    <mergeCell ref="B25:E25"/>
    <mergeCell ref="R63:S63"/>
    <mergeCell ref="B28:E28"/>
    <mergeCell ref="B29:E29"/>
    <mergeCell ref="B32:E32"/>
    <mergeCell ref="B33:E33"/>
    <mergeCell ref="H31:I31"/>
    <mergeCell ref="B30:E30"/>
    <mergeCell ref="J28:K28"/>
    <mergeCell ref="A39:Q39"/>
    <mergeCell ref="P35:S35"/>
    <mergeCell ref="P36:S36"/>
    <mergeCell ref="P37:S37"/>
    <mergeCell ref="B37:E37"/>
    <mergeCell ref="B36:E36"/>
    <mergeCell ref="H36:K36"/>
    <mergeCell ref="H32:I32"/>
    <mergeCell ref="L35:O35"/>
    <mergeCell ref="L36:O36"/>
    <mergeCell ref="L37:O37"/>
    <mergeCell ref="H37:K37"/>
    <mergeCell ref="A40:Q40"/>
    <mergeCell ref="A54:A55"/>
    <mergeCell ref="B56:E56"/>
    <mergeCell ref="B57:E57"/>
    <mergeCell ref="J30:K30"/>
    <mergeCell ref="J31:K31"/>
    <mergeCell ref="J29:K29"/>
    <mergeCell ref="H28:I28"/>
    <mergeCell ref="H29:I29"/>
    <mergeCell ref="H35:K35"/>
    <mergeCell ref="J32:K32"/>
    <mergeCell ref="J33:K33"/>
    <mergeCell ref="B35:E35"/>
    <mergeCell ref="H30:I30"/>
    <mergeCell ref="H33:I33"/>
    <mergeCell ref="D49:E49"/>
    <mergeCell ref="B50:C51"/>
    <mergeCell ref="A46:A47"/>
    <mergeCell ref="A48:A49"/>
    <mergeCell ref="A50:A51"/>
    <mergeCell ref="B52:E52"/>
    <mergeCell ref="B53:E53"/>
    <mergeCell ref="B54:E55"/>
    <mergeCell ref="B41:D41"/>
    <mergeCell ref="A60:A61"/>
    <mergeCell ref="B67:E67"/>
    <mergeCell ref="D48:E48"/>
    <mergeCell ref="R41:S41"/>
    <mergeCell ref="B58:E58"/>
    <mergeCell ref="B59:E59"/>
    <mergeCell ref="H64:I64"/>
    <mergeCell ref="J64:K64"/>
    <mergeCell ref="B46:C47"/>
    <mergeCell ref="D46:E46"/>
    <mergeCell ref="D47:E47"/>
    <mergeCell ref="B48:C49"/>
    <mergeCell ref="D51:E51"/>
    <mergeCell ref="B64:E64"/>
    <mergeCell ref="H63:I63"/>
    <mergeCell ref="J63:K63"/>
    <mergeCell ref="N70:O70"/>
    <mergeCell ref="P70:Q70"/>
    <mergeCell ref="B73:E73"/>
    <mergeCell ref="H73:K73"/>
    <mergeCell ref="D50:E50"/>
    <mergeCell ref="B60:E61"/>
    <mergeCell ref="L63:M63"/>
    <mergeCell ref="N63:O63"/>
    <mergeCell ref="P63:Q63"/>
    <mergeCell ref="B63:E63"/>
    <mergeCell ref="B71:E71"/>
    <mergeCell ref="H70:I70"/>
    <mergeCell ref="J70:K70"/>
    <mergeCell ref="B66:E66"/>
    <mergeCell ref="B69:E69"/>
    <mergeCell ref="B68:E68"/>
    <mergeCell ref="H66:I66"/>
    <mergeCell ref="J66:K66"/>
    <mergeCell ref="H68:I68"/>
    <mergeCell ref="J68:K68"/>
    <mergeCell ref="H67:I67"/>
    <mergeCell ref="J65:K65"/>
    <mergeCell ref="L67:M67"/>
    <mergeCell ref="B74:E74"/>
    <mergeCell ref="H74:K74"/>
    <mergeCell ref="H71:I71"/>
    <mergeCell ref="B65:E65"/>
    <mergeCell ref="P73:S73"/>
    <mergeCell ref="L74:O74"/>
    <mergeCell ref="R67:S67"/>
    <mergeCell ref="P74:S74"/>
    <mergeCell ref="P71:Q71"/>
    <mergeCell ref="R71:S71"/>
    <mergeCell ref="L68:M68"/>
    <mergeCell ref="N68:O68"/>
    <mergeCell ref="P68:Q68"/>
    <mergeCell ref="R68:S68"/>
    <mergeCell ref="L69:M69"/>
    <mergeCell ref="R70:S70"/>
    <mergeCell ref="H69:I69"/>
    <mergeCell ref="J69:K69"/>
    <mergeCell ref="J67:K67"/>
    <mergeCell ref="H65:I65"/>
    <mergeCell ref="P67:Q67"/>
    <mergeCell ref="L65:M65"/>
    <mergeCell ref="N65:O65"/>
    <mergeCell ref="B70:E70"/>
    <mergeCell ref="R2:S2"/>
    <mergeCell ref="B75:E75"/>
    <mergeCell ref="H75:K75"/>
    <mergeCell ref="L73:O73"/>
    <mergeCell ref="J71:K71"/>
    <mergeCell ref="L71:M71"/>
    <mergeCell ref="N71:O71"/>
    <mergeCell ref="L75:O75"/>
    <mergeCell ref="P75:S75"/>
    <mergeCell ref="L64:M64"/>
    <mergeCell ref="N64:O64"/>
    <mergeCell ref="P64:Q64"/>
    <mergeCell ref="R64:S64"/>
    <mergeCell ref="N69:O69"/>
    <mergeCell ref="P69:Q69"/>
    <mergeCell ref="R69:S69"/>
    <mergeCell ref="L66:M66"/>
    <mergeCell ref="N66:O66"/>
    <mergeCell ref="P66:Q66"/>
    <mergeCell ref="R66:S66"/>
    <mergeCell ref="P65:Q65"/>
    <mergeCell ref="R65:S65"/>
    <mergeCell ref="L70:M70"/>
    <mergeCell ref="N67:O67"/>
    <mergeCell ref="A1:Q1"/>
    <mergeCell ref="P31:Q31"/>
    <mergeCell ref="R31:S31"/>
    <mergeCell ref="P32:Q32"/>
    <mergeCell ref="R32:S32"/>
    <mergeCell ref="P33:Q33"/>
    <mergeCell ref="R33:S33"/>
    <mergeCell ref="P28:Q28"/>
    <mergeCell ref="R28:S28"/>
    <mergeCell ref="P29:Q29"/>
    <mergeCell ref="R29:S29"/>
    <mergeCell ref="P30:Q30"/>
    <mergeCell ref="R30:S30"/>
    <mergeCell ref="L32:M32"/>
    <mergeCell ref="N32:O32"/>
    <mergeCell ref="L33:M33"/>
    <mergeCell ref="N33:O33"/>
    <mergeCell ref="P25:Q25"/>
    <mergeCell ref="R25:S25"/>
    <mergeCell ref="L28:M28"/>
    <mergeCell ref="N28:O28"/>
    <mergeCell ref="L31:M31"/>
    <mergeCell ref="N31:O31"/>
    <mergeCell ref="B31:E31"/>
    <mergeCell ref="R3:S3"/>
    <mergeCell ref="P26:Q26"/>
    <mergeCell ref="R26:S26"/>
    <mergeCell ref="P27:Q27"/>
    <mergeCell ref="R27:S27"/>
    <mergeCell ref="L29:M29"/>
    <mergeCell ref="N29:O29"/>
    <mergeCell ref="L30:M30"/>
    <mergeCell ref="N30:O30"/>
    <mergeCell ref="N25:O25"/>
    <mergeCell ref="L26:M26"/>
    <mergeCell ref="N26:O26"/>
    <mergeCell ref="L27:M27"/>
    <mergeCell ref="A2:Q2"/>
    <mergeCell ref="I5:K5"/>
    <mergeCell ref="B19:E19"/>
    <mergeCell ref="B20:E20"/>
    <mergeCell ref="B22:E23"/>
    <mergeCell ref="A22:A23"/>
    <mergeCell ref="B21:E21"/>
    <mergeCell ref="B15:E15"/>
    <mergeCell ref="A8:A9"/>
    <mergeCell ref="A10:A11"/>
    <mergeCell ref="B8:C9"/>
    <mergeCell ref="D8:E8"/>
    <mergeCell ref="D9:E9"/>
    <mergeCell ref="A12:A13"/>
    <mergeCell ref="B14:E14"/>
    <mergeCell ref="A16:A17"/>
    <mergeCell ref="B18:E18"/>
    <mergeCell ref="B10:C11"/>
    <mergeCell ref="D10:E10"/>
    <mergeCell ref="D11:E11"/>
    <mergeCell ref="B12:C13"/>
    <mergeCell ref="D12:E12"/>
    <mergeCell ref="D13:E13"/>
    <mergeCell ref="B16:E17"/>
    <mergeCell ref="T42:T43"/>
    <mergeCell ref="A44:A45"/>
    <mergeCell ref="H42:K42"/>
    <mergeCell ref="L42:O42"/>
    <mergeCell ref="A42:A43"/>
    <mergeCell ref="B42:E43"/>
    <mergeCell ref="F42:F43"/>
    <mergeCell ref="G42:G43"/>
    <mergeCell ref="P42:S42"/>
    <mergeCell ref="I43:K43"/>
    <mergeCell ref="M43:O43"/>
    <mergeCell ref="Q43:S43"/>
    <mergeCell ref="B44:C45"/>
    <mergeCell ref="D44:E44"/>
    <mergeCell ref="D45:E45"/>
    <mergeCell ref="B26:E26"/>
    <mergeCell ref="B27:E27"/>
    <mergeCell ref="N27:O27"/>
    <mergeCell ref="J26:K26"/>
    <mergeCell ref="L25:M25"/>
    <mergeCell ref="H27:I27"/>
    <mergeCell ref="J27:K27"/>
    <mergeCell ref="T4:T5"/>
    <mergeCell ref="A6:A7"/>
    <mergeCell ref="H4:K4"/>
    <mergeCell ref="L4:O4"/>
    <mergeCell ref="A4:A5"/>
    <mergeCell ref="B4:E5"/>
    <mergeCell ref="F4:F5"/>
    <mergeCell ref="G4:G5"/>
    <mergeCell ref="M5:O5"/>
    <mergeCell ref="P4:S4"/>
    <mergeCell ref="Q5:S5"/>
    <mergeCell ref="B6:C7"/>
    <mergeCell ref="D6:E6"/>
    <mergeCell ref="D7:E7"/>
    <mergeCell ref="H25:I25"/>
  </mergeCells>
  <phoneticPr fontId="6" type="noConversion"/>
  <conditionalFormatting sqref="H56 L56 P56 H18 L18 P18">
    <cfRule type="expression" dxfId="1956" priority="960">
      <formula>H18&gt;60%</formula>
    </cfRule>
  </conditionalFormatting>
  <conditionalFormatting sqref="H56 L56 P56 H18 L18 P18">
    <cfRule type="expression" dxfId="1955" priority="959">
      <formula>H18&lt;30%</formula>
    </cfRule>
  </conditionalFormatting>
  <conditionalFormatting sqref="H57 L57 P57 H19 L19 P19">
    <cfRule type="expression" dxfId="1954" priority="957">
      <formula>H19&lt;15%</formula>
    </cfRule>
    <cfRule type="expression" dxfId="1953" priority="958">
      <formula>H19&gt;30%</formula>
    </cfRule>
  </conditionalFormatting>
  <conditionalFormatting sqref="H59 L59 P59 L21 P21 H21">
    <cfRule type="expression" dxfId="1952" priority="956">
      <formula>H21&gt;1.5%</formula>
    </cfRule>
  </conditionalFormatting>
  <conditionalFormatting sqref="H59 L59 P59 L21 P21 H21">
    <cfRule type="expression" dxfId="1951" priority="955">
      <formula>H21&lt;0.5%</formula>
    </cfRule>
  </conditionalFormatting>
  <conditionalFormatting sqref="H52 L52 P52 H14 L14 P14">
    <cfRule type="expression" dxfId="1950" priority="716" stopIfTrue="1">
      <formula>H14&lt;130</formula>
    </cfRule>
  </conditionalFormatting>
  <conditionalFormatting sqref="H52 L52 P52 H14 L14 P14">
    <cfRule type="expression" dxfId="1949" priority="715" stopIfTrue="1">
      <formula>H14&gt;150</formula>
    </cfRule>
  </conditionalFormatting>
  <conditionalFormatting sqref="H48 H50 L48 L50 P48 P50 H10 H12 L10 L12 P10 P12">
    <cfRule type="expression" dxfId="1948" priority="500" stopIfTrue="1">
      <formula>H10&lt;50</formula>
    </cfRule>
  </conditionalFormatting>
  <conditionalFormatting sqref="H48 H50 L48 L50 P48 P50 H10 H12 L10 L12 P10 P12">
    <cfRule type="expression" dxfId="1947" priority="499" stopIfTrue="1">
      <formula>H10&gt;70</formula>
    </cfRule>
  </conditionalFormatting>
  <conditionalFormatting sqref="H36 L36 P36">
    <cfRule type="expression" dxfId="1946" priority="431">
      <formula>H36&lt;100</formula>
    </cfRule>
    <cfRule type="expression" dxfId="1945" priority="432">
      <formula>H36&gt;200</formula>
    </cfRule>
  </conditionalFormatting>
  <conditionalFormatting sqref="P37 H37 L37">
    <cfRule type="expression" dxfId="1944" priority="429">
      <formula>H37&lt;20</formula>
    </cfRule>
    <cfRule type="expression" dxfId="1943" priority="430">
      <formula>H37&gt;50</formula>
    </cfRule>
  </conditionalFormatting>
  <conditionalFormatting sqref="H58 L58 P58 H20 L20 P20">
    <cfRule type="expression" dxfId="1942" priority="423">
      <formula>H20&lt;8%</formula>
    </cfRule>
    <cfRule type="expression" dxfId="1941" priority="424">
      <formula>H20&gt;15%</formula>
    </cfRule>
  </conditionalFormatting>
  <conditionalFormatting sqref="J33 N33 R33">
    <cfRule type="expression" dxfId="1940" priority="399">
      <formula>J33&lt;65</formula>
    </cfRule>
    <cfRule type="expression" dxfId="1939" priority="400">
      <formula>J33&gt;75</formula>
    </cfRule>
  </conditionalFormatting>
  <conditionalFormatting sqref="J31 H31 N31 R31 L31 P31">
    <cfRule type="expression" dxfId="1938" priority="397">
      <formula>H31&lt;30</formula>
    </cfRule>
    <cfRule type="expression" dxfId="1937" priority="398">
      <formula>H31&gt;38</formula>
    </cfRule>
  </conditionalFormatting>
  <conditionalFormatting sqref="J32 H32 N32 R32 L32 P32">
    <cfRule type="expression" dxfId="1936" priority="395">
      <formula>H32&lt;55</formula>
    </cfRule>
    <cfRule type="expression" dxfId="1935" priority="396">
      <formula>H32&gt;65</formula>
    </cfRule>
  </conditionalFormatting>
  <conditionalFormatting sqref="H53 L53 P53 H15 L15 P15">
    <cfRule type="expression" dxfId="1934" priority="275" stopIfTrue="1">
      <formula>H15&gt;12</formula>
    </cfRule>
    <cfRule type="expression" dxfId="1933" priority="276" stopIfTrue="1">
      <formula>H15&lt;8</formula>
    </cfRule>
  </conditionalFormatting>
  <conditionalFormatting sqref="H74">
    <cfRule type="expression" dxfId="1932" priority="197">
      <formula>H74&lt;100</formula>
    </cfRule>
    <cfRule type="expression" dxfId="1931" priority="198">
      <formula>H74&gt;200</formula>
    </cfRule>
  </conditionalFormatting>
  <conditionalFormatting sqref="H75">
    <cfRule type="expression" dxfId="1930" priority="195">
      <formula>H75&lt;20</formula>
    </cfRule>
    <cfRule type="expression" dxfId="1929" priority="196">
      <formula>H75&gt;50</formula>
    </cfRule>
  </conditionalFormatting>
  <conditionalFormatting sqref="L74 P74">
    <cfRule type="expression" dxfId="1928" priority="193">
      <formula>L74&lt;100</formula>
    </cfRule>
    <cfRule type="expression" dxfId="1927" priority="194">
      <formula>L74&gt;200</formula>
    </cfRule>
  </conditionalFormatting>
  <conditionalFormatting sqref="L75 P75">
    <cfRule type="expression" dxfId="1926" priority="191">
      <formula>L75&lt;20</formula>
    </cfRule>
    <cfRule type="expression" dxfId="1925" priority="192">
      <formula>L75&gt;50</formula>
    </cfRule>
  </conditionalFormatting>
  <conditionalFormatting sqref="J71">
    <cfRule type="expression" dxfId="1924" priority="153">
      <formula>J71&lt;65</formula>
    </cfRule>
    <cfRule type="expression" dxfId="1923" priority="154">
      <formula>J71&gt;75</formula>
    </cfRule>
  </conditionalFormatting>
  <conditionalFormatting sqref="J69">
    <cfRule type="expression" dxfId="1922" priority="151">
      <formula>J69&lt;30</formula>
    </cfRule>
    <cfRule type="expression" dxfId="1921" priority="152">
      <formula>J69&gt;38</formula>
    </cfRule>
  </conditionalFormatting>
  <conditionalFormatting sqref="J70">
    <cfRule type="expression" dxfId="1920" priority="149">
      <formula>J70&lt;55</formula>
    </cfRule>
    <cfRule type="expression" dxfId="1919" priority="150">
      <formula>J70&gt;65</formula>
    </cfRule>
  </conditionalFormatting>
  <conditionalFormatting sqref="H69">
    <cfRule type="expression" dxfId="1918" priority="141">
      <formula>H69&lt;30</formula>
    </cfRule>
    <cfRule type="expression" dxfId="1917" priority="142">
      <formula>H69&gt;38</formula>
    </cfRule>
  </conditionalFormatting>
  <conditionalFormatting sqref="H70">
    <cfRule type="expression" dxfId="1916" priority="139">
      <formula>H70&lt;55</formula>
    </cfRule>
    <cfRule type="expression" dxfId="1915" priority="140">
      <formula>H70&gt;65</formula>
    </cfRule>
  </conditionalFormatting>
  <conditionalFormatting sqref="N71 R71">
    <cfRule type="expression" dxfId="1914" priority="131">
      <formula>N71&lt;65</formula>
    </cfRule>
    <cfRule type="expression" dxfId="1913" priority="132">
      <formula>N71&gt;75</formula>
    </cfRule>
  </conditionalFormatting>
  <conditionalFormatting sqref="N69 R69">
    <cfRule type="expression" dxfId="1912" priority="129">
      <formula>N69&lt;30</formula>
    </cfRule>
    <cfRule type="expression" dxfId="1911" priority="130">
      <formula>N69&gt;38</formula>
    </cfRule>
  </conditionalFormatting>
  <conditionalFormatting sqref="N70 R70">
    <cfRule type="expression" dxfId="1910" priority="127">
      <formula>N70&lt;55</formula>
    </cfRule>
    <cfRule type="expression" dxfId="1909" priority="128">
      <formula>N70&gt;65</formula>
    </cfRule>
  </conditionalFormatting>
  <conditionalFormatting sqref="L69 P69">
    <cfRule type="expression" dxfId="1908" priority="119">
      <formula>L69&lt;30</formula>
    </cfRule>
    <cfRule type="expression" dxfId="1907" priority="120">
      <formula>L69&gt;38</formula>
    </cfRule>
  </conditionalFormatting>
  <conditionalFormatting sqref="L70 P70">
    <cfRule type="expression" dxfId="1906" priority="117">
      <formula>L70&lt;55</formula>
    </cfRule>
    <cfRule type="expression" dxfId="1905" priority="118">
      <formula>L70&gt;65</formula>
    </cfRule>
  </conditionalFormatting>
  <conditionalFormatting sqref="H68:I68 H30:S30">
    <cfRule type="expression" dxfId="1904" priority="111">
      <formula>H30&lt;22</formula>
    </cfRule>
    <cfRule type="expression" dxfId="1903" priority="112">
      <formula>H30&gt;30</formula>
    </cfRule>
  </conditionalFormatting>
  <conditionalFormatting sqref="J68:S68">
    <cfRule type="expression" dxfId="1902" priority="109">
      <formula>J68&lt;22</formula>
    </cfRule>
    <cfRule type="expression" dxfId="1901" priority="110">
      <formula>J68&gt;30</formula>
    </cfRule>
  </conditionalFormatting>
  <conditionalFormatting sqref="H55 L55 P55 H17 L17 P17">
    <cfRule type="expression" dxfId="1900" priority="91">
      <formula>H17&lt;2</formula>
    </cfRule>
    <cfRule type="expression" dxfId="1899" priority="92">
      <formula>H17&gt;2.5</formula>
    </cfRule>
  </conditionalFormatting>
  <conditionalFormatting sqref="H54 L54 P54 H16 L16 P16">
    <cfRule type="expression" dxfId="1898" priority="89" stopIfTrue="1">
      <formula>H16&gt;10</formula>
    </cfRule>
    <cfRule type="expression" dxfId="1897" priority="90" stopIfTrue="1">
      <formula>H16&lt;6</formula>
    </cfRule>
  </conditionalFormatting>
  <conditionalFormatting sqref="H26:S29">
    <cfRule type="expression" dxfId="1896" priority="67">
      <formula>H26&lt;50</formula>
    </cfRule>
    <cfRule type="expression" dxfId="1895" priority="68">
      <formula>H26&gt;70</formula>
    </cfRule>
  </conditionalFormatting>
  <conditionalFormatting sqref="H64:I64">
    <cfRule type="expression" dxfId="1894" priority="43">
      <formula>H64&lt;50</formula>
    </cfRule>
    <cfRule type="expression" dxfId="1893" priority="44">
      <formula>H64&gt;70</formula>
    </cfRule>
  </conditionalFormatting>
  <conditionalFormatting sqref="J64:K64">
    <cfRule type="expression" dxfId="1892" priority="41">
      <formula>J64&lt;50</formula>
    </cfRule>
    <cfRule type="expression" dxfId="1891" priority="42">
      <formula>J64&gt;70</formula>
    </cfRule>
  </conditionalFormatting>
  <conditionalFormatting sqref="L64:M64">
    <cfRule type="expression" dxfId="1890" priority="39">
      <formula>L64&lt;50</formula>
    </cfRule>
    <cfRule type="expression" dxfId="1889" priority="40">
      <formula>L64&gt;70</formula>
    </cfRule>
  </conditionalFormatting>
  <conditionalFormatting sqref="N64:O64">
    <cfRule type="expression" dxfId="1888" priority="37">
      <formula>N64&lt;50</formula>
    </cfRule>
    <cfRule type="expression" dxfId="1887" priority="38">
      <formula>N64&gt;70</formula>
    </cfRule>
  </conditionalFormatting>
  <conditionalFormatting sqref="P64:Q64">
    <cfRule type="expression" dxfId="1886" priority="35">
      <formula>P64&lt;50</formula>
    </cfRule>
    <cfRule type="expression" dxfId="1885" priority="36">
      <formula>P64&gt;70</formula>
    </cfRule>
  </conditionalFormatting>
  <conditionalFormatting sqref="R64:S64">
    <cfRule type="expression" dxfId="1884" priority="33">
      <formula>R64&lt;50</formula>
    </cfRule>
    <cfRule type="expression" dxfId="1883" priority="34">
      <formula>R64&gt;70</formula>
    </cfRule>
  </conditionalFormatting>
  <conditionalFormatting sqref="H65:I67">
    <cfRule type="expression" dxfId="1882" priority="31">
      <formula>H65&lt;50</formula>
    </cfRule>
    <cfRule type="expression" dxfId="1881" priority="32">
      <formula>H65&gt;70</formula>
    </cfRule>
  </conditionalFormatting>
  <conditionalFormatting sqref="J65:K67">
    <cfRule type="expression" dxfId="1880" priority="29">
      <formula>J65&lt;50</formula>
    </cfRule>
    <cfRule type="expression" dxfId="1879" priority="30">
      <formula>J65&gt;70</formula>
    </cfRule>
  </conditionalFormatting>
  <conditionalFormatting sqref="L65:M67">
    <cfRule type="expression" dxfId="1878" priority="27">
      <formula>L65&lt;50</formula>
    </cfRule>
    <cfRule type="expression" dxfId="1877" priority="28">
      <formula>L65&gt;70</formula>
    </cfRule>
  </conditionalFormatting>
  <conditionalFormatting sqref="N65:O67">
    <cfRule type="expression" dxfId="1876" priority="25">
      <formula>N65&lt;50</formula>
    </cfRule>
    <cfRule type="expression" dxfId="1875" priority="26">
      <formula>N65&gt;70</formula>
    </cfRule>
  </conditionalFormatting>
  <conditionalFormatting sqref="P65:Q67">
    <cfRule type="expression" dxfId="1874" priority="23">
      <formula>P65&lt;50</formula>
    </cfRule>
    <cfRule type="expression" dxfId="1873" priority="24">
      <formula>P65&gt;70</formula>
    </cfRule>
  </conditionalFormatting>
  <conditionalFormatting sqref="R65:S67">
    <cfRule type="expression" dxfId="1872" priority="21">
      <formula>R65&lt;50</formula>
    </cfRule>
    <cfRule type="expression" dxfId="1871" priority="22">
      <formula>R65&gt;70</formula>
    </cfRule>
  </conditionalFormatting>
  <conditionalFormatting sqref="H44 L44 P44 H46 L46 P46 H6 L6 P6 H8 L8 P8">
    <cfRule type="expression" dxfId="1870" priority="20" stopIfTrue="1">
      <formula>H6&lt;60</formula>
    </cfRule>
  </conditionalFormatting>
  <conditionalFormatting sqref="H44 L44 P44 H46 L46 P46 H6 L6 P6 H8 L8 P8">
    <cfRule type="expression" dxfId="1869" priority="19" stopIfTrue="1">
      <formula>H6&gt;80</formula>
    </cfRule>
  </conditionalFormatting>
  <pageMargins left="0.49" right="0" top="0" bottom="0" header="0" footer="0"/>
  <pageSetup paperSize="9" scale="66" orientation="portrait" verticalDpi="300" r:id="rId1"/>
  <headerFooter alignWithMargins="0">
    <oddFooter>&amp;L&amp;10DCC No.：      Q4-CXVN-PC01-IS10-02&amp;C&amp;10Ver.： 01&amp;R&amp;10保存期限： 1 年</oddFooter>
  </headerFooter>
  <drawing r:id="rId2"/>
</worksheet>
</file>

<file path=xl/worksheets/sheet20.xml><?xml version="1.0" encoding="utf-8"?>
<worksheet xmlns="http://schemas.openxmlformats.org/spreadsheetml/2006/main" xmlns:r="http://schemas.openxmlformats.org/officeDocument/2006/relationships">
  <sheetPr codeName="Sheet10">
    <tabColor rgb="FFFF0000"/>
  </sheetPr>
  <dimension ref="A1:AE83"/>
  <sheetViews>
    <sheetView zoomScale="55" zoomScaleNormal="55" workbookViewId="0">
      <selection activeCell="X45" sqref="X45"/>
    </sheetView>
  </sheetViews>
  <sheetFormatPr defaultRowHeight="16.5"/>
  <cols>
    <col min="1" max="1" width="5" style="9" customWidth="1"/>
    <col min="2" max="2" width="11.125" style="33" customWidth="1"/>
    <col min="3" max="3" width="6.75" style="33" customWidth="1"/>
    <col min="4" max="4" width="12.125" style="33" customWidth="1"/>
    <col min="5" max="5" width="2.75" style="33" customWidth="1"/>
    <col min="6" max="6" width="7.375" style="8" customWidth="1"/>
    <col min="7" max="7" width="18" style="8" customWidth="1"/>
    <col min="8" max="8" width="7.875" style="8" customWidth="1"/>
    <col min="9" max="9" width="3.125" style="8" customWidth="1"/>
    <col min="10" max="10" width="8" style="8" customWidth="1"/>
    <col min="11" max="11" width="4" style="8" customWidth="1"/>
    <col min="12" max="12" width="6.875" style="8" customWidth="1"/>
    <col min="13" max="13" width="2.875" style="8" customWidth="1"/>
    <col min="14" max="14" width="7.5" style="8" customWidth="1"/>
    <col min="15" max="15" width="4.875" style="8" customWidth="1"/>
    <col min="16" max="16" width="7.625" style="8" customWidth="1"/>
    <col min="17" max="17" width="4.25" style="8" customWidth="1"/>
    <col min="18" max="18" width="7.875" style="8" customWidth="1"/>
    <col min="19" max="19" width="4.875" style="8" customWidth="1"/>
    <col min="20" max="20" width="12.75" style="9" customWidth="1"/>
    <col min="21" max="21" width="9" style="9"/>
    <col min="22" max="22" width="13.5" style="9" customWidth="1"/>
    <col min="23" max="23" width="19" style="9" customWidth="1"/>
    <col min="24" max="24" width="19.125" style="9" customWidth="1"/>
    <col min="25" max="25" width="12.125" style="9" customWidth="1"/>
    <col min="26" max="16384" width="9" style="9"/>
  </cols>
  <sheetData>
    <row r="1" spans="1:31" ht="28.5" customHeight="1">
      <c r="A1" s="1972" t="s">
        <v>152</v>
      </c>
      <c r="B1" s="1972"/>
      <c r="C1" s="1972"/>
      <c r="D1" s="1972"/>
      <c r="E1" s="1972"/>
      <c r="F1" s="1972"/>
      <c r="G1" s="1972"/>
      <c r="H1" s="1972"/>
      <c r="I1" s="1972"/>
      <c r="J1" s="1972"/>
      <c r="K1" s="1972"/>
      <c r="L1" s="1972"/>
      <c r="M1" s="1972"/>
      <c r="N1" s="1972"/>
      <c r="O1" s="1972"/>
      <c r="P1" s="1972"/>
      <c r="Q1" s="1972"/>
      <c r="R1" s="1189"/>
      <c r="S1" s="1189"/>
      <c r="T1" s="73"/>
    </row>
    <row r="2" spans="1:31" ht="48.75" customHeight="1">
      <c r="A2" s="1973" t="s">
        <v>153</v>
      </c>
      <c r="B2" s="1973"/>
      <c r="C2" s="1973"/>
      <c r="D2" s="1973"/>
      <c r="E2" s="1973"/>
      <c r="F2" s="1973"/>
      <c r="G2" s="1973"/>
      <c r="H2" s="1973"/>
      <c r="I2" s="1973"/>
      <c r="J2" s="1973"/>
      <c r="K2" s="1973"/>
      <c r="L2" s="1973"/>
      <c r="M2" s="1973"/>
      <c r="N2" s="1973"/>
      <c r="O2" s="1973"/>
      <c r="P2" s="1973"/>
      <c r="Q2" s="2024"/>
      <c r="R2" s="2025" t="s">
        <v>96</v>
      </c>
      <c r="S2" s="1923"/>
      <c r="T2" s="90" t="s">
        <v>17</v>
      </c>
      <c r="X2" s="1166"/>
      <c r="Y2" s="1166"/>
      <c r="Z2" s="1166"/>
      <c r="AA2" s="1166"/>
      <c r="AB2" s="1166"/>
      <c r="AC2" s="1166"/>
      <c r="AD2" s="1166"/>
      <c r="AE2" s="1166"/>
    </row>
    <row r="3" spans="1:31" ht="28.5" customHeight="1">
      <c r="A3" s="10"/>
      <c r="B3" s="1675" t="s">
        <v>144</v>
      </c>
      <c r="C3" s="74"/>
      <c r="D3" s="74"/>
      <c r="E3" s="74"/>
      <c r="F3" s="75"/>
      <c r="G3" s="235" t="str">
        <f>'1. XL-1E kh'!$G$3</f>
        <v>2022/12/03</v>
      </c>
      <c r="H3" s="30"/>
      <c r="I3" s="30"/>
      <c r="J3" s="30"/>
      <c r="K3" s="31"/>
      <c r="L3" s="31"/>
      <c r="M3" s="31"/>
      <c r="N3" s="31"/>
      <c r="O3" s="31"/>
      <c r="P3" s="31"/>
      <c r="Q3" s="31"/>
      <c r="R3" s="2046" t="str">
        <f>'1. XL-1E kh'!$AC$3</f>
        <v>L.Yen</v>
      </c>
      <c r="S3" s="2047"/>
      <c r="T3" s="89" t="s">
        <v>11</v>
      </c>
    </row>
    <row r="4" spans="1:31" s="76" customFormat="1" ht="30.75" customHeight="1">
      <c r="A4" s="2048" t="s">
        <v>7</v>
      </c>
      <c r="B4" s="2049" t="s">
        <v>79</v>
      </c>
      <c r="C4" s="2050"/>
      <c r="D4" s="2050"/>
      <c r="E4" s="2051"/>
      <c r="F4" s="2055" t="s">
        <v>137</v>
      </c>
      <c r="G4" s="2057" t="s">
        <v>67</v>
      </c>
      <c r="H4" s="1921">
        <v>0.26041666666666669</v>
      </c>
      <c r="I4" s="1922"/>
      <c r="J4" s="1922"/>
      <c r="K4" s="1923"/>
      <c r="L4" s="1921">
        <v>0.42708333333333331</v>
      </c>
      <c r="M4" s="1922"/>
      <c r="N4" s="1922"/>
      <c r="O4" s="1923"/>
      <c r="P4" s="1921">
        <v>0.59375</v>
      </c>
      <c r="Q4" s="1922"/>
      <c r="R4" s="1922"/>
      <c r="S4" s="1923"/>
      <c r="T4" s="1970" t="s">
        <v>41</v>
      </c>
      <c r="V4" s="2104"/>
      <c r="W4" s="2104"/>
      <c r="X4" s="2104"/>
      <c r="Y4" s="2104"/>
      <c r="Z4" s="2104"/>
      <c r="AA4" s="2104"/>
      <c r="AB4" s="2104"/>
      <c r="AC4" s="2104"/>
      <c r="AD4" s="2104"/>
    </row>
    <row r="5" spans="1:31" s="76" customFormat="1" ht="30" customHeight="1">
      <c r="A5" s="2048"/>
      <c r="B5" s="2052"/>
      <c r="C5" s="2053"/>
      <c r="D5" s="2053"/>
      <c r="E5" s="2054"/>
      <c r="F5" s="2056"/>
      <c r="G5" s="2058"/>
      <c r="H5" s="63" t="s">
        <v>146</v>
      </c>
      <c r="I5" s="1927" t="s">
        <v>1</v>
      </c>
      <c r="J5" s="1928"/>
      <c r="K5" s="1929"/>
      <c r="L5" s="63" t="s">
        <v>146</v>
      </c>
      <c r="M5" s="1927" t="s">
        <v>1</v>
      </c>
      <c r="N5" s="1928"/>
      <c r="O5" s="1929"/>
      <c r="P5" s="63" t="s">
        <v>146</v>
      </c>
      <c r="Q5" s="1927" t="s">
        <v>1</v>
      </c>
      <c r="R5" s="1928"/>
      <c r="S5" s="1929"/>
      <c r="T5" s="1971"/>
      <c r="W5" s="928"/>
      <c r="X5" s="928"/>
      <c r="Z5" s="928"/>
      <c r="AA5" s="928"/>
      <c r="AC5" s="928"/>
      <c r="AD5" s="928"/>
    </row>
    <row r="6" spans="1:31" ht="31.5" customHeight="1">
      <c r="A6" s="2027">
        <v>1</v>
      </c>
      <c r="B6" s="2040" t="s">
        <v>156</v>
      </c>
      <c r="C6" s="2041"/>
      <c r="D6" s="2044" t="s">
        <v>266</v>
      </c>
      <c r="E6" s="2045"/>
      <c r="F6" s="1203" t="s">
        <v>4</v>
      </c>
      <c r="G6" s="1025" t="str">
        <f>'XM.GUI MAIL'!$E$68</f>
        <v>40~60g/L
(50±5g/L)</v>
      </c>
      <c r="H6" s="64">
        <f>'XM.GUI MAIL'!H68</f>
        <v>0</v>
      </c>
      <c r="I6" s="65" t="s">
        <v>8</v>
      </c>
      <c r="J6" s="66">
        <f>'XM.GUI MAIL'!K68</f>
        <v>775.85</v>
      </c>
      <c r="K6" s="67" t="s">
        <v>9</v>
      </c>
      <c r="L6" s="64">
        <f>'XM.GUI MAIL'!N68</f>
        <v>0</v>
      </c>
      <c r="M6" s="65" t="s">
        <v>8</v>
      </c>
      <c r="N6" s="66">
        <f>'XM.GUI MAIL'!Q68</f>
        <v>775.85</v>
      </c>
      <c r="O6" s="67" t="s">
        <v>9</v>
      </c>
      <c r="P6" s="64">
        <f>'XM.GUI MAIL'!T68</f>
        <v>0</v>
      </c>
      <c r="Q6" s="77" t="s">
        <v>8</v>
      </c>
      <c r="R6" s="78">
        <f>'XM.GUI MAIL'!W68</f>
        <v>775.85</v>
      </c>
      <c r="S6" s="32" t="s">
        <v>9</v>
      </c>
      <c r="T6" s="1188" t="s">
        <v>42</v>
      </c>
    </row>
    <row r="7" spans="1:31" ht="31.5" customHeight="1">
      <c r="A7" s="2039"/>
      <c r="B7" s="2042"/>
      <c r="C7" s="2043"/>
      <c r="D7" s="2044" t="s">
        <v>267</v>
      </c>
      <c r="E7" s="2045"/>
      <c r="F7" s="1167"/>
      <c r="G7" s="1025" t="s">
        <v>1474</v>
      </c>
      <c r="H7" s="64"/>
      <c r="I7" s="65"/>
      <c r="J7" s="68">
        <f>J6/25*8.5</f>
        <v>263.78900000000004</v>
      </c>
      <c r="K7" s="67" t="s">
        <v>10</v>
      </c>
      <c r="L7" s="64"/>
      <c r="M7" s="65"/>
      <c r="N7" s="68">
        <f>N6/25*8.5</f>
        <v>263.78900000000004</v>
      </c>
      <c r="O7" s="67" t="s">
        <v>10</v>
      </c>
      <c r="P7" s="64"/>
      <c r="Q7" s="65"/>
      <c r="R7" s="68">
        <f>R6/25*8.5</f>
        <v>263.78900000000004</v>
      </c>
      <c r="S7" s="67" t="s">
        <v>10</v>
      </c>
      <c r="T7" s="1188"/>
    </row>
    <row r="8" spans="1:31" ht="31.5" customHeight="1">
      <c r="A8" s="2027">
        <v>2</v>
      </c>
      <c r="B8" s="2040" t="s">
        <v>157</v>
      </c>
      <c r="C8" s="2041"/>
      <c r="D8" s="2044" t="s">
        <v>266</v>
      </c>
      <c r="E8" s="2045"/>
      <c r="F8" s="1203" t="s">
        <v>4</v>
      </c>
      <c r="G8" s="1025" t="str">
        <f>'XM.GUI MAIL'!$E$69</f>
        <v>40~60g/L
(50±5g/L)</v>
      </c>
      <c r="H8" s="64">
        <f>'XM.GUI MAIL'!H69</f>
        <v>0</v>
      </c>
      <c r="I8" s="65" t="s">
        <v>8</v>
      </c>
      <c r="J8" s="66">
        <f>'XM.GUI MAIL'!K69</f>
        <v>573.75</v>
      </c>
      <c r="K8" s="67" t="s">
        <v>9</v>
      </c>
      <c r="L8" s="64">
        <f>'XM.GUI MAIL'!N69</f>
        <v>0</v>
      </c>
      <c r="M8" s="65" t="s">
        <v>8</v>
      </c>
      <c r="N8" s="66">
        <f>'XM.GUI MAIL'!Q69</f>
        <v>573.75</v>
      </c>
      <c r="O8" s="67" t="s">
        <v>9</v>
      </c>
      <c r="P8" s="64">
        <f>'XM.GUI MAIL'!T69</f>
        <v>0</v>
      </c>
      <c r="Q8" s="77" t="s">
        <v>8</v>
      </c>
      <c r="R8" s="78">
        <f>'XM.GUI MAIL'!W69</f>
        <v>573.75</v>
      </c>
      <c r="S8" s="32" t="s">
        <v>9</v>
      </c>
      <c r="T8" s="1188" t="s">
        <v>42</v>
      </c>
    </row>
    <row r="9" spans="1:31" ht="31.5" customHeight="1">
      <c r="A9" s="2039"/>
      <c r="B9" s="2042"/>
      <c r="C9" s="2043"/>
      <c r="D9" s="2044" t="s">
        <v>267</v>
      </c>
      <c r="E9" s="2045"/>
      <c r="F9" s="1167"/>
      <c r="G9" s="1025" t="s">
        <v>1474</v>
      </c>
      <c r="H9" s="64"/>
      <c r="I9" s="65"/>
      <c r="J9" s="68">
        <f>J8/25*8.5</f>
        <v>195.07499999999999</v>
      </c>
      <c r="K9" s="67" t="s">
        <v>10</v>
      </c>
      <c r="L9" s="64"/>
      <c r="M9" s="65"/>
      <c r="N9" s="68">
        <f>N8/25*8.5</f>
        <v>195.07499999999999</v>
      </c>
      <c r="O9" s="67" t="s">
        <v>10</v>
      </c>
      <c r="P9" s="64"/>
      <c r="Q9" s="65"/>
      <c r="R9" s="68">
        <f>R8/25*8.5</f>
        <v>195.07499999999999</v>
      </c>
      <c r="S9" s="67" t="s">
        <v>10</v>
      </c>
      <c r="T9" s="1188"/>
    </row>
    <row r="10" spans="1:31" ht="31.5" customHeight="1">
      <c r="A10" s="2027">
        <v>3</v>
      </c>
      <c r="B10" s="2035" t="s">
        <v>158</v>
      </c>
      <c r="C10" s="2036"/>
      <c r="D10" s="2037" t="s">
        <v>268</v>
      </c>
      <c r="E10" s="2038" t="s">
        <v>268</v>
      </c>
      <c r="F10" s="1203" t="s">
        <v>4</v>
      </c>
      <c r="G10" s="1025" t="str">
        <f>'XM.GUI MAIL'!$E$70</f>
        <v>50~70g/L
(60±5g/L)</v>
      </c>
      <c r="H10" s="64">
        <f>'XM.GUI MAIL'!H70</f>
        <v>0</v>
      </c>
      <c r="I10" s="65" t="s">
        <v>8</v>
      </c>
      <c r="J10" s="66">
        <f>'XM.GUI MAIL'!K70</f>
        <v>492</v>
      </c>
      <c r="K10" s="67" t="s">
        <v>9</v>
      </c>
      <c r="L10" s="64">
        <f>'XM.GUI MAIL'!N70</f>
        <v>0</v>
      </c>
      <c r="M10" s="65" t="s">
        <v>8</v>
      </c>
      <c r="N10" s="66">
        <f>'XM.GUI MAIL'!Q70</f>
        <v>492</v>
      </c>
      <c r="O10" s="67" t="s">
        <v>9</v>
      </c>
      <c r="P10" s="64">
        <f>'XM.GUI MAIL'!T70</f>
        <v>0</v>
      </c>
      <c r="Q10" s="65" t="s">
        <v>8</v>
      </c>
      <c r="R10" s="66">
        <f>'XM.GUI MAIL'!W70</f>
        <v>492</v>
      </c>
      <c r="S10" s="67" t="s">
        <v>9</v>
      </c>
      <c r="T10" s="1188" t="s">
        <v>42</v>
      </c>
    </row>
    <row r="11" spans="1:31" ht="31.5" customHeight="1">
      <c r="A11" s="2028"/>
      <c r="B11" s="2036"/>
      <c r="C11" s="2036"/>
      <c r="D11" s="2037" t="s">
        <v>269</v>
      </c>
      <c r="E11" s="2038" t="s">
        <v>269</v>
      </c>
      <c r="F11" s="1167"/>
      <c r="G11" s="1025" t="s">
        <v>1475</v>
      </c>
      <c r="H11" s="64"/>
      <c r="I11" s="65"/>
      <c r="J11" s="68">
        <f>J10/25*8</f>
        <v>157.44</v>
      </c>
      <c r="K11" s="67" t="s">
        <v>10</v>
      </c>
      <c r="L11" s="64"/>
      <c r="M11" s="65"/>
      <c r="N11" s="68">
        <f>N10/25*8</f>
        <v>157.44</v>
      </c>
      <c r="O11" s="67" t="s">
        <v>10</v>
      </c>
      <c r="P11" s="64"/>
      <c r="Q11" s="65"/>
      <c r="R11" s="68">
        <f>R10/25*8</f>
        <v>157.44</v>
      </c>
      <c r="S11" s="67" t="s">
        <v>10</v>
      </c>
      <c r="T11" s="1188"/>
    </row>
    <row r="12" spans="1:31" ht="31.5" customHeight="1">
      <c r="A12" s="2027">
        <v>4</v>
      </c>
      <c r="B12" s="2035" t="s">
        <v>159</v>
      </c>
      <c r="C12" s="2036"/>
      <c r="D12" s="2037" t="s">
        <v>268</v>
      </c>
      <c r="E12" s="2038" t="s">
        <v>268</v>
      </c>
      <c r="F12" s="1203" t="s">
        <v>4</v>
      </c>
      <c r="G12" s="1025" t="str">
        <f>'XM.GUI MAIL'!$E$71</f>
        <v>50~70g/L
(60±5g/L)</v>
      </c>
      <c r="H12" s="64">
        <f>'XM.GUI MAIL'!H71</f>
        <v>0</v>
      </c>
      <c r="I12" s="65" t="s">
        <v>8</v>
      </c>
      <c r="J12" s="66">
        <f>'XM.GUI MAIL'!K71</f>
        <v>520.08000000000004</v>
      </c>
      <c r="K12" s="67" t="s">
        <v>9</v>
      </c>
      <c r="L12" s="64">
        <f>'XM.GUI MAIL'!N71</f>
        <v>0</v>
      </c>
      <c r="M12" s="65" t="s">
        <v>8</v>
      </c>
      <c r="N12" s="66">
        <f>'XM.GUI MAIL'!Q71</f>
        <v>520.08000000000004</v>
      </c>
      <c r="O12" s="67" t="s">
        <v>9</v>
      </c>
      <c r="P12" s="64">
        <f>'XM.GUI MAIL'!T71</f>
        <v>0</v>
      </c>
      <c r="Q12" s="65" t="s">
        <v>8</v>
      </c>
      <c r="R12" s="66">
        <f>'XM.GUI MAIL'!W71</f>
        <v>520.08000000000004</v>
      </c>
      <c r="S12" s="67" t="s">
        <v>9</v>
      </c>
      <c r="T12" s="1188" t="s">
        <v>42</v>
      </c>
    </row>
    <row r="13" spans="1:31" ht="31.5" customHeight="1">
      <c r="A13" s="2028"/>
      <c r="B13" s="2036"/>
      <c r="C13" s="2036"/>
      <c r="D13" s="2037" t="s">
        <v>269</v>
      </c>
      <c r="E13" s="2038" t="s">
        <v>269</v>
      </c>
      <c r="F13" s="1167"/>
      <c r="G13" s="1025" t="s">
        <v>1475</v>
      </c>
      <c r="H13" s="64"/>
      <c r="I13" s="65"/>
      <c r="J13" s="68">
        <f>J12/25*8</f>
        <v>166.4256</v>
      </c>
      <c r="K13" s="67" t="s">
        <v>10</v>
      </c>
      <c r="L13" s="64"/>
      <c r="M13" s="65"/>
      <c r="N13" s="68">
        <f>N12/25*8</f>
        <v>166.4256</v>
      </c>
      <c r="O13" s="67" t="s">
        <v>10</v>
      </c>
      <c r="P13" s="64"/>
      <c r="Q13" s="65"/>
      <c r="R13" s="68">
        <f>R12/25*8</f>
        <v>166.4256</v>
      </c>
      <c r="S13" s="67" t="s">
        <v>10</v>
      </c>
      <c r="T13" s="1188"/>
    </row>
    <row r="14" spans="1:31" ht="31.5" customHeight="1">
      <c r="A14" s="2027">
        <v>5</v>
      </c>
      <c r="B14" s="2090" t="s">
        <v>121</v>
      </c>
      <c r="C14" s="2092" t="s">
        <v>21</v>
      </c>
      <c r="D14" s="2093"/>
      <c r="E14" s="2094"/>
      <c r="F14" s="1203" t="s">
        <v>4</v>
      </c>
      <c r="G14" s="1688" t="str">
        <f>'XM.GUI MAIL'!$E$72</f>
        <v>135~ 145g/L
(140±5g/L)</v>
      </c>
      <c r="H14" s="64">
        <f>'XM.GUI MAIL'!H72</f>
        <v>0</v>
      </c>
      <c r="I14" s="65" t="s">
        <v>8</v>
      </c>
      <c r="J14" s="66">
        <f>'XM.GUI MAIL'!K72</f>
        <v>7429.24</v>
      </c>
      <c r="K14" s="67" t="s">
        <v>9</v>
      </c>
      <c r="L14" s="64">
        <f>'XM.GUI MAIL'!N72</f>
        <v>0</v>
      </c>
      <c r="M14" s="1245" t="s">
        <v>8</v>
      </c>
      <c r="N14" s="66">
        <f>'XM.GUI MAIL'!Q72</f>
        <v>7429.24</v>
      </c>
      <c r="O14" s="67" t="s">
        <v>9</v>
      </c>
      <c r="P14" s="64">
        <f>'XM.GUI MAIL'!T72</f>
        <v>0</v>
      </c>
      <c r="Q14" s="1245" t="s">
        <v>8</v>
      </c>
      <c r="R14" s="66">
        <f>'XM.GUI MAIL'!W72</f>
        <v>7429.24</v>
      </c>
      <c r="S14" s="67" t="s">
        <v>9</v>
      </c>
      <c r="T14" s="1246" t="s">
        <v>43</v>
      </c>
    </row>
    <row r="15" spans="1:31" ht="31.5" customHeight="1">
      <c r="A15" s="2028"/>
      <c r="B15" s="2091"/>
      <c r="C15" s="2092" t="s">
        <v>22</v>
      </c>
      <c r="D15" s="2093"/>
      <c r="E15" s="2094"/>
      <c r="F15" s="1167"/>
      <c r="G15" s="1688" t="str">
        <f>'XM.GUI MAIL'!$E$73</f>
        <v>6~8g/L
(7±0.5g/L)</v>
      </c>
      <c r="H15" s="64">
        <f>'XM.GUI MAIL'!H73</f>
        <v>0</v>
      </c>
      <c r="I15" s="77" t="s">
        <v>8</v>
      </c>
      <c r="J15" s="931">
        <f>'XM.GUI MAIL'!K73</f>
        <v>371.46199999999999</v>
      </c>
      <c r="K15" s="1247" t="s">
        <v>9</v>
      </c>
      <c r="L15" s="64">
        <f>'XM.GUI MAIL'!N73</f>
        <v>0</v>
      </c>
      <c r="M15" s="930" t="s">
        <v>8</v>
      </c>
      <c r="N15" s="931">
        <f>'XM.GUI MAIL'!Q73</f>
        <v>371.46199999999999</v>
      </c>
      <c r="O15" s="1247" t="s">
        <v>9</v>
      </c>
      <c r="P15" s="64">
        <f>'XM.GUI MAIL'!T73</f>
        <v>0</v>
      </c>
      <c r="Q15" s="930" t="s">
        <v>8</v>
      </c>
      <c r="R15" s="931">
        <f>'XM.GUI MAIL'!W73</f>
        <v>371.46199999999999</v>
      </c>
      <c r="S15" s="1247" t="s">
        <v>9</v>
      </c>
      <c r="T15" s="1246" t="s">
        <v>44</v>
      </c>
    </row>
    <row r="16" spans="1:31" s="8" customFormat="1" ht="31.5" customHeight="1">
      <c r="A16" s="2027">
        <v>6</v>
      </c>
      <c r="B16" s="2084" t="s">
        <v>1279</v>
      </c>
      <c r="C16" s="2085"/>
      <c r="D16" s="2085"/>
      <c r="E16" s="2088"/>
      <c r="F16" s="92" t="s">
        <v>3</v>
      </c>
      <c r="G16" s="1688" t="str">
        <f>'XM.GUI MAIL'!$E$74</f>
        <v>5~8 %
(6±0.5%)</v>
      </c>
      <c r="H16" s="64">
        <f>'XM.GUI MAIL'!H74</f>
        <v>-1.0461</v>
      </c>
      <c r="I16" s="65" t="s">
        <v>8</v>
      </c>
      <c r="J16" s="66">
        <f>'XM.GUI MAIL'!K74</f>
        <v>236.74896000000001</v>
      </c>
      <c r="K16" s="67" t="s">
        <v>10</v>
      </c>
      <c r="L16" s="64">
        <f>'XM.GUI MAIL'!N74</f>
        <v>-1.0461</v>
      </c>
      <c r="M16" s="1245" t="s">
        <v>8</v>
      </c>
      <c r="N16" s="66">
        <f>'XM.GUI MAIL'!Q74</f>
        <v>236.74896000000001</v>
      </c>
      <c r="O16" s="67" t="s">
        <v>10</v>
      </c>
      <c r="P16" s="64">
        <f>'XM.GUI MAIL'!T74</f>
        <v>-1.0461</v>
      </c>
      <c r="Q16" s="930" t="s">
        <v>8</v>
      </c>
      <c r="R16" s="931">
        <f>'XM.GUI MAIL'!W74</f>
        <v>236.74896000000001</v>
      </c>
      <c r="S16" s="1248" t="s">
        <v>10</v>
      </c>
      <c r="T16" s="1246" t="s">
        <v>45</v>
      </c>
      <c r="U16" s="9"/>
      <c r="V16" s="9"/>
      <c r="W16" s="9"/>
      <c r="X16" s="9"/>
      <c r="Y16" s="9"/>
    </row>
    <row r="17" spans="1:25" ht="31.5" customHeight="1">
      <c r="A17" s="2028"/>
      <c r="B17" s="2086"/>
      <c r="C17" s="2087"/>
      <c r="D17" s="2087"/>
      <c r="E17" s="2089"/>
      <c r="F17" s="92" t="s">
        <v>5</v>
      </c>
      <c r="G17" s="1688" t="str">
        <f>'XM.GUI MAIL'!$E$75</f>
        <v>2.0~2.4(2.2±0.2 )</v>
      </c>
      <c r="H17" s="70">
        <f>'XM.GUI MAIL'!H75</f>
        <v>0</v>
      </c>
      <c r="I17" s="1927"/>
      <c r="J17" s="1928"/>
      <c r="K17" s="1929"/>
      <c r="L17" s="70">
        <f>'XM.GUI MAIL'!N75</f>
        <v>0</v>
      </c>
      <c r="M17" s="1927"/>
      <c r="N17" s="1928"/>
      <c r="O17" s="1929"/>
      <c r="P17" s="70">
        <f>'XM.GUI MAIL'!T75</f>
        <v>0</v>
      </c>
      <c r="Q17" s="930"/>
      <c r="R17" s="931"/>
      <c r="S17" s="1248"/>
      <c r="T17" s="116"/>
    </row>
    <row r="18" spans="1:25" ht="31.5" customHeight="1">
      <c r="A18" s="1190">
        <v>7</v>
      </c>
      <c r="B18" s="2029" t="s">
        <v>1060</v>
      </c>
      <c r="C18" s="2030"/>
      <c r="D18" s="2030"/>
      <c r="E18" s="2031"/>
      <c r="F18" s="92" t="s">
        <v>6</v>
      </c>
      <c r="G18" s="1169" t="str">
        <f>'XM.GUI MAIL'!$E$76</f>
        <v>40~50 %V/V
(45±5% V/V)</v>
      </c>
      <c r="H18" s="71">
        <f>'XM.GUI MAIL'!H76</f>
        <v>0</v>
      </c>
      <c r="I18" s="77"/>
      <c r="J18" s="78">
        <f>'XM.GUI MAIL'!K76</f>
        <v>3025.35</v>
      </c>
      <c r="K18" s="32"/>
      <c r="L18" s="71">
        <f>'XM.GUI MAIL'!N76</f>
        <v>0</v>
      </c>
      <c r="M18" s="77"/>
      <c r="N18" s="78">
        <f>'XM.GUI MAIL'!Q76</f>
        <v>3025.35</v>
      </c>
      <c r="O18" s="32"/>
      <c r="P18" s="71">
        <f>'XM.GUI MAIL'!T76</f>
        <v>0</v>
      </c>
      <c r="Q18" s="77"/>
      <c r="R18" s="78">
        <f>'XM.GUI MAIL'!W76</f>
        <v>3025.35</v>
      </c>
      <c r="S18" s="32"/>
      <c r="T18" s="1188"/>
    </row>
    <row r="19" spans="1:25" ht="31.5" customHeight="1">
      <c r="A19" s="1190">
        <v>8</v>
      </c>
      <c r="B19" s="2029" t="s">
        <v>1061</v>
      </c>
      <c r="C19" s="2030"/>
      <c r="D19" s="2030"/>
      <c r="E19" s="2031"/>
      <c r="F19" s="92" t="s">
        <v>6</v>
      </c>
      <c r="G19" s="1169" t="str">
        <f>'XM.GUI MAIL'!$E$77</f>
        <v>40~50 %V/V
(45±5% V/V)</v>
      </c>
      <c r="H19" s="71">
        <f>'XM.GUI MAIL'!H77</f>
        <v>0</v>
      </c>
      <c r="I19" s="77" t="s">
        <v>8</v>
      </c>
      <c r="J19" s="78">
        <f>'XM.GUI MAIL'!K77</f>
        <v>4729.05</v>
      </c>
      <c r="K19" s="32" t="s">
        <v>10</v>
      </c>
      <c r="L19" s="71">
        <f>'XM.GUI MAIL'!N77</f>
        <v>0</v>
      </c>
      <c r="M19" s="77" t="s">
        <v>8</v>
      </c>
      <c r="N19" s="78">
        <f>'XM.GUI MAIL'!Q77</f>
        <v>4729.05</v>
      </c>
      <c r="O19" s="32" t="s">
        <v>10</v>
      </c>
      <c r="P19" s="71">
        <f>'XM.GUI MAIL'!T77</f>
        <v>0</v>
      </c>
      <c r="Q19" s="77" t="s">
        <v>8</v>
      </c>
      <c r="R19" s="78">
        <f>'XM.GUI MAIL'!W77</f>
        <v>4729.05</v>
      </c>
      <c r="S19" s="32" t="s">
        <v>10</v>
      </c>
      <c r="T19" s="1170" t="s">
        <v>46</v>
      </c>
    </row>
    <row r="20" spans="1:25" ht="31.5" customHeight="1">
      <c r="A20" s="1190">
        <v>9</v>
      </c>
      <c r="B20" s="2032" t="s">
        <v>86</v>
      </c>
      <c r="C20" s="2033"/>
      <c r="D20" s="2033"/>
      <c r="E20" s="2034"/>
      <c r="F20" s="92" t="s">
        <v>6</v>
      </c>
      <c r="G20" s="1169" t="str">
        <f>'XM.GUI MAIL'!$E$78</f>
        <v>20~40 %V/V
(30±5% V/V)</v>
      </c>
      <c r="H20" s="71">
        <f>'XM.GUI MAIL'!H78</f>
        <v>0</v>
      </c>
      <c r="I20" s="77" t="s">
        <v>8</v>
      </c>
      <c r="J20" s="78">
        <f>'XM.GUI MAIL'!K78</f>
        <v>970.19999999999993</v>
      </c>
      <c r="K20" s="32" t="s">
        <v>10</v>
      </c>
      <c r="L20" s="71">
        <f>'XM.GUI MAIL'!N78</f>
        <v>0</v>
      </c>
      <c r="M20" s="77" t="s">
        <v>8</v>
      </c>
      <c r="N20" s="78">
        <f>'XM.GUI MAIL'!Q78</f>
        <v>970.19999999999993</v>
      </c>
      <c r="O20" s="32" t="s">
        <v>10</v>
      </c>
      <c r="P20" s="71">
        <f>'XM.GUI MAIL'!T78</f>
        <v>0</v>
      </c>
      <c r="Q20" s="77" t="s">
        <v>8</v>
      </c>
      <c r="R20" s="78">
        <f>'XM.GUI MAIL'!W78</f>
        <v>970.19999999999993</v>
      </c>
      <c r="S20" s="32" t="s">
        <v>10</v>
      </c>
      <c r="T20" s="1188" t="s">
        <v>47</v>
      </c>
    </row>
    <row r="21" spans="1:25" ht="31.5" customHeight="1">
      <c r="A21" s="1190">
        <v>10</v>
      </c>
      <c r="B21" s="2032" t="s">
        <v>1062</v>
      </c>
      <c r="C21" s="2033" t="s">
        <v>1062</v>
      </c>
      <c r="D21" s="2033" t="s">
        <v>1062</v>
      </c>
      <c r="E21" s="2034" t="s">
        <v>1062</v>
      </c>
      <c r="F21" s="92" t="s">
        <v>6</v>
      </c>
      <c r="G21" s="1169" t="str">
        <f>'XM.GUI MAIL'!$E$79</f>
        <v>0.5~1.5%
(1±0.4%)</v>
      </c>
      <c r="H21" s="72">
        <f>'XM.GUI MAIL'!H79</f>
        <v>0</v>
      </c>
      <c r="I21" s="77" t="s">
        <v>8</v>
      </c>
      <c r="J21" s="81">
        <f>'XM.GUI MAIL'!K79</f>
        <v>28.080000000000002</v>
      </c>
      <c r="K21" s="83" t="s">
        <v>10</v>
      </c>
      <c r="L21" s="72">
        <f>'XM.GUI MAIL'!N79</f>
        <v>0</v>
      </c>
      <c r="M21" s="77" t="s">
        <v>8</v>
      </c>
      <c r="N21" s="81">
        <f>'XM.GUI MAIL'!Q79</f>
        <v>28.080000000000002</v>
      </c>
      <c r="O21" s="83" t="s">
        <v>10</v>
      </c>
      <c r="P21" s="72">
        <f>'XM.GUI MAIL'!T79</f>
        <v>0</v>
      </c>
      <c r="Q21" s="77" t="s">
        <v>8</v>
      </c>
      <c r="R21" s="81">
        <f>'XM.GUI MAIL'!W79</f>
        <v>28.080000000000002</v>
      </c>
      <c r="S21" s="83" t="s">
        <v>10</v>
      </c>
      <c r="T21" s="1188" t="s">
        <v>47</v>
      </c>
    </row>
    <row r="22" spans="1:25" s="20" customFormat="1" ht="27.75" customHeight="1">
      <c r="A22" s="2060">
        <v>11</v>
      </c>
      <c r="B22" s="2049" t="s">
        <v>77</v>
      </c>
      <c r="C22" s="2050"/>
      <c r="D22" s="2050"/>
      <c r="E22" s="2051"/>
      <c r="F22" s="2" t="s">
        <v>3</v>
      </c>
      <c r="G22" s="1025" t="str">
        <f>'XM.GUI MAIL'!$E$80</f>
        <v>3~9%
(6±1%)</v>
      </c>
      <c r="H22" s="318" t="str">
        <f>'XM.GUI MAIL'!H80</f>
        <v/>
      </c>
      <c r="I22" s="77" t="s">
        <v>8</v>
      </c>
      <c r="J22" s="78" t="str">
        <f>'XM.GUI MAIL'!K80</f>
        <v/>
      </c>
      <c r="K22" s="83" t="s">
        <v>10</v>
      </c>
      <c r="L22" s="318" t="str">
        <f>'XM.GUI MAIL'!N80</f>
        <v/>
      </c>
      <c r="M22" s="77" t="s">
        <v>8</v>
      </c>
      <c r="N22" s="78" t="str">
        <f>'XM.GUI MAIL'!Q80</f>
        <v/>
      </c>
      <c r="O22" s="83" t="s">
        <v>10</v>
      </c>
      <c r="P22" s="318" t="str">
        <f>'XM.GUI MAIL'!T80</f>
        <v/>
      </c>
      <c r="Q22" s="77" t="s">
        <v>8</v>
      </c>
      <c r="R22" s="78" t="str">
        <f>'XM.GUI MAIL'!W80</f>
        <v/>
      </c>
      <c r="S22" s="83" t="s">
        <v>10</v>
      </c>
      <c r="T22" s="316"/>
      <c r="U22" s="9"/>
      <c r="V22" s="9"/>
      <c r="W22" s="9"/>
      <c r="X22" s="9"/>
      <c r="Y22" s="9"/>
    </row>
    <row r="23" spans="1:25" s="20" customFormat="1" ht="27.75" customHeight="1">
      <c r="A23" s="2061"/>
      <c r="B23" s="2052"/>
      <c r="C23" s="2053"/>
      <c r="D23" s="2053"/>
      <c r="E23" s="2054"/>
      <c r="F23" s="2" t="s">
        <v>5</v>
      </c>
      <c r="G23" s="1025" t="str">
        <f>'XM.GUI MAIL'!$E$81</f>
        <v>1.8~2.4(2.0±0.1)</v>
      </c>
      <c r="H23" s="319">
        <f>'XM.GUI MAIL'!H81</f>
        <v>0</v>
      </c>
      <c r="I23" s="77" t="s">
        <v>8</v>
      </c>
      <c r="J23" s="81"/>
      <c r="K23" s="83"/>
      <c r="L23" s="319">
        <f>'XM.GUI MAIL'!N81</f>
        <v>0</v>
      </c>
      <c r="M23" s="77" t="s">
        <v>8</v>
      </c>
      <c r="N23" s="81"/>
      <c r="O23" s="83"/>
      <c r="P23" s="319">
        <f>'XM.GUI MAIL'!T81</f>
        <v>0</v>
      </c>
      <c r="Q23" s="77" t="s">
        <v>8</v>
      </c>
      <c r="R23" s="81"/>
      <c r="S23" s="83"/>
      <c r="T23" s="316"/>
    </row>
    <row r="24" spans="1:25" s="20" customFormat="1" ht="27.75" customHeight="1">
      <c r="A24" s="1421"/>
      <c r="B24" s="2095" t="s">
        <v>1280</v>
      </c>
      <c r="C24" s="2096"/>
      <c r="D24" s="2096"/>
      <c r="E24" s="2097"/>
      <c r="F24" s="1420" t="s">
        <v>3</v>
      </c>
      <c r="G24" s="1606" t="str">
        <f>'XM.GUI MAIL'!$E$82</f>
        <v>8~16 %
(12±2%)</v>
      </c>
      <c r="H24" s="1409" t="str">
        <f>'XM.GUI MAIL'!H82</f>
        <v/>
      </c>
      <c r="I24" s="1422" t="s">
        <v>8</v>
      </c>
      <c r="J24" s="1423" t="str">
        <f>'XM.GUI MAIL'!K82</f>
        <v/>
      </c>
      <c r="K24" s="1424"/>
      <c r="L24" s="1409" t="str">
        <f>'XM.GUI MAIL'!N82</f>
        <v/>
      </c>
      <c r="M24" s="1422" t="s">
        <v>8</v>
      </c>
      <c r="N24" s="1423" t="str">
        <f>'XM.GUI MAIL'!Q82</f>
        <v/>
      </c>
      <c r="O24" s="1424"/>
      <c r="P24" s="1409" t="str">
        <f>'XM.GUI MAIL'!T82</f>
        <v/>
      </c>
      <c r="Q24" s="1422" t="s">
        <v>8</v>
      </c>
      <c r="R24" s="1423" t="str">
        <f>'XM.GUI MAIL'!W82</f>
        <v/>
      </c>
      <c r="S24" s="1248"/>
      <c r="T24" s="116"/>
    </row>
    <row r="25" spans="1:25" s="20" customFormat="1" ht="27.75" customHeight="1">
      <c r="A25" s="1421"/>
      <c r="B25" s="2098"/>
      <c r="C25" s="2099"/>
      <c r="D25" s="2099"/>
      <c r="E25" s="2100"/>
      <c r="F25" s="1420" t="s">
        <v>5</v>
      </c>
      <c r="G25" s="1606" t="str">
        <f>'XM.GUI MAIL'!$E$83</f>
        <v>1.8~2.4(2.0 ±0.2 )</v>
      </c>
      <c r="H25" s="1428">
        <f>'XM.GUI MAIL'!H83</f>
        <v>0</v>
      </c>
      <c r="I25" s="1422" t="s">
        <v>8</v>
      </c>
      <c r="J25" s="1425">
        <f>'XM.GUI MAIL'!K83</f>
        <v>0</v>
      </c>
      <c r="K25" s="1424"/>
      <c r="L25" s="1428">
        <f>'XM.GUI MAIL'!N83</f>
        <v>0</v>
      </c>
      <c r="M25" s="1422" t="s">
        <v>8</v>
      </c>
      <c r="N25" s="1425">
        <f>'XM.GUI MAIL'!Q83</f>
        <v>0</v>
      </c>
      <c r="O25" s="1424"/>
      <c r="P25" s="1428">
        <f>'XM.GUI MAIL'!T83</f>
        <v>0</v>
      </c>
      <c r="Q25" s="1422" t="s">
        <v>8</v>
      </c>
      <c r="R25" s="1426"/>
      <c r="S25" s="1248"/>
      <c r="T25" s="116"/>
    </row>
    <row r="26" spans="1:25" ht="27" customHeight="1">
      <c r="A26" s="1190"/>
      <c r="B26" s="294"/>
      <c r="C26" s="295"/>
      <c r="D26" s="295"/>
      <c r="E26" s="295"/>
      <c r="F26" s="295"/>
      <c r="G26" s="1137" t="s">
        <v>2</v>
      </c>
      <c r="H26" s="297"/>
      <c r="I26" s="295"/>
      <c r="J26" s="295"/>
      <c r="K26" s="295"/>
      <c r="L26" s="295"/>
      <c r="M26" s="295"/>
      <c r="N26" s="295"/>
      <c r="O26" s="295"/>
      <c r="P26" s="295"/>
      <c r="Q26" s="295"/>
      <c r="R26" s="295"/>
      <c r="S26" s="295"/>
      <c r="T26" s="296"/>
    </row>
    <row r="27" spans="1:25" ht="47.25" customHeight="1">
      <c r="A27" s="1190" t="s">
        <v>7</v>
      </c>
      <c r="B27" s="2010" t="s">
        <v>23</v>
      </c>
      <c r="C27" s="2011"/>
      <c r="D27" s="2011"/>
      <c r="E27" s="2012"/>
      <c r="F27" s="90" t="s">
        <v>24</v>
      </c>
      <c r="G27" s="90" t="s">
        <v>25</v>
      </c>
      <c r="H27" s="2021" t="s">
        <v>26</v>
      </c>
      <c r="I27" s="2022"/>
      <c r="J27" s="2021" t="s">
        <v>27</v>
      </c>
      <c r="K27" s="2022"/>
      <c r="L27" s="2021" t="s">
        <v>26</v>
      </c>
      <c r="M27" s="2022"/>
      <c r="N27" s="2021" t="s">
        <v>27</v>
      </c>
      <c r="O27" s="2022"/>
      <c r="P27" s="2021" t="s">
        <v>26</v>
      </c>
      <c r="Q27" s="2022"/>
      <c r="R27" s="2021" t="s">
        <v>27</v>
      </c>
      <c r="S27" s="2022"/>
      <c r="T27" s="11"/>
    </row>
    <row r="28" spans="1:25" ht="33.75" customHeight="1">
      <c r="A28" s="1190">
        <v>1</v>
      </c>
      <c r="B28" s="2010" t="s">
        <v>36</v>
      </c>
      <c r="C28" s="2011"/>
      <c r="D28" s="2011"/>
      <c r="E28" s="2012"/>
      <c r="F28" s="12" t="s">
        <v>28</v>
      </c>
      <c r="G28" s="1171" t="str">
        <f>'XM.GUI MAIL'!$E$91</f>
        <v>65~75ºC
(70±3OC)</v>
      </c>
      <c r="H28" s="1869">
        <f>'XM.GUI MAIL'!H91</f>
        <v>0</v>
      </c>
      <c r="I28" s="1869"/>
      <c r="J28" s="1869">
        <f>'XM.GUI MAIL'!K91</f>
        <v>0</v>
      </c>
      <c r="K28" s="1869"/>
      <c r="L28" s="1869">
        <f>'XM.GUI MAIL'!N91</f>
        <v>0</v>
      </c>
      <c r="M28" s="1869"/>
      <c r="N28" s="1869">
        <f>'XM.GUI MAIL'!Q91</f>
        <v>0</v>
      </c>
      <c r="O28" s="1869"/>
      <c r="P28" s="1869">
        <f>'XM.GUI MAIL'!T91</f>
        <v>0</v>
      </c>
      <c r="Q28" s="1869"/>
      <c r="R28" s="1869">
        <f>'XM.GUI MAIL'!W91</f>
        <v>0</v>
      </c>
      <c r="S28" s="1869"/>
      <c r="T28" s="1190"/>
    </row>
    <row r="29" spans="1:25" ht="33.75" customHeight="1">
      <c r="A29" s="1190">
        <v>2</v>
      </c>
      <c r="B29" s="2010" t="s">
        <v>37</v>
      </c>
      <c r="C29" s="2011"/>
      <c r="D29" s="2011"/>
      <c r="E29" s="2012"/>
      <c r="F29" s="12" t="s">
        <v>28</v>
      </c>
      <c r="G29" s="1171" t="str">
        <f>'XM.GUI MAIL'!$E$92</f>
        <v>65~75ºC
(70±3OC)</v>
      </c>
      <c r="H29" s="1869">
        <f>'XM.GUI MAIL'!H92</f>
        <v>0</v>
      </c>
      <c r="I29" s="1869"/>
      <c r="J29" s="1869">
        <f>'XM.GUI MAIL'!K92</f>
        <v>0</v>
      </c>
      <c r="K29" s="1869"/>
      <c r="L29" s="1869">
        <f>'XM.GUI MAIL'!N92</f>
        <v>0</v>
      </c>
      <c r="M29" s="1869"/>
      <c r="N29" s="1869">
        <f>'XM.GUI MAIL'!Q92</f>
        <v>0</v>
      </c>
      <c r="O29" s="1869"/>
      <c r="P29" s="1869">
        <f>'XM.GUI MAIL'!T92</f>
        <v>0</v>
      </c>
      <c r="Q29" s="1869"/>
      <c r="R29" s="1869">
        <f>'XM.GUI MAIL'!W92</f>
        <v>0</v>
      </c>
      <c r="S29" s="1869"/>
      <c r="T29" s="1190"/>
    </row>
    <row r="30" spans="1:25" ht="33.75" customHeight="1">
      <c r="A30" s="1190">
        <v>3</v>
      </c>
      <c r="B30" s="2010" t="s">
        <v>29</v>
      </c>
      <c r="C30" s="2011"/>
      <c r="D30" s="2011"/>
      <c r="E30" s="2012"/>
      <c r="F30" s="12" t="s">
        <v>28</v>
      </c>
      <c r="G30" s="1171" t="str">
        <f>'XM.GUI MAIL'!$E$93</f>
        <v>60~70ºC
(65±3OC)</v>
      </c>
      <c r="H30" s="1869">
        <f>'XM.GUI MAIL'!H93</f>
        <v>0</v>
      </c>
      <c r="I30" s="1869"/>
      <c r="J30" s="1869">
        <f>'XM.GUI MAIL'!K93</f>
        <v>0</v>
      </c>
      <c r="K30" s="1869"/>
      <c r="L30" s="1869">
        <f>'XM.GUI MAIL'!N93</f>
        <v>0</v>
      </c>
      <c r="M30" s="1869"/>
      <c r="N30" s="1869">
        <f>'XM.GUI MAIL'!Q93</f>
        <v>0</v>
      </c>
      <c r="O30" s="1869"/>
      <c r="P30" s="1869">
        <f>'XM.GUI MAIL'!T93</f>
        <v>0</v>
      </c>
      <c r="Q30" s="1869"/>
      <c r="R30" s="1869">
        <f>'XM.GUI MAIL'!W93</f>
        <v>0</v>
      </c>
      <c r="S30" s="1869"/>
      <c r="T30" s="1190"/>
    </row>
    <row r="31" spans="1:25" ht="33.75" customHeight="1">
      <c r="A31" s="1190">
        <v>4</v>
      </c>
      <c r="B31" s="2010" t="s">
        <v>30</v>
      </c>
      <c r="C31" s="2011"/>
      <c r="D31" s="2011"/>
      <c r="E31" s="2012"/>
      <c r="F31" s="12" t="s">
        <v>28</v>
      </c>
      <c r="G31" s="1171" t="str">
        <f>'XM.GUI MAIL'!$E$94</f>
        <v>60~70ºC
(65±3OC)</v>
      </c>
      <c r="H31" s="1869">
        <f>'XM.GUI MAIL'!H94</f>
        <v>0</v>
      </c>
      <c r="I31" s="1869"/>
      <c r="J31" s="1869">
        <f>'XM.GUI MAIL'!K94</f>
        <v>0</v>
      </c>
      <c r="K31" s="1869"/>
      <c r="L31" s="1869">
        <f>'XM.GUI MAIL'!N94</f>
        <v>0</v>
      </c>
      <c r="M31" s="1869"/>
      <c r="N31" s="1869">
        <f>'XM.GUI MAIL'!Q94</f>
        <v>0</v>
      </c>
      <c r="O31" s="1869"/>
      <c r="P31" s="1869">
        <f>'XM.GUI MAIL'!T94</f>
        <v>0</v>
      </c>
      <c r="Q31" s="1869"/>
      <c r="R31" s="1869">
        <f>'XM.GUI MAIL'!W94</f>
        <v>0</v>
      </c>
      <c r="S31" s="1869"/>
      <c r="T31" s="1190"/>
    </row>
    <row r="32" spans="1:25" ht="33.75" customHeight="1">
      <c r="A32" s="1190">
        <v>5</v>
      </c>
      <c r="B32" s="2010" t="s">
        <v>31</v>
      </c>
      <c r="C32" s="2011"/>
      <c r="D32" s="2011"/>
      <c r="E32" s="2012"/>
      <c r="F32" s="12" t="s">
        <v>28</v>
      </c>
      <c r="G32" s="1171" t="str">
        <f>'XM.GUI MAIL'!$E$95</f>
        <v>24~26ºC
(25OC)</v>
      </c>
      <c r="H32" s="1866">
        <f>'XM.GUI MAIL'!H95</f>
        <v>0</v>
      </c>
      <c r="I32" s="1867"/>
      <c r="J32" s="1866">
        <f>'XM.GUI MAIL'!K95</f>
        <v>0</v>
      </c>
      <c r="K32" s="1867"/>
      <c r="L32" s="1866">
        <f>'XM.GUI MAIL'!N95</f>
        <v>0</v>
      </c>
      <c r="M32" s="1867"/>
      <c r="N32" s="1866">
        <f>'XM.GUI MAIL'!Q95</f>
        <v>0</v>
      </c>
      <c r="O32" s="1867"/>
      <c r="P32" s="1866">
        <f>'XM.GUI MAIL'!T95</f>
        <v>0</v>
      </c>
      <c r="Q32" s="1867"/>
      <c r="R32" s="1866">
        <f>'XM.GUI MAIL'!W95</f>
        <v>0</v>
      </c>
      <c r="S32" s="1867"/>
      <c r="T32" s="1190"/>
    </row>
    <row r="33" spans="1:20" ht="33.75" customHeight="1">
      <c r="A33" s="1190">
        <v>6</v>
      </c>
      <c r="B33" s="2010" t="s">
        <v>1483</v>
      </c>
      <c r="C33" s="2011"/>
      <c r="D33" s="2011"/>
      <c r="E33" s="2012"/>
      <c r="F33" s="12" t="s">
        <v>28</v>
      </c>
      <c r="G33" s="1171" t="str">
        <f>'XM.GUI MAIL'!$E$96</f>
        <v>34~36ºC
(35±1OC)</v>
      </c>
      <c r="H33" s="1866">
        <f>'XM.GUI MAIL'!H96</f>
        <v>0</v>
      </c>
      <c r="I33" s="1867"/>
      <c r="J33" s="1866">
        <f>'XM.GUI MAIL'!K96</f>
        <v>0</v>
      </c>
      <c r="K33" s="1867"/>
      <c r="L33" s="1866">
        <f>'XM.GUI MAIL'!N96</f>
        <v>0</v>
      </c>
      <c r="M33" s="1867"/>
      <c r="N33" s="1866">
        <f>'XM.GUI MAIL'!Q96</f>
        <v>0</v>
      </c>
      <c r="O33" s="1867"/>
      <c r="P33" s="1866">
        <f>'XM.GUI MAIL'!T96</f>
        <v>0</v>
      </c>
      <c r="Q33" s="1867"/>
      <c r="R33" s="1866">
        <f>'XM.GUI MAIL'!W96</f>
        <v>0</v>
      </c>
      <c r="S33" s="1867"/>
      <c r="T33" s="1190"/>
    </row>
    <row r="34" spans="1:20" ht="33.75" customHeight="1">
      <c r="A34" s="1190">
        <v>7</v>
      </c>
      <c r="B34" s="2010" t="s">
        <v>33</v>
      </c>
      <c r="C34" s="2011"/>
      <c r="D34" s="2011"/>
      <c r="E34" s="2012"/>
      <c r="F34" s="12" t="s">
        <v>28</v>
      </c>
      <c r="G34" s="1171" t="str">
        <f>'XM.GUI MAIL'!$E$97</f>
        <v>55~65ºC
(60±3OC)</v>
      </c>
      <c r="H34" s="1869">
        <f>'XM.GUI MAIL'!H97</f>
        <v>0</v>
      </c>
      <c r="I34" s="1869"/>
      <c r="J34" s="1869">
        <f>'XM.GUI MAIL'!K97</f>
        <v>0</v>
      </c>
      <c r="K34" s="1869"/>
      <c r="L34" s="1869">
        <f>'XM.GUI MAIL'!N97</f>
        <v>0</v>
      </c>
      <c r="M34" s="1869"/>
      <c r="N34" s="1869">
        <f>'XM.GUI MAIL'!Q97</f>
        <v>0</v>
      </c>
      <c r="O34" s="1869"/>
      <c r="P34" s="1869">
        <f>'XM.GUI MAIL'!T97</f>
        <v>0</v>
      </c>
      <c r="Q34" s="1869"/>
      <c r="R34" s="1869">
        <f>'XM.GUI MAIL'!W97</f>
        <v>0</v>
      </c>
      <c r="S34" s="1869"/>
      <c r="T34" s="1190"/>
    </row>
    <row r="35" spans="1:20" ht="33.75" customHeight="1">
      <c r="A35" s="1190">
        <v>8</v>
      </c>
      <c r="B35" s="2010" t="s">
        <v>34</v>
      </c>
      <c r="C35" s="2011"/>
      <c r="D35" s="2011"/>
      <c r="E35" s="2012"/>
      <c r="F35" s="12" t="s">
        <v>28</v>
      </c>
      <c r="G35" s="1171" t="str">
        <f>'XM.GUI MAIL'!$E$98</f>
        <v>65~75ºC
(70±3OC)</v>
      </c>
      <c r="H35" s="2026" t="s">
        <v>49</v>
      </c>
      <c r="I35" s="2026"/>
      <c r="J35" s="1869">
        <f>'XM.GUI MAIL'!K98</f>
        <v>0</v>
      </c>
      <c r="K35" s="1869"/>
      <c r="L35" s="2026" t="s">
        <v>49</v>
      </c>
      <c r="M35" s="2026"/>
      <c r="N35" s="1869">
        <f>'XM.GUI MAIL'!Q98</f>
        <v>0</v>
      </c>
      <c r="O35" s="1869"/>
      <c r="P35" s="2026" t="s">
        <v>49</v>
      </c>
      <c r="Q35" s="2026"/>
      <c r="R35" s="1869">
        <f>'XM.GUI MAIL'!W98</f>
        <v>0</v>
      </c>
      <c r="S35" s="1869"/>
      <c r="T35" s="1190"/>
    </row>
    <row r="36" spans="1:20" ht="33.75" customHeight="1">
      <c r="A36" s="1190">
        <v>9</v>
      </c>
      <c r="B36" s="2010" t="s">
        <v>1073</v>
      </c>
      <c r="C36" s="2011"/>
      <c r="D36" s="2011"/>
      <c r="E36" s="2012"/>
      <c r="F36" s="12" t="s">
        <v>28</v>
      </c>
      <c r="G36" s="1171" t="str">
        <f>'XM.GUI MAIL'!$E$99</f>
        <v>20~30ºC</v>
      </c>
      <c r="H36" s="1870">
        <f>'XM.GUI MAIL'!H99</f>
        <v>0</v>
      </c>
      <c r="I36" s="1872"/>
      <c r="J36" s="1870">
        <f>'XM.GUI MAIL'!K99</f>
        <v>0</v>
      </c>
      <c r="K36" s="1872"/>
      <c r="L36" s="1870"/>
      <c r="M36" s="1872"/>
      <c r="N36" s="1870"/>
      <c r="O36" s="1872"/>
      <c r="P36" s="1870">
        <f>'XM.GUI MAIL'!T99</f>
        <v>0</v>
      </c>
      <c r="Q36" s="1872"/>
      <c r="R36" s="1870">
        <f>'XM.GUI MAIL'!W99</f>
        <v>0</v>
      </c>
      <c r="S36" s="1872"/>
      <c r="T36" s="1023"/>
    </row>
    <row r="37" spans="1:20" ht="33.75" customHeight="1">
      <c r="A37" s="1672"/>
      <c r="B37" s="2101" t="s">
        <v>1487</v>
      </c>
      <c r="C37" s="2102"/>
      <c r="D37" s="2102"/>
      <c r="E37" s="2103"/>
      <c r="F37" s="12" t="s">
        <v>28</v>
      </c>
      <c r="G37" s="1171" t="str">
        <f>'XM.GUI MAIL'!$E$100</f>
        <v>35~45ºC
(40±3OC)</v>
      </c>
      <c r="H37" s="1866">
        <f>'XM.GUI MAIL'!H100</f>
        <v>0</v>
      </c>
      <c r="I37" s="1867"/>
      <c r="J37" s="1866">
        <f>'XM.GUI MAIL'!K100</f>
        <v>0</v>
      </c>
      <c r="K37" s="1867"/>
      <c r="L37" s="1866">
        <f>'XM.GUI MAIL'!N100</f>
        <v>0</v>
      </c>
      <c r="M37" s="1867"/>
      <c r="N37" s="1866">
        <f>'XM.GUI MAIL'!Q100</f>
        <v>0</v>
      </c>
      <c r="O37" s="1867"/>
      <c r="P37" s="1866">
        <f>'XM.GUI MAIL'!T100</f>
        <v>0</v>
      </c>
      <c r="Q37" s="1867"/>
      <c r="R37" s="1866">
        <f>'XM.GUI MAIL'!W100</f>
        <v>0</v>
      </c>
      <c r="S37" s="1867"/>
      <c r="T37" s="1023"/>
    </row>
    <row r="38" spans="1:20" ht="34.5" customHeight="1">
      <c r="A38" s="1190"/>
      <c r="B38" s="294"/>
      <c r="C38" s="295"/>
      <c r="D38" s="295"/>
      <c r="E38" s="295"/>
      <c r="F38" s="295"/>
      <c r="G38" s="1137" t="s">
        <v>252</v>
      </c>
      <c r="H38" s="297"/>
      <c r="I38" s="295"/>
      <c r="J38" s="295"/>
      <c r="K38" s="295"/>
      <c r="L38" s="295"/>
      <c r="M38" s="295"/>
      <c r="N38" s="295"/>
      <c r="O38" s="295"/>
      <c r="P38" s="295"/>
      <c r="Q38" s="295"/>
      <c r="R38" s="295"/>
      <c r="S38" s="295"/>
      <c r="T38" s="296"/>
    </row>
    <row r="39" spans="1:20" ht="42.75" customHeight="1">
      <c r="A39" s="1190" t="s">
        <v>7</v>
      </c>
      <c r="B39" s="2010" t="s">
        <v>35</v>
      </c>
      <c r="C39" s="2011"/>
      <c r="D39" s="2011"/>
      <c r="E39" s="2012"/>
      <c r="F39" s="90" t="s">
        <v>20</v>
      </c>
      <c r="G39" s="90" t="s">
        <v>25</v>
      </c>
      <c r="H39" s="2021" t="s">
        <v>160</v>
      </c>
      <c r="I39" s="2023"/>
      <c r="J39" s="2023"/>
      <c r="K39" s="2022"/>
      <c r="L39" s="2021" t="s">
        <v>160</v>
      </c>
      <c r="M39" s="2023"/>
      <c r="N39" s="2023"/>
      <c r="O39" s="2022"/>
      <c r="P39" s="2021" t="s">
        <v>160</v>
      </c>
      <c r="Q39" s="2023"/>
      <c r="R39" s="2023"/>
      <c r="S39" s="2022"/>
      <c r="T39" s="11"/>
    </row>
    <row r="40" spans="1:20" ht="39.75" customHeight="1">
      <c r="A40" s="1190">
        <v>1</v>
      </c>
      <c r="B40" s="1993" t="s">
        <v>1229</v>
      </c>
      <c r="C40" s="1994"/>
      <c r="D40" s="1994"/>
      <c r="E40" s="1995"/>
      <c r="F40" s="92" t="s">
        <v>50</v>
      </c>
      <c r="G40" s="1688" t="str">
        <f>'XM.GUI MAIL'!$E$105</f>
        <v>30~50 
(40)</v>
      </c>
      <c r="H40" s="1866">
        <f>'XM.GUI MAIL'!H105</f>
        <v>0</v>
      </c>
      <c r="I40" s="1867"/>
      <c r="J40" s="1867"/>
      <c r="K40" s="1867"/>
      <c r="L40" s="1866">
        <f>'XM.GUI MAIL'!N105</f>
        <v>0</v>
      </c>
      <c r="M40" s="1867"/>
      <c r="N40" s="1867"/>
      <c r="O40" s="1867"/>
      <c r="P40" s="1866">
        <f>'XM.GUI MAIL'!T105</f>
        <v>0</v>
      </c>
      <c r="Q40" s="1867"/>
      <c r="R40" s="1867"/>
      <c r="S40" s="1867"/>
      <c r="T40" s="1190"/>
    </row>
    <row r="41" spans="1:20" ht="39.75" customHeight="1">
      <c r="A41" s="1190">
        <v>2</v>
      </c>
      <c r="B41" s="1993" t="s">
        <v>261</v>
      </c>
      <c r="C41" s="1994"/>
      <c r="D41" s="1994"/>
      <c r="E41" s="1995"/>
      <c r="F41" s="92" t="s">
        <v>50</v>
      </c>
      <c r="G41" s="1688" t="str">
        <f>'XM.GUI MAIL'!$E$106</f>
        <v>160~220
(180)</v>
      </c>
      <c r="H41" s="1866">
        <f>'XM.GUI MAIL'!H106</f>
        <v>0</v>
      </c>
      <c r="I41" s="1867"/>
      <c r="J41" s="1867"/>
      <c r="K41" s="1867"/>
      <c r="L41" s="1866">
        <f>'XM.GUI MAIL'!N106</f>
        <v>0</v>
      </c>
      <c r="M41" s="1867"/>
      <c r="N41" s="1867"/>
      <c r="O41" s="1867"/>
      <c r="P41" s="1866">
        <f>'XM.GUI MAIL'!T106</f>
        <v>0</v>
      </c>
      <c r="Q41" s="1867"/>
      <c r="R41" s="1867"/>
      <c r="S41" s="1867"/>
      <c r="T41" s="1190"/>
    </row>
    <row r="42" spans="1:20" ht="43.5" customHeight="1">
      <c r="A42" s="76"/>
      <c r="B42" s="1020"/>
      <c r="C42" s="1020"/>
      <c r="D42" s="1020"/>
      <c r="E42" s="1020"/>
      <c r="F42" s="1211"/>
      <c r="G42" s="1211"/>
      <c r="H42" s="1211"/>
      <c r="I42" s="1211"/>
      <c r="J42" s="1211"/>
      <c r="K42" s="1211"/>
      <c r="L42" s="1211"/>
      <c r="M42" s="1211"/>
      <c r="N42" s="1211"/>
      <c r="O42" s="1211"/>
      <c r="P42" s="1211"/>
      <c r="Q42" s="1211"/>
      <c r="R42" s="1211"/>
      <c r="S42" s="125"/>
      <c r="T42" s="76"/>
    </row>
    <row r="43" spans="1:20" ht="28.5" customHeight="1">
      <c r="A43" s="1972" t="s">
        <v>152</v>
      </c>
      <c r="B43" s="1972"/>
      <c r="C43" s="1972"/>
      <c r="D43" s="1972"/>
      <c r="E43" s="1972"/>
      <c r="F43" s="1972"/>
      <c r="G43" s="1972"/>
      <c r="H43" s="1972"/>
      <c r="I43" s="1972"/>
      <c r="J43" s="1972"/>
      <c r="K43" s="1972"/>
      <c r="L43" s="1972"/>
      <c r="M43" s="1972"/>
      <c r="N43" s="1972"/>
      <c r="O43" s="1972"/>
      <c r="P43" s="1972"/>
      <c r="Q43" s="1972"/>
      <c r="R43" s="1189"/>
      <c r="S43" s="1189"/>
      <c r="T43" s="73"/>
    </row>
    <row r="44" spans="1:20" ht="46.5" customHeight="1">
      <c r="A44" s="1973" t="s">
        <v>153</v>
      </c>
      <c r="B44" s="1973"/>
      <c r="C44" s="1973"/>
      <c r="D44" s="1973"/>
      <c r="E44" s="1973"/>
      <c r="F44" s="1973"/>
      <c r="G44" s="1973"/>
      <c r="H44" s="1973"/>
      <c r="I44" s="1973"/>
      <c r="J44" s="1973"/>
      <c r="K44" s="1973"/>
      <c r="L44" s="1973"/>
      <c r="M44" s="1973"/>
      <c r="N44" s="1973"/>
      <c r="O44" s="1973"/>
      <c r="P44" s="1973"/>
      <c r="Q44" s="2024"/>
      <c r="R44" s="2025" t="s">
        <v>96</v>
      </c>
      <c r="S44" s="1923"/>
      <c r="T44" s="90" t="s">
        <v>17</v>
      </c>
    </row>
    <row r="45" spans="1:20" ht="25.5" customHeight="1">
      <c r="A45" s="10"/>
      <c r="B45" s="1194" t="s">
        <v>144</v>
      </c>
      <c r="C45" s="74"/>
      <c r="D45" s="74"/>
      <c r="E45" s="74"/>
      <c r="F45" s="75"/>
      <c r="G45" s="235" t="str">
        <f>'1. XL-1E kh'!$G$3</f>
        <v>2022/12/03</v>
      </c>
      <c r="H45" s="30"/>
      <c r="I45" s="30"/>
      <c r="J45" s="30"/>
      <c r="K45" s="31"/>
      <c r="L45" s="31"/>
      <c r="M45" s="31"/>
      <c r="N45" s="31"/>
      <c r="O45" s="31"/>
      <c r="P45" s="31"/>
      <c r="Q45" s="31"/>
      <c r="R45" s="2046" t="str">
        <f>MENU!AD7</f>
        <v>Trang</v>
      </c>
      <c r="S45" s="2047"/>
      <c r="T45" s="89" t="s">
        <v>11</v>
      </c>
    </row>
    <row r="46" spans="1:20" s="76" customFormat="1" ht="25.5" customHeight="1">
      <c r="A46" s="2048" t="s">
        <v>7</v>
      </c>
      <c r="B46" s="2049" t="s">
        <v>79</v>
      </c>
      <c r="C46" s="2050"/>
      <c r="D46" s="2050"/>
      <c r="E46" s="2051"/>
      <c r="F46" s="2055" t="s">
        <v>137</v>
      </c>
      <c r="G46" s="2057" t="s">
        <v>67</v>
      </c>
      <c r="H46" s="1921">
        <v>0.76041666666666663</v>
      </c>
      <c r="I46" s="1922"/>
      <c r="J46" s="1922"/>
      <c r="K46" s="1923"/>
      <c r="L46" s="1921">
        <v>0.92708333333333337</v>
      </c>
      <c r="M46" s="1922"/>
      <c r="N46" s="1922"/>
      <c r="O46" s="1923"/>
      <c r="P46" s="1921">
        <v>9.375E-2</v>
      </c>
      <c r="Q46" s="1922"/>
      <c r="R46" s="1922"/>
      <c r="S46" s="1923"/>
      <c r="T46" s="1970" t="s">
        <v>41</v>
      </c>
    </row>
    <row r="47" spans="1:20" s="76" customFormat="1" ht="30" customHeight="1">
      <c r="A47" s="2048"/>
      <c r="B47" s="2052"/>
      <c r="C47" s="2053"/>
      <c r="D47" s="2053"/>
      <c r="E47" s="2054"/>
      <c r="F47" s="2056"/>
      <c r="G47" s="2058"/>
      <c r="H47" s="63" t="s">
        <v>146</v>
      </c>
      <c r="I47" s="1927" t="s">
        <v>1</v>
      </c>
      <c r="J47" s="1928"/>
      <c r="K47" s="1929"/>
      <c r="L47" s="63" t="s">
        <v>146</v>
      </c>
      <c r="M47" s="1927" t="s">
        <v>1</v>
      </c>
      <c r="N47" s="1928"/>
      <c r="O47" s="1929"/>
      <c r="P47" s="63" t="s">
        <v>146</v>
      </c>
      <c r="Q47" s="1927" t="s">
        <v>1</v>
      </c>
      <c r="R47" s="1928"/>
      <c r="S47" s="1929"/>
      <c r="T47" s="1971"/>
    </row>
    <row r="48" spans="1:20" ht="33.75" customHeight="1">
      <c r="A48" s="2027">
        <v>1</v>
      </c>
      <c r="B48" s="2040" t="s">
        <v>156</v>
      </c>
      <c r="C48" s="2041"/>
      <c r="D48" s="2044" t="s">
        <v>266</v>
      </c>
      <c r="E48" s="2045"/>
      <c r="F48" s="1203" t="s">
        <v>4</v>
      </c>
      <c r="G48" s="1025" t="str">
        <f>'XM.GUI MAIL'!$E$68</f>
        <v>40~60g/L
(50±5g/L)</v>
      </c>
      <c r="H48" s="64">
        <f>'XM.GUI MAIL'!Z68</f>
        <v>0</v>
      </c>
      <c r="I48" s="65" t="s">
        <v>8</v>
      </c>
      <c r="J48" s="66">
        <f>'XM.GUI MAIL'!AC68</f>
        <v>775.85</v>
      </c>
      <c r="K48" s="67" t="s">
        <v>9</v>
      </c>
      <c r="L48" s="64">
        <f>'XM.GUI MAIL'!AF68</f>
        <v>0</v>
      </c>
      <c r="M48" s="65" t="s">
        <v>8</v>
      </c>
      <c r="N48" s="66">
        <f>'XM.GUI MAIL'!AI68</f>
        <v>775.85</v>
      </c>
      <c r="O48" s="67" t="s">
        <v>9</v>
      </c>
      <c r="P48" s="64">
        <f>'XM.GUI MAIL'!AL68</f>
        <v>0</v>
      </c>
      <c r="Q48" s="77" t="s">
        <v>8</v>
      </c>
      <c r="R48" s="78">
        <f>'XM.GUI MAIL'!AO68</f>
        <v>775.85</v>
      </c>
      <c r="S48" s="32" t="s">
        <v>9</v>
      </c>
      <c r="T48" s="1188" t="s">
        <v>42</v>
      </c>
    </row>
    <row r="49" spans="1:20" ht="33.75" customHeight="1">
      <c r="A49" s="2039"/>
      <c r="B49" s="2042"/>
      <c r="C49" s="2043"/>
      <c r="D49" s="2044" t="s">
        <v>267</v>
      </c>
      <c r="E49" s="2045"/>
      <c r="F49" s="1167"/>
      <c r="G49" s="1025" t="s">
        <v>1474</v>
      </c>
      <c r="H49" s="64"/>
      <c r="I49" s="65"/>
      <c r="J49" s="68">
        <f>J48/25*8.5</f>
        <v>263.78900000000004</v>
      </c>
      <c r="K49" s="67" t="s">
        <v>10</v>
      </c>
      <c r="L49" s="64"/>
      <c r="M49" s="65"/>
      <c r="N49" s="68">
        <f>N48/25*8.5</f>
        <v>263.78900000000004</v>
      </c>
      <c r="O49" s="67" t="s">
        <v>10</v>
      </c>
      <c r="P49" s="64"/>
      <c r="Q49" s="65"/>
      <c r="R49" s="68">
        <f>R48/25*8.5</f>
        <v>263.78900000000004</v>
      </c>
      <c r="S49" s="67" t="s">
        <v>10</v>
      </c>
      <c r="T49" s="1188"/>
    </row>
    <row r="50" spans="1:20" ht="33.75" customHeight="1">
      <c r="A50" s="2027">
        <v>2</v>
      </c>
      <c r="B50" s="2040" t="s">
        <v>157</v>
      </c>
      <c r="C50" s="2041"/>
      <c r="D50" s="2044" t="s">
        <v>266</v>
      </c>
      <c r="E50" s="2045"/>
      <c r="F50" s="1203" t="s">
        <v>4</v>
      </c>
      <c r="G50" s="1025" t="str">
        <f>'XM.GUI MAIL'!$E$69</f>
        <v>40~60g/L
(50±5g/L)</v>
      </c>
      <c r="H50" s="64">
        <f>'XM.GUI MAIL'!Z69</f>
        <v>0</v>
      </c>
      <c r="I50" s="65" t="s">
        <v>8</v>
      </c>
      <c r="J50" s="66">
        <f>'XM.GUI MAIL'!AC69</f>
        <v>573.75</v>
      </c>
      <c r="K50" s="67" t="s">
        <v>9</v>
      </c>
      <c r="L50" s="64">
        <f>'XM.GUI MAIL'!AF69</f>
        <v>0</v>
      </c>
      <c r="M50" s="65" t="s">
        <v>8</v>
      </c>
      <c r="N50" s="66">
        <f>'XM.GUI MAIL'!AI69</f>
        <v>573.75</v>
      </c>
      <c r="O50" s="67" t="s">
        <v>9</v>
      </c>
      <c r="P50" s="64">
        <f>'XM.GUI MAIL'!AL69</f>
        <v>0</v>
      </c>
      <c r="Q50" s="77" t="s">
        <v>8</v>
      </c>
      <c r="R50" s="78">
        <f>'XM.GUI MAIL'!AO69</f>
        <v>573.75</v>
      </c>
      <c r="S50" s="32" t="s">
        <v>9</v>
      </c>
      <c r="T50" s="1188" t="s">
        <v>42</v>
      </c>
    </row>
    <row r="51" spans="1:20" ht="33.75" customHeight="1">
      <c r="A51" s="2039"/>
      <c r="B51" s="2042"/>
      <c r="C51" s="2043"/>
      <c r="D51" s="2044" t="s">
        <v>267</v>
      </c>
      <c r="E51" s="2045"/>
      <c r="F51" s="1167"/>
      <c r="G51" s="1025" t="s">
        <v>1474</v>
      </c>
      <c r="H51" s="64"/>
      <c r="I51" s="65"/>
      <c r="J51" s="68">
        <f>J50/25*8.5</f>
        <v>195.07499999999999</v>
      </c>
      <c r="K51" s="67" t="s">
        <v>10</v>
      </c>
      <c r="L51" s="64"/>
      <c r="M51" s="65"/>
      <c r="N51" s="68">
        <f>N50/25*8.5</f>
        <v>195.07499999999999</v>
      </c>
      <c r="O51" s="67" t="s">
        <v>10</v>
      </c>
      <c r="P51" s="64"/>
      <c r="Q51" s="65"/>
      <c r="R51" s="68">
        <f>R50/25*8.5</f>
        <v>195.07499999999999</v>
      </c>
      <c r="S51" s="67" t="s">
        <v>10</v>
      </c>
      <c r="T51" s="1188"/>
    </row>
    <row r="52" spans="1:20" ht="33.75" customHeight="1">
      <c r="A52" s="2027">
        <v>3</v>
      </c>
      <c r="B52" s="2035" t="s">
        <v>158</v>
      </c>
      <c r="C52" s="2036"/>
      <c r="D52" s="2037" t="s">
        <v>268</v>
      </c>
      <c r="E52" s="2038" t="s">
        <v>268</v>
      </c>
      <c r="F52" s="1203" t="s">
        <v>4</v>
      </c>
      <c r="G52" s="1025" t="str">
        <f>'XM.GUI MAIL'!$E$70</f>
        <v>50~70g/L
(60±5g/L)</v>
      </c>
      <c r="H52" s="64">
        <f>'XM.GUI MAIL'!Z70</f>
        <v>0</v>
      </c>
      <c r="I52" s="65" t="s">
        <v>8</v>
      </c>
      <c r="J52" s="66">
        <f>'XM.GUI MAIL'!AC70</f>
        <v>492</v>
      </c>
      <c r="K52" s="67" t="s">
        <v>9</v>
      </c>
      <c r="L52" s="64">
        <f>'XM.GUI MAIL'!AF70</f>
        <v>0</v>
      </c>
      <c r="M52" s="65" t="s">
        <v>8</v>
      </c>
      <c r="N52" s="66">
        <f>'XM.GUI MAIL'!AI70</f>
        <v>492</v>
      </c>
      <c r="O52" s="67" t="s">
        <v>9</v>
      </c>
      <c r="P52" s="64">
        <f>'XM.GUI MAIL'!AL70</f>
        <v>0</v>
      </c>
      <c r="Q52" s="65" t="s">
        <v>8</v>
      </c>
      <c r="R52" s="66">
        <f>'XM.GUI MAIL'!AO70</f>
        <v>492</v>
      </c>
      <c r="S52" s="67" t="s">
        <v>9</v>
      </c>
      <c r="T52" s="1188" t="s">
        <v>42</v>
      </c>
    </row>
    <row r="53" spans="1:20" ht="33.75" customHeight="1">
      <c r="A53" s="2028"/>
      <c r="B53" s="2036"/>
      <c r="C53" s="2036"/>
      <c r="D53" s="2037" t="s">
        <v>269</v>
      </c>
      <c r="E53" s="2038" t="s">
        <v>269</v>
      </c>
      <c r="F53" s="1167"/>
      <c r="G53" s="1025" t="s">
        <v>1475</v>
      </c>
      <c r="H53" s="64"/>
      <c r="I53" s="65"/>
      <c r="J53" s="68">
        <f>J52/25*8</f>
        <v>157.44</v>
      </c>
      <c r="K53" s="67" t="s">
        <v>10</v>
      </c>
      <c r="L53" s="64"/>
      <c r="M53" s="65"/>
      <c r="N53" s="68">
        <f>N52/25*8</f>
        <v>157.44</v>
      </c>
      <c r="O53" s="67" t="s">
        <v>10</v>
      </c>
      <c r="P53" s="64"/>
      <c r="Q53" s="65"/>
      <c r="R53" s="68">
        <f>R52/25*8</f>
        <v>157.44</v>
      </c>
      <c r="S53" s="67" t="s">
        <v>10</v>
      </c>
      <c r="T53" s="1188"/>
    </row>
    <row r="54" spans="1:20" ht="33.75" customHeight="1">
      <c r="A54" s="2027">
        <v>4</v>
      </c>
      <c r="B54" s="2035" t="s">
        <v>159</v>
      </c>
      <c r="C54" s="2036"/>
      <c r="D54" s="2037" t="s">
        <v>268</v>
      </c>
      <c r="E54" s="2038" t="s">
        <v>268</v>
      </c>
      <c r="F54" s="1203" t="s">
        <v>4</v>
      </c>
      <c r="G54" s="1025" t="str">
        <f>'XM.GUI MAIL'!$E$71</f>
        <v>50~70g/L
(60±5g/L)</v>
      </c>
      <c r="H54" s="64">
        <f>'XM.GUI MAIL'!Z71</f>
        <v>0</v>
      </c>
      <c r="I54" s="65" t="s">
        <v>8</v>
      </c>
      <c r="J54" s="66">
        <f>'XM.GUI MAIL'!AC71</f>
        <v>520.08000000000004</v>
      </c>
      <c r="K54" s="67" t="s">
        <v>9</v>
      </c>
      <c r="L54" s="64">
        <f>'XM.GUI MAIL'!AF71</f>
        <v>0</v>
      </c>
      <c r="M54" s="65" t="s">
        <v>8</v>
      </c>
      <c r="N54" s="66">
        <f>'XM.GUI MAIL'!AI71</f>
        <v>520.08000000000004</v>
      </c>
      <c r="O54" s="67" t="s">
        <v>9</v>
      </c>
      <c r="P54" s="64">
        <f>'XM.GUI MAIL'!AL71</f>
        <v>0</v>
      </c>
      <c r="Q54" s="65" t="s">
        <v>8</v>
      </c>
      <c r="R54" s="66">
        <f>'XM.GUI MAIL'!AO71</f>
        <v>520.08000000000004</v>
      </c>
      <c r="S54" s="67" t="s">
        <v>9</v>
      </c>
      <c r="T54" s="1188" t="s">
        <v>42</v>
      </c>
    </row>
    <row r="55" spans="1:20" ht="33.75" customHeight="1">
      <c r="A55" s="2028"/>
      <c r="B55" s="2036"/>
      <c r="C55" s="2036"/>
      <c r="D55" s="2037" t="s">
        <v>269</v>
      </c>
      <c r="E55" s="2038" t="s">
        <v>269</v>
      </c>
      <c r="F55" s="1167"/>
      <c r="G55" s="1025" t="s">
        <v>1475</v>
      </c>
      <c r="H55" s="64"/>
      <c r="I55" s="65"/>
      <c r="J55" s="68">
        <f>J54/25*8</f>
        <v>166.4256</v>
      </c>
      <c r="K55" s="67" t="s">
        <v>10</v>
      </c>
      <c r="L55" s="64"/>
      <c r="M55" s="65"/>
      <c r="N55" s="68">
        <f>N54/25*8</f>
        <v>166.4256</v>
      </c>
      <c r="O55" s="67" t="s">
        <v>10</v>
      </c>
      <c r="P55" s="64"/>
      <c r="Q55" s="65"/>
      <c r="R55" s="68">
        <f>R54/25*8</f>
        <v>166.4256</v>
      </c>
      <c r="S55" s="67" t="s">
        <v>10</v>
      </c>
      <c r="T55" s="1188"/>
    </row>
    <row r="56" spans="1:20" ht="33.75" customHeight="1">
      <c r="A56" s="2027">
        <v>5</v>
      </c>
      <c r="B56" s="2090" t="s">
        <v>121</v>
      </c>
      <c r="C56" s="2092" t="s">
        <v>21</v>
      </c>
      <c r="D56" s="2093"/>
      <c r="E56" s="2094"/>
      <c r="F56" s="1203" t="s">
        <v>4</v>
      </c>
      <c r="G56" s="1688" t="str">
        <f>'XM.GUI MAIL'!$E$72</f>
        <v>135~ 145g/L
(140±5g/L)</v>
      </c>
      <c r="H56" s="64">
        <f>'XM.GUI MAIL'!Z72</f>
        <v>0</v>
      </c>
      <c r="I56" s="65" t="s">
        <v>8</v>
      </c>
      <c r="J56" s="66">
        <f>'XM.GUI MAIL'!AC72</f>
        <v>7429.24</v>
      </c>
      <c r="K56" s="67" t="s">
        <v>9</v>
      </c>
      <c r="L56" s="64">
        <f>'XM.GUI MAIL'!AF72</f>
        <v>0</v>
      </c>
      <c r="M56" s="1245" t="s">
        <v>8</v>
      </c>
      <c r="N56" s="66">
        <f>'XM.GUI MAIL'!AI72</f>
        <v>7429.24</v>
      </c>
      <c r="O56" s="67" t="s">
        <v>9</v>
      </c>
      <c r="P56" s="64">
        <f>'XM.GUI MAIL'!AL72</f>
        <v>0</v>
      </c>
      <c r="Q56" s="65" t="s">
        <v>8</v>
      </c>
      <c r="R56" s="66">
        <f>'XM.GUI MAIL'!AO72</f>
        <v>7429.24</v>
      </c>
      <c r="S56" s="67" t="s">
        <v>9</v>
      </c>
      <c r="T56" s="1188" t="s">
        <v>43</v>
      </c>
    </row>
    <row r="57" spans="1:20" ht="33.75" customHeight="1">
      <c r="A57" s="2028"/>
      <c r="B57" s="2091"/>
      <c r="C57" s="2092" t="s">
        <v>22</v>
      </c>
      <c r="D57" s="2093"/>
      <c r="E57" s="2094"/>
      <c r="F57" s="1167"/>
      <c r="G57" s="1688" t="str">
        <f>'XM.GUI MAIL'!$E$73</f>
        <v>6~8g/L
(7±0.5g/L)</v>
      </c>
      <c r="H57" s="64">
        <f>'XM.GUI MAIL'!Z73</f>
        <v>0</v>
      </c>
      <c r="I57" s="77" t="s">
        <v>8</v>
      </c>
      <c r="J57" s="931">
        <f>'XM.GUI MAIL'!AC73</f>
        <v>371.46199999999999</v>
      </c>
      <c r="K57" s="1247" t="s">
        <v>9</v>
      </c>
      <c r="L57" s="64">
        <f>'XM.GUI MAIL'!AF73</f>
        <v>0</v>
      </c>
      <c r="M57" s="930" t="s">
        <v>8</v>
      </c>
      <c r="N57" s="931">
        <f>'XM.GUI MAIL'!AI73</f>
        <v>371.46199999999999</v>
      </c>
      <c r="O57" s="1247" t="s">
        <v>9</v>
      </c>
      <c r="P57" s="64">
        <f>'XM.GUI MAIL'!AL73</f>
        <v>0</v>
      </c>
      <c r="Q57" s="77" t="s">
        <v>8</v>
      </c>
      <c r="R57" s="78">
        <f>'XM.GUI MAIL'!AO73</f>
        <v>371.46199999999999</v>
      </c>
      <c r="S57" s="130" t="s">
        <v>9</v>
      </c>
      <c r="T57" s="1188" t="s">
        <v>44</v>
      </c>
    </row>
    <row r="58" spans="1:20" s="8" customFormat="1" ht="33.75" customHeight="1">
      <c r="A58" s="2027">
        <v>6</v>
      </c>
      <c r="B58" s="2084" t="s">
        <v>1279</v>
      </c>
      <c r="C58" s="2085"/>
      <c r="D58" s="2085"/>
      <c r="E58" s="2088"/>
      <c r="F58" s="92" t="s">
        <v>3</v>
      </c>
      <c r="G58" s="1688" t="str">
        <f>'XM.GUI MAIL'!$E$74</f>
        <v>5~8 %
(6±0.5%)</v>
      </c>
      <c r="H58" s="64">
        <f>'XM.GUI MAIL'!Z74</f>
        <v>-1.0461</v>
      </c>
      <c r="I58" s="65" t="s">
        <v>8</v>
      </c>
      <c r="J58" s="66">
        <f>'XM.GUI MAIL'!AC74</f>
        <v>236.74896000000001</v>
      </c>
      <c r="K58" s="67" t="s">
        <v>10</v>
      </c>
      <c r="L58" s="64">
        <f>'XM.GUI MAIL'!AF74</f>
        <v>-1.0461</v>
      </c>
      <c r="M58" s="1245" t="s">
        <v>8</v>
      </c>
      <c r="N58" s="66">
        <f>'XM.GUI MAIL'!AI74</f>
        <v>236.74896000000001</v>
      </c>
      <c r="O58" s="67" t="s">
        <v>10</v>
      </c>
      <c r="P58" s="64">
        <f>'XM.GUI MAIL'!AL74</f>
        <v>-1.0461</v>
      </c>
      <c r="Q58" s="77" t="s">
        <v>8</v>
      </c>
      <c r="R58" s="78">
        <f>'XM.GUI MAIL'!AO74</f>
        <v>236.74896000000001</v>
      </c>
      <c r="S58" s="32" t="s">
        <v>10</v>
      </c>
      <c r="T58" s="1188" t="s">
        <v>45</v>
      </c>
    </row>
    <row r="59" spans="1:20" ht="33.75" customHeight="1">
      <c r="A59" s="2028"/>
      <c r="B59" s="2086"/>
      <c r="C59" s="2087"/>
      <c r="D59" s="2087"/>
      <c r="E59" s="2089"/>
      <c r="F59" s="92" t="s">
        <v>5</v>
      </c>
      <c r="G59" s="1688" t="str">
        <f>'XM.GUI MAIL'!$E$75</f>
        <v>2.0~2.4(2.2±0.2 )</v>
      </c>
      <c r="H59" s="70">
        <f>'XM.GUI MAIL'!Z75</f>
        <v>0</v>
      </c>
      <c r="I59" s="1927"/>
      <c r="J59" s="1928"/>
      <c r="K59" s="1929"/>
      <c r="L59" s="70">
        <f>'XM.GUI MAIL'!AF75</f>
        <v>0</v>
      </c>
      <c r="M59" s="1927"/>
      <c r="N59" s="1928"/>
      <c r="O59" s="1929"/>
      <c r="P59" s="70">
        <f>'XM.GUI MAIL'!AL75</f>
        <v>0</v>
      </c>
      <c r="Q59" s="77"/>
      <c r="R59" s="78"/>
      <c r="S59" s="32"/>
      <c r="T59" s="129"/>
    </row>
    <row r="60" spans="1:20" ht="33.75" customHeight="1">
      <c r="A60" s="1190">
        <v>7</v>
      </c>
      <c r="B60" s="2029" t="s">
        <v>1060</v>
      </c>
      <c r="C60" s="2030"/>
      <c r="D60" s="2030"/>
      <c r="E60" s="2031"/>
      <c r="F60" s="92" t="s">
        <v>6</v>
      </c>
      <c r="G60" s="1169" t="str">
        <f>'XM.GUI MAIL'!$E$76</f>
        <v>40~50 %V/V
(45±5% V/V)</v>
      </c>
      <c r="H60" s="71">
        <f>'XM.GUI MAIL'!Z76</f>
        <v>0</v>
      </c>
      <c r="I60" s="77" t="s">
        <v>8</v>
      </c>
      <c r="J60" s="78">
        <f>'XM.GUI MAIL'!AC76</f>
        <v>3025.35</v>
      </c>
      <c r="K60" s="32" t="s">
        <v>10</v>
      </c>
      <c r="L60" s="71">
        <f>'XM.GUI MAIL'!AF76</f>
        <v>0</v>
      </c>
      <c r="M60" s="77" t="s">
        <v>8</v>
      </c>
      <c r="N60" s="78">
        <f>'XM.GUI MAIL'!AI76</f>
        <v>3025.35</v>
      </c>
      <c r="O60" s="32" t="s">
        <v>10</v>
      </c>
      <c r="P60" s="71">
        <f>'XM.GUI MAIL'!AL76</f>
        <v>0</v>
      </c>
      <c r="Q60" s="77" t="s">
        <v>8</v>
      </c>
      <c r="R60" s="78">
        <f>'XM.GUI MAIL'!AO76</f>
        <v>3025.35</v>
      </c>
      <c r="S60" s="32" t="s">
        <v>10</v>
      </c>
      <c r="T60" s="1188" t="s">
        <v>46</v>
      </c>
    </row>
    <row r="61" spans="1:20" ht="33.75" customHeight="1">
      <c r="A61" s="1190">
        <v>8</v>
      </c>
      <c r="B61" s="2029" t="s">
        <v>1061</v>
      </c>
      <c r="C61" s="2030"/>
      <c r="D61" s="2030"/>
      <c r="E61" s="2031"/>
      <c r="F61" s="92" t="s">
        <v>6</v>
      </c>
      <c r="G61" s="1169" t="str">
        <f>'XM.GUI MAIL'!$E$77</f>
        <v>40~50 %V/V
(45±5% V/V)</v>
      </c>
      <c r="H61" s="71">
        <f>'XM.GUI MAIL'!Z77</f>
        <v>0</v>
      </c>
      <c r="I61" s="77" t="s">
        <v>8</v>
      </c>
      <c r="J61" s="78">
        <f>'XM.GUI MAIL'!AC77</f>
        <v>4729.05</v>
      </c>
      <c r="K61" s="32" t="s">
        <v>10</v>
      </c>
      <c r="L61" s="71">
        <f>'XM.GUI MAIL'!AF77</f>
        <v>0</v>
      </c>
      <c r="M61" s="77" t="s">
        <v>8</v>
      </c>
      <c r="N61" s="78">
        <f>'XM.GUI MAIL'!AI77</f>
        <v>4729.05</v>
      </c>
      <c r="O61" s="32" t="s">
        <v>10</v>
      </c>
      <c r="P61" s="71">
        <f>'XM.GUI MAIL'!AL77</f>
        <v>0</v>
      </c>
      <c r="Q61" s="77" t="s">
        <v>8</v>
      </c>
      <c r="R61" s="78">
        <f>'XM.GUI MAIL'!AO77</f>
        <v>4729.05</v>
      </c>
      <c r="S61" s="32" t="s">
        <v>10</v>
      </c>
      <c r="T61" s="1170" t="s">
        <v>46</v>
      </c>
    </row>
    <row r="62" spans="1:20" ht="33.75" customHeight="1">
      <c r="A62" s="1190">
        <v>9</v>
      </c>
      <c r="B62" s="2032" t="s">
        <v>86</v>
      </c>
      <c r="C62" s="2033"/>
      <c r="D62" s="2033"/>
      <c r="E62" s="2034"/>
      <c r="F62" s="92" t="s">
        <v>6</v>
      </c>
      <c r="G62" s="1169" t="str">
        <f>'XM.GUI MAIL'!$E$78</f>
        <v>20~40 %V/V
(30±5% V/V)</v>
      </c>
      <c r="H62" s="71">
        <f>'XM.GUI MAIL'!Z78</f>
        <v>0</v>
      </c>
      <c r="I62" s="77" t="s">
        <v>8</v>
      </c>
      <c r="J62" s="78">
        <f>'XM.GUI MAIL'!AC78</f>
        <v>970.19999999999993</v>
      </c>
      <c r="K62" s="32" t="s">
        <v>10</v>
      </c>
      <c r="L62" s="71">
        <f>'XM.GUI MAIL'!AF78</f>
        <v>0</v>
      </c>
      <c r="M62" s="77" t="s">
        <v>8</v>
      </c>
      <c r="N62" s="78">
        <f>'XM.GUI MAIL'!AI78</f>
        <v>970.19999999999993</v>
      </c>
      <c r="O62" s="32" t="s">
        <v>10</v>
      </c>
      <c r="P62" s="71">
        <f>'XM.GUI MAIL'!AL78</f>
        <v>0</v>
      </c>
      <c r="Q62" s="77" t="s">
        <v>8</v>
      </c>
      <c r="R62" s="78">
        <f>'XM.GUI MAIL'!AO78</f>
        <v>970.19999999999993</v>
      </c>
      <c r="S62" s="32" t="s">
        <v>10</v>
      </c>
      <c r="T62" s="1188" t="s">
        <v>47</v>
      </c>
    </row>
    <row r="63" spans="1:20" ht="33.75" customHeight="1">
      <c r="A63" s="1190">
        <v>10</v>
      </c>
      <c r="B63" s="2032" t="s">
        <v>1062</v>
      </c>
      <c r="C63" s="2033" t="s">
        <v>1062</v>
      </c>
      <c r="D63" s="2033" t="s">
        <v>1062</v>
      </c>
      <c r="E63" s="2034" t="s">
        <v>1062</v>
      </c>
      <c r="F63" s="92" t="s">
        <v>6</v>
      </c>
      <c r="G63" s="1169" t="str">
        <f>'XM.GUI MAIL'!$E$79</f>
        <v>0.5~1.5%
(1±0.4%)</v>
      </c>
      <c r="H63" s="72">
        <f>'XM.GUI MAIL'!Z79</f>
        <v>0</v>
      </c>
      <c r="I63" s="77" t="s">
        <v>8</v>
      </c>
      <c r="J63" s="81">
        <f>'XM.GUI MAIL'!AC79</f>
        <v>28.080000000000002</v>
      </c>
      <c r="K63" s="83" t="s">
        <v>10</v>
      </c>
      <c r="L63" s="72">
        <f>'XM.GUI MAIL'!AF79</f>
        <v>0</v>
      </c>
      <c r="M63" s="77" t="s">
        <v>8</v>
      </c>
      <c r="N63" s="81">
        <f>'XM.GUI MAIL'!AI79</f>
        <v>28.080000000000002</v>
      </c>
      <c r="O63" s="83" t="s">
        <v>10</v>
      </c>
      <c r="P63" s="72">
        <f>'XM.GUI MAIL'!AL79</f>
        <v>0</v>
      </c>
      <c r="Q63" s="77" t="s">
        <v>8</v>
      </c>
      <c r="R63" s="81">
        <f>'XM.GUI MAIL'!AO79</f>
        <v>28.080000000000002</v>
      </c>
      <c r="S63" s="83" t="s">
        <v>10</v>
      </c>
      <c r="T63" s="1188" t="s">
        <v>47</v>
      </c>
    </row>
    <row r="64" spans="1:20" s="20" customFormat="1" ht="27.75" customHeight="1">
      <c r="A64" s="2060">
        <v>11</v>
      </c>
      <c r="B64" s="2049" t="s">
        <v>77</v>
      </c>
      <c r="C64" s="2050"/>
      <c r="D64" s="2050"/>
      <c r="E64" s="2051"/>
      <c r="F64" s="2" t="s">
        <v>3</v>
      </c>
      <c r="G64" s="1025" t="str">
        <f>'XM.GUI MAIL'!$E$80</f>
        <v>3~9%
(6±1%)</v>
      </c>
      <c r="H64" s="318" t="str">
        <f>'XM.GUI MAIL'!Z80</f>
        <v/>
      </c>
      <c r="I64" s="77" t="s">
        <v>8</v>
      </c>
      <c r="J64" s="78" t="str">
        <f>'XM.GUI MAIL'!AC80</f>
        <v/>
      </c>
      <c r="K64" s="83" t="s">
        <v>10</v>
      </c>
      <c r="L64" s="318" t="str">
        <f>'XM.GUI MAIL'!AF80</f>
        <v/>
      </c>
      <c r="M64" s="77" t="s">
        <v>8</v>
      </c>
      <c r="N64" s="78" t="str">
        <f>'XM.GUI MAIL'!AI80</f>
        <v/>
      </c>
      <c r="O64" s="83" t="s">
        <v>10</v>
      </c>
      <c r="P64" s="318" t="str">
        <f>'XM.GUI MAIL'!AL80</f>
        <v/>
      </c>
      <c r="Q64" s="77" t="s">
        <v>8</v>
      </c>
      <c r="R64" s="78" t="str">
        <f>'XM.GUI MAIL'!AO80</f>
        <v/>
      </c>
      <c r="S64" s="83" t="s">
        <v>10</v>
      </c>
      <c r="T64" s="316"/>
    </row>
    <row r="65" spans="1:20" s="20" customFormat="1" ht="27.75" customHeight="1">
      <c r="A65" s="2061"/>
      <c r="B65" s="2052"/>
      <c r="C65" s="2053"/>
      <c r="D65" s="2053"/>
      <c r="E65" s="2054"/>
      <c r="F65" s="2" t="s">
        <v>5</v>
      </c>
      <c r="G65" s="1025" t="str">
        <f>'XM.GUI MAIL'!$E$81</f>
        <v>1.8~2.4(2.0±0.1)</v>
      </c>
      <c r="H65" s="319">
        <f>'XM.GUI MAIL'!Z81</f>
        <v>0</v>
      </c>
      <c r="I65" s="77" t="s">
        <v>8</v>
      </c>
      <c r="J65" s="81">
        <f>'XM.GUI MAIL'!AC81</f>
        <v>0</v>
      </c>
      <c r="K65" s="83" t="s">
        <v>10</v>
      </c>
      <c r="L65" s="319">
        <f>'XM.GUI MAIL'!AF81</f>
        <v>0</v>
      </c>
      <c r="M65" s="77" t="s">
        <v>8</v>
      </c>
      <c r="N65" s="81">
        <f>'XM.GUI MAIL'!AI81</f>
        <v>0</v>
      </c>
      <c r="O65" s="83" t="s">
        <v>10</v>
      </c>
      <c r="P65" s="319">
        <f>'XM.GUI MAIL'!AL81</f>
        <v>0</v>
      </c>
      <c r="Q65" s="77" t="s">
        <v>8</v>
      </c>
      <c r="R65" s="81">
        <f>'XM.GUI MAIL'!AO81</f>
        <v>0</v>
      </c>
      <c r="S65" s="83"/>
      <c r="T65" s="316"/>
    </row>
    <row r="66" spans="1:20" s="20" customFormat="1" ht="27.75" customHeight="1">
      <c r="A66" s="1421"/>
      <c r="B66" s="2095" t="s">
        <v>1280</v>
      </c>
      <c r="C66" s="2096"/>
      <c r="D66" s="2096"/>
      <c r="E66" s="2097"/>
      <c r="F66" s="728" t="s">
        <v>3</v>
      </c>
      <c r="G66" s="1687" t="str">
        <f>'XM.GUI MAIL'!$E$82</f>
        <v>8~16 %
(12±2%)</v>
      </c>
      <c r="H66" s="1409" t="str">
        <f>'XM.GUI MAIL'!Z82</f>
        <v/>
      </c>
      <c r="I66" s="1422" t="s">
        <v>8</v>
      </c>
      <c r="J66" s="1423" t="str">
        <f>'XM.GUI MAIL'!AC82</f>
        <v/>
      </c>
      <c r="K66" s="1427" t="s">
        <v>10</v>
      </c>
      <c r="L66" s="1409" t="str">
        <f>'XM.GUI MAIL'!AF82</f>
        <v/>
      </c>
      <c r="M66" s="1422" t="s">
        <v>8</v>
      </c>
      <c r="N66" s="1423" t="str">
        <f>'XM.GUI MAIL'!AI82</f>
        <v/>
      </c>
      <c r="O66" s="1427" t="s">
        <v>10</v>
      </c>
      <c r="P66" s="1409" t="str">
        <f>'XM.GUI MAIL'!AL82</f>
        <v/>
      </c>
      <c r="Q66" s="1422" t="s">
        <v>8</v>
      </c>
      <c r="R66" s="1423" t="str">
        <f>'XM.GUI MAIL'!AO82</f>
        <v/>
      </c>
      <c r="S66" s="32"/>
      <c r="T66" s="129"/>
    </row>
    <row r="67" spans="1:20" s="20" customFormat="1" ht="27.75" customHeight="1">
      <c r="A67" s="1421"/>
      <c r="B67" s="2098"/>
      <c r="C67" s="2099"/>
      <c r="D67" s="2099"/>
      <c r="E67" s="2100"/>
      <c r="F67" s="728" t="s">
        <v>5</v>
      </c>
      <c r="G67" s="1687" t="str">
        <f>'XM.GUI MAIL'!$E$83</f>
        <v>1.8~2.4(2.0 ±0.2 )</v>
      </c>
      <c r="H67" s="1428">
        <f>'XM.GUI MAIL'!Z83</f>
        <v>0</v>
      </c>
      <c r="I67" s="1422" t="s">
        <v>8</v>
      </c>
      <c r="J67" s="1425"/>
      <c r="K67" s="1427" t="s">
        <v>10</v>
      </c>
      <c r="L67" s="1428">
        <f>'XM.GUI MAIL'!AF83</f>
        <v>0</v>
      </c>
      <c r="M67" s="1422" t="s">
        <v>8</v>
      </c>
      <c r="N67" s="1425"/>
      <c r="O67" s="1427" t="s">
        <v>10</v>
      </c>
      <c r="P67" s="1428">
        <f>'XM.GUI MAIL'!AL83</f>
        <v>0</v>
      </c>
      <c r="Q67" s="1422" t="s">
        <v>8</v>
      </c>
      <c r="R67" s="1425"/>
      <c r="S67" s="32"/>
      <c r="T67" s="129"/>
    </row>
    <row r="68" spans="1:20" ht="27" customHeight="1">
      <c r="A68" s="1190"/>
      <c r="B68" s="294"/>
      <c r="C68" s="295"/>
      <c r="D68" s="295"/>
      <c r="E68" s="295"/>
      <c r="F68" s="295"/>
      <c r="G68" s="1137" t="s">
        <v>2</v>
      </c>
      <c r="H68" s="297"/>
      <c r="I68" s="295"/>
      <c r="J68" s="295"/>
      <c r="K68" s="295"/>
      <c r="L68" s="295"/>
      <c r="M68" s="295"/>
      <c r="N68" s="295"/>
      <c r="O68" s="295"/>
      <c r="P68" s="295"/>
      <c r="Q68" s="295"/>
      <c r="R68" s="295"/>
      <c r="S68" s="295"/>
      <c r="T68" s="296"/>
    </row>
    <row r="69" spans="1:20" ht="36" customHeight="1">
      <c r="A69" s="1190" t="s">
        <v>7</v>
      </c>
      <c r="B69" s="2010" t="s">
        <v>23</v>
      </c>
      <c r="C69" s="2011"/>
      <c r="D69" s="2011"/>
      <c r="E69" s="2012"/>
      <c r="F69" s="90" t="s">
        <v>24</v>
      </c>
      <c r="G69" s="90" t="s">
        <v>25</v>
      </c>
      <c r="H69" s="2021" t="s">
        <v>26</v>
      </c>
      <c r="I69" s="2022"/>
      <c r="J69" s="2021" t="s">
        <v>27</v>
      </c>
      <c r="K69" s="2022"/>
      <c r="L69" s="2021" t="s">
        <v>26</v>
      </c>
      <c r="M69" s="2022"/>
      <c r="N69" s="2021" t="s">
        <v>27</v>
      </c>
      <c r="O69" s="2022"/>
      <c r="P69" s="2021" t="s">
        <v>26</v>
      </c>
      <c r="Q69" s="2022"/>
      <c r="R69" s="2021" t="s">
        <v>27</v>
      </c>
      <c r="S69" s="2022"/>
      <c r="T69" s="11"/>
    </row>
    <row r="70" spans="1:20" ht="30" customHeight="1">
      <c r="A70" s="1190">
        <v>1</v>
      </c>
      <c r="B70" s="2010" t="s">
        <v>36</v>
      </c>
      <c r="C70" s="2011"/>
      <c r="D70" s="2011"/>
      <c r="E70" s="2012"/>
      <c r="F70" s="12" t="s">
        <v>28</v>
      </c>
      <c r="G70" s="1171" t="str">
        <f>'XM.GUI MAIL'!$E$91</f>
        <v>65~75ºC
(70±3OC)</v>
      </c>
      <c r="H70" s="1869">
        <f>'XM.GUI MAIL'!Z91</f>
        <v>0</v>
      </c>
      <c r="I70" s="1869"/>
      <c r="J70" s="1869">
        <f>'XM.GUI MAIL'!AC91</f>
        <v>0</v>
      </c>
      <c r="K70" s="1869"/>
      <c r="L70" s="1869">
        <f>'XM.GUI MAIL'!AF91</f>
        <v>0</v>
      </c>
      <c r="M70" s="1869"/>
      <c r="N70" s="1869">
        <f>'XM.GUI MAIL'!AI91</f>
        <v>0</v>
      </c>
      <c r="O70" s="1869"/>
      <c r="P70" s="1869">
        <f>'XM.GUI MAIL'!AL91</f>
        <v>0</v>
      </c>
      <c r="Q70" s="1869"/>
      <c r="R70" s="1869">
        <f>'XM.GUI MAIL'!AO91</f>
        <v>0</v>
      </c>
      <c r="S70" s="1869"/>
      <c r="T70" s="1190"/>
    </row>
    <row r="71" spans="1:20" ht="30" customHeight="1">
      <c r="A71" s="1190">
        <v>2</v>
      </c>
      <c r="B71" s="2010" t="s">
        <v>37</v>
      </c>
      <c r="C71" s="2011"/>
      <c r="D71" s="2011"/>
      <c r="E71" s="2012"/>
      <c r="F71" s="12" t="s">
        <v>28</v>
      </c>
      <c r="G71" s="1171" t="str">
        <f>'XM.GUI MAIL'!$E$92</f>
        <v>65~75ºC
(70±3OC)</v>
      </c>
      <c r="H71" s="1869">
        <f>'XM.GUI MAIL'!Z92</f>
        <v>0</v>
      </c>
      <c r="I71" s="1869"/>
      <c r="J71" s="1869">
        <f>'XM.GUI MAIL'!AC92</f>
        <v>0</v>
      </c>
      <c r="K71" s="1869"/>
      <c r="L71" s="1869">
        <f>'XM.GUI MAIL'!AF92</f>
        <v>0</v>
      </c>
      <c r="M71" s="1869"/>
      <c r="N71" s="1869">
        <f>'XM.GUI MAIL'!AI92</f>
        <v>0</v>
      </c>
      <c r="O71" s="1869"/>
      <c r="P71" s="1869">
        <f>'XM.GUI MAIL'!AL92</f>
        <v>0</v>
      </c>
      <c r="Q71" s="1869"/>
      <c r="R71" s="1869">
        <f>'XM.GUI MAIL'!AO92</f>
        <v>0</v>
      </c>
      <c r="S71" s="1869"/>
      <c r="T71" s="1190"/>
    </row>
    <row r="72" spans="1:20" ht="30" customHeight="1">
      <c r="A72" s="1190">
        <v>3</v>
      </c>
      <c r="B72" s="2010" t="s">
        <v>29</v>
      </c>
      <c r="C72" s="2011"/>
      <c r="D72" s="2011"/>
      <c r="E72" s="2012"/>
      <c r="F72" s="12" t="s">
        <v>28</v>
      </c>
      <c r="G72" s="1171" t="str">
        <f>'XM.GUI MAIL'!$E$93</f>
        <v>60~70ºC
(65±3OC)</v>
      </c>
      <c r="H72" s="1869">
        <f>'XM.GUI MAIL'!Z93</f>
        <v>0</v>
      </c>
      <c r="I72" s="1869"/>
      <c r="J72" s="1869">
        <f>'XM.GUI MAIL'!AC93</f>
        <v>0</v>
      </c>
      <c r="K72" s="1869"/>
      <c r="L72" s="1869">
        <f>'XM.GUI MAIL'!AF93</f>
        <v>0</v>
      </c>
      <c r="M72" s="1869"/>
      <c r="N72" s="1869">
        <f>'XM.GUI MAIL'!AI93</f>
        <v>0</v>
      </c>
      <c r="O72" s="1869"/>
      <c r="P72" s="1869">
        <f>'XM.GUI MAIL'!AL93</f>
        <v>0</v>
      </c>
      <c r="Q72" s="1869"/>
      <c r="R72" s="1869">
        <f>'XM.GUI MAIL'!AO93</f>
        <v>0</v>
      </c>
      <c r="S72" s="1869"/>
      <c r="T72" s="1190"/>
    </row>
    <row r="73" spans="1:20" ht="30" customHeight="1">
      <c r="A73" s="1190">
        <v>4</v>
      </c>
      <c r="B73" s="2010" t="s">
        <v>30</v>
      </c>
      <c r="C73" s="2011"/>
      <c r="D73" s="2011"/>
      <c r="E73" s="2012"/>
      <c r="F73" s="12" t="s">
        <v>28</v>
      </c>
      <c r="G73" s="1171" t="str">
        <f>'XM.GUI MAIL'!$E$94</f>
        <v>60~70ºC
(65±3OC)</v>
      </c>
      <c r="H73" s="1869">
        <f>'XM.GUI MAIL'!Z94</f>
        <v>0</v>
      </c>
      <c r="I73" s="1869"/>
      <c r="J73" s="1869">
        <f>'XM.GUI MAIL'!AC94</f>
        <v>0</v>
      </c>
      <c r="K73" s="1869"/>
      <c r="L73" s="1869">
        <f>'XM.GUI MAIL'!AF94</f>
        <v>0</v>
      </c>
      <c r="M73" s="1869"/>
      <c r="N73" s="1866">
        <f>'XM.GUI MAIL'!AI94</f>
        <v>0</v>
      </c>
      <c r="O73" s="1868"/>
      <c r="P73" s="1869">
        <f>'XM.GUI MAIL'!AL94</f>
        <v>0</v>
      </c>
      <c r="Q73" s="1869"/>
      <c r="R73" s="1869">
        <f>'XM.GUI MAIL'!AO94</f>
        <v>0</v>
      </c>
      <c r="S73" s="1869"/>
      <c r="T73" s="1190"/>
    </row>
    <row r="74" spans="1:20" ht="30" customHeight="1">
      <c r="A74" s="1190">
        <v>5</v>
      </c>
      <c r="B74" s="2010" t="s">
        <v>31</v>
      </c>
      <c r="C74" s="2011"/>
      <c r="D74" s="2011"/>
      <c r="E74" s="2012"/>
      <c r="F74" s="12" t="s">
        <v>28</v>
      </c>
      <c r="G74" s="1171" t="str">
        <f>'XM.GUI MAIL'!$E$95</f>
        <v>24~26ºC
(25OC)</v>
      </c>
      <c r="H74" s="1866">
        <f>'XM.GUI MAIL'!Z95</f>
        <v>0</v>
      </c>
      <c r="I74" s="1867"/>
      <c r="J74" s="1866">
        <f>'XM.GUI MAIL'!AC95</f>
        <v>0</v>
      </c>
      <c r="K74" s="1867"/>
      <c r="L74" s="1866">
        <f>'XM.GUI MAIL'!AF95</f>
        <v>0</v>
      </c>
      <c r="M74" s="1867"/>
      <c r="N74" s="1866">
        <f>'XM.GUI MAIL'!AI95</f>
        <v>0</v>
      </c>
      <c r="O74" s="1867"/>
      <c r="P74" s="1866">
        <f>'XM.GUI MAIL'!AL95</f>
        <v>0</v>
      </c>
      <c r="Q74" s="1867"/>
      <c r="R74" s="1866">
        <f>'XM.GUI MAIL'!AO95</f>
        <v>0</v>
      </c>
      <c r="S74" s="1867"/>
      <c r="T74" s="1190"/>
    </row>
    <row r="75" spans="1:20" ht="30" customHeight="1">
      <c r="A75" s="1190">
        <v>6</v>
      </c>
      <c r="B75" s="2010" t="s">
        <v>1483</v>
      </c>
      <c r="C75" s="2011"/>
      <c r="D75" s="2011"/>
      <c r="E75" s="2012"/>
      <c r="F75" s="12" t="s">
        <v>28</v>
      </c>
      <c r="G75" s="1171" t="str">
        <f>'XM.GUI MAIL'!$E$96</f>
        <v>34~36ºC
(35±1OC)</v>
      </c>
      <c r="H75" s="1866">
        <f>'XM.GUI MAIL'!Z96</f>
        <v>0</v>
      </c>
      <c r="I75" s="1867"/>
      <c r="J75" s="1866">
        <f>'XM.GUI MAIL'!AC96</f>
        <v>0</v>
      </c>
      <c r="K75" s="1867"/>
      <c r="L75" s="1866">
        <f>'XM.GUI MAIL'!AF96</f>
        <v>0</v>
      </c>
      <c r="M75" s="1867"/>
      <c r="N75" s="1866">
        <f>'XM.GUI MAIL'!AI96</f>
        <v>0</v>
      </c>
      <c r="O75" s="1867"/>
      <c r="P75" s="1866">
        <f>'XM.GUI MAIL'!AL96</f>
        <v>0</v>
      </c>
      <c r="Q75" s="1867"/>
      <c r="R75" s="1866">
        <f>'XM.GUI MAIL'!AO96</f>
        <v>0</v>
      </c>
      <c r="S75" s="1867"/>
      <c r="T75" s="1190"/>
    </row>
    <row r="76" spans="1:20" ht="30" customHeight="1">
      <c r="A76" s="1190">
        <v>7</v>
      </c>
      <c r="B76" s="2010" t="s">
        <v>33</v>
      </c>
      <c r="C76" s="2011"/>
      <c r="D76" s="2011"/>
      <c r="E76" s="2012"/>
      <c r="F76" s="12" t="s">
        <v>28</v>
      </c>
      <c r="G76" s="1171" t="str">
        <f>'XM.GUI MAIL'!$E$97</f>
        <v>55~65ºC
(60±3OC)</v>
      </c>
      <c r="H76" s="1869">
        <f>'XM.GUI MAIL'!Z97</f>
        <v>0</v>
      </c>
      <c r="I76" s="1869"/>
      <c r="J76" s="1869">
        <f>'XM.GUI MAIL'!AC97</f>
        <v>0</v>
      </c>
      <c r="K76" s="1869"/>
      <c r="L76" s="1869">
        <f>'XM.GUI MAIL'!AF97</f>
        <v>0</v>
      </c>
      <c r="M76" s="1869"/>
      <c r="N76" s="1869">
        <f>'XM.GUI MAIL'!AI97</f>
        <v>0</v>
      </c>
      <c r="O76" s="1869"/>
      <c r="P76" s="1869">
        <f>'XM.GUI MAIL'!AL97</f>
        <v>0</v>
      </c>
      <c r="Q76" s="1869"/>
      <c r="R76" s="1869">
        <f>'XM.GUI MAIL'!AO97</f>
        <v>0</v>
      </c>
      <c r="S76" s="1869"/>
      <c r="T76" s="1190"/>
    </row>
    <row r="77" spans="1:20" ht="30" customHeight="1">
      <c r="A77" s="1190">
        <v>8</v>
      </c>
      <c r="B77" s="2010" t="s">
        <v>34</v>
      </c>
      <c r="C77" s="2011"/>
      <c r="D77" s="2011"/>
      <c r="E77" s="2012"/>
      <c r="F77" s="12" t="s">
        <v>28</v>
      </c>
      <c r="G77" s="1171" t="str">
        <f>'XM.GUI MAIL'!$E$98</f>
        <v>65~75ºC
(70±3OC)</v>
      </c>
      <c r="H77" s="2026" t="s">
        <v>49</v>
      </c>
      <c r="I77" s="2026"/>
      <c r="J77" s="1869">
        <f>'XM.GUI MAIL'!AC98</f>
        <v>0</v>
      </c>
      <c r="K77" s="1869"/>
      <c r="L77" s="2026" t="s">
        <v>49</v>
      </c>
      <c r="M77" s="2026"/>
      <c r="N77" s="1869">
        <f>'XM.GUI MAIL'!AI98</f>
        <v>0</v>
      </c>
      <c r="O77" s="1869"/>
      <c r="P77" s="2026" t="s">
        <v>49</v>
      </c>
      <c r="Q77" s="2026"/>
      <c r="R77" s="1869">
        <f>'XM.GUI MAIL'!AO98</f>
        <v>0</v>
      </c>
      <c r="S77" s="1869"/>
      <c r="T77" s="1190"/>
    </row>
    <row r="78" spans="1:20" ht="31.5" customHeight="1">
      <c r="A78" s="1190">
        <v>9</v>
      </c>
      <c r="B78" s="2010" t="s">
        <v>1073</v>
      </c>
      <c r="C78" s="2011"/>
      <c r="D78" s="2011"/>
      <c r="E78" s="2012"/>
      <c r="F78" s="12" t="s">
        <v>28</v>
      </c>
      <c r="G78" s="1171" t="str">
        <f>'XM.GUI MAIL'!$E$99</f>
        <v>20~30ºC</v>
      </c>
      <c r="H78" s="1870">
        <f>'XM.GUI MAIL'!Z99</f>
        <v>0</v>
      </c>
      <c r="I78" s="1872"/>
      <c r="J78" s="1870">
        <f>'XM.GUI MAIL'!AC99</f>
        <v>0</v>
      </c>
      <c r="K78" s="1872"/>
      <c r="L78" s="1870"/>
      <c r="M78" s="1872"/>
      <c r="N78" s="1870"/>
      <c r="O78" s="1872"/>
      <c r="P78" s="1870">
        <f>'XM.GUI MAIL'!AL99</f>
        <v>0</v>
      </c>
      <c r="Q78" s="1872"/>
      <c r="R78" s="1870">
        <f>'XM.GUI MAIL'!AO99</f>
        <v>0</v>
      </c>
      <c r="S78" s="1872"/>
      <c r="T78" s="1023"/>
    </row>
    <row r="79" spans="1:20" ht="31.5" customHeight="1">
      <c r="A79" s="1672"/>
      <c r="B79" s="2101" t="s">
        <v>1486</v>
      </c>
      <c r="C79" s="2102"/>
      <c r="D79" s="2102"/>
      <c r="E79" s="2103"/>
      <c r="F79" s="12" t="s">
        <v>28</v>
      </c>
      <c r="G79" s="1171" t="str">
        <f>'XM.GUI MAIL'!$E$100</f>
        <v>35~45ºC
(40±3OC)</v>
      </c>
      <c r="H79" s="1866">
        <f>'XM.GUI MAIL'!Z100</f>
        <v>0</v>
      </c>
      <c r="I79" s="1867"/>
      <c r="J79" s="1866">
        <f>'XM.GUI MAIL'!AC100</f>
        <v>0</v>
      </c>
      <c r="K79" s="1867"/>
      <c r="L79" s="1866">
        <f>'XM.GUI MAIL'!AF100</f>
        <v>0</v>
      </c>
      <c r="M79" s="1867"/>
      <c r="N79" s="1866">
        <f>'XM.GUI MAIL'!AH100</f>
        <v>0</v>
      </c>
      <c r="O79" s="1867"/>
      <c r="P79" s="1866">
        <f>'XM.GUI MAIL'!AL100</f>
        <v>0</v>
      </c>
      <c r="Q79" s="1867"/>
      <c r="R79" s="1866">
        <f>'XM.GUI MAIL'!AO100</f>
        <v>0</v>
      </c>
      <c r="S79" s="1867"/>
      <c r="T79" s="1023"/>
    </row>
    <row r="80" spans="1:20" ht="29.25" customHeight="1">
      <c r="A80" s="1190"/>
      <c r="B80" s="294"/>
      <c r="C80" s="295"/>
      <c r="D80" s="295"/>
      <c r="E80" s="295"/>
      <c r="F80" s="295"/>
      <c r="G80" s="1137" t="s">
        <v>252</v>
      </c>
      <c r="H80" s="297"/>
      <c r="I80" s="295"/>
      <c r="J80" s="295"/>
      <c r="K80" s="295"/>
      <c r="L80" s="295"/>
      <c r="M80" s="295"/>
      <c r="N80" s="295"/>
      <c r="O80" s="295"/>
      <c r="P80" s="295"/>
      <c r="Q80" s="295"/>
      <c r="R80" s="295"/>
      <c r="S80" s="295"/>
      <c r="T80" s="296"/>
    </row>
    <row r="81" spans="1:20" ht="35.25" customHeight="1">
      <c r="A81" s="1190" t="s">
        <v>7</v>
      </c>
      <c r="B81" s="2010" t="s">
        <v>35</v>
      </c>
      <c r="C81" s="2011"/>
      <c r="D81" s="2011"/>
      <c r="E81" s="2012"/>
      <c r="F81" s="90" t="s">
        <v>20</v>
      </c>
      <c r="G81" s="90" t="s">
        <v>25</v>
      </c>
      <c r="H81" s="2021" t="s">
        <v>160</v>
      </c>
      <c r="I81" s="2023"/>
      <c r="J81" s="2023"/>
      <c r="K81" s="2022"/>
      <c r="L81" s="2021" t="s">
        <v>160</v>
      </c>
      <c r="M81" s="2023"/>
      <c r="N81" s="2023"/>
      <c r="O81" s="2022"/>
      <c r="P81" s="2021" t="s">
        <v>160</v>
      </c>
      <c r="Q81" s="2023"/>
      <c r="R81" s="2023"/>
      <c r="S81" s="2022"/>
      <c r="T81" s="11"/>
    </row>
    <row r="82" spans="1:20" ht="38.25" customHeight="1">
      <c r="A82" s="1190">
        <v>1</v>
      </c>
      <c r="B82" s="1993" t="s">
        <v>1229</v>
      </c>
      <c r="C82" s="1994"/>
      <c r="D82" s="1994"/>
      <c r="E82" s="1995"/>
      <c r="F82" s="92" t="s">
        <v>50</v>
      </c>
      <c r="G82" s="1688" t="str">
        <f>'XM.GUI MAIL'!$E$105</f>
        <v>30~50 
(40)</v>
      </c>
      <c r="H82" s="1866">
        <f>'XM.GUI MAIL'!Z105</f>
        <v>0</v>
      </c>
      <c r="I82" s="1867"/>
      <c r="J82" s="1867"/>
      <c r="K82" s="1867"/>
      <c r="L82" s="1866">
        <f>'XM.GUI MAIL'!AF105</f>
        <v>0</v>
      </c>
      <c r="M82" s="1867"/>
      <c r="N82" s="1867"/>
      <c r="O82" s="1867"/>
      <c r="P82" s="1866">
        <f>'XM.GUI MAIL'!AL105</f>
        <v>0</v>
      </c>
      <c r="Q82" s="1867"/>
      <c r="R82" s="1867"/>
      <c r="S82" s="1867"/>
      <c r="T82" s="1190"/>
    </row>
    <row r="83" spans="1:20" ht="38.25" customHeight="1">
      <c r="A83" s="1190">
        <v>2</v>
      </c>
      <c r="B83" s="1993" t="s">
        <v>261</v>
      </c>
      <c r="C83" s="1994"/>
      <c r="D83" s="1994"/>
      <c r="E83" s="1995"/>
      <c r="F83" s="92" t="s">
        <v>50</v>
      </c>
      <c r="G83" s="1688" t="str">
        <f>'XM.GUI MAIL'!$E$106</f>
        <v>160~220
(180)</v>
      </c>
      <c r="H83" s="1866">
        <f>'XM.GUI MAIL'!Z106</f>
        <v>0</v>
      </c>
      <c r="I83" s="1867"/>
      <c r="J83" s="1867"/>
      <c r="K83" s="1867"/>
      <c r="L83" s="1866">
        <f>'XM.GUI MAIL'!AF106</f>
        <v>0</v>
      </c>
      <c r="M83" s="1867"/>
      <c r="N83" s="1867"/>
      <c r="O83" s="1867"/>
      <c r="P83" s="1866">
        <f>'XM.GUI MAIL'!AL106</f>
        <v>0</v>
      </c>
      <c r="Q83" s="1867"/>
      <c r="R83" s="1867"/>
      <c r="S83" s="1867"/>
      <c r="T83" s="1190"/>
    </row>
  </sheetData>
  <sheetProtection selectLockedCells="1"/>
  <mergeCells count="275">
    <mergeCell ref="R75:S75"/>
    <mergeCell ref="T46:T47"/>
    <mergeCell ref="I47:K47"/>
    <mergeCell ref="P34:Q34"/>
    <mergeCell ref="R34:S34"/>
    <mergeCell ref="P35:Q35"/>
    <mergeCell ref="R35:S35"/>
    <mergeCell ref="A44:Q44"/>
    <mergeCell ref="R44:S44"/>
    <mergeCell ref="J35:K35"/>
    <mergeCell ref="L39:O39"/>
    <mergeCell ref="L40:O40"/>
    <mergeCell ref="L41:O41"/>
    <mergeCell ref="P39:S39"/>
    <mergeCell ref="P37:Q37"/>
    <mergeCell ref="R37:S37"/>
    <mergeCell ref="I59:K59"/>
    <mergeCell ref="M59:O59"/>
    <mergeCell ref="B37:E37"/>
    <mergeCell ref="H37:I37"/>
    <mergeCell ref="J37:K37"/>
    <mergeCell ref="L37:M37"/>
    <mergeCell ref="N37:O37"/>
    <mergeCell ref="B66:E67"/>
    <mergeCell ref="A8:A9"/>
    <mergeCell ref="B8:C9"/>
    <mergeCell ref="D8:E8"/>
    <mergeCell ref="D9:E9"/>
    <mergeCell ref="A64:A65"/>
    <mergeCell ref="B64:E65"/>
    <mergeCell ref="L46:O46"/>
    <mergeCell ref="H30:I30"/>
    <mergeCell ref="J30:K30"/>
    <mergeCell ref="L27:M27"/>
    <mergeCell ref="N27:O27"/>
    <mergeCell ref="L28:M28"/>
    <mergeCell ref="A56:A57"/>
    <mergeCell ref="A46:A47"/>
    <mergeCell ref="B46:E47"/>
    <mergeCell ref="F46:F47"/>
    <mergeCell ref="G46:G47"/>
    <mergeCell ref="H46:K46"/>
    <mergeCell ref="B27:E27"/>
    <mergeCell ref="L75:M75"/>
    <mergeCell ref="N75:O75"/>
    <mergeCell ref="P75:Q75"/>
    <mergeCell ref="B69:E69"/>
    <mergeCell ref="H69:I69"/>
    <mergeCell ref="J69:K69"/>
    <mergeCell ref="L69:M69"/>
    <mergeCell ref="N69:O69"/>
    <mergeCell ref="M47:O47"/>
    <mergeCell ref="B63:E63"/>
    <mergeCell ref="B60:E60"/>
    <mergeCell ref="B61:E61"/>
    <mergeCell ref="B62:E62"/>
    <mergeCell ref="L72:M72"/>
    <mergeCell ref="N72:O72"/>
    <mergeCell ref="P74:Q74"/>
    <mergeCell ref="H73:I73"/>
    <mergeCell ref="B70:E70"/>
    <mergeCell ref="B71:E71"/>
    <mergeCell ref="B56:B57"/>
    <mergeCell ref="C56:E56"/>
    <mergeCell ref="C57:E57"/>
    <mergeCell ref="B72:E72"/>
    <mergeCell ref="H71:I71"/>
    <mergeCell ref="Y4:AA4"/>
    <mergeCell ref="P36:Q36"/>
    <mergeCell ref="P46:S46"/>
    <mergeCell ref="T4:T5"/>
    <mergeCell ref="AB4:AD4"/>
    <mergeCell ref="A22:A23"/>
    <mergeCell ref="B22:E23"/>
    <mergeCell ref="I17:K17"/>
    <mergeCell ref="M17:O17"/>
    <mergeCell ref="H27:I27"/>
    <mergeCell ref="J27:K27"/>
    <mergeCell ref="H28:I28"/>
    <mergeCell ref="J28:K28"/>
    <mergeCell ref="N28:O28"/>
    <mergeCell ref="I5:K5"/>
    <mergeCell ref="A6:A7"/>
    <mergeCell ref="B6:C7"/>
    <mergeCell ref="D6:E6"/>
    <mergeCell ref="D7:E7"/>
    <mergeCell ref="A4:A5"/>
    <mergeCell ref="B4:E5"/>
    <mergeCell ref="F4:F5"/>
    <mergeCell ref="G4:G5"/>
    <mergeCell ref="H4:K4"/>
    <mergeCell ref="P27:Q27"/>
    <mergeCell ref="R27:S27"/>
    <mergeCell ref="V4:X4"/>
    <mergeCell ref="L74:M74"/>
    <mergeCell ref="N74:O74"/>
    <mergeCell ref="R70:S70"/>
    <mergeCell ref="L71:M71"/>
    <mergeCell ref="N71:O71"/>
    <mergeCell ref="P71:Q71"/>
    <mergeCell ref="R71:S71"/>
    <mergeCell ref="L70:M70"/>
    <mergeCell ref="N70:O70"/>
    <mergeCell ref="P70:Q70"/>
    <mergeCell ref="L73:M73"/>
    <mergeCell ref="N73:O73"/>
    <mergeCell ref="P73:Q73"/>
    <mergeCell ref="R72:S72"/>
    <mergeCell ref="R73:S73"/>
    <mergeCell ref="P28:Q28"/>
    <mergeCell ref="R28:S28"/>
    <mergeCell ref="P29:Q29"/>
    <mergeCell ref="R29:S29"/>
    <mergeCell ref="L31:M31"/>
    <mergeCell ref="P69:Q69"/>
    <mergeCell ref="A1:Q1"/>
    <mergeCell ref="A2:Q2"/>
    <mergeCell ref="A43:Q43"/>
    <mergeCell ref="J31:K31"/>
    <mergeCell ref="H32:I32"/>
    <mergeCell ref="J32:K32"/>
    <mergeCell ref="L4:O4"/>
    <mergeCell ref="M5:O5"/>
    <mergeCell ref="P4:S4"/>
    <mergeCell ref="Q5:S5"/>
    <mergeCell ref="B40:E40"/>
    <mergeCell ref="H40:K40"/>
    <mergeCell ref="B41:E41"/>
    <mergeCell ref="H41:K41"/>
    <mergeCell ref="B35:E35"/>
    <mergeCell ref="B39:E39"/>
    <mergeCell ref="H39:K39"/>
    <mergeCell ref="R36:S36"/>
    <mergeCell ref="P30:Q30"/>
    <mergeCell ref="P41:S41"/>
    <mergeCell ref="H29:I29"/>
    <mergeCell ref="J29:K29"/>
    <mergeCell ref="R2:S2"/>
    <mergeCell ref="R3:S3"/>
    <mergeCell ref="L83:O83"/>
    <mergeCell ref="P83:S83"/>
    <mergeCell ref="R79:S79"/>
    <mergeCell ref="B82:E82"/>
    <mergeCell ref="N29:O29"/>
    <mergeCell ref="Q47:S47"/>
    <mergeCell ref="L36:M36"/>
    <mergeCell ref="N36:O36"/>
    <mergeCell ref="R45:S45"/>
    <mergeCell ref="R30:S30"/>
    <mergeCell ref="P31:Q31"/>
    <mergeCell ref="R31:S31"/>
    <mergeCell ref="R74:S74"/>
    <mergeCell ref="P72:Q72"/>
    <mergeCell ref="R69:S69"/>
    <mergeCell ref="L35:M35"/>
    <mergeCell ref="N35:O35"/>
    <mergeCell ref="P33:Q33"/>
    <mergeCell ref="R33:S33"/>
    <mergeCell ref="P32:Q32"/>
    <mergeCell ref="R32:S32"/>
    <mergeCell ref="P40:S40"/>
    <mergeCell ref="L30:M30"/>
    <mergeCell ref="N30:O30"/>
    <mergeCell ref="B73:E73"/>
    <mergeCell ref="B74:E74"/>
    <mergeCell ref="B75:E75"/>
    <mergeCell ref="B83:E83"/>
    <mergeCell ref="H83:K83"/>
    <mergeCell ref="B76:E76"/>
    <mergeCell ref="B77:E77"/>
    <mergeCell ref="B81:E81"/>
    <mergeCell ref="H81:K81"/>
    <mergeCell ref="H77:I77"/>
    <mergeCell ref="J77:K77"/>
    <mergeCell ref="B78:E78"/>
    <mergeCell ref="H78:I78"/>
    <mergeCell ref="J78:K78"/>
    <mergeCell ref="H76:I76"/>
    <mergeCell ref="J76:K76"/>
    <mergeCell ref="B79:E79"/>
    <mergeCell ref="H79:I79"/>
    <mergeCell ref="J79:K79"/>
    <mergeCell ref="J73:K73"/>
    <mergeCell ref="H75:I75"/>
    <mergeCell ref="J75:K75"/>
    <mergeCell ref="H74:I74"/>
    <mergeCell ref="J74:K74"/>
    <mergeCell ref="H82:K82"/>
    <mergeCell ref="R78:S78"/>
    <mergeCell ref="N76:O76"/>
    <mergeCell ref="P76:Q76"/>
    <mergeCell ref="R76:S76"/>
    <mergeCell ref="L82:O82"/>
    <mergeCell ref="L76:M76"/>
    <mergeCell ref="P82:S82"/>
    <mergeCell ref="P78:Q78"/>
    <mergeCell ref="L77:M77"/>
    <mergeCell ref="N77:O77"/>
    <mergeCell ref="P77:Q77"/>
    <mergeCell ref="R77:S77"/>
    <mergeCell ref="L81:O81"/>
    <mergeCell ref="P81:S81"/>
    <mergeCell ref="L78:M78"/>
    <mergeCell ref="L79:M79"/>
    <mergeCell ref="N79:O79"/>
    <mergeCell ref="N78:O78"/>
    <mergeCell ref="P79:Q79"/>
    <mergeCell ref="J71:K71"/>
    <mergeCell ref="H70:I70"/>
    <mergeCell ref="J70:K70"/>
    <mergeCell ref="H72:I72"/>
    <mergeCell ref="J72:K72"/>
    <mergeCell ref="A52:A53"/>
    <mergeCell ref="B52:C53"/>
    <mergeCell ref="D48:E48"/>
    <mergeCell ref="D49:E49"/>
    <mergeCell ref="B48:C49"/>
    <mergeCell ref="A58:A59"/>
    <mergeCell ref="A54:A55"/>
    <mergeCell ref="B54:C55"/>
    <mergeCell ref="D54:E54"/>
    <mergeCell ref="D55:E55"/>
    <mergeCell ref="B58:D59"/>
    <mergeCell ref="E58:E59"/>
    <mergeCell ref="A48:A49"/>
    <mergeCell ref="A50:A51"/>
    <mergeCell ref="B50:C51"/>
    <mergeCell ref="D50:E50"/>
    <mergeCell ref="D51:E51"/>
    <mergeCell ref="B28:E28"/>
    <mergeCell ref="B24:E25"/>
    <mergeCell ref="H31:I31"/>
    <mergeCell ref="L29:M29"/>
    <mergeCell ref="J34:K34"/>
    <mergeCell ref="L34:M34"/>
    <mergeCell ref="N34:O34"/>
    <mergeCell ref="L33:M33"/>
    <mergeCell ref="N33:O33"/>
    <mergeCell ref="L32:M32"/>
    <mergeCell ref="N32:O32"/>
    <mergeCell ref="B32:E32"/>
    <mergeCell ref="N31:O31"/>
    <mergeCell ref="B36:E36"/>
    <mergeCell ref="H36:I36"/>
    <mergeCell ref="J36:K36"/>
    <mergeCell ref="B34:E34"/>
    <mergeCell ref="H33:I33"/>
    <mergeCell ref="J33:K33"/>
    <mergeCell ref="H34:I34"/>
    <mergeCell ref="H35:I35"/>
    <mergeCell ref="B33:E33"/>
    <mergeCell ref="A10:A11"/>
    <mergeCell ref="B10:C11"/>
    <mergeCell ref="D52:E52"/>
    <mergeCell ref="D53:E53"/>
    <mergeCell ref="D10:E10"/>
    <mergeCell ref="D11:E11"/>
    <mergeCell ref="D12:E12"/>
    <mergeCell ref="D13:E13"/>
    <mergeCell ref="A16:A17"/>
    <mergeCell ref="B16:D17"/>
    <mergeCell ref="E16:E17"/>
    <mergeCell ref="B18:E18"/>
    <mergeCell ref="B19:E19"/>
    <mergeCell ref="B20:E20"/>
    <mergeCell ref="A12:A13"/>
    <mergeCell ref="B12:C13"/>
    <mergeCell ref="A14:A15"/>
    <mergeCell ref="B14:B15"/>
    <mergeCell ref="C14:E14"/>
    <mergeCell ref="C15:E15"/>
    <mergeCell ref="B29:E29"/>
    <mergeCell ref="B30:E30"/>
    <mergeCell ref="B31:E31"/>
    <mergeCell ref="B21:E21"/>
  </mergeCells>
  <phoneticPr fontId="6" type="noConversion"/>
  <conditionalFormatting sqref="H63 L63 P63 H21 L21 P21">
    <cfRule type="expression" dxfId="1868" priority="1003">
      <formula>H21&lt;0.5%</formula>
    </cfRule>
    <cfRule type="expression" dxfId="1867" priority="1004">
      <formula>H21&gt;1.5%</formula>
    </cfRule>
  </conditionalFormatting>
  <conditionalFormatting sqref="H70:S71 J77:K77 N77:O77 R77:S77 J35:K35 H28:S29 N35:O35 R35:S35">
    <cfRule type="expression" dxfId="1866" priority="625">
      <formula>H28&lt;65</formula>
    </cfRule>
    <cfRule type="expression" dxfId="1865" priority="626">
      <formula>H28&gt;75</formula>
    </cfRule>
  </conditionalFormatting>
  <conditionalFormatting sqref="H72:S73 H30:S31">
    <cfRule type="expression" dxfId="1864" priority="615">
      <formula>H30&lt;60</formula>
    </cfRule>
    <cfRule type="expression" dxfId="1863" priority="616">
      <formula>H30&gt;70</formula>
    </cfRule>
  </conditionalFormatting>
  <conditionalFormatting sqref="H52 L52 P54 H54 L54 P52 H10 L10 P10 H12 L12 P12">
    <cfRule type="expression" dxfId="1862" priority="498" stopIfTrue="1">
      <formula>H10&lt;50</formula>
    </cfRule>
  </conditionalFormatting>
  <conditionalFormatting sqref="H52 L52 P54 H54 L54 P52 H10 L10 P10 H12 L12 P12">
    <cfRule type="expression" dxfId="1861" priority="497" stopIfTrue="1">
      <formula>H10&gt;70</formula>
    </cfRule>
  </conditionalFormatting>
  <conditionalFormatting sqref="H76:S76 H34:S34">
    <cfRule type="expression" dxfId="1860" priority="491">
      <formula>H34&lt;55</formula>
    </cfRule>
    <cfRule type="expression" dxfId="1859" priority="492">
      <formula>H34&gt;65</formula>
    </cfRule>
  </conditionalFormatting>
  <conditionalFormatting sqref="H60:H61 P60:P61 L60:L61 H18:H19 P18:P19 L18:L19">
    <cfRule type="expression" dxfId="1858" priority="455">
      <formula>H18&lt;40%</formula>
    </cfRule>
    <cfRule type="expression" dxfId="1857" priority="456">
      <formula>H18&gt;50%</formula>
    </cfRule>
  </conditionalFormatting>
  <conditionalFormatting sqref="H48 H50 P48 P50 L48 L50 H6 H8 P6 P8 L6 L8">
    <cfRule type="expression" dxfId="1856" priority="242" stopIfTrue="1">
      <formula>H6&lt;40</formula>
    </cfRule>
  </conditionalFormatting>
  <conditionalFormatting sqref="H48 H50 P48 P50 L48 L50 H6 H8 P6 P8 L6 L8">
    <cfRule type="expression" dxfId="1855" priority="241" stopIfTrue="1">
      <formula>H6&gt;60</formula>
    </cfRule>
  </conditionalFormatting>
  <conditionalFormatting sqref="H62 H20 L20 P20">
    <cfRule type="expression" dxfId="1854" priority="217">
      <formula>H20&lt;20%</formula>
    </cfRule>
    <cfRule type="expression" dxfId="1853" priority="218">
      <formula>H20&gt;40%</formula>
    </cfRule>
  </conditionalFormatting>
  <conditionalFormatting sqref="L62">
    <cfRule type="expression" dxfId="1852" priority="215">
      <formula>L62&lt;20%</formula>
    </cfRule>
    <cfRule type="expression" dxfId="1851" priority="216">
      <formula>L62&gt;40%</formula>
    </cfRule>
  </conditionalFormatting>
  <conditionalFormatting sqref="P62">
    <cfRule type="expression" dxfId="1850" priority="213">
      <formula>P62&lt;20%</formula>
    </cfRule>
    <cfRule type="expression" dxfId="1849" priority="214">
      <formula>P62&gt;40%</formula>
    </cfRule>
  </conditionalFormatting>
  <conditionalFormatting sqref="H25">
    <cfRule type="expression" dxfId="1848" priority="173">
      <formula>H25&lt;1.8</formula>
    </cfRule>
    <cfRule type="expression" dxfId="1847" priority="174">
      <formula>H25&gt;2.4</formula>
    </cfRule>
  </conditionalFormatting>
  <conditionalFormatting sqref="H24">
    <cfRule type="expression" dxfId="1846" priority="171">
      <formula>H24&lt;8</formula>
    </cfRule>
    <cfRule type="expression" dxfId="1845" priority="172">
      <formula>H24&gt;16</formula>
    </cfRule>
  </conditionalFormatting>
  <conditionalFormatting sqref="P25">
    <cfRule type="expression" dxfId="1844" priority="169">
      <formula>P25&lt;1.8</formula>
    </cfRule>
    <cfRule type="expression" dxfId="1843" priority="170">
      <formula>P25&gt;2.4</formula>
    </cfRule>
  </conditionalFormatting>
  <conditionalFormatting sqref="P24">
    <cfRule type="expression" dxfId="1842" priority="167">
      <formula>P24&lt;8</formula>
    </cfRule>
    <cfRule type="expression" dxfId="1841" priority="168">
      <formula>P24&gt;16</formula>
    </cfRule>
  </conditionalFormatting>
  <conditionalFormatting sqref="L25">
    <cfRule type="expression" dxfId="1840" priority="165">
      <formula>L25&lt;1.8</formula>
    </cfRule>
    <cfRule type="expression" dxfId="1839" priority="166">
      <formula>L25&gt;2.4</formula>
    </cfRule>
  </conditionalFormatting>
  <conditionalFormatting sqref="L24">
    <cfRule type="expression" dxfId="1838" priority="163">
      <formula>L24&lt;8</formula>
    </cfRule>
    <cfRule type="expression" dxfId="1837" priority="164">
      <formula>L24&gt;16</formula>
    </cfRule>
  </conditionalFormatting>
  <conditionalFormatting sqref="H67">
    <cfRule type="expression" dxfId="1836" priority="161">
      <formula>H67&lt;1.8</formula>
    </cfRule>
    <cfRule type="expression" dxfId="1835" priority="162">
      <formula>H67&gt;2.4</formula>
    </cfRule>
  </conditionalFormatting>
  <conditionalFormatting sqref="H66">
    <cfRule type="expression" dxfId="1834" priority="159">
      <formula>H66&lt;8</formula>
    </cfRule>
    <cfRule type="expression" dxfId="1833" priority="160">
      <formula>H66&gt;16</formula>
    </cfRule>
  </conditionalFormatting>
  <conditionalFormatting sqref="P67">
    <cfRule type="expression" dxfId="1832" priority="157">
      <formula>P67&lt;1.8</formula>
    </cfRule>
    <cfRule type="expression" dxfId="1831" priority="158">
      <formula>P67&gt;2.4</formula>
    </cfRule>
  </conditionalFormatting>
  <conditionalFormatting sqref="P66">
    <cfRule type="expression" dxfId="1830" priority="155">
      <formula>P66&lt;8</formula>
    </cfRule>
    <cfRule type="expression" dxfId="1829" priority="156">
      <formula>P66&gt;16</formula>
    </cfRule>
  </conditionalFormatting>
  <conditionalFormatting sqref="L67">
    <cfRule type="expression" dxfId="1828" priority="153">
      <formula>L67&lt;1.8</formula>
    </cfRule>
    <cfRule type="expression" dxfId="1827" priority="154">
      <formula>L67&gt;2.4</formula>
    </cfRule>
  </conditionalFormatting>
  <conditionalFormatting sqref="L66">
    <cfRule type="expression" dxfId="1826" priority="151">
      <formula>L66&lt;8</formula>
    </cfRule>
    <cfRule type="expression" dxfId="1825" priority="152">
      <formula>L66&gt;16</formula>
    </cfRule>
  </conditionalFormatting>
  <conditionalFormatting sqref="H56">
    <cfRule type="expression" dxfId="1824" priority="150" stopIfTrue="1">
      <formula>H56&lt;135</formula>
    </cfRule>
  </conditionalFormatting>
  <conditionalFormatting sqref="H56">
    <cfRule type="expression" dxfId="1823" priority="149" stopIfTrue="1">
      <formula>H56&gt;145</formula>
    </cfRule>
  </conditionalFormatting>
  <conditionalFormatting sqref="H57">
    <cfRule type="expression" dxfId="1822" priority="148" stopIfTrue="1">
      <formula>H57&lt;6</formula>
    </cfRule>
  </conditionalFormatting>
  <conditionalFormatting sqref="H57">
    <cfRule type="expression" dxfId="1821" priority="147" stopIfTrue="1">
      <formula>H57&gt;8</formula>
    </cfRule>
  </conditionalFormatting>
  <conditionalFormatting sqref="H58">
    <cfRule type="expression" dxfId="1820" priority="145">
      <formula>H58&lt;5</formula>
    </cfRule>
    <cfRule type="expression" dxfId="1819" priority="146">
      <formula>H58&gt;8</formula>
    </cfRule>
  </conditionalFormatting>
  <conditionalFormatting sqref="H14">
    <cfRule type="expression" dxfId="1818" priority="144" stopIfTrue="1">
      <formula>H14&lt;135</formula>
    </cfRule>
  </conditionalFormatting>
  <conditionalFormatting sqref="H14">
    <cfRule type="expression" dxfId="1817" priority="143" stopIfTrue="1">
      <formula>H14&gt;145</formula>
    </cfRule>
  </conditionalFormatting>
  <conditionalFormatting sqref="H15">
    <cfRule type="expression" dxfId="1816" priority="142" stopIfTrue="1">
      <formula>H15&lt;6</formula>
    </cfRule>
  </conditionalFormatting>
  <conditionalFormatting sqref="H15">
    <cfRule type="expression" dxfId="1815" priority="141" stopIfTrue="1">
      <formula>H15&gt;8</formula>
    </cfRule>
  </conditionalFormatting>
  <conditionalFormatting sqref="H16">
    <cfRule type="expression" dxfId="1814" priority="139">
      <formula>H16&lt;5</formula>
    </cfRule>
    <cfRule type="expression" dxfId="1813" priority="140">
      <formula>H16&gt;8</formula>
    </cfRule>
  </conditionalFormatting>
  <conditionalFormatting sqref="L14">
    <cfRule type="expression" dxfId="1812" priority="138" stopIfTrue="1">
      <formula>L14&lt;135</formula>
    </cfRule>
  </conditionalFormatting>
  <conditionalFormatting sqref="L14">
    <cfRule type="expression" dxfId="1811" priority="137" stopIfTrue="1">
      <formula>L14&gt;145</formula>
    </cfRule>
  </conditionalFormatting>
  <conditionalFormatting sqref="L15">
    <cfRule type="expression" dxfId="1810" priority="136" stopIfTrue="1">
      <formula>L15&lt;6</formula>
    </cfRule>
  </conditionalFormatting>
  <conditionalFormatting sqref="L15">
    <cfRule type="expression" dxfId="1809" priority="135" stopIfTrue="1">
      <formula>L15&gt;8</formula>
    </cfRule>
  </conditionalFormatting>
  <conditionalFormatting sqref="L16">
    <cfRule type="expression" dxfId="1808" priority="133">
      <formula>L16&lt;5</formula>
    </cfRule>
    <cfRule type="expression" dxfId="1807" priority="134">
      <formula>L16&gt;8</formula>
    </cfRule>
  </conditionalFormatting>
  <conditionalFormatting sqref="P14">
    <cfRule type="expression" dxfId="1806" priority="132" stopIfTrue="1">
      <formula>P14&lt;135</formula>
    </cfRule>
  </conditionalFormatting>
  <conditionalFormatting sqref="P14">
    <cfRule type="expression" dxfId="1805" priority="131" stopIfTrue="1">
      <formula>P14&gt;145</formula>
    </cfRule>
  </conditionalFormatting>
  <conditionalFormatting sqref="P15">
    <cfRule type="expression" dxfId="1804" priority="130" stopIfTrue="1">
      <formula>P15&lt;6</formula>
    </cfRule>
  </conditionalFormatting>
  <conditionalFormatting sqref="P15">
    <cfRule type="expression" dxfId="1803" priority="129" stopIfTrue="1">
      <formula>P15&gt;8</formula>
    </cfRule>
  </conditionalFormatting>
  <conditionalFormatting sqref="P16">
    <cfRule type="expression" dxfId="1802" priority="127">
      <formula>P16&lt;5</formula>
    </cfRule>
    <cfRule type="expression" dxfId="1801" priority="128">
      <formula>P16&gt;8</formula>
    </cfRule>
  </conditionalFormatting>
  <conditionalFormatting sqref="L56">
    <cfRule type="expression" dxfId="1800" priority="126" stopIfTrue="1">
      <formula>L56&lt;135</formula>
    </cfRule>
  </conditionalFormatting>
  <conditionalFormatting sqref="L56">
    <cfRule type="expression" dxfId="1799" priority="125" stopIfTrue="1">
      <formula>L56&gt;145</formula>
    </cfRule>
  </conditionalFormatting>
  <conditionalFormatting sqref="L57">
    <cfRule type="expression" dxfId="1798" priority="124" stopIfTrue="1">
      <formula>L57&lt;6</formula>
    </cfRule>
  </conditionalFormatting>
  <conditionalFormatting sqref="L57">
    <cfRule type="expression" dxfId="1797" priority="123" stopIfTrue="1">
      <formula>L57&gt;8</formula>
    </cfRule>
  </conditionalFormatting>
  <conditionalFormatting sqref="L58">
    <cfRule type="expression" dxfId="1796" priority="121">
      <formula>L58&lt;5</formula>
    </cfRule>
    <cfRule type="expression" dxfId="1795" priority="122">
      <formula>L58&gt;8</formula>
    </cfRule>
  </conditionalFormatting>
  <conditionalFormatting sqref="P56">
    <cfRule type="expression" dxfId="1794" priority="120" stopIfTrue="1">
      <formula>P56&lt;135</formula>
    </cfRule>
  </conditionalFormatting>
  <conditionalFormatting sqref="P56">
    <cfRule type="expression" dxfId="1793" priority="119" stopIfTrue="1">
      <formula>P56&gt;145</formula>
    </cfRule>
  </conditionalFormatting>
  <conditionalFormatting sqref="P57">
    <cfRule type="expression" dxfId="1792" priority="118" stopIfTrue="1">
      <formula>P57&lt;6</formula>
    </cfRule>
  </conditionalFormatting>
  <conditionalFormatting sqref="P57">
    <cfRule type="expression" dxfId="1791" priority="117" stopIfTrue="1">
      <formula>P57&gt;8</formula>
    </cfRule>
  </conditionalFormatting>
  <conditionalFormatting sqref="P58">
    <cfRule type="expression" dxfId="1790" priority="115">
      <formula>P58&lt;5</formula>
    </cfRule>
    <cfRule type="expression" dxfId="1789" priority="116">
      <formula>P58&gt;8</formula>
    </cfRule>
  </conditionalFormatting>
  <conditionalFormatting sqref="H82">
    <cfRule type="expression" dxfId="1788" priority="113">
      <formula>H82&lt;30</formula>
    </cfRule>
    <cfRule type="expression" dxfId="1787" priority="114">
      <formula>H82&gt;50</formula>
    </cfRule>
  </conditionalFormatting>
  <conditionalFormatting sqref="H83">
    <cfRule type="expression" dxfId="1786" priority="111">
      <formula>H83&lt;160</formula>
    </cfRule>
    <cfRule type="expression" dxfId="1785" priority="112">
      <formula>H83&gt;220</formula>
    </cfRule>
  </conditionalFormatting>
  <conditionalFormatting sqref="L82">
    <cfRule type="expression" dxfId="1784" priority="109">
      <formula>L82&lt;30</formula>
    </cfRule>
    <cfRule type="expression" dxfId="1783" priority="110">
      <formula>L82&gt;50</formula>
    </cfRule>
  </conditionalFormatting>
  <conditionalFormatting sqref="L83">
    <cfRule type="expression" dxfId="1782" priority="107">
      <formula>L83&lt;160</formula>
    </cfRule>
    <cfRule type="expression" dxfId="1781" priority="108">
      <formula>L83&gt;220</formula>
    </cfRule>
  </conditionalFormatting>
  <conditionalFormatting sqref="P82">
    <cfRule type="expression" dxfId="1780" priority="105">
      <formula>P82&lt;30</formula>
    </cfRule>
    <cfRule type="expression" dxfId="1779" priority="106">
      <formula>P82&gt;50</formula>
    </cfRule>
  </conditionalFormatting>
  <conditionalFormatting sqref="P83">
    <cfRule type="expression" dxfId="1778" priority="103">
      <formula>P83&lt;160</formula>
    </cfRule>
    <cfRule type="expression" dxfId="1777" priority="104">
      <formula>P83&gt;220</formula>
    </cfRule>
  </conditionalFormatting>
  <conditionalFormatting sqref="H40">
    <cfRule type="expression" dxfId="1776" priority="101">
      <formula>H40&lt;30</formula>
    </cfRule>
    <cfRule type="expression" dxfId="1775" priority="102">
      <formula>H40&gt;50</formula>
    </cfRule>
  </conditionalFormatting>
  <conditionalFormatting sqref="H41">
    <cfRule type="expression" dxfId="1774" priority="99">
      <formula>H41&lt;160</formula>
    </cfRule>
    <cfRule type="expression" dxfId="1773" priority="100">
      <formula>H41&gt;220</formula>
    </cfRule>
  </conditionalFormatting>
  <conditionalFormatting sqref="L40">
    <cfRule type="expression" dxfId="1772" priority="97">
      <formula>L40&lt;30</formula>
    </cfRule>
    <cfRule type="expression" dxfId="1771" priority="98">
      <formula>L40&gt;50</formula>
    </cfRule>
  </conditionalFormatting>
  <conditionalFormatting sqref="L41">
    <cfRule type="expression" dxfId="1770" priority="95">
      <formula>L41&lt;160</formula>
    </cfRule>
    <cfRule type="expression" dxfId="1769" priority="96">
      <formula>L41&gt;220</formula>
    </cfRule>
  </conditionalFormatting>
  <conditionalFormatting sqref="P40">
    <cfRule type="expression" dxfId="1768" priority="93">
      <formula>P40&lt;30</formula>
    </cfRule>
    <cfRule type="expression" dxfId="1767" priority="94">
      <formula>P40&gt;50</formula>
    </cfRule>
  </conditionalFormatting>
  <conditionalFormatting sqref="P41">
    <cfRule type="expression" dxfId="1766" priority="91">
      <formula>P41&lt;160</formula>
    </cfRule>
    <cfRule type="expression" dxfId="1765" priority="92">
      <formula>P41&gt;220</formula>
    </cfRule>
  </conditionalFormatting>
  <conditionalFormatting sqref="H59">
    <cfRule type="expression" dxfId="1764" priority="89">
      <formula>H59&lt;2</formula>
    </cfRule>
    <cfRule type="expression" dxfId="1763" priority="90">
      <formula>H59&gt;2.4</formula>
    </cfRule>
  </conditionalFormatting>
  <conditionalFormatting sqref="L59">
    <cfRule type="expression" dxfId="1762" priority="87">
      <formula>L59&lt;2</formula>
    </cfRule>
    <cfRule type="expression" dxfId="1761" priority="88">
      <formula>L59&gt;2.4</formula>
    </cfRule>
  </conditionalFormatting>
  <conditionalFormatting sqref="P59">
    <cfRule type="expression" dxfId="1760" priority="85">
      <formula>P59&lt;2</formula>
    </cfRule>
    <cfRule type="expression" dxfId="1759" priority="86">
      <formula>P59&gt;2.4</formula>
    </cfRule>
  </conditionalFormatting>
  <conditionalFormatting sqref="H17">
    <cfRule type="expression" dxfId="1758" priority="83">
      <formula>H17&lt;2</formula>
    </cfRule>
    <cfRule type="expression" dxfId="1757" priority="84">
      <formula>H17&gt;2.4</formula>
    </cfRule>
  </conditionalFormatting>
  <conditionalFormatting sqref="L17">
    <cfRule type="expression" dxfId="1756" priority="81">
      <formula>L17&lt;2</formula>
    </cfRule>
    <cfRule type="expression" dxfId="1755" priority="82">
      <formula>L17&gt;2.4</formula>
    </cfRule>
  </conditionalFormatting>
  <conditionalFormatting sqref="P17">
    <cfRule type="expression" dxfId="1754" priority="79">
      <formula>P17&lt;2</formula>
    </cfRule>
    <cfRule type="expression" dxfId="1753" priority="80">
      <formula>P17&gt;2.4</formula>
    </cfRule>
  </conditionalFormatting>
  <conditionalFormatting sqref="H32">
    <cfRule type="expression" dxfId="1752" priority="77">
      <formula>H32&lt;24</formula>
    </cfRule>
    <cfRule type="expression" dxfId="1751" priority="78">
      <formula>H32&gt;26</formula>
    </cfRule>
  </conditionalFormatting>
  <conditionalFormatting sqref="H33">
    <cfRule type="expression" dxfId="1750" priority="75">
      <formula>H33&lt;34</formula>
    </cfRule>
    <cfRule type="expression" dxfId="1749" priority="76">
      <formula>H33&gt;36</formula>
    </cfRule>
  </conditionalFormatting>
  <conditionalFormatting sqref="J32">
    <cfRule type="expression" dxfId="1748" priority="73">
      <formula>J32&lt;24</formula>
    </cfRule>
    <cfRule type="expression" dxfId="1747" priority="74">
      <formula>J32&gt;26</formula>
    </cfRule>
  </conditionalFormatting>
  <conditionalFormatting sqref="J33">
    <cfRule type="expression" dxfId="1746" priority="71">
      <formula>J33&lt;34</formula>
    </cfRule>
    <cfRule type="expression" dxfId="1745" priority="72">
      <formula>J33&gt;36</formula>
    </cfRule>
  </conditionalFormatting>
  <conditionalFormatting sqref="L32">
    <cfRule type="expression" dxfId="1744" priority="69">
      <formula>L32&lt;24</formula>
    </cfRule>
    <cfRule type="expression" dxfId="1743" priority="70">
      <formula>L32&gt;26</formula>
    </cfRule>
  </conditionalFormatting>
  <conditionalFormatting sqref="L33">
    <cfRule type="expression" dxfId="1742" priority="67">
      <formula>L33&lt;34</formula>
    </cfRule>
    <cfRule type="expression" dxfId="1741" priority="68">
      <formula>L33&gt;36</formula>
    </cfRule>
  </conditionalFormatting>
  <conditionalFormatting sqref="N32">
    <cfRule type="expression" dxfId="1740" priority="65">
      <formula>N32&lt;24</formula>
    </cfRule>
    <cfRule type="expression" dxfId="1739" priority="66">
      <formula>N32&gt;26</formula>
    </cfRule>
  </conditionalFormatting>
  <conditionalFormatting sqref="N33">
    <cfRule type="expression" dxfId="1738" priority="63">
      <formula>N33&lt;34</formula>
    </cfRule>
    <cfRule type="expression" dxfId="1737" priority="64">
      <formula>N33&gt;36</formula>
    </cfRule>
  </conditionalFormatting>
  <conditionalFormatting sqref="P32">
    <cfRule type="expression" dxfId="1736" priority="61">
      <formula>P32&lt;24</formula>
    </cfRule>
    <cfRule type="expression" dxfId="1735" priority="62">
      <formula>P32&gt;26</formula>
    </cfRule>
  </conditionalFormatting>
  <conditionalFormatting sqref="P33">
    <cfRule type="expression" dxfId="1734" priority="59">
      <formula>P33&lt;34</formula>
    </cfRule>
    <cfRule type="expression" dxfId="1733" priority="60">
      <formula>P33&gt;36</formula>
    </cfRule>
  </conditionalFormatting>
  <conditionalFormatting sqref="R32">
    <cfRule type="expression" dxfId="1732" priority="57">
      <formula>R32&lt;24</formula>
    </cfRule>
    <cfRule type="expression" dxfId="1731" priority="58">
      <formula>R32&gt;26</formula>
    </cfRule>
  </conditionalFormatting>
  <conditionalFormatting sqref="R33">
    <cfRule type="expression" dxfId="1730" priority="55">
      <formula>R33&lt;34</formula>
    </cfRule>
    <cfRule type="expression" dxfId="1729" priority="56">
      <formula>R33&gt;36</formula>
    </cfRule>
  </conditionalFormatting>
  <conditionalFormatting sqref="H74">
    <cfRule type="expression" dxfId="1728" priority="53">
      <formula>H74&lt;24</formula>
    </cfRule>
    <cfRule type="expression" dxfId="1727" priority="54">
      <formula>H74&gt;26</formula>
    </cfRule>
  </conditionalFormatting>
  <conditionalFormatting sqref="H75">
    <cfRule type="expression" dxfId="1726" priority="51">
      <formula>H75&lt;34</formula>
    </cfRule>
    <cfRule type="expression" dxfId="1725" priority="52">
      <formula>H75&gt;36</formula>
    </cfRule>
  </conditionalFormatting>
  <conditionalFormatting sqref="J74">
    <cfRule type="expression" dxfId="1724" priority="49">
      <formula>J74&lt;24</formula>
    </cfRule>
    <cfRule type="expression" dxfId="1723" priority="50">
      <formula>J74&gt;26</formula>
    </cfRule>
  </conditionalFormatting>
  <conditionalFormatting sqref="J75">
    <cfRule type="expression" dxfId="1722" priority="47">
      <formula>J75&lt;34</formula>
    </cfRule>
    <cfRule type="expression" dxfId="1721" priority="48">
      <formula>J75&gt;36</formula>
    </cfRule>
  </conditionalFormatting>
  <conditionalFormatting sqref="L74">
    <cfRule type="expression" dxfId="1720" priority="45">
      <formula>L74&lt;24</formula>
    </cfRule>
    <cfRule type="expression" dxfId="1719" priority="46">
      <formula>L74&gt;26</formula>
    </cfRule>
  </conditionalFormatting>
  <conditionalFormatting sqref="L75">
    <cfRule type="expression" dxfId="1718" priority="43">
      <formula>L75&lt;34</formula>
    </cfRule>
    <cfRule type="expression" dxfId="1717" priority="44">
      <formula>L75&gt;36</formula>
    </cfRule>
  </conditionalFormatting>
  <conditionalFormatting sqref="N74">
    <cfRule type="expression" dxfId="1716" priority="41">
      <formula>N74&lt;24</formula>
    </cfRule>
    <cfRule type="expression" dxfId="1715" priority="42">
      <formula>N74&gt;26</formula>
    </cfRule>
  </conditionalFormatting>
  <conditionalFormatting sqref="N75">
    <cfRule type="expression" dxfId="1714" priority="39">
      <formula>N75&lt;34</formula>
    </cfRule>
    <cfRule type="expression" dxfId="1713" priority="40">
      <formula>N75&gt;36</formula>
    </cfRule>
  </conditionalFormatting>
  <conditionalFormatting sqref="P74">
    <cfRule type="expression" dxfId="1712" priority="37">
      <formula>P74&lt;24</formula>
    </cfRule>
    <cfRule type="expression" dxfId="1711" priority="38">
      <formula>P74&gt;26</formula>
    </cfRule>
  </conditionalFormatting>
  <conditionalFormatting sqref="P75">
    <cfRule type="expression" dxfId="1710" priority="35">
      <formula>P75&lt;34</formula>
    </cfRule>
    <cfRule type="expression" dxfId="1709" priority="36">
      <formula>P75&gt;36</formula>
    </cfRule>
  </conditionalFormatting>
  <conditionalFormatting sqref="R74">
    <cfRule type="expression" dxfId="1708" priority="33">
      <formula>R74&lt;24</formula>
    </cfRule>
    <cfRule type="expression" dxfId="1707" priority="34">
      <formula>R74&gt;26</formula>
    </cfRule>
  </conditionalFormatting>
  <conditionalFormatting sqref="R75">
    <cfRule type="expression" dxfId="1706" priority="31">
      <formula>R75&lt;34</formula>
    </cfRule>
    <cfRule type="expression" dxfId="1705" priority="32">
      <formula>R75&gt;36</formula>
    </cfRule>
  </conditionalFormatting>
  <conditionalFormatting sqref="H37">
    <cfRule type="expression" dxfId="1704" priority="23">
      <formula>H37&lt;35</formula>
    </cfRule>
    <cfRule type="expression" dxfId="1703" priority="24">
      <formula>H37&gt;45</formula>
    </cfRule>
  </conditionalFormatting>
  <conditionalFormatting sqref="J37">
    <cfRule type="expression" dxfId="1702" priority="21">
      <formula>J37&lt;35</formula>
    </cfRule>
    <cfRule type="expression" dxfId="1701" priority="22">
      <formula>J37&gt;45</formula>
    </cfRule>
  </conditionalFormatting>
  <conditionalFormatting sqref="L37">
    <cfRule type="expression" dxfId="1700" priority="19">
      <formula>L37&lt;35</formula>
    </cfRule>
    <cfRule type="expression" dxfId="1699" priority="20">
      <formula>L37&gt;45</formula>
    </cfRule>
  </conditionalFormatting>
  <conditionalFormatting sqref="N37">
    <cfRule type="expression" dxfId="1698" priority="17">
      <formula>N37&lt;35</formula>
    </cfRule>
    <cfRule type="expression" dxfId="1697" priority="18">
      <formula>N37&gt;45</formula>
    </cfRule>
  </conditionalFormatting>
  <conditionalFormatting sqref="P37">
    <cfRule type="expression" dxfId="1696" priority="15">
      <formula>P37&lt;35</formula>
    </cfRule>
    <cfRule type="expression" dxfId="1695" priority="16">
      <formula>P37&gt;45</formula>
    </cfRule>
  </conditionalFormatting>
  <conditionalFormatting sqref="R37">
    <cfRule type="expression" dxfId="1694" priority="13">
      <formula>R37&lt;35</formula>
    </cfRule>
    <cfRule type="expression" dxfId="1693" priority="14">
      <formula>R37&gt;45</formula>
    </cfRule>
  </conditionalFormatting>
  <conditionalFormatting sqref="H79">
    <cfRule type="expression" dxfId="1692" priority="11">
      <formula>H79&lt;35</formula>
    </cfRule>
    <cfRule type="expression" dxfId="1691" priority="12">
      <formula>H79&gt;45</formula>
    </cfRule>
  </conditionalFormatting>
  <conditionalFormatting sqref="J79">
    <cfRule type="expression" dxfId="1690" priority="9">
      <formula>J79&lt;35</formula>
    </cfRule>
    <cfRule type="expression" dxfId="1689" priority="10">
      <formula>J79&gt;45</formula>
    </cfRule>
  </conditionalFormatting>
  <conditionalFormatting sqref="L79">
    <cfRule type="expression" dxfId="1688" priority="7">
      <formula>L79&lt;35</formula>
    </cfRule>
    <cfRule type="expression" dxfId="1687" priority="8">
      <formula>L79&gt;45</formula>
    </cfRule>
  </conditionalFormatting>
  <conditionalFormatting sqref="N79">
    <cfRule type="expression" dxfId="1686" priority="5">
      <formula>N79&lt;35</formula>
    </cfRule>
    <cfRule type="expression" dxfId="1685" priority="6">
      <formula>N79&gt;45</formula>
    </cfRule>
  </conditionalFormatting>
  <conditionalFormatting sqref="P79">
    <cfRule type="expression" dxfId="1684" priority="3">
      <formula>P79&lt;35</formula>
    </cfRule>
    <cfRule type="expression" dxfId="1683" priority="4">
      <formula>P79&gt;45</formula>
    </cfRule>
  </conditionalFormatting>
  <conditionalFormatting sqref="R79">
    <cfRule type="expression" dxfId="1682" priority="1">
      <formula>R79&lt;35</formula>
    </cfRule>
    <cfRule type="expression" dxfId="1681" priority="2">
      <formula>R79&gt;45</formula>
    </cfRule>
  </conditionalFormatting>
  <pageMargins left="0.39" right="0" top="0" bottom="0" header="0" footer="0"/>
  <pageSetup paperSize="9" scale="63" orientation="portrait" verticalDpi="300" r:id="rId1"/>
  <headerFooter alignWithMargins="0">
    <oddFooter>&amp;L&amp;10DCC No.：      Q4-CXVN-PC01-IS10-02&amp;C&amp;10Ver.： 01&amp;R&amp;10保存期限： 1 年</oddFooter>
  </headerFooter>
  <drawing r:id="rId2"/>
</worksheet>
</file>

<file path=xl/worksheets/sheet21.xml><?xml version="1.0" encoding="utf-8"?>
<worksheet xmlns="http://schemas.openxmlformats.org/spreadsheetml/2006/main" xmlns:r="http://schemas.openxmlformats.org/officeDocument/2006/relationships">
  <sheetPr>
    <tabColor rgb="FFFF0000"/>
  </sheetPr>
  <dimension ref="A1:P68"/>
  <sheetViews>
    <sheetView view="pageBreakPreview" topLeftCell="A49" zoomScale="60" zoomScaleNormal="70" workbookViewId="0">
      <selection activeCell="V23" sqref="V23"/>
    </sheetView>
  </sheetViews>
  <sheetFormatPr defaultRowHeight="16.5"/>
  <cols>
    <col min="1" max="1" width="5" style="9" customWidth="1"/>
    <col min="2" max="2" width="11.125" style="33" customWidth="1"/>
    <col min="3" max="3" width="6.75" style="33" customWidth="1"/>
    <col min="4" max="4" width="12.625" style="33" customWidth="1"/>
    <col min="5" max="5" width="2.75" style="33" customWidth="1"/>
    <col min="6" max="6" width="8.25" style="8" customWidth="1"/>
    <col min="7" max="7" width="23.875" style="8" customWidth="1"/>
    <col min="8" max="8" width="9.25" style="8" customWidth="1"/>
    <col min="9" max="9" width="3.125" style="8" customWidth="1"/>
    <col min="10" max="10" width="8.75" style="8" customWidth="1"/>
    <col min="11" max="11" width="4" style="8" customWidth="1"/>
    <col min="12" max="12" width="8.375" style="8" customWidth="1"/>
    <col min="13" max="13" width="4.25" style="8" customWidth="1"/>
    <col min="14" max="14" width="9.25" style="8" customWidth="1"/>
    <col min="15" max="15" width="4.875" style="8" customWidth="1"/>
    <col min="16" max="16" width="13.625" style="9" customWidth="1"/>
    <col min="17" max="16384" width="9" style="9"/>
  </cols>
  <sheetData>
    <row r="1" spans="1:16" ht="28.5" customHeight="1">
      <c r="A1" s="1972" t="s">
        <v>152</v>
      </c>
      <c r="B1" s="1972"/>
      <c r="C1" s="1972"/>
      <c r="D1" s="1972"/>
      <c r="E1" s="1972"/>
      <c r="F1" s="1972"/>
      <c r="G1" s="1972"/>
      <c r="H1" s="1972"/>
      <c r="I1" s="1972"/>
      <c r="J1" s="1972"/>
      <c r="K1" s="1972"/>
      <c r="L1" s="1972"/>
      <c r="M1" s="1972"/>
      <c r="N1" s="1189"/>
      <c r="O1" s="1189"/>
      <c r="P1" s="73"/>
    </row>
    <row r="2" spans="1:16" ht="51.75" customHeight="1">
      <c r="A2" s="1973" t="s">
        <v>1075</v>
      </c>
      <c r="B2" s="1973"/>
      <c r="C2" s="1973"/>
      <c r="D2" s="1973"/>
      <c r="E2" s="1973"/>
      <c r="F2" s="1973"/>
      <c r="G2" s="1973"/>
      <c r="H2" s="1973"/>
      <c r="I2" s="1973"/>
      <c r="J2" s="1973"/>
      <c r="K2" s="1973"/>
      <c r="L2" s="1973"/>
      <c r="M2" s="2024"/>
      <c r="N2" s="2025" t="s">
        <v>96</v>
      </c>
      <c r="O2" s="1923"/>
      <c r="P2" s="90" t="s">
        <v>17</v>
      </c>
    </row>
    <row r="3" spans="1:16" ht="34.5" customHeight="1">
      <c r="A3" s="10"/>
      <c r="B3" s="1194" t="s">
        <v>144</v>
      </c>
      <c r="C3" s="74"/>
      <c r="D3" s="74"/>
      <c r="E3" s="74"/>
      <c r="F3" s="75"/>
      <c r="G3" s="235" t="str">
        <f>'1. XL-1E kh'!$G$3</f>
        <v>2022/12/03</v>
      </c>
      <c r="H3" s="30"/>
      <c r="I3" s="30"/>
      <c r="J3" s="30"/>
      <c r="K3" s="31"/>
      <c r="L3" s="31"/>
      <c r="M3" s="31"/>
      <c r="N3" s="2046" t="str">
        <f>'1. XL-1E kh'!$AC$3</f>
        <v>L.Yen</v>
      </c>
      <c r="O3" s="2047"/>
      <c r="P3" s="89" t="s">
        <v>11</v>
      </c>
    </row>
    <row r="4" spans="1:16" s="76" customFormat="1" ht="41.25" customHeight="1">
      <c r="A4" s="2048" t="s">
        <v>7</v>
      </c>
      <c r="B4" s="2049" t="s">
        <v>79</v>
      </c>
      <c r="C4" s="2050"/>
      <c r="D4" s="2050"/>
      <c r="E4" s="2051"/>
      <c r="F4" s="2055" t="s">
        <v>137</v>
      </c>
      <c r="G4" s="2057" t="s">
        <v>67</v>
      </c>
      <c r="H4" s="1921">
        <v>0.26041666666666669</v>
      </c>
      <c r="I4" s="1922"/>
      <c r="J4" s="1922"/>
      <c r="K4" s="1923"/>
      <c r="L4" s="1921">
        <v>0.59375</v>
      </c>
      <c r="M4" s="1922"/>
      <c r="N4" s="1922"/>
      <c r="O4" s="1923"/>
      <c r="P4" s="1970" t="s">
        <v>41</v>
      </c>
    </row>
    <row r="5" spans="1:16" s="76" customFormat="1" ht="35.25" customHeight="1">
      <c r="A5" s="2048"/>
      <c r="B5" s="2052"/>
      <c r="C5" s="2053"/>
      <c r="D5" s="2053"/>
      <c r="E5" s="2054"/>
      <c r="F5" s="2056"/>
      <c r="G5" s="2058"/>
      <c r="H5" s="63" t="s">
        <v>146</v>
      </c>
      <c r="I5" s="1927" t="s">
        <v>1</v>
      </c>
      <c r="J5" s="1928"/>
      <c r="K5" s="1929"/>
      <c r="L5" s="63" t="s">
        <v>146</v>
      </c>
      <c r="M5" s="1927" t="s">
        <v>1</v>
      </c>
      <c r="N5" s="1928"/>
      <c r="O5" s="1929"/>
      <c r="P5" s="1971"/>
    </row>
    <row r="6" spans="1:16" ht="33.75" customHeight="1">
      <c r="A6" s="2027">
        <v>1</v>
      </c>
      <c r="B6" s="2040" t="s">
        <v>156</v>
      </c>
      <c r="C6" s="2041"/>
      <c r="D6" s="2044" t="s">
        <v>266</v>
      </c>
      <c r="E6" s="2045"/>
      <c r="F6" s="1203" t="s">
        <v>4</v>
      </c>
      <c r="G6" s="1025" t="str">
        <f>'XM.GUI MAIL'!$E$68</f>
        <v>40~60g/L
(50±5g/L)</v>
      </c>
      <c r="H6" s="64">
        <f>'3.XT-C TT'!H6</f>
        <v>0</v>
      </c>
      <c r="I6" s="65" t="s">
        <v>8</v>
      </c>
      <c r="J6" s="66">
        <f>'3.XT-C TT'!J6</f>
        <v>775.85</v>
      </c>
      <c r="K6" s="67" t="s">
        <v>9</v>
      </c>
      <c r="L6" s="64">
        <f>'3.XT-C TT'!P6</f>
        <v>0</v>
      </c>
      <c r="M6" s="77" t="s">
        <v>8</v>
      </c>
      <c r="N6" s="78">
        <f>'3.XT-C TT'!R6</f>
        <v>775.85</v>
      </c>
      <c r="O6" s="80" t="s">
        <v>9</v>
      </c>
      <c r="P6" s="1188" t="s">
        <v>42</v>
      </c>
    </row>
    <row r="7" spans="1:16" ht="39" customHeight="1">
      <c r="A7" s="2039"/>
      <c r="B7" s="2042"/>
      <c r="C7" s="2043"/>
      <c r="D7" s="2044" t="s">
        <v>267</v>
      </c>
      <c r="E7" s="2045"/>
      <c r="F7" s="1173" t="s">
        <v>58</v>
      </c>
      <c r="G7" s="1025" t="s">
        <v>1474</v>
      </c>
      <c r="H7" s="64"/>
      <c r="I7" s="65" t="s">
        <v>8</v>
      </c>
      <c r="J7" s="68">
        <f>'3.XT-C TT'!J7</f>
        <v>263.78900000000004</v>
      </c>
      <c r="K7" s="67" t="s">
        <v>10</v>
      </c>
      <c r="L7" s="64"/>
      <c r="M7" s="77" t="s">
        <v>8</v>
      </c>
      <c r="N7" s="68">
        <f>'3.XT-C TT'!R7</f>
        <v>263.78900000000004</v>
      </c>
      <c r="O7" s="80" t="s">
        <v>10</v>
      </c>
      <c r="P7" s="1188"/>
    </row>
    <row r="8" spans="1:16" ht="39" customHeight="1">
      <c r="A8" s="2027">
        <v>2</v>
      </c>
      <c r="B8" s="2040" t="s">
        <v>157</v>
      </c>
      <c r="C8" s="2041"/>
      <c r="D8" s="2044" t="s">
        <v>266</v>
      </c>
      <c r="E8" s="2045"/>
      <c r="F8" s="1203" t="s">
        <v>4</v>
      </c>
      <c r="G8" s="1025" t="str">
        <f>'XM.GUI MAIL'!$E$69</f>
        <v>40~60g/L
(50±5g/L)</v>
      </c>
      <c r="H8" s="64">
        <f>'3.XT-C TT'!H8</f>
        <v>0</v>
      </c>
      <c r="I8" s="65" t="s">
        <v>8</v>
      </c>
      <c r="J8" s="66">
        <f>'3.XT-C TT'!J8</f>
        <v>573.75</v>
      </c>
      <c r="K8" s="67" t="s">
        <v>9</v>
      </c>
      <c r="L8" s="64">
        <f>'3.XT-C TT'!P8</f>
        <v>0</v>
      </c>
      <c r="M8" s="77" t="s">
        <v>8</v>
      </c>
      <c r="N8" s="78">
        <f>'3.XT-C TT'!R8</f>
        <v>573.75</v>
      </c>
      <c r="O8" s="80" t="s">
        <v>9</v>
      </c>
      <c r="P8" s="1188" t="s">
        <v>42</v>
      </c>
    </row>
    <row r="9" spans="1:16" ht="39" customHeight="1">
      <c r="A9" s="2039"/>
      <c r="B9" s="2042"/>
      <c r="C9" s="2043"/>
      <c r="D9" s="2044" t="s">
        <v>267</v>
      </c>
      <c r="E9" s="2045"/>
      <c r="F9" s="1173" t="s">
        <v>58</v>
      </c>
      <c r="G9" s="1025" t="s">
        <v>1474</v>
      </c>
      <c r="H9" s="64"/>
      <c r="I9" s="65" t="s">
        <v>8</v>
      </c>
      <c r="J9" s="68">
        <f>'3.XT-C TT'!J9</f>
        <v>195.07499999999999</v>
      </c>
      <c r="K9" s="67" t="s">
        <v>10</v>
      </c>
      <c r="L9" s="64"/>
      <c r="M9" s="77" t="s">
        <v>8</v>
      </c>
      <c r="N9" s="68">
        <f>'3.XT-C TT'!R9</f>
        <v>195.07499999999999</v>
      </c>
      <c r="O9" s="80" t="s">
        <v>10</v>
      </c>
      <c r="P9" s="1188"/>
    </row>
    <row r="10" spans="1:16" ht="39" customHeight="1">
      <c r="A10" s="2027">
        <v>3</v>
      </c>
      <c r="B10" s="2035" t="s">
        <v>158</v>
      </c>
      <c r="C10" s="2036"/>
      <c r="D10" s="2037" t="s">
        <v>268</v>
      </c>
      <c r="E10" s="2038" t="s">
        <v>268</v>
      </c>
      <c r="F10" s="1203" t="s">
        <v>4</v>
      </c>
      <c r="G10" s="1025" t="str">
        <f>'XM.GUI MAIL'!$E$70</f>
        <v>50~70g/L
(60±5g/L)</v>
      </c>
      <c r="H10" s="64">
        <f>'3.XT-C TT'!H10</f>
        <v>0</v>
      </c>
      <c r="I10" s="77" t="s">
        <v>8</v>
      </c>
      <c r="J10" s="78">
        <f>'3.XT-C TT'!J10</f>
        <v>492</v>
      </c>
      <c r="K10" s="32" t="s">
        <v>9</v>
      </c>
      <c r="L10" s="64">
        <f>'3.XT-C TT'!P10</f>
        <v>0</v>
      </c>
      <c r="M10" s="77" t="s">
        <v>8</v>
      </c>
      <c r="N10" s="78">
        <f>'3.XT-C TT'!R10</f>
        <v>492</v>
      </c>
      <c r="O10" s="80" t="s">
        <v>9</v>
      </c>
      <c r="P10" s="1188" t="s">
        <v>42</v>
      </c>
    </row>
    <row r="11" spans="1:16" ht="39" customHeight="1">
      <c r="A11" s="2028"/>
      <c r="B11" s="2036"/>
      <c r="C11" s="2036"/>
      <c r="D11" s="2037" t="s">
        <v>269</v>
      </c>
      <c r="E11" s="2038" t="s">
        <v>269</v>
      </c>
      <c r="F11" s="1173" t="s">
        <v>58</v>
      </c>
      <c r="G11" s="1025" t="s">
        <v>1475</v>
      </c>
      <c r="H11" s="64"/>
      <c r="I11" s="65" t="s">
        <v>8</v>
      </c>
      <c r="J11" s="68">
        <f>'3.XT-C TT'!J11</f>
        <v>157.44</v>
      </c>
      <c r="K11" s="67" t="s">
        <v>10</v>
      </c>
      <c r="L11" s="64"/>
      <c r="M11" s="77" t="s">
        <v>8</v>
      </c>
      <c r="N11" s="68">
        <f>'3.XT-C TT'!R11</f>
        <v>157.44</v>
      </c>
      <c r="O11" s="80" t="s">
        <v>10</v>
      </c>
      <c r="P11" s="1188"/>
    </row>
    <row r="12" spans="1:16" ht="39" customHeight="1">
      <c r="A12" s="2027">
        <v>4</v>
      </c>
      <c r="B12" s="2035" t="s">
        <v>159</v>
      </c>
      <c r="C12" s="2036"/>
      <c r="D12" s="2037" t="s">
        <v>268</v>
      </c>
      <c r="E12" s="2038" t="s">
        <v>268</v>
      </c>
      <c r="F12" s="1203" t="s">
        <v>4</v>
      </c>
      <c r="G12" s="1025" t="str">
        <f>'XM.GUI MAIL'!$E$71</f>
        <v>50~70g/L
(60±5g/L)</v>
      </c>
      <c r="H12" s="64">
        <f>'3.XT-C TT'!H12</f>
        <v>0</v>
      </c>
      <c r="I12" s="77" t="s">
        <v>8</v>
      </c>
      <c r="J12" s="78">
        <f>'3.XT-C TT'!J12</f>
        <v>520.08000000000004</v>
      </c>
      <c r="K12" s="32" t="s">
        <v>9</v>
      </c>
      <c r="L12" s="64">
        <f>'3.XT-C TT'!P12</f>
        <v>0</v>
      </c>
      <c r="M12" s="77" t="s">
        <v>8</v>
      </c>
      <c r="N12" s="78">
        <f>'3.XT-C TT'!R12</f>
        <v>520.08000000000004</v>
      </c>
      <c r="O12" s="80" t="s">
        <v>9</v>
      </c>
      <c r="P12" s="1188" t="s">
        <v>42</v>
      </c>
    </row>
    <row r="13" spans="1:16" ht="39" customHeight="1">
      <c r="A13" s="2028"/>
      <c r="B13" s="2036"/>
      <c r="C13" s="2036"/>
      <c r="D13" s="2037" t="s">
        <v>269</v>
      </c>
      <c r="E13" s="2038" t="s">
        <v>269</v>
      </c>
      <c r="F13" s="1173" t="s">
        <v>58</v>
      </c>
      <c r="G13" s="1025" t="s">
        <v>1475</v>
      </c>
      <c r="H13" s="64"/>
      <c r="I13" s="77" t="s">
        <v>8</v>
      </c>
      <c r="J13" s="68">
        <f>'3.XT-C TT'!J13</f>
        <v>166.4256</v>
      </c>
      <c r="K13" s="82"/>
      <c r="L13" s="64"/>
      <c r="M13" s="77" t="s">
        <v>8</v>
      </c>
      <c r="N13" s="68">
        <f>'3.XT-C TT'!R13</f>
        <v>166.4256</v>
      </c>
      <c r="O13" s="80" t="s">
        <v>10</v>
      </c>
      <c r="P13" s="1188"/>
    </row>
    <row r="14" spans="1:16" ht="33.75" customHeight="1">
      <c r="A14" s="2027">
        <v>5</v>
      </c>
      <c r="B14" s="2013" t="s">
        <v>134</v>
      </c>
      <c r="C14" s="2014"/>
      <c r="D14" s="2019" t="s">
        <v>125</v>
      </c>
      <c r="E14" s="2020"/>
      <c r="F14" s="622" t="s">
        <v>4</v>
      </c>
      <c r="G14" s="1025" t="str">
        <f>'XM.GUI MAIL'!$E$84</f>
        <v>5~6g/L
(5.5± 1g/L)</v>
      </c>
      <c r="H14" s="64" t="str">
        <f>'XM.GUI MAIL'!H84</f>
        <v/>
      </c>
      <c r="I14" s="930" t="s">
        <v>8</v>
      </c>
      <c r="J14" s="931" t="str">
        <f>'XM.GUI MAIL'!K84</f>
        <v/>
      </c>
      <c r="K14" s="82" t="s">
        <v>9</v>
      </c>
      <c r="L14" s="64" t="str">
        <f>'XM.GUI MAIL'!T84</f>
        <v/>
      </c>
      <c r="M14" s="77" t="s">
        <v>8</v>
      </c>
      <c r="N14" s="931" t="str">
        <f>'XM.GUI MAIL'!W84</f>
        <v/>
      </c>
      <c r="O14" s="80" t="s">
        <v>9</v>
      </c>
      <c r="P14" s="1188" t="s">
        <v>43</v>
      </c>
    </row>
    <row r="15" spans="1:16" ht="33.75" hidden="1" customHeight="1">
      <c r="A15" s="2039"/>
      <c r="B15" s="2015"/>
      <c r="C15" s="2016"/>
      <c r="D15" s="2019" t="s">
        <v>135</v>
      </c>
      <c r="E15" s="2020"/>
      <c r="F15" s="622" t="s">
        <v>4</v>
      </c>
      <c r="G15" s="1025" t="s">
        <v>127</v>
      </c>
      <c r="H15" s="70">
        <f>'XM.GUI MAIL'!H85</f>
        <v>0</v>
      </c>
      <c r="I15" s="930"/>
      <c r="J15" s="931" t="str">
        <f>'XM.GUI MAIL'!K85</f>
        <v/>
      </c>
      <c r="K15" s="82"/>
      <c r="L15" s="70">
        <f>'XM.GUI MAIL'!T85</f>
        <v>0</v>
      </c>
      <c r="M15" s="77"/>
      <c r="N15" s="931" t="str">
        <f>'XM.GUI MAIL'!W85</f>
        <v/>
      </c>
      <c r="O15" s="80"/>
      <c r="P15" s="1188"/>
    </row>
    <row r="16" spans="1:16" ht="33.75" customHeight="1">
      <c r="A16" s="2028"/>
      <c r="B16" s="2015"/>
      <c r="C16" s="2016"/>
      <c r="D16" s="2019" t="s">
        <v>108</v>
      </c>
      <c r="E16" s="2020"/>
      <c r="F16" s="622" t="s">
        <v>4</v>
      </c>
      <c r="G16" s="1025" t="str">
        <f>'XM.GUI MAIL'!$E$86</f>
        <v>120~130g/L
(125 ± 5g/L)</v>
      </c>
      <c r="H16" s="70">
        <f>'XM.GUI MAIL'!H86</f>
        <v>0</v>
      </c>
      <c r="I16" s="930" t="s">
        <v>8</v>
      </c>
      <c r="J16" s="931" t="str">
        <f>'XM.GUI MAIL'!K86</f>
        <v/>
      </c>
      <c r="K16" s="82" t="s">
        <v>1471</v>
      </c>
      <c r="L16" s="70">
        <f>'XM.GUI MAIL'!T86</f>
        <v>0</v>
      </c>
      <c r="M16" s="77" t="s">
        <v>8</v>
      </c>
      <c r="N16" s="931" t="str">
        <f>'XM.GUI MAIL'!W86</f>
        <v/>
      </c>
      <c r="O16" s="80" t="s">
        <v>1074</v>
      </c>
      <c r="P16" s="1188" t="s">
        <v>44</v>
      </c>
    </row>
    <row r="17" spans="1:16" s="8" customFormat="1" ht="33.75" hidden="1" customHeight="1">
      <c r="A17" s="2027">
        <v>6</v>
      </c>
      <c r="B17" s="2017"/>
      <c r="C17" s="2018"/>
      <c r="D17" s="1583" t="s">
        <v>138</v>
      </c>
      <c r="E17" s="1584"/>
      <c r="F17" s="622" t="s">
        <v>4</v>
      </c>
      <c r="G17" s="1025" t="s">
        <v>139</v>
      </c>
      <c r="H17" s="70" t="str">
        <f>'XM.GUI MAIL'!H87</f>
        <v/>
      </c>
      <c r="I17" s="930" t="s">
        <v>8</v>
      </c>
      <c r="J17" s="931" t="str">
        <f>'XM.GUI MAIL'!K87</f>
        <v/>
      </c>
      <c r="K17" s="82" t="s">
        <v>10</v>
      </c>
      <c r="L17" s="70" t="str">
        <f>'XM.GUI MAIL'!T87</f>
        <v/>
      </c>
      <c r="M17" s="77" t="s">
        <v>8</v>
      </c>
      <c r="N17" s="931" t="str">
        <f>'XM.GUI MAIL'!W87</f>
        <v/>
      </c>
      <c r="O17" s="80" t="s">
        <v>10</v>
      </c>
      <c r="P17" s="1188" t="s">
        <v>45</v>
      </c>
    </row>
    <row r="18" spans="1:16" ht="33.75" customHeight="1">
      <c r="A18" s="2028"/>
      <c r="B18" s="2021" t="s">
        <v>136</v>
      </c>
      <c r="C18" s="2022"/>
      <c r="D18" s="2019" t="s">
        <v>5</v>
      </c>
      <c r="E18" s="2020"/>
      <c r="F18" s="92" t="s">
        <v>5</v>
      </c>
      <c r="G18" s="1025" t="str">
        <f>'XM.GUI MAIL'!$E$88</f>
        <v>3.0-4.5(4.3±0.2)</v>
      </c>
      <c r="H18" s="70">
        <f>'XM.GUI MAIL'!H88</f>
        <v>0</v>
      </c>
      <c r="I18" s="930" t="s">
        <v>8</v>
      </c>
      <c r="J18" s="931"/>
      <c r="K18" s="82"/>
      <c r="L18" s="70">
        <f>'XM.GUI MAIL'!T88</f>
        <v>0</v>
      </c>
      <c r="M18" s="77" t="s">
        <v>8</v>
      </c>
      <c r="N18" s="931"/>
      <c r="O18" s="80"/>
      <c r="P18" s="129"/>
    </row>
    <row r="19" spans="1:16" ht="33.75" customHeight="1">
      <c r="A19" s="1190">
        <v>7</v>
      </c>
      <c r="B19" s="2029" t="s">
        <v>1060</v>
      </c>
      <c r="C19" s="2030"/>
      <c r="D19" s="2030"/>
      <c r="E19" s="2031"/>
      <c r="F19" s="92" t="s">
        <v>6</v>
      </c>
      <c r="G19" s="1169" t="str">
        <f>'XM.GUI MAIL'!$E$76</f>
        <v>40~50 %V/V
(45±5% V/V)</v>
      </c>
      <c r="H19" s="71">
        <f>'3.XT-C TT'!H18</f>
        <v>0</v>
      </c>
      <c r="I19" s="77" t="s">
        <v>8</v>
      </c>
      <c r="J19" s="78">
        <f>'3.XT-C TT'!J18</f>
        <v>3025.35</v>
      </c>
      <c r="K19" s="32" t="s">
        <v>10</v>
      </c>
      <c r="L19" s="71">
        <f>'3.XT-C TT'!P18</f>
        <v>0</v>
      </c>
      <c r="M19" s="77" t="s">
        <v>8</v>
      </c>
      <c r="N19" s="78">
        <f>'3.XT-C TT'!R18</f>
        <v>3025.35</v>
      </c>
      <c r="O19" s="80" t="s">
        <v>10</v>
      </c>
      <c r="P19" s="1188" t="s">
        <v>46</v>
      </c>
    </row>
    <row r="20" spans="1:16" ht="33.75" customHeight="1">
      <c r="A20" s="1190">
        <v>8</v>
      </c>
      <c r="B20" s="2029" t="s">
        <v>1061</v>
      </c>
      <c r="C20" s="2030"/>
      <c r="D20" s="2030"/>
      <c r="E20" s="2031"/>
      <c r="F20" s="92" t="s">
        <v>6</v>
      </c>
      <c r="G20" s="1169" t="str">
        <f>'XM.GUI MAIL'!$E$77</f>
        <v>40~50 %V/V
(45±5% V/V)</v>
      </c>
      <c r="H20" s="71">
        <f>'3.XT-C TT'!H19</f>
        <v>0</v>
      </c>
      <c r="I20" s="77" t="s">
        <v>8</v>
      </c>
      <c r="J20" s="78">
        <f>'3.XT-C TT'!J19</f>
        <v>4729.05</v>
      </c>
      <c r="K20" s="32" t="s">
        <v>10</v>
      </c>
      <c r="L20" s="71">
        <f>'3.XT-C TT'!P19</f>
        <v>0</v>
      </c>
      <c r="M20" s="77" t="s">
        <v>8</v>
      </c>
      <c r="N20" s="78">
        <f>'3.XT-C TT'!R19</f>
        <v>4729.05</v>
      </c>
      <c r="O20" s="80" t="s">
        <v>10</v>
      </c>
      <c r="P20" s="1170" t="s">
        <v>46</v>
      </c>
    </row>
    <row r="21" spans="1:16" ht="33.75" customHeight="1">
      <c r="A21" s="1190">
        <v>9</v>
      </c>
      <c r="B21" s="2032" t="s">
        <v>86</v>
      </c>
      <c r="C21" s="2033"/>
      <c r="D21" s="2033"/>
      <c r="E21" s="2034"/>
      <c r="F21" s="92" t="s">
        <v>6</v>
      </c>
      <c r="G21" s="1169" t="str">
        <f>'XM.GUI MAIL'!$E$78</f>
        <v>20~40 %V/V
(30±5% V/V)</v>
      </c>
      <c r="H21" s="71">
        <f>'3.XT-C TT'!H20</f>
        <v>0</v>
      </c>
      <c r="I21" s="77" t="s">
        <v>8</v>
      </c>
      <c r="J21" s="78">
        <f>'3.XT-C TT'!J20</f>
        <v>970.19999999999993</v>
      </c>
      <c r="K21" s="32" t="s">
        <v>10</v>
      </c>
      <c r="L21" s="71">
        <f>'3.XT-C TT'!P20</f>
        <v>0</v>
      </c>
      <c r="M21" s="77" t="s">
        <v>8</v>
      </c>
      <c r="N21" s="78">
        <f>'3.XT-C TT'!R20</f>
        <v>970.19999999999993</v>
      </c>
      <c r="O21" s="80" t="s">
        <v>10</v>
      </c>
      <c r="P21" s="1188" t="s">
        <v>47</v>
      </c>
    </row>
    <row r="22" spans="1:16" ht="33.75" customHeight="1">
      <c r="A22" s="1190">
        <v>10</v>
      </c>
      <c r="B22" s="2032" t="s">
        <v>1062</v>
      </c>
      <c r="C22" s="2033" t="s">
        <v>1062</v>
      </c>
      <c r="D22" s="2033" t="s">
        <v>1062</v>
      </c>
      <c r="E22" s="2034" t="s">
        <v>1062</v>
      </c>
      <c r="F22" s="92" t="s">
        <v>6</v>
      </c>
      <c r="G22" s="1169" t="str">
        <f>'XM.GUI MAIL'!$E$79</f>
        <v>0.5~1.5%
(1±0.4%)</v>
      </c>
      <c r="H22" s="72">
        <f>'3.XT-C TT'!H21</f>
        <v>0</v>
      </c>
      <c r="I22" s="77" t="s">
        <v>8</v>
      </c>
      <c r="J22" s="81">
        <f>'3.XT-C TT'!J21</f>
        <v>28.080000000000002</v>
      </c>
      <c r="K22" s="83" t="s">
        <v>10</v>
      </c>
      <c r="L22" s="72">
        <f>'3.XT-C TT'!P21</f>
        <v>0</v>
      </c>
      <c r="M22" s="77" t="s">
        <v>8</v>
      </c>
      <c r="N22" s="81">
        <f>'3.XT-C TT'!R21</f>
        <v>28.080000000000002</v>
      </c>
      <c r="O22" s="80" t="s">
        <v>10</v>
      </c>
      <c r="P22" s="1188" t="s">
        <v>47</v>
      </c>
    </row>
    <row r="23" spans="1:16" ht="41.25" customHeight="1">
      <c r="A23" s="1190"/>
      <c r="B23" s="2001" t="s">
        <v>2</v>
      </c>
      <c r="C23" s="2001"/>
      <c r="D23" s="2001"/>
      <c r="E23" s="2001"/>
      <c r="F23" s="2001"/>
      <c r="G23" s="2001"/>
      <c r="H23" s="2001"/>
      <c r="I23" s="2001"/>
      <c r="J23" s="2001"/>
      <c r="K23" s="2001"/>
      <c r="L23" s="2001"/>
      <c r="M23" s="2001"/>
      <c r="N23" s="2001"/>
      <c r="O23" s="2001"/>
      <c r="P23" s="2001"/>
    </row>
    <row r="24" spans="1:16" ht="47.25" customHeight="1">
      <c r="A24" s="1190" t="s">
        <v>7</v>
      </c>
      <c r="B24" s="2010" t="s">
        <v>23</v>
      </c>
      <c r="C24" s="2011"/>
      <c r="D24" s="2011"/>
      <c r="E24" s="2012"/>
      <c r="F24" s="90" t="s">
        <v>24</v>
      </c>
      <c r="G24" s="90" t="s">
        <v>25</v>
      </c>
      <c r="H24" s="2021" t="s">
        <v>26</v>
      </c>
      <c r="I24" s="2022"/>
      <c r="J24" s="2021" t="s">
        <v>27</v>
      </c>
      <c r="K24" s="2022"/>
      <c r="L24" s="2021" t="s">
        <v>26</v>
      </c>
      <c r="M24" s="2022"/>
      <c r="N24" s="2021" t="s">
        <v>27</v>
      </c>
      <c r="O24" s="2022"/>
      <c r="P24" s="11"/>
    </row>
    <row r="25" spans="1:16" ht="43.5" customHeight="1">
      <c r="A25" s="1190">
        <v>1</v>
      </c>
      <c r="B25" s="2010" t="s">
        <v>36</v>
      </c>
      <c r="C25" s="2011"/>
      <c r="D25" s="2011"/>
      <c r="E25" s="2012"/>
      <c r="F25" s="12" t="s">
        <v>28</v>
      </c>
      <c r="G25" s="1171" t="str">
        <f>'XM.GUI MAIL'!$E$91</f>
        <v>65~75ºC
(70±3OC)</v>
      </c>
      <c r="H25" s="1869">
        <f>'3.XT-C TT'!H28:I28</f>
        <v>0</v>
      </c>
      <c r="I25" s="1869"/>
      <c r="J25" s="1866">
        <f>'3.XT-C TT'!J28:K28</f>
        <v>0</v>
      </c>
      <c r="K25" s="1868"/>
      <c r="L25" s="1869">
        <f>'3.XT-C TT'!P28</f>
        <v>0</v>
      </c>
      <c r="M25" s="1869"/>
      <c r="N25" s="1869">
        <f>'3.XT-C TT'!R28</f>
        <v>0</v>
      </c>
      <c r="O25" s="1869"/>
      <c r="P25" s="1190"/>
    </row>
    <row r="26" spans="1:16" ht="43.5" customHeight="1">
      <c r="A26" s="1190">
        <v>2</v>
      </c>
      <c r="B26" s="2010" t="s">
        <v>37</v>
      </c>
      <c r="C26" s="2011"/>
      <c r="D26" s="2011"/>
      <c r="E26" s="2012"/>
      <c r="F26" s="12" t="s">
        <v>28</v>
      </c>
      <c r="G26" s="1171" t="str">
        <f>'XM.GUI MAIL'!$E$92</f>
        <v>65~75ºC
(70±3OC)</v>
      </c>
      <c r="H26" s="1869">
        <f>'3.XT-C TT'!H29:I29</f>
        <v>0</v>
      </c>
      <c r="I26" s="1869"/>
      <c r="J26" s="1866">
        <f>'3.XT-C TT'!J29:K29</f>
        <v>0</v>
      </c>
      <c r="K26" s="1868"/>
      <c r="L26" s="1869">
        <f>'3.XT-C TT'!P29</f>
        <v>0</v>
      </c>
      <c r="M26" s="1869"/>
      <c r="N26" s="1869">
        <f>'3.XT-C TT'!R29</f>
        <v>0</v>
      </c>
      <c r="O26" s="1869"/>
      <c r="P26" s="1190"/>
    </row>
    <row r="27" spans="1:16" ht="43.5" customHeight="1">
      <c r="A27" s="1190">
        <v>3</v>
      </c>
      <c r="B27" s="2010" t="s">
        <v>29</v>
      </c>
      <c r="C27" s="2011"/>
      <c r="D27" s="2011"/>
      <c r="E27" s="2012"/>
      <c r="F27" s="12" t="s">
        <v>28</v>
      </c>
      <c r="G27" s="1171" t="str">
        <f>'XM.GUI MAIL'!$E$93</f>
        <v>60~70ºC
(65±3OC)</v>
      </c>
      <c r="H27" s="1869">
        <f>'3.XT-C TT'!H30:I30</f>
        <v>0</v>
      </c>
      <c r="I27" s="1869"/>
      <c r="J27" s="1866">
        <f>'3.XT-C TT'!J30:K30</f>
        <v>0</v>
      </c>
      <c r="K27" s="1868"/>
      <c r="L27" s="1869">
        <f>'3.XT-C TT'!P30</f>
        <v>0</v>
      </c>
      <c r="M27" s="1869"/>
      <c r="N27" s="1869">
        <f>'3.XT-C TT'!R30</f>
        <v>0</v>
      </c>
      <c r="O27" s="1869"/>
      <c r="P27" s="1190"/>
    </row>
    <row r="28" spans="1:16" ht="43.5" customHeight="1">
      <c r="A28" s="1190">
        <v>4</v>
      </c>
      <c r="B28" s="2010" t="s">
        <v>30</v>
      </c>
      <c r="C28" s="2011"/>
      <c r="D28" s="2011"/>
      <c r="E28" s="2012"/>
      <c r="F28" s="12" t="s">
        <v>28</v>
      </c>
      <c r="G28" s="1171" t="str">
        <f>'XM.GUI MAIL'!$E$94</f>
        <v>60~70ºC
(65±3OC)</v>
      </c>
      <c r="H28" s="1869">
        <f>'3.XT-C TT'!H31:I31</f>
        <v>0</v>
      </c>
      <c r="I28" s="1869"/>
      <c r="J28" s="1866">
        <f>'3.XT-C TT'!J31:K31</f>
        <v>0</v>
      </c>
      <c r="K28" s="1868"/>
      <c r="L28" s="1869">
        <f>'3.XT-C TT'!P31</f>
        <v>0</v>
      </c>
      <c r="M28" s="1869"/>
      <c r="N28" s="1869">
        <f>'3.XT-C TT'!R31</f>
        <v>0</v>
      </c>
      <c r="O28" s="1869"/>
      <c r="P28" s="1190"/>
    </row>
    <row r="29" spans="1:16" ht="43.5" customHeight="1">
      <c r="A29" s="92">
        <v>5</v>
      </c>
      <c r="B29" s="2021" t="s">
        <v>128</v>
      </c>
      <c r="C29" s="2023"/>
      <c r="D29" s="2023"/>
      <c r="E29" s="2022"/>
      <c r="F29" s="12" t="s">
        <v>28</v>
      </c>
      <c r="G29" s="120" t="str">
        <f>'XM.GUI MAIL'!$E$101</f>
        <v>24~28ºC
(26±2OC)</v>
      </c>
      <c r="H29" s="1866">
        <f>'XM.GUI MAIL'!H101</f>
        <v>0</v>
      </c>
      <c r="I29" s="1867"/>
      <c r="J29" s="1866">
        <f>'XM.GUI MAIL'!K101</f>
        <v>0</v>
      </c>
      <c r="K29" s="1867"/>
      <c r="L29" s="1866">
        <f>'XM.GUI MAIL'!T101</f>
        <v>0</v>
      </c>
      <c r="M29" s="1867"/>
      <c r="N29" s="1866">
        <f>'XM.GUI MAIL'!W101</f>
        <v>0</v>
      </c>
      <c r="O29" s="1867"/>
      <c r="P29" s="1190"/>
    </row>
    <row r="30" spans="1:16" ht="43.5" customHeight="1">
      <c r="A30" s="92">
        <v>6</v>
      </c>
      <c r="B30" s="2021" t="s">
        <v>126</v>
      </c>
      <c r="C30" s="2023"/>
      <c r="D30" s="2023"/>
      <c r="E30" s="2022"/>
      <c r="F30" s="12" t="s">
        <v>28</v>
      </c>
      <c r="G30" s="120" t="str">
        <f>'XM.GUI MAIL'!$E$102</f>
        <v>40~60ºC
(50±10OC)</v>
      </c>
      <c r="H30" s="1869">
        <f>'XM.GUI MAIL'!H102</f>
        <v>0</v>
      </c>
      <c r="I30" s="1869"/>
      <c r="J30" s="1869">
        <f>'XM.GUI MAIL'!K102</f>
        <v>0</v>
      </c>
      <c r="K30" s="1869"/>
      <c r="L30" s="1869">
        <f>'XM.GUI MAIL'!T102</f>
        <v>0</v>
      </c>
      <c r="M30" s="1869"/>
      <c r="N30" s="1869">
        <f>'XM.GUI MAIL'!W102</f>
        <v>0</v>
      </c>
      <c r="O30" s="1869"/>
      <c r="P30" s="1190"/>
    </row>
    <row r="31" spans="1:16" ht="43.5" customHeight="1">
      <c r="A31" s="92">
        <v>7</v>
      </c>
      <c r="B31" s="2021" t="s">
        <v>133</v>
      </c>
      <c r="C31" s="2023"/>
      <c r="D31" s="2023"/>
      <c r="E31" s="2022"/>
      <c r="F31" s="12" t="s">
        <v>28</v>
      </c>
      <c r="G31" s="120" t="str">
        <f>'XM.GUI MAIL'!$E$103</f>
        <v>20~30ºC
(25±5OC)</v>
      </c>
      <c r="H31" s="1866">
        <f>'XM.GUI MAIL'!H103</f>
        <v>0</v>
      </c>
      <c r="I31" s="1867"/>
      <c r="J31" s="1866">
        <f>'XM.GUI MAIL'!K103</f>
        <v>0</v>
      </c>
      <c r="K31" s="1867"/>
      <c r="L31" s="1866">
        <f>'XM.GUI MAIL'!T103</f>
        <v>0</v>
      </c>
      <c r="M31" s="1867"/>
      <c r="N31" s="1866">
        <f>'XM.GUI MAIL'!W103</f>
        <v>0</v>
      </c>
      <c r="O31" s="1867"/>
      <c r="P31" s="1190"/>
    </row>
    <row r="32" spans="1:16" ht="43.5" customHeight="1">
      <c r="A32" s="1190">
        <v>8</v>
      </c>
      <c r="B32" s="2010" t="s">
        <v>33</v>
      </c>
      <c r="C32" s="2011"/>
      <c r="D32" s="2011"/>
      <c r="E32" s="2012"/>
      <c r="F32" s="12" t="s">
        <v>28</v>
      </c>
      <c r="G32" s="1171" t="str">
        <f>'XM.GUI MAIL'!$E$97</f>
        <v>55~65ºC
(60±3OC)</v>
      </c>
      <c r="H32" s="1869">
        <f>'3.XT-C TT'!H34:I34</f>
        <v>0</v>
      </c>
      <c r="I32" s="1869"/>
      <c r="J32" s="1869">
        <f>'3.XT-C TT'!J34:K34</f>
        <v>0</v>
      </c>
      <c r="K32" s="1869"/>
      <c r="L32" s="1869">
        <f>'3.XT-C TT'!P34</f>
        <v>0</v>
      </c>
      <c r="M32" s="1869"/>
      <c r="N32" s="1869">
        <f>'3.XT-C TT'!R34</f>
        <v>0</v>
      </c>
      <c r="O32" s="1869"/>
      <c r="P32" s="1190"/>
    </row>
    <row r="33" spans="1:16" ht="43.5" customHeight="1">
      <c r="A33" s="1190">
        <v>9</v>
      </c>
      <c r="B33" s="2010" t="s">
        <v>34</v>
      </c>
      <c r="C33" s="2011"/>
      <c r="D33" s="2011"/>
      <c r="E33" s="2012"/>
      <c r="F33" s="12" t="s">
        <v>28</v>
      </c>
      <c r="G33" s="1171" t="str">
        <f>'XM.GUI MAIL'!$E$98</f>
        <v>65~75ºC
(70±3OC)</v>
      </c>
      <c r="H33" s="2026" t="s">
        <v>49</v>
      </c>
      <c r="I33" s="2026"/>
      <c r="J33" s="1866">
        <f>'3.XT-C TT'!J35:K35</f>
        <v>0</v>
      </c>
      <c r="K33" s="1868"/>
      <c r="L33" s="2026" t="s">
        <v>49</v>
      </c>
      <c r="M33" s="2026"/>
      <c r="N33" s="1869">
        <f>'3.XT-C TT'!R35</f>
        <v>0</v>
      </c>
      <c r="O33" s="1869"/>
      <c r="P33" s="1190"/>
    </row>
    <row r="34" spans="1:16" ht="18" customHeight="1">
      <c r="A34" s="76"/>
      <c r="B34" s="928"/>
      <c r="C34" s="928"/>
      <c r="D34" s="928"/>
      <c r="E34" s="928"/>
      <c r="F34" s="929"/>
      <c r="G34" s="1177"/>
      <c r="H34" s="625"/>
      <c r="I34" s="625"/>
      <c r="J34" s="625"/>
      <c r="K34" s="625"/>
      <c r="L34" s="625"/>
      <c r="M34" s="625"/>
      <c r="N34" s="625"/>
      <c r="O34" s="625"/>
      <c r="P34" s="76"/>
    </row>
    <row r="35" spans="1:16" ht="18" customHeight="1">
      <c r="A35" s="76"/>
      <c r="B35" s="928"/>
      <c r="C35" s="928"/>
      <c r="D35" s="928"/>
      <c r="E35" s="928"/>
      <c r="F35" s="929"/>
      <c r="G35" s="1177"/>
      <c r="H35" s="625"/>
      <c r="I35" s="625"/>
      <c r="J35" s="625"/>
      <c r="K35" s="625"/>
      <c r="L35" s="625"/>
      <c r="M35" s="625"/>
      <c r="N35" s="625"/>
      <c r="O35" s="625"/>
      <c r="P35" s="76"/>
    </row>
    <row r="36" spans="1:16" ht="28.5" customHeight="1">
      <c r="A36" s="1972" t="s">
        <v>152</v>
      </c>
      <c r="B36" s="1972"/>
      <c r="C36" s="1972"/>
      <c r="D36" s="1972"/>
      <c r="E36" s="1972"/>
      <c r="F36" s="1972"/>
      <c r="G36" s="1972"/>
      <c r="H36" s="1972"/>
      <c r="I36" s="1972"/>
      <c r="J36" s="1972"/>
      <c r="K36" s="1972"/>
      <c r="L36" s="1972"/>
      <c r="M36" s="1972"/>
      <c r="N36" s="1189"/>
      <c r="O36" s="1189"/>
      <c r="P36" s="73"/>
    </row>
    <row r="37" spans="1:16" ht="43.5" customHeight="1">
      <c r="A37" s="1973" t="s">
        <v>1076</v>
      </c>
      <c r="B37" s="1973"/>
      <c r="C37" s="1973"/>
      <c r="D37" s="1973"/>
      <c r="E37" s="1973"/>
      <c r="F37" s="1973"/>
      <c r="G37" s="1973"/>
      <c r="H37" s="1973"/>
      <c r="I37" s="1973"/>
      <c r="J37" s="1973"/>
      <c r="K37" s="1973"/>
      <c r="L37" s="1973"/>
      <c r="M37" s="2024"/>
      <c r="N37" s="2025" t="s">
        <v>96</v>
      </c>
      <c r="O37" s="1923"/>
      <c r="P37" s="90" t="s">
        <v>17</v>
      </c>
    </row>
    <row r="38" spans="1:16" ht="40.5" customHeight="1">
      <c r="A38" s="10"/>
      <c r="B38" s="1194" t="s">
        <v>144</v>
      </c>
      <c r="C38" s="74"/>
      <c r="D38" s="74"/>
      <c r="E38" s="74"/>
      <c r="F38" s="75"/>
      <c r="G38" s="235" t="str">
        <f>'1. XL-1E kh'!$G$3</f>
        <v>2022/12/03</v>
      </c>
      <c r="H38" s="30"/>
      <c r="I38" s="30"/>
      <c r="J38" s="30"/>
      <c r="K38" s="31"/>
      <c r="L38" s="31"/>
      <c r="M38" s="31"/>
      <c r="N38" s="2046" t="str">
        <f>MENU!AD7</f>
        <v>Trang</v>
      </c>
      <c r="O38" s="2047"/>
      <c r="P38" s="89" t="s">
        <v>11</v>
      </c>
    </row>
    <row r="39" spans="1:16" s="76" customFormat="1" ht="36" customHeight="1">
      <c r="A39" s="2048" t="s">
        <v>7</v>
      </c>
      <c r="B39" s="2049" t="s">
        <v>79</v>
      </c>
      <c r="C39" s="2050"/>
      <c r="D39" s="2050"/>
      <c r="E39" s="2051"/>
      <c r="F39" s="2055" t="s">
        <v>137</v>
      </c>
      <c r="G39" s="2057" t="s">
        <v>67</v>
      </c>
      <c r="H39" s="1921">
        <v>0.76041666666666663</v>
      </c>
      <c r="I39" s="1922"/>
      <c r="J39" s="1922"/>
      <c r="K39" s="1923"/>
      <c r="L39" s="1921">
        <v>9.375E-2</v>
      </c>
      <c r="M39" s="1922"/>
      <c r="N39" s="1922"/>
      <c r="O39" s="1923"/>
      <c r="P39" s="1970" t="s">
        <v>41</v>
      </c>
    </row>
    <row r="40" spans="1:16" s="76" customFormat="1" ht="30" customHeight="1">
      <c r="A40" s="2048"/>
      <c r="B40" s="2052"/>
      <c r="C40" s="2053"/>
      <c r="D40" s="2053"/>
      <c r="E40" s="2054"/>
      <c r="F40" s="2056"/>
      <c r="G40" s="2058"/>
      <c r="H40" s="63" t="s">
        <v>146</v>
      </c>
      <c r="I40" s="1927" t="s">
        <v>1</v>
      </c>
      <c r="J40" s="1928"/>
      <c r="K40" s="1929"/>
      <c r="L40" s="63" t="s">
        <v>146</v>
      </c>
      <c r="M40" s="1927" t="s">
        <v>1</v>
      </c>
      <c r="N40" s="1928"/>
      <c r="O40" s="1929"/>
      <c r="P40" s="1971"/>
    </row>
    <row r="41" spans="1:16" ht="39" customHeight="1">
      <c r="A41" s="2027">
        <v>1</v>
      </c>
      <c r="B41" s="2040" t="s">
        <v>156</v>
      </c>
      <c r="C41" s="2041"/>
      <c r="D41" s="2044" t="s">
        <v>266</v>
      </c>
      <c r="E41" s="2045"/>
      <c r="F41" s="1203" t="s">
        <v>4</v>
      </c>
      <c r="G41" s="1025" t="str">
        <f>'XM.GUI MAIL'!$E$68</f>
        <v>40~60g/L
(50±5g/L)</v>
      </c>
      <c r="H41" s="64">
        <f>'3.XT-C TT'!H48</f>
        <v>0</v>
      </c>
      <c r="I41" s="65"/>
      <c r="J41" s="66">
        <f>'3.XT-C TT'!J48</f>
        <v>775.85</v>
      </c>
      <c r="K41" s="67" t="s">
        <v>9</v>
      </c>
      <c r="L41" s="64">
        <f>'3.XT-C TT'!P48</f>
        <v>0</v>
      </c>
      <c r="M41" s="77" t="s">
        <v>8</v>
      </c>
      <c r="N41" s="78">
        <f>'3.XT-C TT'!R48</f>
        <v>775.85</v>
      </c>
      <c r="O41" s="80" t="s">
        <v>9</v>
      </c>
      <c r="P41" s="1188" t="s">
        <v>42</v>
      </c>
    </row>
    <row r="42" spans="1:16" ht="39" customHeight="1">
      <c r="A42" s="2039"/>
      <c r="B42" s="2042"/>
      <c r="C42" s="2043"/>
      <c r="D42" s="2044" t="s">
        <v>267</v>
      </c>
      <c r="E42" s="2045"/>
      <c r="F42" s="1173" t="s">
        <v>58</v>
      </c>
      <c r="G42" s="1025" t="s">
        <v>1474</v>
      </c>
      <c r="H42" s="64"/>
      <c r="I42" s="65" t="s">
        <v>8</v>
      </c>
      <c r="J42" s="68">
        <f>'3.XT-C TT'!J49</f>
        <v>263.78900000000004</v>
      </c>
      <c r="K42" s="67" t="s">
        <v>10</v>
      </c>
      <c r="L42" s="64"/>
      <c r="M42" s="77" t="s">
        <v>8</v>
      </c>
      <c r="N42" s="68">
        <f>'3.XT-C TT'!R49</f>
        <v>263.78900000000004</v>
      </c>
      <c r="O42" s="80" t="s">
        <v>10</v>
      </c>
      <c r="P42" s="1188"/>
    </row>
    <row r="43" spans="1:16" ht="39" customHeight="1">
      <c r="A43" s="2027">
        <v>2</v>
      </c>
      <c r="B43" s="2040" t="s">
        <v>157</v>
      </c>
      <c r="C43" s="2041"/>
      <c r="D43" s="2044" t="s">
        <v>266</v>
      </c>
      <c r="E43" s="2045"/>
      <c r="F43" s="1203" t="s">
        <v>4</v>
      </c>
      <c r="G43" s="1025" t="str">
        <f>'XM.GUI MAIL'!$E$69</f>
        <v>40~60g/L
(50±5g/L)</v>
      </c>
      <c r="H43" s="64">
        <f>'3.XT-C TT'!H50</f>
        <v>0</v>
      </c>
      <c r="I43" s="65" t="s">
        <v>8</v>
      </c>
      <c r="J43" s="66">
        <f>'3.XT-C TT'!J50</f>
        <v>573.75</v>
      </c>
      <c r="K43" s="67" t="s">
        <v>9</v>
      </c>
      <c r="L43" s="64">
        <f>'3.XT-C TT'!P50</f>
        <v>0</v>
      </c>
      <c r="M43" s="77" t="s">
        <v>8</v>
      </c>
      <c r="N43" s="78">
        <f>'3.XT-C TT'!R50</f>
        <v>573.75</v>
      </c>
      <c r="O43" s="80" t="s">
        <v>9</v>
      </c>
      <c r="P43" s="1188" t="s">
        <v>42</v>
      </c>
    </row>
    <row r="44" spans="1:16" ht="39" customHeight="1">
      <c r="A44" s="2039"/>
      <c r="B44" s="2042"/>
      <c r="C44" s="2043"/>
      <c r="D44" s="2044" t="s">
        <v>267</v>
      </c>
      <c r="E44" s="2045"/>
      <c r="F44" s="1173" t="s">
        <v>58</v>
      </c>
      <c r="G44" s="1025" t="s">
        <v>1474</v>
      </c>
      <c r="H44" s="64"/>
      <c r="I44" s="65" t="s">
        <v>8</v>
      </c>
      <c r="J44" s="68">
        <f>'3.XT-C TT'!J51</f>
        <v>195.07499999999999</v>
      </c>
      <c r="K44" s="67" t="s">
        <v>10</v>
      </c>
      <c r="L44" s="64"/>
      <c r="M44" s="77" t="s">
        <v>8</v>
      </c>
      <c r="N44" s="68">
        <f>'3.XT-C TT'!R51</f>
        <v>195.07499999999999</v>
      </c>
      <c r="O44" s="80" t="s">
        <v>10</v>
      </c>
      <c r="P44" s="1188"/>
    </row>
    <row r="45" spans="1:16" ht="39" customHeight="1">
      <c r="A45" s="2027">
        <v>3</v>
      </c>
      <c r="B45" s="2035" t="s">
        <v>158</v>
      </c>
      <c r="C45" s="2036"/>
      <c r="D45" s="2037" t="s">
        <v>268</v>
      </c>
      <c r="E45" s="2038" t="s">
        <v>268</v>
      </c>
      <c r="F45" s="1203" t="s">
        <v>4</v>
      </c>
      <c r="G45" s="1025" t="str">
        <f>'XM.GUI MAIL'!$E$70</f>
        <v>50~70g/L
(60±5g/L)</v>
      </c>
      <c r="H45" s="64">
        <f>'3.XT-C TT'!H52</f>
        <v>0</v>
      </c>
      <c r="I45" s="77" t="s">
        <v>8</v>
      </c>
      <c r="J45" s="78">
        <f>'3.XT-C TT'!J52</f>
        <v>492</v>
      </c>
      <c r="K45" s="32" t="s">
        <v>9</v>
      </c>
      <c r="L45" s="64">
        <f>'3.XT-C TT'!P52</f>
        <v>0</v>
      </c>
      <c r="M45" s="77" t="s">
        <v>8</v>
      </c>
      <c r="N45" s="78">
        <f>'3.XT-C TT'!R52</f>
        <v>492</v>
      </c>
      <c r="O45" s="80" t="s">
        <v>9</v>
      </c>
      <c r="P45" s="1188" t="s">
        <v>42</v>
      </c>
    </row>
    <row r="46" spans="1:16" ht="39" customHeight="1">
      <c r="A46" s="2028"/>
      <c r="B46" s="2036"/>
      <c r="C46" s="2036"/>
      <c r="D46" s="2037" t="s">
        <v>269</v>
      </c>
      <c r="E46" s="2038" t="s">
        <v>269</v>
      </c>
      <c r="F46" s="1173" t="s">
        <v>58</v>
      </c>
      <c r="G46" s="1025" t="s">
        <v>1475</v>
      </c>
      <c r="H46" s="64"/>
      <c r="I46" s="65" t="s">
        <v>8</v>
      </c>
      <c r="J46" s="68">
        <f>'3.XT-C TT'!J53</f>
        <v>157.44</v>
      </c>
      <c r="K46" s="67" t="s">
        <v>10</v>
      </c>
      <c r="L46" s="64"/>
      <c r="M46" s="77" t="s">
        <v>8</v>
      </c>
      <c r="N46" s="68">
        <f>'3.XT-C TT'!R53</f>
        <v>157.44</v>
      </c>
      <c r="O46" s="80" t="s">
        <v>10</v>
      </c>
      <c r="P46" s="1188"/>
    </row>
    <row r="47" spans="1:16" ht="39" customHeight="1">
      <c r="A47" s="2027">
        <v>4</v>
      </c>
      <c r="B47" s="2035" t="s">
        <v>159</v>
      </c>
      <c r="C47" s="2036"/>
      <c r="D47" s="2037" t="s">
        <v>268</v>
      </c>
      <c r="E47" s="2038" t="s">
        <v>268</v>
      </c>
      <c r="F47" s="1203" t="s">
        <v>4</v>
      </c>
      <c r="G47" s="1025" t="str">
        <f>'XM.GUI MAIL'!$E$71</f>
        <v>50~70g/L
(60±5g/L)</v>
      </c>
      <c r="H47" s="64">
        <f>'3.XT-C TT'!H54</f>
        <v>0</v>
      </c>
      <c r="I47" s="77" t="s">
        <v>8</v>
      </c>
      <c r="J47" s="78">
        <f>'3.XT-C TT'!J54</f>
        <v>520.08000000000004</v>
      </c>
      <c r="K47" s="32" t="s">
        <v>9</v>
      </c>
      <c r="L47" s="64">
        <f>'3.XT-C TT'!P54</f>
        <v>0</v>
      </c>
      <c r="M47" s="77" t="s">
        <v>8</v>
      </c>
      <c r="N47" s="78">
        <f>'3.XT-C TT'!R54</f>
        <v>520.08000000000004</v>
      </c>
      <c r="O47" s="80" t="s">
        <v>9</v>
      </c>
      <c r="P47" s="1188" t="s">
        <v>42</v>
      </c>
    </row>
    <row r="48" spans="1:16" ht="39" customHeight="1">
      <c r="A48" s="2028"/>
      <c r="B48" s="2036"/>
      <c r="C48" s="2036"/>
      <c r="D48" s="2037" t="s">
        <v>269</v>
      </c>
      <c r="E48" s="2038" t="s">
        <v>269</v>
      </c>
      <c r="F48" s="1173" t="s">
        <v>58</v>
      </c>
      <c r="G48" s="1025" t="s">
        <v>1475</v>
      </c>
      <c r="H48" s="64"/>
      <c r="I48" s="77" t="s">
        <v>8</v>
      </c>
      <c r="J48" s="68">
        <f>'3.XT-C TT'!J55</f>
        <v>166.4256</v>
      </c>
      <c r="K48" s="82" t="s">
        <v>10</v>
      </c>
      <c r="L48" s="64"/>
      <c r="M48" s="77" t="s">
        <v>8</v>
      </c>
      <c r="N48" s="68">
        <f>'3.XT-C TT'!R55</f>
        <v>166.4256</v>
      </c>
      <c r="O48" s="80" t="s">
        <v>10</v>
      </c>
      <c r="P48" s="1188"/>
    </row>
    <row r="49" spans="1:16" ht="37.5" customHeight="1">
      <c r="A49" s="2027">
        <v>5</v>
      </c>
      <c r="B49" s="2013" t="s">
        <v>134</v>
      </c>
      <c r="C49" s="2014"/>
      <c r="D49" s="2019" t="s">
        <v>125</v>
      </c>
      <c r="E49" s="2020"/>
      <c r="F49" s="622" t="s">
        <v>4</v>
      </c>
      <c r="G49" s="1025" t="str">
        <f>'XM.GUI MAIL'!$E$84</f>
        <v>5~6g/L
(5.5± 1g/L)</v>
      </c>
      <c r="H49" s="64" t="str">
        <f>'XM.GUI MAIL'!Z84</f>
        <v/>
      </c>
      <c r="I49" s="930" t="s">
        <v>8</v>
      </c>
      <c r="J49" s="931" t="str">
        <f>'XM.GUI MAIL'!AC84</f>
        <v/>
      </c>
      <c r="K49" s="82" t="s">
        <v>9</v>
      </c>
      <c r="L49" s="64" t="str">
        <f>'XM.GUI MAIL'!AL84</f>
        <v/>
      </c>
      <c r="M49" s="77" t="s">
        <v>8</v>
      </c>
      <c r="N49" s="931" t="str">
        <f>'XM.GUI MAIL'!AO84</f>
        <v/>
      </c>
      <c r="O49" s="80" t="s">
        <v>9</v>
      </c>
      <c r="P49" s="1188" t="s">
        <v>43</v>
      </c>
    </row>
    <row r="50" spans="1:16" ht="31.5" hidden="1" customHeight="1">
      <c r="A50" s="2039"/>
      <c r="B50" s="2015"/>
      <c r="C50" s="2016"/>
      <c r="D50" s="2019" t="s">
        <v>135</v>
      </c>
      <c r="E50" s="2020"/>
      <c r="F50" s="622" t="s">
        <v>4</v>
      </c>
      <c r="G50" s="1025" t="s">
        <v>127</v>
      </c>
      <c r="H50" s="70">
        <f>'XM.GUI MAIL'!Z85</f>
        <v>0</v>
      </c>
      <c r="I50" s="930"/>
      <c r="J50" s="931" t="str">
        <f>'XM.GUI MAIL'!AC85</f>
        <v/>
      </c>
      <c r="K50" s="82"/>
      <c r="L50" s="70">
        <f>'XM.GUI MAIL'!AL85</f>
        <v>0</v>
      </c>
      <c r="M50" s="77"/>
      <c r="N50" s="931" t="str">
        <f>'XM.GUI MAIL'!AO85</f>
        <v/>
      </c>
      <c r="O50" s="80"/>
      <c r="P50" s="1188"/>
    </row>
    <row r="51" spans="1:16" ht="36.75" customHeight="1">
      <c r="A51" s="2028"/>
      <c r="B51" s="2015"/>
      <c r="C51" s="2016"/>
      <c r="D51" s="2019" t="s">
        <v>108</v>
      </c>
      <c r="E51" s="2020"/>
      <c r="F51" s="622" t="s">
        <v>4</v>
      </c>
      <c r="G51" s="1025" t="str">
        <f>'XM.GUI MAIL'!$E$86</f>
        <v>120~130g/L
(125 ± 5g/L)</v>
      </c>
      <c r="H51" s="70">
        <f>'XM.GUI MAIL'!Z86</f>
        <v>0</v>
      </c>
      <c r="I51" s="930" t="s">
        <v>8</v>
      </c>
      <c r="J51" s="931" t="str">
        <f>'XM.GUI MAIL'!AC86</f>
        <v/>
      </c>
      <c r="K51" s="82" t="s">
        <v>1074</v>
      </c>
      <c r="L51" s="70">
        <f>'XM.GUI MAIL'!AL86</f>
        <v>0</v>
      </c>
      <c r="M51" s="77" t="s">
        <v>8</v>
      </c>
      <c r="N51" s="931" t="str">
        <f>'XM.GUI MAIL'!AO86</f>
        <v/>
      </c>
      <c r="O51" s="80" t="s">
        <v>1074</v>
      </c>
      <c r="P51" s="1188" t="s">
        <v>44</v>
      </c>
    </row>
    <row r="52" spans="1:16" s="8" customFormat="1" ht="31.5" hidden="1" customHeight="1">
      <c r="A52" s="2027">
        <v>6</v>
      </c>
      <c r="B52" s="2017"/>
      <c r="C52" s="2018"/>
      <c r="D52" s="1583" t="s">
        <v>138</v>
      </c>
      <c r="E52" s="1584"/>
      <c r="F52" s="622" t="s">
        <v>4</v>
      </c>
      <c r="G52" s="1025" t="s">
        <v>139</v>
      </c>
      <c r="H52" s="70" t="str">
        <f>'XM.GUI MAIL'!Z87</f>
        <v/>
      </c>
      <c r="I52" s="930" t="s">
        <v>8</v>
      </c>
      <c r="J52" s="931" t="str">
        <f>'XM.GUI MAIL'!AC87</f>
        <v/>
      </c>
      <c r="K52" s="82" t="s">
        <v>10</v>
      </c>
      <c r="L52" s="70" t="str">
        <f>'XM.GUI MAIL'!AL87</f>
        <v/>
      </c>
      <c r="M52" s="77" t="s">
        <v>8</v>
      </c>
      <c r="N52" s="931" t="str">
        <f>'XM.GUI MAIL'!AO87</f>
        <v/>
      </c>
      <c r="O52" s="80" t="s">
        <v>10</v>
      </c>
      <c r="P52" s="1188" t="s">
        <v>45</v>
      </c>
    </row>
    <row r="53" spans="1:16" ht="35.25" customHeight="1">
      <c r="A53" s="2028"/>
      <c r="B53" s="2021" t="s">
        <v>136</v>
      </c>
      <c r="C53" s="2022"/>
      <c r="D53" s="2019" t="s">
        <v>5</v>
      </c>
      <c r="E53" s="2020"/>
      <c r="F53" s="92" t="s">
        <v>5</v>
      </c>
      <c r="G53" s="1025" t="str">
        <f>'XM.GUI MAIL'!$E$88</f>
        <v>3.0-4.5(4.3±0.2)</v>
      </c>
      <c r="H53" s="70">
        <f>'XM.GUI MAIL'!Z88</f>
        <v>0</v>
      </c>
      <c r="I53" s="930" t="s">
        <v>8</v>
      </c>
      <c r="J53" s="931"/>
      <c r="K53" s="82"/>
      <c r="L53" s="70">
        <f>'XM.GUI MAIL'!AL88</f>
        <v>0</v>
      </c>
      <c r="M53" s="77" t="s">
        <v>8</v>
      </c>
      <c r="N53" s="931"/>
      <c r="O53" s="80"/>
      <c r="P53" s="129"/>
    </row>
    <row r="54" spans="1:16" ht="37.5" customHeight="1">
      <c r="A54" s="1190">
        <v>7</v>
      </c>
      <c r="B54" s="2029" t="s">
        <v>1060</v>
      </c>
      <c r="C54" s="2030"/>
      <c r="D54" s="2030"/>
      <c r="E54" s="2031"/>
      <c r="F54" s="92" t="s">
        <v>6</v>
      </c>
      <c r="G54" s="1169" t="str">
        <f>'XM.GUI MAIL'!$E$76</f>
        <v>40~50 %V/V
(45±5% V/V)</v>
      </c>
      <c r="H54" s="71">
        <f>'3.XT-C TT'!H60</f>
        <v>0</v>
      </c>
      <c r="I54" s="77" t="s">
        <v>8</v>
      </c>
      <c r="J54" s="78">
        <f>'3.XT-C TT'!J60</f>
        <v>3025.35</v>
      </c>
      <c r="K54" s="32" t="s">
        <v>10</v>
      </c>
      <c r="L54" s="71">
        <f>'3.XT-C TT'!P60</f>
        <v>0</v>
      </c>
      <c r="M54" s="77" t="s">
        <v>8</v>
      </c>
      <c r="N54" s="78">
        <f>'3.XT-C TT'!R60</f>
        <v>3025.35</v>
      </c>
      <c r="O54" s="80" t="s">
        <v>10</v>
      </c>
      <c r="P54" s="1188" t="s">
        <v>46</v>
      </c>
    </row>
    <row r="55" spans="1:16" ht="37.5" customHeight="1">
      <c r="A55" s="1190">
        <v>8</v>
      </c>
      <c r="B55" s="2029" t="s">
        <v>1061</v>
      </c>
      <c r="C55" s="2030"/>
      <c r="D55" s="2030"/>
      <c r="E55" s="2031"/>
      <c r="F55" s="92" t="s">
        <v>6</v>
      </c>
      <c r="G55" s="1169" t="str">
        <f>'XM.GUI MAIL'!$E$77</f>
        <v>40~50 %V/V
(45±5% V/V)</v>
      </c>
      <c r="H55" s="71">
        <f>'3.XT-C TT'!H61</f>
        <v>0</v>
      </c>
      <c r="I55" s="77" t="s">
        <v>8</v>
      </c>
      <c r="J55" s="78">
        <f>'3.XT-C TT'!J61</f>
        <v>4729.05</v>
      </c>
      <c r="K55" s="32" t="s">
        <v>10</v>
      </c>
      <c r="L55" s="71">
        <f>'3.XT-C TT'!P61</f>
        <v>0</v>
      </c>
      <c r="M55" s="77" t="s">
        <v>8</v>
      </c>
      <c r="N55" s="78">
        <f>'3.XT-C TT'!R61</f>
        <v>4729.05</v>
      </c>
      <c r="O55" s="80" t="s">
        <v>10</v>
      </c>
      <c r="P55" s="1170" t="s">
        <v>46</v>
      </c>
    </row>
    <row r="56" spans="1:16" ht="37.5" customHeight="1">
      <c r="A56" s="1190">
        <v>9</v>
      </c>
      <c r="B56" s="2032" t="s">
        <v>86</v>
      </c>
      <c r="C56" s="2033"/>
      <c r="D56" s="2033"/>
      <c r="E56" s="2034"/>
      <c r="F56" s="92" t="s">
        <v>6</v>
      </c>
      <c r="G56" s="1169" t="str">
        <f>'XM.GUI MAIL'!$E$78</f>
        <v>20~40 %V/V
(30±5% V/V)</v>
      </c>
      <c r="H56" s="71">
        <f>'3.XT-C TT'!H62</f>
        <v>0</v>
      </c>
      <c r="I56" s="77" t="s">
        <v>8</v>
      </c>
      <c r="J56" s="78">
        <f>'3.XT-C TT'!J62</f>
        <v>970.19999999999993</v>
      </c>
      <c r="K56" s="32" t="s">
        <v>10</v>
      </c>
      <c r="L56" s="71">
        <f>'3.XT-C TT'!P62</f>
        <v>0</v>
      </c>
      <c r="M56" s="77" t="s">
        <v>8</v>
      </c>
      <c r="N56" s="78">
        <f>'3.XT-C TT'!R62</f>
        <v>970.19999999999993</v>
      </c>
      <c r="O56" s="80" t="s">
        <v>10</v>
      </c>
      <c r="P56" s="1188" t="s">
        <v>47</v>
      </c>
    </row>
    <row r="57" spans="1:16" ht="37.5" customHeight="1">
      <c r="A57" s="1190">
        <v>10</v>
      </c>
      <c r="B57" s="2032" t="s">
        <v>1062</v>
      </c>
      <c r="C57" s="2033" t="s">
        <v>1062</v>
      </c>
      <c r="D57" s="2033" t="s">
        <v>1062</v>
      </c>
      <c r="E57" s="2034" t="s">
        <v>1062</v>
      </c>
      <c r="F57" s="92" t="s">
        <v>6</v>
      </c>
      <c r="G57" s="1169" t="str">
        <f>'XM.GUI MAIL'!$E$79</f>
        <v>0.5~1.5%
(1±0.4%)</v>
      </c>
      <c r="H57" s="72">
        <f>'3.XT-C TT'!H63</f>
        <v>0</v>
      </c>
      <c r="I57" s="77" t="s">
        <v>8</v>
      </c>
      <c r="J57" s="81">
        <f>'3.XT-C TT'!J63</f>
        <v>28.080000000000002</v>
      </c>
      <c r="K57" s="83" t="s">
        <v>10</v>
      </c>
      <c r="L57" s="72">
        <f>'3.XT-C TT'!P63</f>
        <v>0</v>
      </c>
      <c r="M57" s="77" t="s">
        <v>8</v>
      </c>
      <c r="N57" s="81">
        <f>'3.XT-C TT'!R63</f>
        <v>28.080000000000002</v>
      </c>
      <c r="O57" s="80" t="s">
        <v>10</v>
      </c>
      <c r="P57" s="1188" t="s">
        <v>47</v>
      </c>
    </row>
    <row r="58" spans="1:16" ht="41.25" customHeight="1">
      <c r="A58" s="1190"/>
      <c r="B58" s="2010" t="s">
        <v>155</v>
      </c>
      <c r="C58" s="2011"/>
      <c r="D58" s="2011"/>
      <c r="E58" s="2011"/>
      <c r="F58" s="2011"/>
      <c r="G58" s="2011"/>
      <c r="H58" s="2011"/>
      <c r="I58" s="2011"/>
      <c r="J58" s="2011"/>
      <c r="K58" s="2011"/>
      <c r="L58" s="2011"/>
      <c r="M58" s="2011"/>
      <c r="N58" s="2011"/>
      <c r="O58" s="2011"/>
      <c r="P58" s="2012"/>
    </row>
    <row r="59" spans="1:16" ht="46.5" customHeight="1">
      <c r="A59" s="1190" t="s">
        <v>7</v>
      </c>
      <c r="B59" s="2010" t="s">
        <v>23</v>
      </c>
      <c r="C59" s="2011"/>
      <c r="D59" s="2011"/>
      <c r="E59" s="2012"/>
      <c r="F59" s="90" t="s">
        <v>24</v>
      </c>
      <c r="G59" s="90" t="s">
        <v>25</v>
      </c>
      <c r="H59" s="2021" t="s">
        <v>26</v>
      </c>
      <c r="I59" s="2022"/>
      <c r="J59" s="2021" t="s">
        <v>27</v>
      </c>
      <c r="K59" s="2022"/>
      <c r="L59" s="2021" t="s">
        <v>26</v>
      </c>
      <c r="M59" s="2022"/>
      <c r="N59" s="2021" t="s">
        <v>27</v>
      </c>
      <c r="O59" s="2022"/>
      <c r="P59" s="11"/>
    </row>
    <row r="60" spans="1:16" ht="39" customHeight="1">
      <c r="A60" s="1190">
        <v>1</v>
      </c>
      <c r="B60" s="2010" t="s">
        <v>36</v>
      </c>
      <c r="C60" s="2011"/>
      <c r="D60" s="2011"/>
      <c r="E60" s="2012"/>
      <c r="F60" s="12" t="s">
        <v>28</v>
      </c>
      <c r="G60" s="1171" t="str">
        <f>'XM.GUI MAIL'!$E$91</f>
        <v>65~75ºC
(70±3OC)</v>
      </c>
      <c r="H60" s="1869">
        <f>'3.XT-C TT'!P70</f>
        <v>0</v>
      </c>
      <c r="I60" s="1869"/>
      <c r="J60" s="1869">
        <f>'3.XT-C TT'!J70:K70</f>
        <v>0</v>
      </c>
      <c r="K60" s="1869"/>
      <c r="L60" s="1869">
        <f>'3.XT-C TT'!P70</f>
        <v>0</v>
      </c>
      <c r="M60" s="1869"/>
      <c r="N60" s="1869">
        <f>'3.XT-C TT'!R70</f>
        <v>0</v>
      </c>
      <c r="O60" s="1869"/>
      <c r="P60" s="1190"/>
    </row>
    <row r="61" spans="1:16" ht="39" customHeight="1">
      <c r="A61" s="1190">
        <v>2</v>
      </c>
      <c r="B61" s="2010" t="s">
        <v>37</v>
      </c>
      <c r="C61" s="2011"/>
      <c r="D61" s="2011"/>
      <c r="E61" s="2012"/>
      <c r="F61" s="12" t="s">
        <v>28</v>
      </c>
      <c r="G61" s="1171" t="str">
        <f>'XM.GUI MAIL'!$E$92</f>
        <v>65~75ºC
(70±3OC)</v>
      </c>
      <c r="H61" s="1869">
        <f>'3.XT-C TT'!P71</f>
        <v>0</v>
      </c>
      <c r="I61" s="1869"/>
      <c r="J61" s="1869">
        <f>'3.XT-C TT'!J71:K71</f>
        <v>0</v>
      </c>
      <c r="K61" s="1869"/>
      <c r="L61" s="1869">
        <f>'3.XT-C TT'!P71</f>
        <v>0</v>
      </c>
      <c r="M61" s="1869"/>
      <c r="N61" s="1869">
        <f>'3.XT-C TT'!R71</f>
        <v>0</v>
      </c>
      <c r="O61" s="1869"/>
      <c r="P61" s="1190"/>
    </row>
    <row r="62" spans="1:16" ht="39" customHeight="1">
      <c r="A62" s="1190">
        <v>3</v>
      </c>
      <c r="B62" s="2010" t="s">
        <v>29</v>
      </c>
      <c r="C62" s="2011"/>
      <c r="D62" s="2011"/>
      <c r="E62" s="2012"/>
      <c r="F62" s="12" t="s">
        <v>28</v>
      </c>
      <c r="G62" s="1171" t="str">
        <f>'XM.GUI MAIL'!$E$93</f>
        <v>60~70ºC
(65±3OC)</v>
      </c>
      <c r="H62" s="1869">
        <f>'3.XT-C TT'!P72</f>
        <v>0</v>
      </c>
      <c r="I62" s="1869"/>
      <c r="J62" s="1869">
        <f>'3.XT-C TT'!J72:K72</f>
        <v>0</v>
      </c>
      <c r="K62" s="1869"/>
      <c r="L62" s="1869">
        <f>'3.XT-C TT'!P72</f>
        <v>0</v>
      </c>
      <c r="M62" s="1869"/>
      <c r="N62" s="1869">
        <f>'3.XT-C TT'!R72</f>
        <v>0</v>
      </c>
      <c r="O62" s="1869"/>
      <c r="P62" s="1190"/>
    </row>
    <row r="63" spans="1:16" ht="39" customHeight="1">
      <c r="A63" s="1190">
        <v>4</v>
      </c>
      <c r="B63" s="2010" t="s">
        <v>30</v>
      </c>
      <c r="C63" s="2011"/>
      <c r="D63" s="2011"/>
      <c r="E63" s="2012"/>
      <c r="F63" s="12" t="s">
        <v>28</v>
      </c>
      <c r="G63" s="1171" t="str">
        <f>'XM.GUI MAIL'!$E$94</f>
        <v>60~70ºC
(65±3OC)</v>
      </c>
      <c r="H63" s="1869">
        <f>'3.XT-C TT'!P73</f>
        <v>0</v>
      </c>
      <c r="I63" s="1869"/>
      <c r="J63" s="1869">
        <f>'3.XT-C TT'!J73:K73</f>
        <v>0</v>
      </c>
      <c r="K63" s="1869"/>
      <c r="L63" s="1869">
        <f>'3.XT-C TT'!P73</f>
        <v>0</v>
      </c>
      <c r="M63" s="1869"/>
      <c r="N63" s="1869">
        <f>'3.XT-C TT'!R73</f>
        <v>0</v>
      </c>
      <c r="O63" s="1869"/>
      <c r="P63" s="1190"/>
    </row>
    <row r="64" spans="1:16" ht="39" customHeight="1">
      <c r="A64" s="92">
        <v>5</v>
      </c>
      <c r="B64" s="2021" t="s">
        <v>128</v>
      </c>
      <c r="C64" s="2023"/>
      <c r="D64" s="2023"/>
      <c r="E64" s="2022"/>
      <c r="F64" s="12" t="s">
        <v>28</v>
      </c>
      <c r="G64" s="120" t="str">
        <f>'XM.GUI MAIL'!$E$101</f>
        <v>24~28ºC
(26±2OC)</v>
      </c>
      <c r="H64" s="1866">
        <f>'XM.GUI MAIL'!Z101</f>
        <v>0</v>
      </c>
      <c r="I64" s="1867"/>
      <c r="J64" s="1866">
        <f>'XM.GUI MAIL'!AC101</f>
        <v>0</v>
      </c>
      <c r="K64" s="1867"/>
      <c r="L64" s="1866">
        <f>'XM.GUI MAIL'!AL101</f>
        <v>0</v>
      </c>
      <c r="M64" s="1867"/>
      <c r="N64" s="1866">
        <f>'XM.GUI MAIL'!AO101</f>
        <v>0</v>
      </c>
      <c r="O64" s="1867"/>
      <c r="P64" s="1190"/>
    </row>
    <row r="65" spans="1:16" ht="39" customHeight="1">
      <c r="A65" s="92">
        <v>6</v>
      </c>
      <c r="B65" s="2021" t="s">
        <v>126</v>
      </c>
      <c r="C65" s="2023"/>
      <c r="D65" s="2023"/>
      <c r="E65" s="2022"/>
      <c r="F65" s="12" t="s">
        <v>28</v>
      </c>
      <c r="G65" s="120" t="str">
        <f>'XM.GUI MAIL'!$E$102</f>
        <v>40~60ºC
(50±10OC)</v>
      </c>
      <c r="H65" s="1869">
        <f>'XM.GUI MAIL'!Z102</f>
        <v>0</v>
      </c>
      <c r="I65" s="1869"/>
      <c r="J65" s="1869">
        <f>'XM.GUI MAIL'!AC102</f>
        <v>0</v>
      </c>
      <c r="K65" s="1869"/>
      <c r="L65" s="1869">
        <f>'XM.GUI MAIL'!AL102</f>
        <v>0</v>
      </c>
      <c r="M65" s="1869"/>
      <c r="N65" s="1869">
        <f>'XM.GUI MAIL'!AO102</f>
        <v>0</v>
      </c>
      <c r="O65" s="1869"/>
      <c r="P65" s="1190"/>
    </row>
    <row r="66" spans="1:16" ht="39" customHeight="1">
      <c r="A66" s="92">
        <v>7</v>
      </c>
      <c r="B66" s="2021" t="s">
        <v>133</v>
      </c>
      <c r="C66" s="2023"/>
      <c r="D66" s="2023"/>
      <c r="E66" s="2022"/>
      <c r="F66" s="12" t="s">
        <v>28</v>
      </c>
      <c r="G66" s="120" t="str">
        <f>'XM.GUI MAIL'!$E$103</f>
        <v>20~30ºC
(25±5OC)</v>
      </c>
      <c r="H66" s="1866">
        <f>'XM.GUI MAIL'!Z103</f>
        <v>0</v>
      </c>
      <c r="I66" s="1867"/>
      <c r="J66" s="1866">
        <f>'XM.GUI MAIL'!AC103</f>
        <v>0</v>
      </c>
      <c r="K66" s="1867"/>
      <c r="L66" s="1866">
        <f>'XM.GUI MAIL'!AL103</f>
        <v>0</v>
      </c>
      <c r="M66" s="1867"/>
      <c r="N66" s="1866">
        <f>'XM.GUI MAIL'!AO103</f>
        <v>0</v>
      </c>
      <c r="O66" s="1867"/>
      <c r="P66" s="1190"/>
    </row>
    <row r="67" spans="1:16" ht="39" customHeight="1">
      <c r="A67" s="1190">
        <v>8</v>
      </c>
      <c r="B67" s="2010" t="s">
        <v>33</v>
      </c>
      <c r="C67" s="2011"/>
      <c r="D67" s="2011"/>
      <c r="E67" s="2012"/>
      <c r="F67" s="12" t="s">
        <v>28</v>
      </c>
      <c r="G67" s="1171" t="str">
        <f>'XM.GUI MAIL'!$E$97</f>
        <v>55~65ºC
(60±3OC)</v>
      </c>
      <c r="H67" s="1869">
        <f>'3.XT-C TT'!P76</f>
        <v>0</v>
      </c>
      <c r="I67" s="1869"/>
      <c r="J67" s="1869">
        <f>'3.XT-C TT'!J76</f>
        <v>0</v>
      </c>
      <c r="K67" s="1869"/>
      <c r="L67" s="1869">
        <f>'3.XT-C TT'!P76</f>
        <v>0</v>
      </c>
      <c r="M67" s="1869"/>
      <c r="N67" s="1869">
        <f>'3.XT-C TT'!R76</f>
        <v>0</v>
      </c>
      <c r="O67" s="1869"/>
      <c r="P67" s="1190"/>
    </row>
    <row r="68" spans="1:16" ht="39" customHeight="1">
      <c r="A68" s="1190">
        <v>9</v>
      </c>
      <c r="B68" s="2010" t="s">
        <v>34</v>
      </c>
      <c r="C68" s="2011"/>
      <c r="D68" s="2011"/>
      <c r="E68" s="2012"/>
      <c r="F68" s="12" t="s">
        <v>28</v>
      </c>
      <c r="G68" s="1171" t="str">
        <f>'XM.GUI MAIL'!$E$98</f>
        <v>65~75ºC
(70±3OC)</v>
      </c>
      <c r="H68" s="2026" t="str">
        <f>'3.XT-C TT'!P77</f>
        <v>\</v>
      </c>
      <c r="I68" s="2026"/>
      <c r="J68" s="1869">
        <f>'3.XT-C TT'!J77</f>
        <v>0</v>
      </c>
      <c r="K68" s="1869"/>
      <c r="L68" s="2026" t="str">
        <f>'3.XT-C TT'!P77</f>
        <v>\</v>
      </c>
      <c r="M68" s="2026"/>
      <c r="N68" s="1869">
        <f>'3.XT-C TT'!R77</f>
        <v>0</v>
      </c>
      <c r="O68" s="1869"/>
      <c r="P68" s="1190"/>
    </row>
  </sheetData>
  <sheetProtection selectLockedCells="1"/>
  <mergeCells count="184">
    <mergeCell ref="B68:E68"/>
    <mergeCell ref="H68:I68"/>
    <mergeCell ref="J68:K68"/>
    <mergeCell ref="L68:M68"/>
    <mergeCell ref="N68:O68"/>
    <mergeCell ref="B66:E66"/>
    <mergeCell ref="H66:I66"/>
    <mergeCell ref="J66:K66"/>
    <mergeCell ref="L66:M66"/>
    <mergeCell ref="N66:O66"/>
    <mergeCell ref="B67:E67"/>
    <mergeCell ref="H67:I67"/>
    <mergeCell ref="J67:K67"/>
    <mergeCell ref="L67:M67"/>
    <mergeCell ref="N67:O67"/>
    <mergeCell ref="B64:E64"/>
    <mergeCell ref="H64:I64"/>
    <mergeCell ref="J64:K64"/>
    <mergeCell ref="L64:M64"/>
    <mergeCell ref="N64:O64"/>
    <mergeCell ref="B65:E65"/>
    <mergeCell ref="H65:I65"/>
    <mergeCell ref="J65:K65"/>
    <mergeCell ref="L65:M65"/>
    <mergeCell ref="N65:O65"/>
    <mergeCell ref="B62:E62"/>
    <mergeCell ref="H62:I62"/>
    <mergeCell ref="J62:K62"/>
    <mergeCell ref="L62:M62"/>
    <mergeCell ref="N62:O62"/>
    <mergeCell ref="B63:E63"/>
    <mergeCell ref="H63:I63"/>
    <mergeCell ref="J63:K63"/>
    <mergeCell ref="L63:M63"/>
    <mergeCell ref="N63:O63"/>
    <mergeCell ref="B60:E60"/>
    <mergeCell ref="H60:I60"/>
    <mergeCell ref="J60:K60"/>
    <mergeCell ref="L60:M60"/>
    <mergeCell ref="N60:O60"/>
    <mergeCell ref="B61:E61"/>
    <mergeCell ref="H61:I61"/>
    <mergeCell ref="J61:K61"/>
    <mergeCell ref="L61:M61"/>
    <mergeCell ref="N61:O61"/>
    <mergeCell ref="A49:A51"/>
    <mergeCell ref="B49:C52"/>
    <mergeCell ref="D49:E49"/>
    <mergeCell ref="D50:E50"/>
    <mergeCell ref="D51:E51"/>
    <mergeCell ref="A52:A53"/>
    <mergeCell ref="B58:P58"/>
    <mergeCell ref="B59:E59"/>
    <mergeCell ref="H59:I59"/>
    <mergeCell ref="J59:K59"/>
    <mergeCell ref="L59:M59"/>
    <mergeCell ref="N59:O59"/>
    <mergeCell ref="B53:C53"/>
    <mergeCell ref="D53:E53"/>
    <mergeCell ref="B54:E54"/>
    <mergeCell ref="B55:E55"/>
    <mergeCell ref="B56:E56"/>
    <mergeCell ref="B57:E57"/>
    <mergeCell ref="A43:A44"/>
    <mergeCell ref="B43:C44"/>
    <mergeCell ref="D43:E43"/>
    <mergeCell ref="D44:E44"/>
    <mergeCell ref="D45:E45"/>
    <mergeCell ref="A45:A46"/>
    <mergeCell ref="B45:C46"/>
    <mergeCell ref="D46:E46"/>
    <mergeCell ref="A47:A48"/>
    <mergeCell ref="B47:C48"/>
    <mergeCell ref="D47:E47"/>
    <mergeCell ref="D48:E48"/>
    <mergeCell ref="P39:P40"/>
    <mergeCell ref="I40:K40"/>
    <mergeCell ref="M40:O40"/>
    <mergeCell ref="A41:A42"/>
    <mergeCell ref="B41:C42"/>
    <mergeCell ref="D41:E41"/>
    <mergeCell ref="D42:E42"/>
    <mergeCell ref="A37:M37"/>
    <mergeCell ref="N37:O37"/>
    <mergeCell ref="N38:O38"/>
    <mergeCell ref="A39:A40"/>
    <mergeCell ref="B39:E40"/>
    <mergeCell ref="F39:F40"/>
    <mergeCell ref="G39:G40"/>
    <mergeCell ref="H39:K39"/>
    <mergeCell ref="L39:O39"/>
    <mergeCell ref="B33:E33"/>
    <mergeCell ref="H33:I33"/>
    <mergeCell ref="J33:K33"/>
    <mergeCell ref="L33:M33"/>
    <mergeCell ref="N33:O33"/>
    <mergeCell ref="A36:M36"/>
    <mergeCell ref="B31:E31"/>
    <mergeCell ref="H31:I31"/>
    <mergeCell ref="J31:K31"/>
    <mergeCell ref="L31:M31"/>
    <mergeCell ref="N31:O31"/>
    <mergeCell ref="B32:E32"/>
    <mergeCell ref="H32:I32"/>
    <mergeCell ref="J32:K32"/>
    <mergeCell ref="L32:M32"/>
    <mergeCell ref="N32:O32"/>
    <mergeCell ref="B29:E29"/>
    <mergeCell ref="H29:I29"/>
    <mergeCell ref="J29:K29"/>
    <mergeCell ref="L29:M29"/>
    <mergeCell ref="N29:O29"/>
    <mergeCell ref="B30:E30"/>
    <mergeCell ref="H30:I30"/>
    <mergeCell ref="J30:K30"/>
    <mergeCell ref="L30:M30"/>
    <mergeCell ref="N30:O30"/>
    <mergeCell ref="B27:E27"/>
    <mergeCell ref="H27:I27"/>
    <mergeCell ref="J27:K27"/>
    <mergeCell ref="L27:M27"/>
    <mergeCell ref="N27:O27"/>
    <mergeCell ref="B28:E28"/>
    <mergeCell ref="H28:I28"/>
    <mergeCell ref="J28:K28"/>
    <mergeCell ref="L28:M28"/>
    <mergeCell ref="N28:O28"/>
    <mergeCell ref="B25:E25"/>
    <mergeCell ref="H25:I25"/>
    <mergeCell ref="J25:K25"/>
    <mergeCell ref="L25:M25"/>
    <mergeCell ref="N25:O25"/>
    <mergeCell ref="B26:E26"/>
    <mergeCell ref="H26:I26"/>
    <mergeCell ref="J26:K26"/>
    <mergeCell ref="L26:M26"/>
    <mergeCell ref="N26:O26"/>
    <mergeCell ref="A14:A16"/>
    <mergeCell ref="B14:C17"/>
    <mergeCell ref="D14:E14"/>
    <mergeCell ref="D15:E15"/>
    <mergeCell ref="D16:E16"/>
    <mergeCell ref="A17:A18"/>
    <mergeCell ref="B23:P23"/>
    <mergeCell ref="B24:E24"/>
    <mergeCell ref="H24:I24"/>
    <mergeCell ref="J24:K24"/>
    <mergeCell ref="L24:M24"/>
    <mergeCell ref="N24:O24"/>
    <mergeCell ref="B18:C18"/>
    <mergeCell ref="D18:E18"/>
    <mergeCell ref="B19:E19"/>
    <mergeCell ref="B20:E20"/>
    <mergeCell ref="B21:E21"/>
    <mergeCell ref="B22:E22"/>
    <mergeCell ref="A8:A9"/>
    <mergeCell ref="B8:C9"/>
    <mergeCell ref="D8:E8"/>
    <mergeCell ref="D9:E9"/>
    <mergeCell ref="D10:E10"/>
    <mergeCell ref="A10:A11"/>
    <mergeCell ref="B10:C11"/>
    <mergeCell ref="D11:E11"/>
    <mergeCell ref="A12:A13"/>
    <mergeCell ref="B12:C13"/>
    <mergeCell ref="D12:E12"/>
    <mergeCell ref="D13:E13"/>
    <mergeCell ref="P4:P5"/>
    <mergeCell ref="I5:K5"/>
    <mergeCell ref="M5:O5"/>
    <mergeCell ref="A6:A7"/>
    <mergeCell ref="B6:C7"/>
    <mergeCell ref="D6:E6"/>
    <mergeCell ref="D7:E7"/>
    <mergeCell ref="A1:M1"/>
    <mergeCell ref="A2:M2"/>
    <mergeCell ref="N2:O2"/>
    <mergeCell ref="N3:O3"/>
    <mergeCell ref="A4:A5"/>
    <mergeCell ref="B4:E5"/>
    <mergeCell ref="F4:F5"/>
    <mergeCell ref="G4:G5"/>
    <mergeCell ref="H4:K4"/>
    <mergeCell ref="L4:O4"/>
  </mergeCells>
  <phoneticPr fontId="6" type="noConversion"/>
  <conditionalFormatting sqref="H19:H20 L19:L20">
    <cfRule type="expression" dxfId="1680" priority="167">
      <formula>H19&lt;30%</formula>
    </cfRule>
    <cfRule type="expression" dxfId="1679" priority="168">
      <formula>H19&gt;60%</formula>
    </cfRule>
  </conditionalFormatting>
  <conditionalFormatting sqref="H22 L22">
    <cfRule type="expression" dxfId="1678" priority="165">
      <formula>H22&lt;0.5%</formula>
    </cfRule>
    <cfRule type="expression" dxfId="1677" priority="166">
      <formula>H22&gt;1.5%</formula>
    </cfRule>
  </conditionalFormatting>
  <conditionalFormatting sqref="L54:L55 H54:H55">
    <cfRule type="expression" dxfId="1676" priority="149">
      <formula>H54&lt;30%</formula>
    </cfRule>
    <cfRule type="expression" dxfId="1675" priority="150">
      <formula>H54&gt;60%</formula>
    </cfRule>
  </conditionalFormatting>
  <conditionalFormatting sqref="H57 L57">
    <cfRule type="expression" dxfId="1674" priority="147">
      <formula>H57&lt;0.5%</formula>
    </cfRule>
    <cfRule type="expression" dxfId="1673" priority="148">
      <formula>H57&gt;1.5%</formula>
    </cfRule>
  </conditionalFormatting>
  <conditionalFormatting sqref="H60:O61 H25:O26">
    <cfRule type="expression" dxfId="1672" priority="131">
      <formula>H25&lt;65</formula>
    </cfRule>
    <cfRule type="expression" dxfId="1671" priority="132">
      <formula>H25&gt;75</formula>
    </cfRule>
  </conditionalFormatting>
  <conditionalFormatting sqref="H62:O63 H67:O67 H27:O28 H32:O32">
    <cfRule type="expression" dxfId="1670" priority="129">
      <formula>H27&lt;60</formula>
    </cfRule>
    <cfRule type="expression" dxfId="1669" priority="130">
      <formula>H27&gt;70</formula>
    </cfRule>
  </conditionalFormatting>
  <conditionalFormatting sqref="N68:O68 J68:K68 N33:O33 J33:K33">
    <cfRule type="expression" dxfId="1668" priority="127">
      <formula>J33&lt;40</formula>
    </cfRule>
    <cfRule type="expression" dxfId="1667" priority="128">
      <formula>J33&gt;70</formula>
    </cfRule>
  </conditionalFormatting>
  <conditionalFormatting sqref="H65:O65 H30:O30">
    <cfRule type="expression" dxfId="1666" priority="123">
      <formula>H30&lt;40</formula>
    </cfRule>
    <cfRule type="expression" dxfId="1665" priority="124">
      <formula>H30&gt;60</formula>
    </cfRule>
  </conditionalFormatting>
  <conditionalFormatting sqref="H10 H12 L10 L12">
    <cfRule type="expression" dxfId="1664" priority="110" stopIfTrue="1">
      <formula>H10&lt;50</formula>
    </cfRule>
  </conditionalFormatting>
  <conditionalFormatting sqref="H10 H12 L10 L12">
    <cfRule type="expression" dxfId="1663" priority="109" stopIfTrue="1">
      <formula>H10&gt;70</formula>
    </cfRule>
  </conditionalFormatting>
  <conditionalFormatting sqref="H45 H47 L45 L47">
    <cfRule type="expression" dxfId="1662" priority="106" stopIfTrue="1">
      <formula>H45&lt;50</formula>
    </cfRule>
  </conditionalFormatting>
  <conditionalFormatting sqref="H45 H47 L45 L47">
    <cfRule type="expression" dxfId="1661" priority="105" stopIfTrue="1">
      <formula>H45&gt;70</formula>
    </cfRule>
  </conditionalFormatting>
  <conditionalFormatting sqref="H6">
    <cfRule type="expression" dxfId="1660" priority="104" stopIfTrue="1">
      <formula>H6&lt;40</formula>
    </cfRule>
  </conditionalFormatting>
  <conditionalFormatting sqref="H6">
    <cfRule type="expression" dxfId="1659" priority="103" stopIfTrue="1">
      <formula>H6&gt;60</formula>
    </cfRule>
  </conditionalFormatting>
  <conditionalFormatting sqref="H8">
    <cfRule type="expression" dxfId="1658" priority="102" stopIfTrue="1">
      <formula>H8&lt;40</formula>
    </cfRule>
  </conditionalFormatting>
  <conditionalFormatting sqref="H8">
    <cfRule type="expression" dxfId="1657" priority="101" stopIfTrue="1">
      <formula>H8&gt;60</formula>
    </cfRule>
  </conditionalFormatting>
  <conditionalFormatting sqref="L6">
    <cfRule type="expression" dxfId="1656" priority="100" stopIfTrue="1">
      <formula>L6&lt;40</formula>
    </cfRule>
  </conditionalFormatting>
  <conditionalFormatting sqref="L6">
    <cfRule type="expression" dxfId="1655" priority="99" stopIfTrue="1">
      <formula>L6&gt;60</formula>
    </cfRule>
  </conditionalFormatting>
  <conditionalFormatting sqref="L8">
    <cfRule type="expression" dxfId="1654" priority="98" stopIfTrue="1">
      <formula>L8&lt;40</formula>
    </cfRule>
  </conditionalFormatting>
  <conditionalFormatting sqref="L8">
    <cfRule type="expression" dxfId="1653" priority="97" stopIfTrue="1">
      <formula>L8&gt;60</formula>
    </cfRule>
  </conditionalFormatting>
  <conditionalFormatting sqref="H41">
    <cfRule type="expression" dxfId="1652" priority="96" stopIfTrue="1">
      <formula>H41&lt;40</formula>
    </cfRule>
  </conditionalFormatting>
  <conditionalFormatting sqref="H41">
    <cfRule type="expression" dxfId="1651" priority="95" stopIfTrue="1">
      <formula>H41&gt;60</formula>
    </cfRule>
  </conditionalFormatting>
  <conditionalFormatting sqref="H43">
    <cfRule type="expression" dxfId="1650" priority="94" stopIfTrue="1">
      <formula>H43&lt;40</formula>
    </cfRule>
  </conditionalFormatting>
  <conditionalFormatting sqref="H43">
    <cfRule type="expression" dxfId="1649" priority="93" stopIfTrue="1">
      <formula>H43&gt;60</formula>
    </cfRule>
  </conditionalFormatting>
  <conditionalFormatting sqref="L41">
    <cfRule type="expression" dxfId="1648" priority="92" stopIfTrue="1">
      <formula>L41&lt;40</formula>
    </cfRule>
  </conditionalFormatting>
  <conditionalFormatting sqref="L41">
    <cfRule type="expression" dxfId="1647" priority="91" stopIfTrue="1">
      <formula>L41&gt;60</formula>
    </cfRule>
  </conditionalFormatting>
  <conditionalFormatting sqref="L43">
    <cfRule type="expression" dxfId="1646" priority="90" stopIfTrue="1">
      <formula>L43&lt;40</formula>
    </cfRule>
  </conditionalFormatting>
  <conditionalFormatting sqref="L43">
    <cfRule type="expression" dxfId="1645" priority="89" stopIfTrue="1">
      <formula>L43&gt;60</formula>
    </cfRule>
  </conditionalFormatting>
  <conditionalFormatting sqref="H56">
    <cfRule type="expression" dxfId="1644" priority="87">
      <formula>H56&lt;20%</formula>
    </cfRule>
    <cfRule type="expression" dxfId="1643" priority="88">
      <formula>H56&gt;40%</formula>
    </cfRule>
  </conditionalFormatting>
  <conditionalFormatting sqref="L56">
    <cfRule type="expression" dxfId="1642" priority="85">
      <formula>L56&lt;20%</formula>
    </cfRule>
    <cfRule type="expression" dxfId="1641" priority="86">
      <formula>L56&gt;40%</formula>
    </cfRule>
  </conditionalFormatting>
  <conditionalFormatting sqref="H21">
    <cfRule type="expression" dxfId="1640" priority="83">
      <formula>H21&lt;20%</formula>
    </cfRule>
    <cfRule type="expression" dxfId="1639" priority="84">
      <formula>H21&gt;40%</formula>
    </cfRule>
  </conditionalFormatting>
  <conditionalFormatting sqref="L21">
    <cfRule type="expression" dxfId="1638" priority="81">
      <formula>L21&lt;20%</formula>
    </cfRule>
    <cfRule type="expression" dxfId="1637" priority="82">
      <formula>L21&gt;40%</formula>
    </cfRule>
  </conditionalFormatting>
  <conditionalFormatting sqref="H14">
    <cfRule type="expression" dxfId="1636" priority="79" stopIfTrue="1">
      <formula>H14&gt;6</formula>
    </cfRule>
    <cfRule type="expression" dxfId="1635" priority="80" stopIfTrue="1">
      <formula>H14&lt;5</formula>
    </cfRule>
  </conditionalFormatting>
  <conditionalFormatting sqref="H15">
    <cfRule type="expression" dxfId="1634" priority="77" stopIfTrue="1">
      <formula>H15&gt;1.9</formula>
    </cfRule>
    <cfRule type="expression" dxfId="1633" priority="78" stopIfTrue="1">
      <formula>H15&lt;1.7</formula>
    </cfRule>
  </conditionalFormatting>
  <conditionalFormatting sqref="H16">
    <cfRule type="expression" dxfId="1632" priority="75" stopIfTrue="1">
      <formula>H16&gt;130</formula>
    </cfRule>
    <cfRule type="expression" dxfId="1631" priority="76" stopIfTrue="1">
      <formula>H16&lt;120</formula>
    </cfRule>
  </conditionalFormatting>
  <conditionalFormatting sqref="H17">
    <cfRule type="expression" dxfId="1630" priority="73" stopIfTrue="1">
      <formula>H17&gt;135</formula>
    </cfRule>
    <cfRule type="expression" dxfId="1629" priority="74" stopIfTrue="1">
      <formula>H17&lt;125</formula>
    </cfRule>
  </conditionalFormatting>
  <conditionalFormatting sqref="H18">
    <cfRule type="expression" dxfId="1628" priority="71" stopIfTrue="1">
      <formula>H18&gt;4.5</formula>
    </cfRule>
    <cfRule type="expression" dxfId="1627" priority="72" stopIfTrue="1">
      <formula>H18&lt;3</formula>
    </cfRule>
  </conditionalFormatting>
  <conditionalFormatting sqref="L14">
    <cfRule type="expression" dxfId="1626" priority="69" stopIfTrue="1">
      <formula>L14&gt;6</formula>
    </cfRule>
    <cfRule type="expression" dxfId="1625" priority="70" stopIfTrue="1">
      <formula>L14&lt;5</formula>
    </cfRule>
  </conditionalFormatting>
  <conditionalFormatting sqref="L15">
    <cfRule type="expression" dxfId="1624" priority="67" stopIfTrue="1">
      <formula>L15&gt;1.9</formula>
    </cfRule>
    <cfRule type="expression" dxfId="1623" priority="68" stopIfTrue="1">
      <formula>L15&lt;1.7</formula>
    </cfRule>
  </conditionalFormatting>
  <conditionalFormatting sqref="L16">
    <cfRule type="expression" dxfId="1622" priority="65" stopIfTrue="1">
      <formula>L16&gt;130</formula>
    </cfRule>
    <cfRule type="expression" dxfId="1621" priority="66" stopIfTrue="1">
      <formula>L16&lt;120</formula>
    </cfRule>
  </conditionalFormatting>
  <conditionalFormatting sqref="L17">
    <cfRule type="expression" dxfId="1620" priority="63" stopIfTrue="1">
      <formula>L17&gt;135</formula>
    </cfRule>
    <cfRule type="expression" dxfId="1619" priority="64" stopIfTrue="1">
      <formula>L17&lt;125</formula>
    </cfRule>
  </conditionalFormatting>
  <conditionalFormatting sqref="L18">
    <cfRule type="expression" dxfId="1618" priority="61" stopIfTrue="1">
      <formula>L18&gt;4.5</formula>
    </cfRule>
    <cfRule type="expression" dxfId="1617" priority="62" stopIfTrue="1">
      <formula>L18&lt;3</formula>
    </cfRule>
  </conditionalFormatting>
  <conditionalFormatting sqref="H49">
    <cfRule type="expression" dxfId="1616" priority="59" stopIfTrue="1">
      <formula>H49&gt;6</formula>
    </cfRule>
    <cfRule type="expression" dxfId="1615" priority="60" stopIfTrue="1">
      <formula>H49&lt;5</formula>
    </cfRule>
  </conditionalFormatting>
  <conditionalFormatting sqref="H50">
    <cfRule type="expression" dxfId="1614" priority="57" stopIfTrue="1">
      <formula>H50&gt;1.9</formula>
    </cfRule>
    <cfRule type="expression" dxfId="1613" priority="58" stopIfTrue="1">
      <formula>H50&lt;1.7</formula>
    </cfRule>
  </conditionalFormatting>
  <conditionalFormatting sqref="H51">
    <cfRule type="expression" dxfId="1612" priority="55" stopIfTrue="1">
      <formula>H51&gt;130</formula>
    </cfRule>
    <cfRule type="expression" dxfId="1611" priority="56" stopIfTrue="1">
      <formula>H51&lt;120</formula>
    </cfRule>
  </conditionalFormatting>
  <conditionalFormatting sqref="H52">
    <cfRule type="expression" dxfId="1610" priority="53" stopIfTrue="1">
      <formula>H52&gt;135</formula>
    </cfRule>
    <cfRule type="expression" dxfId="1609" priority="54" stopIfTrue="1">
      <formula>H52&lt;125</formula>
    </cfRule>
  </conditionalFormatting>
  <conditionalFormatting sqref="H53">
    <cfRule type="expression" dxfId="1608" priority="51" stopIfTrue="1">
      <formula>H53&gt;4.5</formula>
    </cfRule>
    <cfRule type="expression" dxfId="1607" priority="52" stopIfTrue="1">
      <formula>H53&lt;3</formula>
    </cfRule>
  </conditionalFormatting>
  <conditionalFormatting sqref="L49">
    <cfRule type="expression" dxfId="1606" priority="49" stopIfTrue="1">
      <formula>L49&gt;6</formula>
    </cfRule>
    <cfRule type="expression" dxfId="1605" priority="50" stopIfTrue="1">
      <formula>L49&lt;5</formula>
    </cfRule>
  </conditionalFormatting>
  <conditionalFormatting sqref="L50">
    <cfRule type="expression" dxfId="1604" priority="47" stopIfTrue="1">
      <formula>L50&gt;1.9</formula>
    </cfRule>
    <cfRule type="expression" dxfId="1603" priority="48" stopIfTrue="1">
      <formula>L50&lt;1.7</formula>
    </cfRule>
  </conditionalFormatting>
  <conditionalFormatting sqref="L51">
    <cfRule type="expression" dxfId="1602" priority="45" stopIfTrue="1">
      <formula>L51&gt;130</formula>
    </cfRule>
    <cfRule type="expression" dxfId="1601" priority="46" stopIfTrue="1">
      <formula>L51&lt;120</formula>
    </cfRule>
  </conditionalFormatting>
  <conditionalFormatting sqref="L52">
    <cfRule type="expression" dxfId="1600" priority="43" stopIfTrue="1">
      <formula>L52&gt;135</formula>
    </cfRule>
    <cfRule type="expression" dxfId="1599" priority="44" stopIfTrue="1">
      <formula>L52&lt;125</formula>
    </cfRule>
  </conditionalFormatting>
  <conditionalFormatting sqref="L53">
    <cfRule type="expression" dxfId="1598" priority="41" stopIfTrue="1">
      <formula>L53&gt;4.5</formula>
    </cfRule>
    <cfRule type="expression" dxfId="1597" priority="42" stopIfTrue="1">
      <formula>L53&lt;3</formula>
    </cfRule>
  </conditionalFormatting>
  <conditionalFormatting sqref="H29">
    <cfRule type="expression" dxfId="1596" priority="39">
      <formula>H29&lt;24</formula>
    </cfRule>
    <cfRule type="expression" dxfId="1595" priority="40">
      <formula>H29&gt;28</formula>
    </cfRule>
  </conditionalFormatting>
  <conditionalFormatting sqref="J29">
    <cfRule type="expression" dxfId="1594" priority="37">
      <formula>J29&lt;24</formula>
    </cfRule>
    <cfRule type="expression" dxfId="1593" priority="38">
      <formula>J29&gt;28</formula>
    </cfRule>
  </conditionalFormatting>
  <conditionalFormatting sqref="L29">
    <cfRule type="expression" dxfId="1592" priority="35">
      <formula>L29&lt;24</formula>
    </cfRule>
    <cfRule type="expression" dxfId="1591" priority="36">
      <formula>L29&gt;28</formula>
    </cfRule>
  </conditionalFormatting>
  <conditionalFormatting sqref="N29">
    <cfRule type="expression" dxfId="1590" priority="33">
      <formula>N29&lt;24</formula>
    </cfRule>
    <cfRule type="expression" dxfId="1589" priority="34">
      <formula>N29&gt;28</formula>
    </cfRule>
  </conditionalFormatting>
  <conditionalFormatting sqref="H64">
    <cfRule type="expression" dxfId="1588" priority="23">
      <formula>H64&lt;24</formula>
    </cfRule>
    <cfRule type="expression" dxfId="1587" priority="24">
      <formula>H64&gt;28</formula>
    </cfRule>
  </conditionalFormatting>
  <conditionalFormatting sqref="J64">
    <cfRule type="expression" dxfId="1586" priority="21">
      <formula>J64&lt;24</formula>
    </cfRule>
    <cfRule type="expression" dxfId="1585" priority="22">
      <formula>J64&gt;28</formula>
    </cfRule>
  </conditionalFormatting>
  <conditionalFormatting sqref="L64">
    <cfRule type="expression" dxfId="1584" priority="19">
      <formula>L64&lt;24</formula>
    </cfRule>
    <cfRule type="expression" dxfId="1583" priority="20">
      <formula>L64&gt;28</formula>
    </cfRule>
  </conditionalFormatting>
  <conditionalFormatting sqref="N64">
    <cfRule type="expression" dxfId="1582" priority="17">
      <formula>N64&lt;24</formula>
    </cfRule>
    <cfRule type="expression" dxfId="1581" priority="18">
      <formula>N64&gt;28</formula>
    </cfRule>
  </conditionalFormatting>
  <conditionalFormatting sqref="H66">
    <cfRule type="expression" dxfId="1580" priority="15">
      <formula>H66&lt;20</formula>
    </cfRule>
    <cfRule type="expression" dxfId="1579" priority="16">
      <formula>H66&gt;30</formula>
    </cfRule>
  </conditionalFormatting>
  <conditionalFormatting sqref="J66">
    <cfRule type="expression" dxfId="1578" priority="13">
      <formula>J66&lt;20</formula>
    </cfRule>
    <cfRule type="expression" dxfId="1577" priority="14">
      <formula>J66&gt;30</formula>
    </cfRule>
  </conditionalFormatting>
  <conditionalFormatting sqref="L66">
    <cfRule type="expression" dxfId="1576" priority="11">
      <formula>L66&lt;20</formula>
    </cfRule>
    <cfRule type="expression" dxfId="1575" priority="12">
      <formula>L66&gt;30</formula>
    </cfRule>
  </conditionalFormatting>
  <conditionalFormatting sqref="N66">
    <cfRule type="expression" dxfId="1574" priority="9">
      <formula>N66&lt;20</formula>
    </cfRule>
    <cfRule type="expression" dxfId="1573" priority="10">
      <formula>N66&gt;30</formula>
    </cfRule>
  </conditionalFormatting>
  <conditionalFormatting sqref="H31">
    <cfRule type="expression" dxfId="1572" priority="7">
      <formula>H31&lt;20</formula>
    </cfRule>
    <cfRule type="expression" dxfId="1571" priority="8">
      <formula>H31&gt;30</formula>
    </cfRule>
  </conditionalFormatting>
  <conditionalFormatting sqref="J31">
    <cfRule type="expression" dxfId="1570" priority="5">
      <formula>J31&lt;20</formula>
    </cfRule>
    <cfRule type="expression" dxfId="1569" priority="6">
      <formula>J31&gt;30</formula>
    </cfRule>
  </conditionalFormatting>
  <conditionalFormatting sqref="L31">
    <cfRule type="expression" dxfId="1568" priority="3">
      <formula>L31&lt;20</formula>
    </cfRule>
    <cfRule type="expression" dxfId="1567" priority="4">
      <formula>L31&gt;30</formula>
    </cfRule>
  </conditionalFormatting>
  <conditionalFormatting sqref="N31">
    <cfRule type="expression" dxfId="1566" priority="1">
      <formula>N31&lt;20</formula>
    </cfRule>
    <cfRule type="expression" dxfId="1565" priority="2">
      <formula>N31&gt;30</formula>
    </cfRule>
  </conditionalFormatting>
  <pageMargins left="0.39" right="0" top="0" bottom="0" header="0" footer="0"/>
  <pageSetup paperSize="9" scale="70" orientation="portrait" verticalDpi="300" r:id="rId1"/>
  <headerFooter alignWithMargins="0">
    <oddFooter>&amp;L&amp;10DCC No.：      Q4-CXVN-PC01-IS10-02&amp;C&amp;10Ver.： 01&amp;R&amp;10保存期限： 1 年</oddFooter>
  </headerFooter>
  <drawing r:id="rId2"/>
</worksheet>
</file>

<file path=xl/worksheets/sheet22.xml><?xml version="1.0" encoding="utf-8"?>
<worksheet xmlns="http://schemas.openxmlformats.org/spreadsheetml/2006/main" xmlns:r="http://schemas.openxmlformats.org/officeDocument/2006/relationships">
  <sheetPr codeName="Sheet12">
    <tabColor rgb="FFC00000"/>
  </sheetPr>
  <dimension ref="A1:BE123"/>
  <sheetViews>
    <sheetView showGridLines="0" zoomScale="55" zoomScaleNormal="55" workbookViewId="0">
      <selection activeCell="K157" sqref="K157"/>
    </sheetView>
  </sheetViews>
  <sheetFormatPr defaultRowHeight="15.75"/>
  <cols>
    <col min="1" max="1" width="16.25" style="308" customWidth="1"/>
    <col min="2" max="2" width="16.25" style="308" hidden="1" customWidth="1"/>
    <col min="3" max="3" width="33.125" style="308" customWidth="1"/>
    <col min="4" max="4" width="16" style="308" customWidth="1"/>
    <col min="5" max="5" width="18.5" style="1622" customWidth="1"/>
    <col min="6" max="6" width="12" style="1628" hidden="1" customWidth="1"/>
    <col min="7" max="7" width="12.875" style="308" hidden="1" customWidth="1"/>
    <col min="8" max="8" width="10.375" style="308" customWidth="1"/>
    <col min="9" max="9" width="11.375" style="308" hidden="1" customWidth="1"/>
    <col min="10" max="10" width="2.5" style="308" customWidth="1"/>
    <col min="11" max="11" width="8.625" style="308" customWidth="1"/>
    <col min="12" max="12" width="5" style="308" customWidth="1"/>
    <col min="13" max="13" width="6.625" style="308" hidden="1" customWidth="1"/>
    <col min="14" max="14" width="7.75" style="308" customWidth="1"/>
    <col min="15" max="15" width="5.75" style="308" hidden="1" customWidth="1"/>
    <col min="16" max="16" width="3" style="308" customWidth="1"/>
    <col min="17" max="17" width="8.375" style="308" customWidth="1"/>
    <col min="18" max="18" width="5.25" style="308" customWidth="1"/>
    <col min="19" max="19" width="9" style="308" hidden="1" customWidth="1"/>
    <col min="20" max="20" width="8.375" style="308" customWidth="1"/>
    <col min="21" max="21" width="9" style="308" hidden="1" customWidth="1"/>
    <col min="22" max="22" width="3.75" style="308" customWidth="1"/>
    <col min="23" max="23" width="8.375" style="308" customWidth="1"/>
    <col min="24" max="24" width="5.375" style="308" customWidth="1"/>
    <col min="25" max="25" width="9" style="308" hidden="1" customWidth="1"/>
    <col min="26" max="26" width="8.25" style="308" customWidth="1"/>
    <col min="27" max="27" width="9" style="308" hidden="1" customWidth="1"/>
    <col min="28" max="28" width="4" style="308" customWidth="1"/>
    <col min="29" max="29" width="7.75" style="308" customWidth="1"/>
    <col min="30" max="30" width="6" style="50" customWidth="1"/>
    <col min="31" max="31" width="7.5" style="308" hidden="1" customWidth="1"/>
    <col min="32" max="32" width="7.375" style="308" customWidth="1"/>
    <col min="33" max="33" width="9" style="308" hidden="1" customWidth="1"/>
    <col min="34" max="34" width="4" style="308" customWidth="1"/>
    <col min="35" max="35" width="7.875" style="308" customWidth="1"/>
    <col min="36" max="36" width="4.875" style="50" customWidth="1"/>
    <col min="37" max="37" width="7" style="308" hidden="1" customWidth="1"/>
    <col min="38" max="38" width="9.25" style="308" customWidth="1"/>
    <col min="39" max="39" width="9" style="308" hidden="1" customWidth="1"/>
    <col min="40" max="40" width="4" style="308" customWidth="1"/>
    <col min="41" max="41" width="7.875" style="308" customWidth="1"/>
    <col min="42" max="42" width="4.875" style="50" customWidth="1"/>
    <col min="43" max="43" width="6.75" style="308" customWidth="1"/>
    <col min="44" max="44" width="13.125" style="308" customWidth="1"/>
    <col min="45" max="45" width="20.625" style="308" customWidth="1"/>
    <col min="46" max="46" width="18.125" style="308" customWidth="1"/>
    <col min="47" max="47" width="24.125" style="308" customWidth="1"/>
    <col min="48" max="48" width="23.5" style="308" customWidth="1"/>
    <col min="49" max="49" width="18.125" style="308" customWidth="1"/>
    <col min="50" max="50" width="7.625" style="308" customWidth="1"/>
    <col min="51" max="51" width="18.125" style="308" customWidth="1"/>
    <col min="52" max="52" width="7.125" style="308" customWidth="1"/>
    <col min="53" max="54" width="18.125" style="308" customWidth="1"/>
    <col min="55" max="55" width="12" style="308" customWidth="1"/>
    <col min="56" max="56" width="24.75" style="308" customWidth="1"/>
    <col min="57" max="16384" width="9" style="308"/>
  </cols>
  <sheetData>
    <row r="1" spans="1:45" ht="52.5" customHeight="1">
      <c r="A1" s="338"/>
      <c r="B1" s="338"/>
      <c r="C1" s="339" t="s">
        <v>275</v>
      </c>
      <c r="D1" s="340"/>
      <c r="E1" s="1661"/>
      <c r="F1" s="1629"/>
      <c r="G1" s="340"/>
      <c r="H1" s="340"/>
      <c r="I1" s="340"/>
      <c r="J1" s="340"/>
      <c r="K1" s="340"/>
      <c r="L1" s="340"/>
      <c r="M1" s="340"/>
      <c r="N1" s="340"/>
      <c r="O1" s="340"/>
      <c r="P1" s="340"/>
      <c r="Q1" s="340"/>
      <c r="R1" s="340"/>
      <c r="S1" s="340"/>
      <c r="T1" s="340"/>
      <c r="U1" s="340"/>
      <c r="V1" s="340"/>
      <c r="W1" s="340"/>
      <c r="X1" s="340"/>
      <c r="Y1" s="340"/>
      <c r="Z1" s="340"/>
      <c r="AA1" s="340"/>
      <c r="AB1" s="340"/>
      <c r="AC1" s="340"/>
      <c r="AD1" s="340"/>
      <c r="AF1" s="231"/>
      <c r="AH1" s="232" t="s">
        <v>191</v>
      </c>
    </row>
    <row r="2" spans="1:45" ht="52.5" customHeight="1">
      <c r="A2" s="905" t="str">
        <f>MENU!$AC$9</f>
        <v>2022/12/03</v>
      </c>
      <c r="B2" s="341"/>
      <c r="C2" s="342" t="s">
        <v>255</v>
      </c>
      <c r="D2" s="343"/>
      <c r="E2" s="1662"/>
      <c r="F2" s="1630"/>
      <c r="G2" s="343"/>
      <c r="H2" s="343"/>
      <c r="I2" s="343"/>
      <c r="J2" s="343"/>
      <c r="K2" s="343"/>
      <c r="L2" s="343"/>
      <c r="M2" s="343"/>
      <c r="N2" s="343"/>
      <c r="O2" s="343"/>
      <c r="P2" s="343"/>
      <c r="Q2" s="343"/>
      <c r="R2" s="343"/>
      <c r="S2" s="343"/>
      <c r="T2" s="343"/>
      <c r="U2" s="343"/>
      <c r="V2" s="343"/>
      <c r="W2" s="343"/>
      <c r="X2" s="343"/>
      <c r="Y2" s="343"/>
      <c r="Z2" s="343"/>
      <c r="AA2" s="343"/>
      <c r="AB2" s="343"/>
      <c r="AC2" s="343"/>
      <c r="AD2" s="343"/>
      <c r="AF2" s="334"/>
      <c r="AH2" s="232" t="s">
        <v>192</v>
      </c>
      <c r="AJ2" s="308"/>
      <c r="AP2" s="308"/>
    </row>
    <row r="3" spans="1:45" ht="41.25" customHeight="1">
      <c r="A3" s="1228" t="s">
        <v>232</v>
      </c>
      <c r="B3" s="1229"/>
      <c r="C3" s="1230"/>
      <c r="D3" s="1230"/>
      <c r="E3" s="1607"/>
      <c r="F3" s="1631"/>
      <c r="G3" s="1231"/>
      <c r="H3" s="1232"/>
      <c r="I3" s="1231"/>
      <c r="J3" s="1231"/>
      <c r="K3" s="1233"/>
      <c r="L3" s="1233"/>
      <c r="M3" s="1233"/>
      <c r="N3" s="1233"/>
      <c r="O3" s="1233"/>
      <c r="P3" s="1233"/>
      <c r="Q3" s="1233"/>
      <c r="R3" s="1231"/>
      <c r="S3" s="1231"/>
      <c r="T3" s="1231"/>
      <c r="U3" s="1231"/>
      <c r="V3" s="1231"/>
      <c r="W3" s="1231"/>
      <c r="X3" s="1231"/>
      <c r="Y3" s="1231"/>
      <c r="Z3" s="1231"/>
      <c r="AA3" s="1231"/>
      <c r="AB3" s="1231"/>
      <c r="AC3" s="1231"/>
      <c r="AD3" s="1231"/>
      <c r="AE3" s="1226"/>
      <c r="AF3" s="1229"/>
      <c r="AG3" s="1234"/>
      <c r="AH3" s="1234"/>
      <c r="AI3" s="1234"/>
      <c r="AJ3" s="1234"/>
      <c r="AK3" s="1234"/>
      <c r="AL3" s="1234"/>
      <c r="AM3" s="1234"/>
      <c r="AN3" s="1234"/>
      <c r="AO3" s="1234"/>
      <c r="AP3" s="1235"/>
    </row>
    <row r="4" spans="1:45" ht="36.75" customHeight="1">
      <c r="A4" s="1195"/>
      <c r="B4" s="1195"/>
      <c r="C4" s="1195"/>
      <c r="D4" s="1195"/>
      <c r="E4" s="1608"/>
      <c r="F4" s="2114" t="s">
        <v>141</v>
      </c>
      <c r="G4" s="105"/>
      <c r="H4" s="314" t="s">
        <v>241</v>
      </c>
      <c r="I4" s="314"/>
      <c r="J4" s="314"/>
      <c r="K4" s="314"/>
      <c r="L4" s="314"/>
      <c r="M4" s="106"/>
      <c r="N4" s="331" t="s">
        <v>242</v>
      </c>
      <c r="O4" s="314"/>
      <c r="P4" s="314"/>
      <c r="Q4" s="314"/>
      <c r="R4" s="315"/>
      <c r="S4" s="314"/>
      <c r="T4" s="314" t="s">
        <v>243</v>
      </c>
      <c r="U4" s="314"/>
      <c r="V4" s="314"/>
      <c r="W4" s="314"/>
      <c r="X4" s="314"/>
      <c r="Y4" s="106"/>
      <c r="Z4" s="331" t="s">
        <v>244</v>
      </c>
      <c r="AA4" s="314"/>
      <c r="AB4" s="314"/>
      <c r="AC4" s="314"/>
      <c r="AD4" s="315"/>
      <c r="AE4" s="314"/>
      <c r="AF4" s="314" t="s">
        <v>245</v>
      </c>
      <c r="AG4" s="314"/>
      <c r="AH4" s="314"/>
      <c r="AI4" s="314"/>
      <c r="AJ4" s="314"/>
      <c r="AK4" s="314"/>
      <c r="AL4" s="331" t="s">
        <v>246</v>
      </c>
      <c r="AM4" s="314"/>
      <c r="AN4" s="314"/>
      <c r="AO4" s="315"/>
      <c r="AP4" s="1154"/>
    </row>
    <row r="5" spans="1:45" ht="63.75" customHeight="1">
      <c r="A5" s="1198" t="s">
        <v>276</v>
      </c>
      <c r="B5" s="1198" t="s">
        <v>359</v>
      </c>
      <c r="C5" s="1202" t="s">
        <v>357</v>
      </c>
      <c r="D5" s="1589" t="s">
        <v>1470</v>
      </c>
      <c r="E5" s="1663" t="s">
        <v>1469</v>
      </c>
      <c r="F5" s="2115"/>
      <c r="G5" s="21"/>
      <c r="H5" s="1195" t="s">
        <v>146</v>
      </c>
      <c r="I5" s="36" t="s">
        <v>1</v>
      </c>
      <c r="J5" s="332" t="s">
        <v>1</v>
      </c>
      <c r="K5" s="332"/>
      <c r="L5" s="333"/>
      <c r="M5" s="107"/>
      <c r="N5" s="1195" t="s">
        <v>146</v>
      </c>
      <c r="O5" s="36" t="s">
        <v>1</v>
      </c>
      <c r="P5" s="332" t="s">
        <v>1</v>
      </c>
      <c r="Q5" s="332"/>
      <c r="R5" s="333"/>
      <c r="S5" s="21"/>
      <c r="T5" s="1195" t="s">
        <v>146</v>
      </c>
      <c r="U5" s="36" t="s">
        <v>1</v>
      </c>
      <c r="V5" s="332" t="s">
        <v>1</v>
      </c>
      <c r="W5" s="332"/>
      <c r="X5" s="333"/>
      <c r="Y5" s="107"/>
      <c r="Z5" s="1195" t="s">
        <v>146</v>
      </c>
      <c r="AA5" s="36" t="s">
        <v>1</v>
      </c>
      <c r="AB5" s="332" t="s">
        <v>1</v>
      </c>
      <c r="AC5" s="332"/>
      <c r="AD5" s="333"/>
      <c r="AE5" s="107"/>
      <c r="AF5" s="1195" t="s">
        <v>146</v>
      </c>
      <c r="AG5" s="36" t="s">
        <v>1</v>
      </c>
      <c r="AH5" s="332" t="s">
        <v>1</v>
      </c>
      <c r="AI5" s="332"/>
      <c r="AJ5" s="333"/>
      <c r="AK5" s="107"/>
      <c r="AL5" s="1195" t="s">
        <v>146</v>
      </c>
      <c r="AM5" s="36" t="s">
        <v>1</v>
      </c>
      <c r="AN5" s="332" t="s">
        <v>1</v>
      </c>
      <c r="AO5" s="332"/>
      <c r="AP5" s="333"/>
      <c r="AR5" s="1219" t="s">
        <v>1092</v>
      </c>
      <c r="AS5" s="1220" t="s">
        <v>1091</v>
      </c>
    </row>
    <row r="6" spans="1:45" ht="34.5" customHeight="1">
      <c r="A6" s="1199" t="s">
        <v>277</v>
      </c>
      <c r="B6" s="1199" t="s">
        <v>236</v>
      </c>
      <c r="C6" s="1199" t="s">
        <v>80</v>
      </c>
      <c r="D6" s="54" t="s">
        <v>4</v>
      </c>
      <c r="E6" s="1609" t="s">
        <v>51</v>
      </c>
      <c r="F6" s="1632">
        <v>30</v>
      </c>
      <c r="G6" s="109">
        <f>XM.HN!B3</f>
        <v>7.5</v>
      </c>
      <c r="H6" s="64">
        <f>G6*4</f>
        <v>30</v>
      </c>
      <c r="I6" s="38">
        <f>($F$6-H6)*2693/1000</f>
        <v>0</v>
      </c>
      <c r="J6" s="39" t="s">
        <v>8</v>
      </c>
      <c r="K6" s="40">
        <f>IF(I6&lt;0,0,I6)</f>
        <v>0</v>
      </c>
      <c r="L6" s="41" t="s">
        <v>9</v>
      </c>
      <c r="M6" s="109">
        <f>XM.HN!C3</f>
        <v>7.4</v>
      </c>
      <c r="N6" s="64">
        <f>M6*4</f>
        <v>29.6</v>
      </c>
      <c r="O6" s="38">
        <f>($F$6-N6)*2693/1000</f>
        <v>1.0771999999999962</v>
      </c>
      <c r="P6" s="39" t="s">
        <v>8</v>
      </c>
      <c r="Q6" s="40">
        <f>IF(O6&lt;0,0,O6)</f>
        <v>1.0771999999999962</v>
      </c>
      <c r="R6" s="41" t="s">
        <v>9</v>
      </c>
      <c r="S6" s="109">
        <f>XM.HN!D3</f>
        <v>7.4</v>
      </c>
      <c r="T6" s="64">
        <f>S6*4</f>
        <v>29.6</v>
      </c>
      <c r="U6" s="38">
        <f>($F$6-T6)*2693/1000</f>
        <v>1.0771999999999962</v>
      </c>
      <c r="V6" s="39" t="s">
        <v>8</v>
      </c>
      <c r="W6" s="40">
        <f>IF(U6&lt;0,0,U6)</f>
        <v>1.0771999999999962</v>
      </c>
      <c r="X6" s="41" t="s">
        <v>9</v>
      </c>
      <c r="Y6" s="109">
        <f>XM.HN!E3</f>
        <v>7.5</v>
      </c>
      <c r="Z6" s="64">
        <f>Y6*4</f>
        <v>30</v>
      </c>
      <c r="AA6" s="38">
        <f>($F$6-Z6)*2693/1000</f>
        <v>0</v>
      </c>
      <c r="AB6" s="39" t="s">
        <v>8</v>
      </c>
      <c r="AC6" s="40">
        <f>IF(AA6&lt;0,0,AA6)</f>
        <v>0</v>
      </c>
      <c r="AD6" s="41" t="s">
        <v>9</v>
      </c>
      <c r="AE6" s="109">
        <f>XM.HN!F3</f>
        <v>0</v>
      </c>
      <c r="AF6" s="64">
        <f>AE6*4</f>
        <v>0</v>
      </c>
      <c r="AG6" s="38">
        <f>($F$6-AF6)*2693/1000</f>
        <v>80.790000000000006</v>
      </c>
      <c r="AH6" s="39" t="s">
        <v>8</v>
      </c>
      <c r="AI6" s="40">
        <f>IF(AG6&lt;0,0,AG6)</f>
        <v>80.790000000000006</v>
      </c>
      <c r="AJ6" s="41" t="s">
        <v>9</v>
      </c>
      <c r="AK6" s="109">
        <f>XM.HN!G3</f>
        <v>7.3</v>
      </c>
      <c r="AL6" s="64">
        <f>AK6*4</f>
        <v>29.2</v>
      </c>
      <c r="AM6" s="38">
        <f>($F$6-AL6)*2693/1000</f>
        <v>2.1544000000000021</v>
      </c>
      <c r="AN6" s="39" t="s">
        <v>8</v>
      </c>
      <c r="AO6" s="40">
        <f>IF(AM6&lt;0,0,AM6)</f>
        <v>2.1544000000000021</v>
      </c>
      <c r="AP6" s="41" t="s">
        <v>9</v>
      </c>
      <c r="AR6" s="1221" t="s">
        <v>1093</v>
      </c>
      <c r="AS6" s="2116" t="s">
        <v>1108</v>
      </c>
    </row>
    <row r="7" spans="1:45" ht="34.5" customHeight="1">
      <c r="A7" s="1199" t="s">
        <v>278</v>
      </c>
      <c r="B7" s="1199" t="s">
        <v>236</v>
      </c>
      <c r="C7" s="1199" t="s">
        <v>81</v>
      </c>
      <c r="D7" s="1203" t="s">
        <v>4</v>
      </c>
      <c r="E7" s="1609" t="s">
        <v>51</v>
      </c>
      <c r="F7" s="1632">
        <v>30</v>
      </c>
      <c r="G7" s="109">
        <f>XM.HN!B4</f>
        <v>7.7</v>
      </c>
      <c r="H7" s="64">
        <f>G7*4</f>
        <v>30.8</v>
      </c>
      <c r="I7" s="38">
        <f>($F$7-H7)*3305/1000</f>
        <v>-2.6440000000000023</v>
      </c>
      <c r="J7" s="39" t="s">
        <v>8</v>
      </c>
      <c r="K7" s="40">
        <f t="shared" ref="K7:K9" si="0">IF(I7&lt;0,0,I7)</f>
        <v>0</v>
      </c>
      <c r="L7" s="41" t="s">
        <v>9</v>
      </c>
      <c r="M7" s="109">
        <f>XM.HN!C4</f>
        <v>7.5</v>
      </c>
      <c r="N7" s="64">
        <f>M7*4</f>
        <v>30</v>
      </c>
      <c r="O7" s="38">
        <f>($F$7-N7)*3305/1000</f>
        <v>0</v>
      </c>
      <c r="P7" s="39" t="s">
        <v>8</v>
      </c>
      <c r="Q7" s="40">
        <f t="shared" ref="Q7:Q9" si="1">IF(O7&lt;0,0,O7)</f>
        <v>0</v>
      </c>
      <c r="R7" s="41" t="s">
        <v>9</v>
      </c>
      <c r="S7" s="109">
        <f>XM.HN!D4</f>
        <v>7.7</v>
      </c>
      <c r="T7" s="64">
        <f>S7*4</f>
        <v>30.8</v>
      </c>
      <c r="U7" s="38">
        <f>($F$7-T7)*3305/1000</f>
        <v>-2.6440000000000023</v>
      </c>
      <c r="V7" s="39" t="s">
        <v>8</v>
      </c>
      <c r="W7" s="40">
        <f t="shared" ref="W7:W9" si="2">IF(U7&lt;0,0,U7)</f>
        <v>0</v>
      </c>
      <c r="X7" s="41" t="s">
        <v>9</v>
      </c>
      <c r="Y7" s="109">
        <f>XM.HN!E4</f>
        <v>7.9</v>
      </c>
      <c r="Z7" s="64">
        <f>Y7*4</f>
        <v>31.6</v>
      </c>
      <c r="AA7" s="38">
        <f>($F$7-Z7)*3305/1000</f>
        <v>-5.2880000000000047</v>
      </c>
      <c r="AB7" s="39" t="s">
        <v>8</v>
      </c>
      <c r="AC7" s="40">
        <f t="shared" ref="AC7:AC9" si="3">IF(AA7&lt;0,0,AA7)</f>
        <v>0</v>
      </c>
      <c r="AD7" s="41" t="s">
        <v>9</v>
      </c>
      <c r="AE7" s="109">
        <f>XM.HN!F4</f>
        <v>0</v>
      </c>
      <c r="AF7" s="64">
        <f>AE7*4</f>
        <v>0</v>
      </c>
      <c r="AG7" s="38">
        <f>($F$7-AF7)*3305/1000</f>
        <v>99.15</v>
      </c>
      <c r="AH7" s="39" t="s">
        <v>8</v>
      </c>
      <c r="AI7" s="40">
        <f t="shared" ref="AI7:AI9" si="4">IF(AG7&lt;0,0,AG7)</f>
        <v>99.15</v>
      </c>
      <c r="AJ7" s="41" t="s">
        <v>9</v>
      </c>
      <c r="AK7" s="109">
        <f>XM.HN!G4</f>
        <v>7.7</v>
      </c>
      <c r="AL7" s="64">
        <f>AK7*4</f>
        <v>30.8</v>
      </c>
      <c r="AM7" s="38">
        <f>($F$7-AL7)*3305/1000</f>
        <v>-2.6440000000000023</v>
      </c>
      <c r="AN7" s="39" t="s">
        <v>8</v>
      </c>
      <c r="AO7" s="40">
        <f t="shared" ref="AO7" si="5">IF(AM7&lt;0,0,AM7)</f>
        <v>0</v>
      </c>
      <c r="AP7" s="41" t="s">
        <v>9</v>
      </c>
      <c r="AR7" s="1221" t="s">
        <v>1093</v>
      </c>
      <c r="AS7" s="2116"/>
    </row>
    <row r="8" spans="1:45" ht="34.5" customHeight="1">
      <c r="A8" s="1199" t="s">
        <v>279</v>
      </c>
      <c r="B8" s="1199" t="s">
        <v>236</v>
      </c>
      <c r="C8" s="1199" t="s">
        <v>52</v>
      </c>
      <c r="D8" s="54" t="s">
        <v>4</v>
      </c>
      <c r="E8" s="1609" t="s">
        <v>256</v>
      </c>
      <c r="F8" s="1632">
        <v>70</v>
      </c>
      <c r="G8" s="109">
        <f>XM.HN!B5</f>
        <v>16.399999999999999</v>
      </c>
      <c r="H8" s="64">
        <f>G8*4</f>
        <v>65.599999999999994</v>
      </c>
      <c r="I8" s="38">
        <f>($F$8-H8)*1156/1000</f>
        <v>5.0864000000000065</v>
      </c>
      <c r="J8" s="39" t="s">
        <v>8</v>
      </c>
      <c r="K8" s="40">
        <f t="shared" si="0"/>
        <v>5.0864000000000065</v>
      </c>
      <c r="L8" s="41" t="s">
        <v>9</v>
      </c>
      <c r="M8" s="109">
        <f>XM.HN!C5</f>
        <v>16.3</v>
      </c>
      <c r="N8" s="64">
        <f>M8*4</f>
        <v>65.2</v>
      </c>
      <c r="O8" s="38">
        <f>($F$8-N8)*1156/1000</f>
        <v>5.5487999999999964</v>
      </c>
      <c r="P8" s="39" t="s">
        <v>8</v>
      </c>
      <c r="Q8" s="40">
        <f t="shared" si="1"/>
        <v>5.5487999999999964</v>
      </c>
      <c r="R8" s="41" t="s">
        <v>9</v>
      </c>
      <c r="S8" s="109">
        <f>XM.HN!D5</f>
        <v>16.7</v>
      </c>
      <c r="T8" s="64">
        <f>S8*4</f>
        <v>66.8</v>
      </c>
      <c r="U8" s="38">
        <f>($F$8-T8)*1156/1000</f>
        <v>3.6992000000000034</v>
      </c>
      <c r="V8" s="39" t="s">
        <v>8</v>
      </c>
      <c r="W8" s="40">
        <f t="shared" si="2"/>
        <v>3.6992000000000034</v>
      </c>
      <c r="X8" s="41" t="s">
        <v>9</v>
      </c>
      <c r="Y8" s="109">
        <f>XM.HN!E5</f>
        <v>18.2</v>
      </c>
      <c r="Z8" s="64">
        <f>Y8*4</f>
        <v>72.8</v>
      </c>
      <c r="AA8" s="38">
        <f>($F$8-Z8)*1156/1000</f>
        <v>-3.2367999999999966</v>
      </c>
      <c r="AB8" s="39" t="s">
        <v>8</v>
      </c>
      <c r="AC8" s="40">
        <f t="shared" si="3"/>
        <v>0</v>
      </c>
      <c r="AD8" s="41" t="s">
        <v>9</v>
      </c>
      <c r="AE8" s="109">
        <f>XM.HN!F5</f>
        <v>0</v>
      </c>
      <c r="AF8" s="64">
        <f>AE8*4</f>
        <v>0</v>
      </c>
      <c r="AG8" s="38">
        <f>($F$8-AF8)*1156/1000</f>
        <v>80.92</v>
      </c>
      <c r="AH8" s="39" t="s">
        <v>8</v>
      </c>
      <c r="AI8" s="40">
        <f t="shared" si="4"/>
        <v>80.92</v>
      </c>
      <c r="AJ8" s="41" t="s">
        <v>9</v>
      </c>
      <c r="AK8" s="109">
        <f>XM.HN!G5</f>
        <v>18</v>
      </c>
      <c r="AL8" s="64">
        <f>AK8*4</f>
        <v>72</v>
      </c>
      <c r="AM8" s="38">
        <f>($F$8-AL8)*1156/1000</f>
        <v>-2.3119999999999998</v>
      </c>
      <c r="AN8" s="39" t="s">
        <v>8</v>
      </c>
      <c r="AO8" s="40">
        <f t="shared" ref="AO8:AO12" si="6">IF(AM8&lt;0,0,AM8)</f>
        <v>0</v>
      </c>
      <c r="AP8" s="41" t="s">
        <v>9</v>
      </c>
      <c r="AR8" s="1221" t="s">
        <v>1093</v>
      </c>
      <c r="AS8" s="2116"/>
    </row>
    <row r="9" spans="1:45" ht="34.5" customHeight="1">
      <c r="A9" s="1199" t="s">
        <v>280</v>
      </c>
      <c r="B9" s="1199" t="s">
        <v>236</v>
      </c>
      <c r="C9" s="1199" t="s">
        <v>53</v>
      </c>
      <c r="D9" s="54" t="s">
        <v>4</v>
      </c>
      <c r="E9" s="1609" t="s">
        <v>256</v>
      </c>
      <c r="F9" s="1632">
        <v>70</v>
      </c>
      <c r="G9" s="109">
        <f>XM.HN!B6</f>
        <v>18.2</v>
      </c>
      <c r="H9" s="64">
        <f>G9*4</f>
        <v>72.8</v>
      </c>
      <c r="I9" s="38">
        <f>($F$9-H9)*1459/1000</f>
        <v>-4.0851999999999959</v>
      </c>
      <c r="J9" s="39" t="s">
        <v>8</v>
      </c>
      <c r="K9" s="40">
        <f t="shared" si="0"/>
        <v>0</v>
      </c>
      <c r="L9" s="41" t="s">
        <v>9</v>
      </c>
      <c r="M9" s="109">
        <f>XM.HN!C6</f>
        <v>17.8</v>
      </c>
      <c r="N9" s="64">
        <f>M9*4</f>
        <v>71.2</v>
      </c>
      <c r="O9" s="38">
        <f>($F$9-N9)*1459/1000</f>
        <v>-1.7508000000000041</v>
      </c>
      <c r="P9" s="39" t="s">
        <v>8</v>
      </c>
      <c r="Q9" s="40">
        <f t="shared" si="1"/>
        <v>0</v>
      </c>
      <c r="R9" s="41" t="s">
        <v>9</v>
      </c>
      <c r="S9" s="109">
        <f>XM.HN!D6</f>
        <v>17.899999999999999</v>
      </c>
      <c r="T9" s="64">
        <f>S9*4</f>
        <v>71.599999999999994</v>
      </c>
      <c r="U9" s="38">
        <f>($F$9-T9)*1459/1000</f>
        <v>-2.334399999999992</v>
      </c>
      <c r="V9" s="39" t="s">
        <v>8</v>
      </c>
      <c r="W9" s="40">
        <f t="shared" si="2"/>
        <v>0</v>
      </c>
      <c r="X9" s="41" t="s">
        <v>9</v>
      </c>
      <c r="Y9" s="109">
        <f>XM.HN!E6</f>
        <v>17.600000000000001</v>
      </c>
      <c r="Z9" s="64">
        <f>Y9*4</f>
        <v>70.400000000000006</v>
      </c>
      <c r="AA9" s="38">
        <f>($F$9-Z9)*1459/1000</f>
        <v>-0.58360000000000833</v>
      </c>
      <c r="AB9" s="39" t="s">
        <v>8</v>
      </c>
      <c r="AC9" s="40">
        <f t="shared" si="3"/>
        <v>0</v>
      </c>
      <c r="AD9" s="41" t="s">
        <v>9</v>
      </c>
      <c r="AE9" s="109">
        <f>XM.HN!F6</f>
        <v>0</v>
      </c>
      <c r="AF9" s="64">
        <f>AE9*4</f>
        <v>0</v>
      </c>
      <c r="AG9" s="38">
        <f>($F$9-AF9)*1459/1000</f>
        <v>102.13</v>
      </c>
      <c r="AH9" s="39" t="s">
        <v>8</v>
      </c>
      <c r="AI9" s="40">
        <f t="shared" si="4"/>
        <v>102.13</v>
      </c>
      <c r="AJ9" s="41" t="s">
        <v>9</v>
      </c>
      <c r="AK9" s="109">
        <f>XM.HN!G6</f>
        <v>17.5</v>
      </c>
      <c r="AL9" s="64">
        <f>AK9*4</f>
        <v>70</v>
      </c>
      <c r="AM9" s="38">
        <f>($F$9-AL9)*1459/1000</f>
        <v>0</v>
      </c>
      <c r="AN9" s="39" t="s">
        <v>8</v>
      </c>
      <c r="AO9" s="40">
        <f t="shared" si="6"/>
        <v>0</v>
      </c>
      <c r="AP9" s="41" t="s">
        <v>9</v>
      </c>
      <c r="AR9" s="1221" t="s">
        <v>1093</v>
      </c>
      <c r="AS9" s="2116"/>
    </row>
    <row r="10" spans="1:45" ht="34.5" customHeight="1">
      <c r="A10" s="1199" t="s">
        <v>281</v>
      </c>
      <c r="B10" s="1199" t="s">
        <v>236</v>
      </c>
      <c r="C10" s="1197" t="s">
        <v>59</v>
      </c>
      <c r="D10" s="1203" t="s">
        <v>4</v>
      </c>
      <c r="E10" s="1610" t="s">
        <v>253</v>
      </c>
      <c r="F10" s="1633">
        <v>140</v>
      </c>
      <c r="G10" s="109">
        <f>XM.HN!B7</f>
        <v>17.5</v>
      </c>
      <c r="H10" s="239">
        <f>G10*8</f>
        <v>140</v>
      </c>
      <c r="I10" s="38">
        <f>($F$10-H10)*19951/1000</f>
        <v>0</v>
      </c>
      <c r="J10" s="39" t="s">
        <v>8</v>
      </c>
      <c r="K10" s="40">
        <f t="shared" ref="K10:K12" si="7">IF(I10&lt;0,0,I10)</f>
        <v>0</v>
      </c>
      <c r="L10" s="41" t="s">
        <v>9</v>
      </c>
      <c r="M10" s="109">
        <f>XM.HN!C7</f>
        <v>17.399999999999999</v>
      </c>
      <c r="N10" s="239">
        <f>M10*8</f>
        <v>139.19999999999999</v>
      </c>
      <c r="O10" s="38">
        <f>($F$10-N10)*19951/1000</f>
        <v>15.960800000000226</v>
      </c>
      <c r="P10" s="39" t="s">
        <v>8</v>
      </c>
      <c r="Q10" s="40">
        <f t="shared" ref="Q10:Q12" si="8">IF(O10&lt;0,0,O10)</f>
        <v>15.960800000000226</v>
      </c>
      <c r="R10" s="41" t="s">
        <v>9</v>
      </c>
      <c r="S10" s="109">
        <f>XM.HN!D7</f>
        <v>17.600000000000001</v>
      </c>
      <c r="T10" s="239">
        <f>S10*8</f>
        <v>140.80000000000001</v>
      </c>
      <c r="U10" s="38">
        <f>($F$10-T10)*19951/1000</f>
        <v>-15.960800000000226</v>
      </c>
      <c r="V10" s="39" t="s">
        <v>8</v>
      </c>
      <c r="W10" s="40">
        <f t="shared" ref="W10:W12" si="9">IF(U10&lt;0,0,U10)</f>
        <v>0</v>
      </c>
      <c r="X10" s="41" t="s">
        <v>9</v>
      </c>
      <c r="Y10" s="109">
        <f>XM.HN!E7</f>
        <v>17.600000000000001</v>
      </c>
      <c r="Z10" s="239">
        <f>Y10*8</f>
        <v>140.80000000000001</v>
      </c>
      <c r="AA10" s="38">
        <f>($F$10-Z10)*19951/1000</f>
        <v>-15.960800000000226</v>
      </c>
      <c r="AB10" s="39" t="s">
        <v>8</v>
      </c>
      <c r="AC10" s="40">
        <f t="shared" ref="AC10:AC12" si="10">IF(AA10&lt;0,0,AA10)</f>
        <v>0</v>
      </c>
      <c r="AD10" s="41" t="s">
        <v>9</v>
      </c>
      <c r="AE10" s="109">
        <f>XM.HN!F7</f>
        <v>0</v>
      </c>
      <c r="AF10" s="239">
        <f>AE10*8</f>
        <v>0</v>
      </c>
      <c r="AG10" s="38">
        <f>($F$10-AF10)*19951/1000</f>
        <v>2793.14</v>
      </c>
      <c r="AH10" s="39" t="s">
        <v>8</v>
      </c>
      <c r="AI10" s="40">
        <f t="shared" ref="AI10:AI12" si="11">IF(AG10&lt;0,0,AG10)</f>
        <v>2793.14</v>
      </c>
      <c r="AJ10" s="41" t="s">
        <v>9</v>
      </c>
      <c r="AK10" s="109">
        <f>XM.HN!G7</f>
        <v>17.3</v>
      </c>
      <c r="AL10" s="239">
        <f>AK10*8</f>
        <v>138.4</v>
      </c>
      <c r="AM10" s="38">
        <f>($F$10-AL10)*19951/1000</f>
        <v>31.921599999999884</v>
      </c>
      <c r="AN10" s="39" t="s">
        <v>8</v>
      </c>
      <c r="AO10" s="40">
        <f t="shared" si="6"/>
        <v>31.921599999999884</v>
      </c>
      <c r="AP10" s="41" t="s">
        <v>9</v>
      </c>
      <c r="AR10" s="1221" t="s">
        <v>1093</v>
      </c>
      <c r="AS10" s="1217" t="s">
        <v>1096</v>
      </c>
    </row>
    <row r="11" spans="1:45" ht="34.5" customHeight="1">
      <c r="A11" s="54" t="s">
        <v>282</v>
      </c>
      <c r="B11" s="1199" t="s">
        <v>236</v>
      </c>
      <c r="C11" s="1181" t="s">
        <v>60</v>
      </c>
      <c r="D11" s="1203" t="s">
        <v>4</v>
      </c>
      <c r="E11" s="1609" t="s">
        <v>259</v>
      </c>
      <c r="F11" s="1634">
        <v>9</v>
      </c>
      <c r="G11" s="109">
        <f>XM.HN!B8</f>
        <v>7.7</v>
      </c>
      <c r="H11" s="64">
        <f>G11*1.3</f>
        <v>10.01</v>
      </c>
      <c r="I11" s="38">
        <f>($F$11-H11)*19951/1000</f>
        <v>-20.150509999999993</v>
      </c>
      <c r="J11" s="39" t="s">
        <v>8</v>
      </c>
      <c r="K11" s="40">
        <f t="shared" si="7"/>
        <v>0</v>
      </c>
      <c r="L11" s="41" t="s">
        <v>9</v>
      </c>
      <c r="M11" s="109">
        <f>XM.HN!C8</f>
        <v>7.7</v>
      </c>
      <c r="N11" s="64">
        <f>M11*1.3</f>
        <v>10.01</v>
      </c>
      <c r="O11" s="38">
        <f>($F$11-N11)*19951/1000</f>
        <v>-20.150509999999993</v>
      </c>
      <c r="P11" s="39" t="s">
        <v>8</v>
      </c>
      <c r="Q11" s="40">
        <f t="shared" si="8"/>
        <v>0</v>
      </c>
      <c r="R11" s="41" t="s">
        <v>9</v>
      </c>
      <c r="S11" s="109">
        <f>XM.HN!D8</f>
        <v>7.5</v>
      </c>
      <c r="T11" s="64">
        <f>S11*1.3</f>
        <v>9.75</v>
      </c>
      <c r="U11" s="38">
        <f>($F$11-T11)*19951/1000</f>
        <v>-14.96325</v>
      </c>
      <c r="V11" s="39" t="s">
        <v>8</v>
      </c>
      <c r="W11" s="40">
        <f t="shared" si="9"/>
        <v>0</v>
      </c>
      <c r="X11" s="41" t="s">
        <v>9</v>
      </c>
      <c r="Y11" s="109">
        <f>XM.HN!E8</f>
        <v>7.6</v>
      </c>
      <c r="Z11" s="64">
        <f>Y11*1.3</f>
        <v>9.879999999999999</v>
      </c>
      <c r="AA11" s="38">
        <f>($F$11-Z11)*19951/1000</f>
        <v>-17.556879999999978</v>
      </c>
      <c r="AB11" s="39" t="s">
        <v>8</v>
      </c>
      <c r="AC11" s="40">
        <f t="shared" si="10"/>
        <v>0</v>
      </c>
      <c r="AD11" s="41" t="s">
        <v>9</v>
      </c>
      <c r="AE11" s="109">
        <f>XM.HN!F8</f>
        <v>0</v>
      </c>
      <c r="AF11" s="64">
        <f>AE11*1.3</f>
        <v>0</v>
      </c>
      <c r="AG11" s="38">
        <f>($F$11-AF11)*19951/1000</f>
        <v>179.559</v>
      </c>
      <c r="AH11" s="39" t="s">
        <v>8</v>
      </c>
      <c r="AI11" s="40">
        <f t="shared" si="11"/>
        <v>179.559</v>
      </c>
      <c r="AJ11" s="41" t="s">
        <v>9</v>
      </c>
      <c r="AK11" s="109">
        <f>XM.HN!G8</f>
        <v>7.5</v>
      </c>
      <c r="AL11" s="64">
        <f>AK11*1.3</f>
        <v>9.75</v>
      </c>
      <c r="AM11" s="38">
        <f>($F$11-AL11)*19951/1000</f>
        <v>-14.96325</v>
      </c>
      <c r="AN11" s="39" t="s">
        <v>8</v>
      </c>
      <c r="AO11" s="40">
        <f t="shared" si="6"/>
        <v>0</v>
      </c>
      <c r="AP11" s="41" t="s">
        <v>9</v>
      </c>
      <c r="AR11" s="1221"/>
      <c r="AS11" s="1225" t="s">
        <v>1118</v>
      </c>
    </row>
    <row r="12" spans="1:45" ht="34.5" customHeight="1">
      <c r="A12" s="324" t="s">
        <v>288</v>
      </c>
      <c r="B12" s="1199" t="s">
        <v>236</v>
      </c>
      <c r="C12" s="1201" t="s">
        <v>1058</v>
      </c>
      <c r="D12" s="1203" t="s">
        <v>3</v>
      </c>
      <c r="E12" s="1609" t="s">
        <v>1431</v>
      </c>
      <c r="F12" s="1634">
        <v>14</v>
      </c>
      <c r="G12" s="109">
        <f>XM.HN!B9</f>
        <v>9.5</v>
      </c>
      <c r="H12" s="64">
        <f>G12*100/6.95/10</f>
        <v>13.669064748201439</v>
      </c>
      <c r="I12" s="38">
        <f>($F$12-H12)*575/100</f>
        <v>1.902877697841725</v>
      </c>
      <c r="J12" s="39" t="s">
        <v>8</v>
      </c>
      <c r="K12" s="40">
        <f t="shared" si="7"/>
        <v>1.902877697841725</v>
      </c>
      <c r="L12" s="45" t="s">
        <v>10</v>
      </c>
      <c r="M12" s="124">
        <f>XM.HN!C9</f>
        <v>10</v>
      </c>
      <c r="N12" s="64">
        <f>M12*100/6.95/10</f>
        <v>14.388489208633093</v>
      </c>
      <c r="O12" s="38">
        <f>($F$12-N12)*575/100</f>
        <v>-2.2338129496402841</v>
      </c>
      <c r="P12" s="39" t="s">
        <v>8</v>
      </c>
      <c r="Q12" s="40">
        <f t="shared" si="8"/>
        <v>0</v>
      </c>
      <c r="R12" s="45" t="s">
        <v>10</v>
      </c>
      <c r="S12" s="107">
        <f>XM.HN!D9</f>
        <v>10.6</v>
      </c>
      <c r="T12" s="64">
        <f>S12*100/6.95/10</f>
        <v>15.25179856115108</v>
      </c>
      <c r="U12" s="38">
        <f>($F$12-T12)*575/100</f>
        <v>-7.1978417266187114</v>
      </c>
      <c r="V12" s="39" t="s">
        <v>8</v>
      </c>
      <c r="W12" s="40">
        <f t="shared" si="9"/>
        <v>0</v>
      </c>
      <c r="X12" s="45" t="s">
        <v>10</v>
      </c>
      <c r="Y12" s="21">
        <f>XM.HN!E9</f>
        <v>8.1</v>
      </c>
      <c r="Z12" s="64">
        <f>Y12*100/6.95/10</f>
        <v>11.654676258992804</v>
      </c>
      <c r="AA12" s="38">
        <f>($F$12-Z12)*575/100</f>
        <v>13.485611510791376</v>
      </c>
      <c r="AB12" s="39" t="s">
        <v>8</v>
      </c>
      <c r="AC12" s="40">
        <f t="shared" si="10"/>
        <v>13.485611510791376</v>
      </c>
      <c r="AD12" s="45" t="s">
        <v>10</v>
      </c>
      <c r="AE12" s="107">
        <f>XM.HN!F9</f>
        <v>0</v>
      </c>
      <c r="AF12" s="64">
        <f>AE12*100/6.95/10</f>
        <v>0</v>
      </c>
      <c r="AG12" s="38">
        <f>($F$12-AF12)*575/100</f>
        <v>80.5</v>
      </c>
      <c r="AH12" s="39" t="s">
        <v>8</v>
      </c>
      <c r="AI12" s="40">
        <f t="shared" si="11"/>
        <v>80.5</v>
      </c>
      <c r="AJ12" s="45" t="s">
        <v>10</v>
      </c>
      <c r="AK12" s="107">
        <f>XM.HN!G9</f>
        <v>9.3000000000000007</v>
      </c>
      <c r="AL12" s="64">
        <f>AK12*100/6.95/10</f>
        <v>13.381294964028777</v>
      </c>
      <c r="AM12" s="38">
        <f>($F$12-AL12)*575/100</f>
        <v>3.5575539568345307</v>
      </c>
      <c r="AN12" s="39" t="s">
        <v>8</v>
      </c>
      <c r="AO12" s="40">
        <f t="shared" si="6"/>
        <v>3.5575539568345307</v>
      </c>
      <c r="AP12" s="45" t="s">
        <v>10</v>
      </c>
      <c r="AR12" s="1221" t="s">
        <v>1093</v>
      </c>
      <c r="AS12" s="1217" t="s">
        <v>1104</v>
      </c>
    </row>
    <row r="13" spans="1:45" ht="34.5" customHeight="1">
      <c r="A13" s="324" t="s">
        <v>290</v>
      </c>
      <c r="B13" s="1199" t="s">
        <v>236</v>
      </c>
      <c r="C13" s="327" t="s">
        <v>132</v>
      </c>
      <c r="D13" s="1203" t="s">
        <v>5</v>
      </c>
      <c r="E13" s="1610" t="s">
        <v>1492</v>
      </c>
      <c r="F13" s="1635"/>
      <c r="G13" s="109"/>
      <c r="H13" s="70">
        <f>XM.HN!B16</f>
        <v>1.76</v>
      </c>
      <c r="I13" s="42"/>
      <c r="J13" s="43"/>
      <c r="K13" s="44"/>
      <c r="L13" s="42"/>
      <c r="M13" s="284"/>
      <c r="N13" s="70">
        <f>XM.HN!C16</f>
        <v>1.75</v>
      </c>
      <c r="O13" s="42"/>
      <c r="P13" s="43"/>
      <c r="Q13" s="44"/>
      <c r="R13" s="42"/>
      <c r="S13" s="42"/>
      <c r="T13" s="70">
        <f>XM.HN!D16</f>
        <v>1.89</v>
      </c>
      <c r="U13" s="42"/>
      <c r="V13" s="43"/>
      <c r="W13" s="44"/>
      <c r="X13" s="42"/>
      <c r="Y13" s="42"/>
      <c r="Z13" s="70">
        <f>XM.HN!E16</f>
        <v>1.78</v>
      </c>
      <c r="AA13" s="42"/>
      <c r="AB13" s="43"/>
      <c r="AC13" s="44"/>
      <c r="AD13" s="42"/>
      <c r="AE13" s="109"/>
      <c r="AF13" s="70">
        <f>XM.HN!F16</f>
        <v>0</v>
      </c>
      <c r="AG13" s="42"/>
      <c r="AH13" s="43"/>
      <c r="AI13" s="44"/>
      <c r="AJ13" s="42"/>
      <c r="AK13" s="109"/>
      <c r="AL13" s="70">
        <f>XM.HN!G16</f>
        <v>1.8</v>
      </c>
      <c r="AM13" s="42"/>
      <c r="AN13" s="43"/>
      <c r="AO13" s="44"/>
      <c r="AP13" s="44"/>
      <c r="AR13" s="1216"/>
      <c r="AS13" s="1218"/>
    </row>
    <row r="14" spans="1:45" ht="34.5" customHeight="1">
      <c r="A14" s="325" t="s">
        <v>283</v>
      </c>
      <c r="B14" s="1199" t="s">
        <v>236</v>
      </c>
      <c r="C14" s="1197" t="s">
        <v>61</v>
      </c>
      <c r="D14" s="1203" t="s">
        <v>6</v>
      </c>
      <c r="E14" s="1611" t="s">
        <v>257</v>
      </c>
      <c r="F14" s="1636">
        <v>0.45</v>
      </c>
      <c r="G14" s="109">
        <f>XM.HN!B10</f>
        <v>4.3</v>
      </c>
      <c r="H14" s="71">
        <f>(1*G14*36.5)/(1*10)/32%/100</f>
        <v>0.49046874999999995</v>
      </c>
      <c r="I14" s="37">
        <f>($F$14-H14)*2122</f>
        <v>-85.874687499999879</v>
      </c>
      <c r="J14" s="45" t="s">
        <v>8</v>
      </c>
      <c r="K14" s="46">
        <f>IF(I14&lt;0,0,I14)</f>
        <v>0</v>
      </c>
      <c r="L14" s="47" t="s">
        <v>10</v>
      </c>
      <c r="M14" s="110">
        <f>XM.HN!C10</f>
        <v>4</v>
      </c>
      <c r="N14" s="71">
        <f>(1*M14*36.5)/(1*10)/32%/100</f>
        <v>0.45624999999999999</v>
      </c>
      <c r="O14" s="37">
        <f>($F$14-N14)*2122</f>
        <v>-13.262499999999953</v>
      </c>
      <c r="P14" s="45" t="s">
        <v>8</v>
      </c>
      <c r="Q14" s="46">
        <f>IF(O14&lt;0,0,O14)</f>
        <v>0</v>
      </c>
      <c r="R14" s="47" t="s">
        <v>10</v>
      </c>
      <c r="S14" s="110">
        <f>XM.HN!D10</f>
        <v>4.0999999999999996</v>
      </c>
      <c r="T14" s="71">
        <f>(1*S14*36.5)/(1*10)/32%/100</f>
        <v>0.46765624999999994</v>
      </c>
      <c r="U14" s="37">
        <f>($F$14-T14)*2122</f>
        <v>-37.466562499999853</v>
      </c>
      <c r="V14" s="45" t="s">
        <v>8</v>
      </c>
      <c r="W14" s="46">
        <f>IF(U14&lt;0,0,U14)</f>
        <v>0</v>
      </c>
      <c r="X14" s="47" t="s">
        <v>10</v>
      </c>
      <c r="Y14" s="110">
        <f>XM.HN!E10</f>
        <v>4</v>
      </c>
      <c r="Z14" s="71">
        <f>(1*Y14*36.5)/(1*10)/32%/100</f>
        <v>0.45624999999999999</v>
      </c>
      <c r="AA14" s="37">
        <f>($F$14-Z14)*2122</f>
        <v>-13.262499999999953</v>
      </c>
      <c r="AB14" s="45" t="s">
        <v>8</v>
      </c>
      <c r="AC14" s="46">
        <f>IF(AA14&lt;0,0,AA14)</f>
        <v>0</v>
      </c>
      <c r="AD14" s="47" t="s">
        <v>10</v>
      </c>
      <c r="AE14" s="109">
        <f>XM.HN!F10</f>
        <v>0</v>
      </c>
      <c r="AF14" s="71">
        <f>(1*AE14*36.5)/(1*10)/32%/100</f>
        <v>0</v>
      </c>
      <c r="AG14" s="37">
        <f>($F$14-AF14)*2122</f>
        <v>954.9</v>
      </c>
      <c r="AH14" s="45" t="s">
        <v>8</v>
      </c>
      <c r="AI14" s="46">
        <f>IF(AG14&lt;0,0,AG14)</f>
        <v>954.9</v>
      </c>
      <c r="AJ14" s="47" t="s">
        <v>10</v>
      </c>
      <c r="AK14" s="109">
        <f>XM.HN!G10</f>
        <v>3.9</v>
      </c>
      <c r="AL14" s="71">
        <f>(1*AK14*36.5)/(1*10)/32%/100</f>
        <v>0.44484374999999998</v>
      </c>
      <c r="AM14" s="37">
        <f>($F$14-AL14)*2122</f>
        <v>10.941562500000062</v>
      </c>
      <c r="AN14" s="45" t="s">
        <v>8</v>
      </c>
      <c r="AO14" s="46">
        <f>IF(AM14&lt;0,0,AM14)</f>
        <v>10.941562500000062</v>
      </c>
      <c r="AP14" s="41" t="s">
        <v>10</v>
      </c>
      <c r="AR14" s="54" t="s">
        <v>1099</v>
      </c>
      <c r="AS14" s="2116" t="s">
        <v>1094</v>
      </c>
    </row>
    <row r="15" spans="1:45" ht="34.5" customHeight="1">
      <c r="A15" s="325" t="s">
        <v>284</v>
      </c>
      <c r="B15" s="1199" t="s">
        <v>236</v>
      </c>
      <c r="C15" s="1197" t="s">
        <v>62</v>
      </c>
      <c r="D15" s="1203" t="s">
        <v>6</v>
      </c>
      <c r="E15" s="1611" t="s">
        <v>258</v>
      </c>
      <c r="F15" s="1636">
        <v>0.22</v>
      </c>
      <c r="G15" s="109">
        <f>XM.HN!B11</f>
        <v>2.2999999999999998</v>
      </c>
      <c r="H15" s="71">
        <f>(1*G15*36.5)/(1*10)/32%/100</f>
        <v>0.26234374999999999</v>
      </c>
      <c r="I15" s="37">
        <f>($F$15-H15)*612</f>
        <v>-25.914374999999993</v>
      </c>
      <c r="J15" s="45" t="s">
        <v>8</v>
      </c>
      <c r="K15" s="46">
        <f>IF(I15&lt;0,0,I15)</f>
        <v>0</v>
      </c>
      <c r="L15" s="47" t="s">
        <v>10</v>
      </c>
      <c r="M15" s="285">
        <f>XM.HN!C11</f>
        <v>2.5</v>
      </c>
      <c r="N15" s="71">
        <f>(1*M15*36.5)/(1*10)/32%/100</f>
        <v>0.28515625</v>
      </c>
      <c r="O15" s="37">
        <f>($F$15-N15)*612</f>
        <v>-39.875624999999999</v>
      </c>
      <c r="P15" s="45" t="s">
        <v>8</v>
      </c>
      <c r="Q15" s="46">
        <f>IF(O15&lt;0,0,O15)</f>
        <v>0</v>
      </c>
      <c r="R15" s="47" t="s">
        <v>10</v>
      </c>
      <c r="S15" s="110">
        <f>XM.HN!D11</f>
        <v>2.6</v>
      </c>
      <c r="T15" s="71">
        <f>(1*S15*36.5)/(1*10)/32%/100</f>
        <v>0.29656250000000001</v>
      </c>
      <c r="U15" s="37">
        <f>($F$15-T15)*612</f>
        <v>-46.856250000000003</v>
      </c>
      <c r="V15" s="45" t="s">
        <v>8</v>
      </c>
      <c r="W15" s="46">
        <f>IF(U15&lt;0,0,U15)</f>
        <v>0</v>
      </c>
      <c r="X15" s="47" t="s">
        <v>10</v>
      </c>
      <c r="Y15" s="110">
        <f>XM.HN!E11</f>
        <v>2.2000000000000002</v>
      </c>
      <c r="Z15" s="71">
        <f>(1*Y15*36.5)/(1*10)/32%/100</f>
        <v>0.25093750000000004</v>
      </c>
      <c r="AA15" s="37">
        <f>($F$15-Z15)*612</f>
        <v>-18.933750000000021</v>
      </c>
      <c r="AB15" s="45" t="s">
        <v>8</v>
      </c>
      <c r="AC15" s="46">
        <f>IF(AA15&lt;0,0,AA15)</f>
        <v>0</v>
      </c>
      <c r="AD15" s="47" t="s">
        <v>10</v>
      </c>
      <c r="AE15" s="110">
        <f>XM.HN!F11</f>
        <v>0</v>
      </c>
      <c r="AF15" s="71">
        <f>(1*AE15*36.5)/(1*10)/32%/100</f>
        <v>0</v>
      </c>
      <c r="AG15" s="37">
        <f>($F$15-AF15)*612</f>
        <v>134.64000000000001</v>
      </c>
      <c r="AH15" s="45" t="s">
        <v>8</v>
      </c>
      <c r="AI15" s="46">
        <f>IF(AG15&lt;0,0,AG15)</f>
        <v>134.64000000000001</v>
      </c>
      <c r="AJ15" s="47" t="s">
        <v>10</v>
      </c>
      <c r="AK15" s="110">
        <f>XM.HN!G11</f>
        <v>2.1</v>
      </c>
      <c r="AL15" s="71">
        <f>(1*AK15*36.5)/(1*10)/32%/100</f>
        <v>0.23953125000000003</v>
      </c>
      <c r="AM15" s="37">
        <f>($F$15-AL15)*612</f>
        <v>-11.953125000000018</v>
      </c>
      <c r="AN15" s="45" t="s">
        <v>8</v>
      </c>
      <c r="AO15" s="46">
        <f>IF(AM15&lt;0,0,AM15)</f>
        <v>0</v>
      </c>
      <c r="AP15" s="47" t="s">
        <v>10</v>
      </c>
      <c r="AR15" s="54" t="s">
        <v>1099</v>
      </c>
      <c r="AS15" s="2116"/>
    </row>
    <row r="16" spans="1:45" ht="34.5" customHeight="1">
      <c r="A16" s="325" t="s">
        <v>285</v>
      </c>
      <c r="B16" s="1199" t="s">
        <v>236</v>
      </c>
      <c r="C16" s="1197" t="s">
        <v>63</v>
      </c>
      <c r="D16" s="54" t="s">
        <v>6</v>
      </c>
      <c r="E16" s="1611" t="s">
        <v>1441</v>
      </c>
      <c r="F16" s="1636">
        <v>0.1</v>
      </c>
      <c r="G16" s="109">
        <f>XM.HN!B12</f>
        <v>5</v>
      </c>
      <c r="H16" s="71">
        <f>(1*G16*36.5)/(5*10)/32%/100</f>
        <v>0.1140625</v>
      </c>
      <c r="I16" s="44">
        <f>($F$16-H16)*575</f>
        <v>-8.0859374999999947</v>
      </c>
      <c r="J16" s="45" t="s">
        <v>8</v>
      </c>
      <c r="K16" s="46">
        <f>IF(I16&lt;0,0,I16)</f>
        <v>0</v>
      </c>
      <c r="L16" s="47" t="s">
        <v>10</v>
      </c>
      <c r="M16" s="44">
        <f>XM.HN!C12</f>
        <v>4.5999999999999996</v>
      </c>
      <c r="N16" s="71">
        <f>(1*M16*36.5)/(5*10)/32%/100</f>
        <v>0.10493749999999999</v>
      </c>
      <c r="O16" s="44">
        <f>($F$16-N16)*575</f>
        <v>-2.8390624999999905</v>
      </c>
      <c r="P16" s="45" t="s">
        <v>8</v>
      </c>
      <c r="Q16" s="46">
        <f>IF(O16&lt;0,0,O16)</f>
        <v>0</v>
      </c>
      <c r="R16" s="47" t="s">
        <v>10</v>
      </c>
      <c r="S16" s="44">
        <f>XM.HN!D12</f>
        <v>4.0999999999999996</v>
      </c>
      <c r="T16" s="71">
        <f>(1*S16*36.5)/(5*10)/32%/100</f>
        <v>9.3531249999999982E-2</v>
      </c>
      <c r="U16" s="44">
        <f>($F$16-T16)*575</f>
        <v>3.7195312500000135</v>
      </c>
      <c r="V16" s="45" t="s">
        <v>8</v>
      </c>
      <c r="W16" s="46">
        <f>IF(U16&lt;0,0,U16)</f>
        <v>3.7195312500000135</v>
      </c>
      <c r="X16" s="47" t="s">
        <v>10</v>
      </c>
      <c r="Y16" s="44">
        <f>XM.HN!E12</f>
        <v>4.5</v>
      </c>
      <c r="Z16" s="71">
        <f>(1*Y16*36.5)/(5*10)/32%/100</f>
        <v>0.10265625</v>
      </c>
      <c r="AA16" s="44">
        <f>($F$16-Z16)*575</f>
        <v>-1.5273437499999993</v>
      </c>
      <c r="AB16" s="45" t="s">
        <v>8</v>
      </c>
      <c r="AC16" s="46">
        <f>IF(AA16&lt;0,0,AA16)</f>
        <v>0</v>
      </c>
      <c r="AD16" s="47" t="s">
        <v>10</v>
      </c>
      <c r="AE16" s="44">
        <f>XM.HN!F12</f>
        <v>0</v>
      </c>
      <c r="AF16" s="71">
        <f>(1*AE16*36.5)/(5*10)/32%/100</f>
        <v>0</v>
      </c>
      <c r="AG16" s="44">
        <f>($F$16-AF16)*575</f>
        <v>57.5</v>
      </c>
      <c r="AH16" s="45" t="s">
        <v>8</v>
      </c>
      <c r="AI16" s="46">
        <f>IF(AG16&lt;0,0,AG16)</f>
        <v>57.5</v>
      </c>
      <c r="AJ16" s="47" t="s">
        <v>10</v>
      </c>
      <c r="AK16" s="44">
        <f>XM.HN!G12</f>
        <v>4.2</v>
      </c>
      <c r="AL16" s="71">
        <f>(1*AK16*36.5)/(5*10)/32%/100</f>
        <v>9.5812500000000009E-2</v>
      </c>
      <c r="AM16" s="44">
        <f>($F$16-AL16)*575</f>
        <v>2.4078124999999981</v>
      </c>
      <c r="AN16" s="45" t="s">
        <v>8</v>
      </c>
      <c r="AO16" s="46">
        <f>IF(AM16&lt;0,0,AM16)</f>
        <v>2.4078124999999981</v>
      </c>
      <c r="AP16" s="47" t="s">
        <v>10</v>
      </c>
      <c r="AR16" s="54" t="s">
        <v>1099</v>
      </c>
      <c r="AS16" s="1216" t="s">
        <v>1097</v>
      </c>
    </row>
    <row r="17" spans="1:45" ht="34.5" customHeight="1">
      <c r="A17" s="325" t="s">
        <v>286</v>
      </c>
      <c r="B17" s="1199" t="s">
        <v>236</v>
      </c>
      <c r="C17" s="1197" t="s">
        <v>164</v>
      </c>
      <c r="D17" s="1210" t="s">
        <v>1078</v>
      </c>
      <c r="E17" s="1612" t="s">
        <v>124</v>
      </c>
      <c r="F17" s="1637">
        <v>0.01</v>
      </c>
      <c r="G17" s="109">
        <f>XM.HN!B13</f>
        <v>0.9</v>
      </c>
      <c r="H17" s="72">
        <f>(1*G17*6.301)/5/100</f>
        <v>1.1341800000000003E-2</v>
      </c>
      <c r="I17" s="37">
        <f>($F$17-H17)*530/65%</f>
        <v>-1.0940830769230789</v>
      </c>
      <c r="J17" s="45" t="s">
        <v>8</v>
      </c>
      <c r="K17" s="48">
        <f>IF(I17&lt;0,0,I17)</f>
        <v>0</v>
      </c>
      <c r="L17" s="47" t="s">
        <v>10</v>
      </c>
      <c r="M17" s="110">
        <f>XM.HN!C13</f>
        <v>0.8</v>
      </c>
      <c r="N17" s="72">
        <f>(1*M17*6.301)/5/100</f>
        <v>1.0081600000000001E-2</v>
      </c>
      <c r="O17" s="37">
        <f>($F$17-N17)*530/65%</f>
        <v>-6.6535384615385523E-2</v>
      </c>
      <c r="P17" s="45" t="s">
        <v>8</v>
      </c>
      <c r="Q17" s="48">
        <f>IF(O17&lt;0,0,O17)</f>
        <v>0</v>
      </c>
      <c r="R17" s="47" t="s">
        <v>10</v>
      </c>
      <c r="S17" s="110">
        <f>XM.HN!D13</f>
        <v>0.9</v>
      </c>
      <c r="T17" s="72">
        <f>(1*S17*6.301)/5/100</f>
        <v>1.1341800000000003E-2</v>
      </c>
      <c r="U17" s="37">
        <f>($F$17-T17)*530/65%</f>
        <v>-1.0940830769230789</v>
      </c>
      <c r="V17" s="45" t="s">
        <v>8</v>
      </c>
      <c r="W17" s="48">
        <f>IF(U17&lt;0,0,U17)</f>
        <v>0</v>
      </c>
      <c r="X17" s="47" t="s">
        <v>10</v>
      </c>
      <c r="Y17" s="110">
        <f>XM.HN!E13</f>
        <v>1</v>
      </c>
      <c r="Z17" s="72">
        <f>(1*Y17*6.301)/5/100</f>
        <v>1.2602E-2</v>
      </c>
      <c r="AA17" s="37">
        <f>($F$17-Z17)*530/65%</f>
        <v>-2.1216307692307694</v>
      </c>
      <c r="AB17" s="45" t="s">
        <v>8</v>
      </c>
      <c r="AC17" s="48">
        <f>IF(AA17&lt;0,0,AA17)</f>
        <v>0</v>
      </c>
      <c r="AD17" s="47" t="s">
        <v>10</v>
      </c>
      <c r="AE17" s="109">
        <f>XM.HN!F13</f>
        <v>0</v>
      </c>
      <c r="AF17" s="72">
        <f>(1*AE17*6.301)/5/100</f>
        <v>0</v>
      </c>
      <c r="AG17" s="37">
        <f>($F$17-AF17)*530/65%</f>
        <v>8.1538461538461533</v>
      </c>
      <c r="AH17" s="45" t="s">
        <v>8</v>
      </c>
      <c r="AI17" s="48">
        <f>IF(AG17&lt;0,0,AG17)</f>
        <v>8.1538461538461533</v>
      </c>
      <c r="AJ17" s="47" t="s">
        <v>10</v>
      </c>
      <c r="AK17" s="109">
        <f>XM.HN!G13</f>
        <v>0.98</v>
      </c>
      <c r="AL17" s="72">
        <f>(1*AK17*6.301)/5/100</f>
        <v>1.234996E-2</v>
      </c>
      <c r="AM17" s="37">
        <f>($F$17-AL17)*530/65%</f>
        <v>-1.9161212307692306</v>
      </c>
      <c r="AN17" s="45" t="s">
        <v>8</v>
      </c>
      <c r="AO17" s="48">
        <f>IF(AM17&lt;0,0,AM17)</f>
        <v>0</v>
      </c>
      <c r="AP17" s="47" t="s">
        <v>10</v>
      </c>
      <c r="AR17" s="54" t="s">
        <v>1099</v>
      </c>
      <c r="AS17" s="1216" t="s">
        <v>1098</v>
      </c>
    </row>
    <row r="18" spans="1:45" ht="32.25" customHeight="1">
      <c r="A18" s="324" t="s">
        <v>287</v>
      </c>
      <c r="B18" s="1199" t="s">
        <v>236</v>
      </c>
      <c r="C18" s="1200" t="s">
        <v>358</v>
      </c>
      <c r="D18" s="54" t="s">
        <v>3</v>
      </c>
      <c r="E18" s="1610" t="s">
        <v>260</v>
      </c>
      <c r="F18" s="1638">
        <v>7.5</v>
      </c>
      <c r="G18" s="109">
        <f>XM.HN!B14</f>
        <v>9.6</v>
      </c>
      <c r="H18" s="318">
        <f>IF(XM.HN!B14="","",(G18*0.8))</f>
        <v>7.68</v>
      </c>
      <c r="I18" s="49">
        <f>($F$18-H18)*575/95</f>
        <v>-1.0894736842105246</v>
      </c>
      <c r="J18" s="45" t="s">
        <v>8</v>
      </c>
      <c r="K18" s="46">
        <f>IF(H18="","",(IF(I18&lt;0,0,I18)))</f>
        <v>0</v>
      </c>
      <c r="L18" s="249" t="s">
        <v>10</v>
      </c>
      <c r="M18" s="110">
        <f>XM.HN!C14</f>
        <v>0</v>
      </c>
      <c r="N18" s="318" t="str">
        <f>IF(XM.HN!C14="","",(M18*0.8))</f>
        <v/>
      </c>
      <c r="O18" s="49" t="e">
        <f>($F$18-N18)*575/95</f>
        <v>#VALUE!</v>
      </c>
      <c r="P18" s="45" t="s">
        <v>8</v>
      </c>
      <c r="Q18" s="46" t="str">
        <f>IF(N18="","",(IF(O18&lt;0,0,O18)))</f>
        <v/>
      </c>
      <c r="R18" s="249" t="s">
        <v>10</v>
      </c>
      <c r="S18" s="110">
        <f>XM.HN!D14</f>
        <v>0</v>
      </c>
      <c r="T18" s="318" t="str">
        <f>IF(XM.HN!D14="","",(S18*0.8))</f>
        <v/>
      </c>
      <c r="U18" s="49" t="e">
        <f>($F$18-T18)*575/95</f>
        <v>#VALUE!</v>
      </c>
      <c r="V18" s="45" t="s">
        <v>8</v>
      </c>
      <c r="W18" s="46" t="str">
        <f>IF(T18="","",(IF(U18&lt;0,0,U18)))</f>
        <v/>
      </c>
      <c r="X18" s="249" t="s">
        <v>10</v>
      </c>
      <c r="Y18" s="110">
        <f>XM.HN!E14</f>
        <v>10</v>
      </c>
      <c r="Z18" s="318">
        <f>IF(XM.HN!E14="","",(Y18*0.8))</f>
        <v>8</v>
      </c>
      <c r="AA18" s="49">
        <f>($F$18-Z18)*575/95</f>
        <v>-3.0263157894736841</v>
      </c>
      <c r="AB18" s="45" t="s">
        <v>8</v>
      </c>
      <c r="AC18" s="46">
        <f>IF(Z18="","",(IF(AA18&lt;0,0,AA18)))</f>
        <v>0</v>
      </c>
      <c r="AD18" s="249" t="s">
        <v>10</v>
      </c>
      <c r="AE18" s="110">
        <f>XM.HN!F14</f>
        <v>0</v>
      </c>
      <c r="AF18" s="318" t="str">
        <f>IF(XM.HN!F14="","",(AE18*0.8))</f>
        <v/>
      </c>
      <c r="AG18" s="49" t="e">
        <f>($F$18-AF18)*575/95</f>
        <v>#VALUE!</v>
      </c>
      <c r="AH18" s="45" t="s">
        <v>8</v>
      </c>
      <c r="AI18" s="46" t="str">
        <f>IF(AF18="","",(IF(AG18&lt;0,0,AG18)))</f>
        <v/>
      </c>
      <c r="AJ18" s="249" t="s">
        <v>10</v>
      </c>
      <c r="AK18" s="110">
        <f>XM.HN!G14</f>
        <v>0</v>
      </c>
      <c r="AL18" s="318" t="str">
        <f>IF(XM.HN!G14="","",(AK18*0.8))</f>
        <v/>
      </c>
      <c r="AM18" s="49" t="e">
        <f>($F$18-AL18)*575/95</f>
        <v>#VALUE!</v>
      </c>
      <c r="AN18" s="45" t="s">
        <v>8</v>
      </c>
      <c r="AO18" s="46" t="str">
        <f>IF(AL18="","",(IF(AM18&lt;0,0,AM18)))</f>
        <v/>
      </c>
      <c r="AP18" s="249" t="s">
        <v>10</v>
      </c>
    </row>
    <row r="19" spans="1:45" ht="32.25" customHeight="1">
      <c r="A19" s="54" t="s">
        <v>289</v>
      </c>
      <c r="B19" s="1199" t="s">
        <v>236</v>
      </c>
      <c r="C19" s="327" t="s">
        <v>132</v>
      </c>
      <c r="D19" s="54" t="s">
        <v>5</v>
      </c>
      <c r="E19" s="1610" t="s">
        <v>1497</v>
      </c>
      <c r="F19" s="1635"/>
      <c r="G19" s="109"/>
      <c r="H19" s="319">
        <f>'XM.FILE GOC'!H19</f>
        <v>2.25</v>
      </c>
      <c r="I19" s="49"/>
      <c r="J19" s="45"/>
      <c r="K19" s="46"/>
      <c r="L19" s="249"/>
      <c r="M19" s="110"/>
      <c r="N19" s="319">
        <f>'XM.FILE GOC'!N19</f>
        <v>0</v>
      </c>
      <c r="O19" s="49"/>
      <c r="P19" s="45"/>
      <c r="Q19" s="46"/>
      <c r="R19" s="249"/>
      <c r="S19" s="110"/>
      <c r="T19" s="319">
        <f>'XM.FILE GOC'!T19</f>
        <v>0</v>
      </c>
      <c r="U19" s="49"/>
      <c r="V19" s="45"/>
      <c r="W19" s="46"/>
      <c r="X19" s="249"/>
      <c r="Y19" s="110"/>
      <c r="Z19" s="319">
        <f>'XM.FILE GOC'!Z19</f>
        <v>2.2999999999999998</v>
      </c>
      <c r="AA19" s="49"/>
      <c r="AB19" s="45"/>
      <c r="AC19" s="46"/>
      <c r="AD19" s="249"/>
      <c r="AE19" s="110"/>
      <c r="AF19" s="319">
        <f>'XM.FILE GOC'!AF19</f>
        <v>0</v>
      </c>
      <c r="AG19" s="49"/>
      <c r="AH19" s="45"/>
      <c r="AI19" s="46"/>
      <c r="AJ19" s="249"/>
      <c r="AK19" s="110"/>
      <c r="AL19" s="319">
        <f>'XM.FILE GOC'!AL19</f>
        <v>0</v>
      </c>
      <c r="AM19" s="49"/>
      <c r="AN19" s="45"/>
      <c r="AO19" s="46"/>
      <c r="AP19" s="47"/>
    </row>
    <row r="20" spans="1:45" s="233" customFormat="1" ht="54" customHeight="1">
      <c r="A20" s="335" t="s">
        <v>76</v>
      </c>
      <c r="B20" s="336"/>
      <c r="C20" s="336"/>
      <c r="D20" s="336"/>
      <c r="E20" s="1613"/>
      <c r="F20" s="1625"/>
      <c r="G20" s="336"/>
      <c r="H20" s="336"/>
      <c r="I20" s="336"/>
      <c r="J20" s="336"/>
      <c r="K20" s="336"/>
      <c r="L20" s="336"/>
      <c r="M20" s="336"/>
      <c r="N20" s="337"/>
      <c r="O20" s="336"/>
      <c r="P20" s="336"/>
      <c r="Q20" s="336"/>
      <c r="R20" s="337"/>
      <c r="S20" s="336"/>
      <c r="T20" s="337"/>
      <c r="U20" s="336"/>
      <c r="V20" s="336"/>
      <c r="W20" s="336"/>
      <c r="X20" s="336"/>
      <c r="Y20" s="336"/>
      <c r="Z20" s="336"/>
      <c r="AA20" s="336"/>
      <c r="AB20" s="336"/>
      <c r="AC20" s="336"/>
      <c r="AD20" s="336"/>
      <c r="AE20" s="337"/>
      <c r="AF20" s="337"/>
      <c r="AG20" s="337"/>
      <c r="AH20" s="337"/>
      <c r="AI20" s="337"/>
      <c r="AJ20" s="337"/>
      <c r="AK20" s="337"/>
      <c r="AL20" s="337"/>
      <c r="AM20" s="337"/>
      <c r="AN20" s="337"/>
      <c r="AO20" s="337"/>
      <c r="AP20" s="1155"/>
    </row>
    <row r="21" spans="1:45" s="111" customFormat="1" ht="54" customHeight="1">
      <c r="A21" s="1203" t="s">
        <v>276</v>
      </c>
      <c r="B21" s="1198" t="s">
        <v>359</v>
      </c>
      <c r="C21" s="1196" t="s">
        <v>64</v>
      </c>
      <c r="D21" s="327" t="s">
        <v>66</v>
      </c>
      <c r="E21" s="1614" t="s">
        <v>67</v>
      </c>
      <c r="F21" s="1639"/>
      <c r="G21" s="112"/>
      <c r="H21" s="329" t="s">
        <v>48</v>
      </c>
      <c r="I21" s="330"/>
      <c r="J21" s="330"/>
      <c r="K21" s="329" t="s">
        <v>65</v>
      </c>
      <c r="L21" s="346"/>
      <c r="M21" s="327"/>
      <c r="N21" s="329" t="s">
        <v>48</v>
      </c>
      <c r="O21" s="330"/>
      <c r="P21" s="330"/>
      <c r="Q21" s="329" t="s">
        <v>65</v>
      </c>
      <c r="R21" s="346"/>
      <c r="S21" s="113"/>
      <c r="T21" s="329" t="s">
        <v>48</v>
      </c>
      <c r="U21" s="330"/>
      <c r="V21" s="330"/>
      <c r="W21" s="329" t="s">
        <v>65</v>
      </c>
      <c r="X21" s="346"/>
      <c r="Y21" s="114"/>
      <c r="Z21" s="329" t="s">
        <v>48</v>
      </c>
      <c r="AA21" s="330"/>
      <c r="AB21" s="330"/>
      <c r="AC21" s="329" t="s">
        <v>65</v>
      </c>
      <c r="AD21" s="346"/>
      <c r="AE21" s="114"/>
      <c r="AF21" s="329" t="s">
        <v>48</v>
      </c>
      <c r="AG21" s="330"/>
      <c r="AH21" s="330"/>
      <c r="AI21" s="329" t="s">
        <v>65</v>
      </c>
      <c r="AJ21" s="346"/>
      <c r="AK21" s="114"/>
      <c r="AL21" s="329" t="s">
        <v>48</v>
      </c>
      <c r="AM21" s="330"/>
      <c r="AN21" s="330"/>
      <c r="AO21" s="329" t="s">
        <v>65</v>
      </c>
      <c r="AP21" s="346"/>
    </row>
    <row r="22" spans="1:45" s="111" customFormat="1" ht="34.5" customHeight="1">
      <c r="A22" s="1199" t="s">
        <v>291</v>
      </c>
      <c r="B22" s="1199" t="s">
        <v>236</v>
      </c>
      <c r="C22" s="1182" t="s">
        <v>68</v>
      </c>
      <c r="D22" s="22" t="s">
        <v>113</v>
      </c>
      <c r="E22" s="1611" t="s">
        <v>1460</v>
      </c>
      <c r="F22" s="1640"/>
      <c r="G22" s="115"/>
      <c r="H22" s="1866">
        <f>'XM.FILE GOC'!H22</f>
        <v>69</v>
      </c>
      <c r="I22" s="1867"/>
      <c r="J22" s="1868"/>
      <c r="K22" s="1866">
        <f>'XM.FILE GOC'!K22</f>
        <v>68</v>
      </c>
      <c r="L22" s="1868"/>
      <c r="M22" s="114"/>
      <c r="N22" s="1866">
        <f>'XM.FILE GOC'!N22</f>
        <v>66</v>
      </c>
      <c r="O22" s="1867"/>
      <c r="P22" s="1868"/>
      <c r="Q22" s="1866">
        <f>'XM.FILE GOC'!Q22</f>
        <v>65</v>
      </c>
      <c r="R22" s="1868"/>
      <c r="S22" s="114"/>
      <c r="T22" s="1866">
        <f>'XM.FILE GOC'!T22</f>
        <v>66</v>
      </c>
      <c r="U22" s="1867"/>
      <c r="V22" s="1868"/>
      <c r="W22" s="1869">
        <f>'XM.FILE GOC'!W22</f>
        <v>65</v>
      </c>
      <c r="X22" s="1869"/>
      <c r="Y22" s="114"/>
      <c r="Z22" s="1866">
        <f>'XM.FILE GOC'!Z22</f>
        <v>67</v>
      </c>
      <c r="AA22" s="1867"/>
      <c r="AB22" s="1868"/>
      <c r="AC22" s="1869">
        <f>'XM.FILE GOC'!AC22</f>
        <v>65</v>
      </c>
      <c r="AD22" s="1869"/>
      <c r="AE22" s="114"/>
      <c r="AF22" s="1866">
        <f>'XM.FILE GOC'!AF22</f>
        <v>0</v>
      </c>
      <c r="AG22" s="1867"/>
      <c r="AH22" s="1868"/>
      <c r="AI22" s="1869">
        <f>'XM.FILE GOC'!AI22</f>
        <v>0</v>
      </c>
      <c r="AJ22" s="1869"/>
      <c r="AK22" s="114"/>
      <c r="AL22" s="1866">
        <f>'XM.FILE GOC'!AL22</f>
        <v>68</v>
      </c>
      <c r="AM22" s="1867"/>
      <c r="AN22" s="1868"/>
      <c r="AO22" s="1869">
        <f>'XM.FILE GOC'!AO22</f>
        <v>66</v>
      </c>
      <c r="AP22" s="1869"/>
    </row>
    <row r="23" spans="1:45" s="111" customFormat="1" ht="34.5" customHeight="1">
      <c r="A23" s="1199" t="s">
        <v>292</v>
      </c>
      <c r="B23" s="1199" t="s">
        <v>236</v>
      </c>
      <c r="C23" s="1182" t="s">
        <v>69</v>
      </c>
      <c r="D23" s="22" t="s">
        <v>113</v>
      </c>
      <c r="E23" s="1611" t="s">
        <v>1432</v>
      </c>
      <c r="F23" s="1640"/>
      <c r="G23" s="115"/>
      <c r="H23" s="1866">
        <f>'XM.FILE GOC'!H23</f>
        <v>71</v>
      </c>
      <c r="I23" s="1867"/>
      <c r="J23" s="1868"/>
      <c r="K23" s="1866">
        <f>'XM.FILE GOC'!K23</f>
        <v>70</v>
      </c>
      <c r="L23" s="1868"/>
      <c r="M23" s="114"/>
      <c r="N23" s="1866">
        <f>'XM.FILE GOC'!N23</f>
        <v>71</v>
      </c>
      <c r="O23" s="1867"/>
      <c r="P23" s="1868"/>
      <c r="Q23" s="1866">
        <f>'XM.FILE GOC'!Q23</f>
        <v>70</v>
      </c>
      <c r="R23" s="1868"/>
      <c r="S23" s="114"/>
      <c r="T23" s="1866">
        <f>'XM.FILE GOC'!T23</f>
        <v>71</v>
      </c>
      <c r="U23" s="1867"/>
      <c r="V23" s="1868"/>
      <c r="W23" s="1869">
        <f>'XM.FILE GOC'!W23</f>
        <v>70</v>
      </c>
      <c r="X23" s="1869"/>
      <c r="Y23" s="114"/>
      <c r="Z23" s="1866">
        <f>'XM.FILE GOC'!Z23</f>
        <v>70</v>
      </c>
      <c r="AA23" s="1867"/>
      <c r="AB23" s="1868"/>
      <c r="AC23" s="1869">
        <f>'XM.FILE GOC'!AC23</f>
        <v>69</v>
      </c>
      <c r="AD23" s="1869"/>
      <c r="AE23" s="114"/>
      <c r="AF23" s="1866">
        <f>'XM.FILE GOC'!AF23</f>
        <v>0</v>
      </c>
      <c r="AG23" s="1867"/>
      <c r="AH23" s="1868"/>
      <c r="AI23" s="1869">
        <f>'XM.FILE GOC'!AI23</f>
        <v>0</v>
      </c>
      <c r="AJ23" s="1869"/>
      <c r="AK23" s="114"/>
      <c r="AL23" s="1866">
        <f>'XM.FILE GOC'!AL23</f>
        <v>71</v>
      </c>
      <c r="AM23" s="1867"/>
      <c r="AN23" s="1868"/>
      <c r="AO23" s="1869">
        <f>'XM.FILE GOC'!AO23</f>
        <v>70</v>
      </c>
      <c r="AP23" s="1869"/>
    </row>
    <row r="24" spans="1:45" s="111" customFormat="1" ht="34.5" customHeight="1">
      <c r="A24" s="1199" t="s">
        <v>293</v>
      </c>
      <c r="B24" s="1199" t="s">
        <v>236</v>
      </c>
      <c r="C24" s="1182" t="s">
        <v>71</v>
      </c>
      <c r="D24" s="22" t="s">
        <v>113</v>
      </c>
      <c r="E24" s="1611" t="s">
        <v>1433</v>
      </c>
      <c r="F24" s="1640"/>
      <c r="G24" s="115"/>
      <c r="H24" s="1866">
        <f>'XM.FILE GOC'!H24</f>
        <v>58</v>
      </c>
      <c r="I24" s="1867"/>
      <c r="J24" s="1868"/>
      <c r="K24" s="1866">
        <f>'XM.FILE GOC'!K24</f>
        <v>57</v>
      </c>
      <c r="L24" s="1867"/>
      <c r="M24" s="114"/>
      <c r="N24" s="1866">
        <f>'XM.FILE GOC'!N24</f>
        <v>58</v>
      </c>
      <c r="O24" s="1867"/>
      <c r="P24" s="1868"/>
      <c r="Q24" s="1866">
        <f>'XM.FILE GOC'!Q24</f>
        <v>57</v>
      </c>
      <c r="R24" s="1867"/>
      <c r="S24" s="114"/>
      <c r="T24" s="1866">
        <f>'XM.FILE GOC'!T24</f>
        <v>58</v>
      </c>
      <c r="U24" s="1867"/>
      <c r="V24" s="1868"/>
      <c r="W24" s="1866">
        <f>'XM.FILE GOC'!W24</f>
        <v>60</v>
      </c>
      <c r="X24" s="1867"/>
      <c r="Y24" s="114"/>
      <c r="Z24" s="1866">
        <f>'XM.FILE GOC'!Z24</f>
        <v>63</v>
      </c>
      <c r="AA24" s="1867"/>
      <c r="AB24" s="1868"/>
      <c r="AC24" s="1866">
        <f>'XM.FILE GOC'!AC24</f>
        <v>62</v>
      </c>
      <c r="AD24" s="1867"/>
      <c r="AE24" s="114"/>
      <c r="AF24" s="1866">
        <f>'XM.FILE GOC'!AF24</f>
        <v>0</v>
      </c>
      <c r="AG24" s="1867"/>
      <c r="AH24" s="1868"/>
      <c r="AI24" s="1866">
        <f>'XM.FILE GOC'!AI24</f>
        <v>0</v>
      </c>
      <c r="AJ24" s="1867"/>
      <c r="AK24" s="114"/>
      <c r="AL24" s="1866">
        <f>'XM.FILE GOC'!AL24</f>
        <v>59</v>
      </c>
      <c r="AM24" s="1867"/>
      <c r="AN24" s="1868"/>
      <c r="AO24" s="1866">
        <f>'XM.FILE GOC'!AO24</f>
        <v>60</v>
      </c>
      <c r="AP24" s="1867"/>
    </row>
    <row r="25" spans="1:45" s="111" customFormat="1" ht="34.5" customHeight="1">
      <c r="A25" s="1199" t="s">
        <v>294</v>
      </c>
      <c r="B25" s="1199" t="s">
        <v>236</v>
      </c>
      <c r="C25" s="1182" t="s">
        <v>70</v>
      </c>
      <c r="D25" s="22" t="s">
        <v>113</v>
      </c>
      <c r="E25" s="1611" t="s">
        <v>1461</v>
      </c>
      <c r="F25" s="1640"/>
      <c r="G25" s="115"/>
      <c r="H25" s="1866">
        <f>'XM.FILE GOC'!H25</f>
        <v>55</v>
      </c>
      <c r="I25" s="1867"/>
      <c r="J25" s="1868"/>
      <c r="K25" s="1866">
        <f>'XM.FILE GOC'!K25</f>
        <v>54</v>
      </c>
      <c r="L25" s="1867"/>
      <c r="M25" s="114"/>
      <c r="N25" s="1866">
        <f>'XM.FILE GOC'!N25</f>
        <v>56</v>
      </c>
      <c r="O25" s="1867"/>
      <c r="P25" s="1868"/>
      <c r="Q25" s="1866">
        <f>'XM.FILE GOC'!Q25</f>
        <v>55</v>
      </c>
      <c r="R25" s="1867"/>
      <c r="S25" s="114"/>
      <c r="T25" s="1866">
        <f>'XM.FILE GOC'!T25</f>
        <v>56</v>
      </c>
      <c r="U25" s="1867"/>
      <c r="V25" s="1868"/>
      <c r="W25" s="1866">
        <f>'XM.FILE GOC'!W25</f>
        <v>54</v>
      </c>
      <c r="X25" s="1867"/>
      <c r="Y25" s="114"/>
      <c r="Z25" s="1866">
        <f>'XM.FILE GOC'!Z25</f>
        <v>55</v>
      </c>
      <c r="AA25" s="1867"/>
      <c r="AB25" s="1868"/>
      <c r="AC25" s="1866">
        <f>'XM.FILE GOC'!AC25</f>
        <v>54</v>
      </c>
      <c r="AD25" s="1867"/>
      <c r="AE25" s="114"/>
      <c r="AF25" s="1866">
        <f>'XM.FILE GOC'!AF25</f>
        <v>0</v>
      </c>
      <c r="AG25" s="1867"/>
      <c r="AH25" s="1868"/>
      <c r="AI25" s="1866">
        <f>'XM.FILE GOC'!AI25</f>
        <v>0</v>
      </c>
      <c r="AJ25" s="1867"/>
      <c r="AK25" s="114"/>
      <c r="AL25" s="1866">
        <f>'XM.FILE GOC'!AL25</f>
        <v>56</v>
      </c>
      <c r="AM25" s="1867"/>
      <c r="AN25" s="1868"/>
      <c r="AO25" s="1866">
        <f>'XM.FILE GOC'!AO25</f>
        <v>55</v>
      </c>
      <c r="AP25" s="1867"/>
    </row>
    <row r="26" spans="1:45" s="111" customFormat="1" ht="34.5" customHeight="1">
      <c r="A26" s="1199" t="s">
        <v>355</v>
      </c>
      <c r="B26" s="1199" t="s">
        <v>236</v>
      </c>
      <c r="C26" s="1182" t="s">
        <v>72</v>
      </c>
      <c r="D26" s="22" t="s">
        <v>113</v>
      </c>
      <c r="E26" s="1611" t="s">
        <v>1434</v>
      </c>
      <c r="F26" s="1640"/>
      <c r="G26" s="115"/>
      <c r="H26" s="1866">
        <f>'XM.FILE GOC'!H26</f>
        <v>32</v>
      </c>
      <c r="I26" s="1867"/>
      <c r="J26" s="1868"/>
      <c r="K26" s="1869">
        <f>'XM.FILE GOC'!K26</f>
        <v>31</v>
      </c>
      <c r="L26" s="1869"/>
      <c r="M26" s="114"/>
      <c r="N26" s="1866">
        <f>'XM.FILE GOC'!N26</f>
        <v>33</v>
      </c>
      <c r="O26" s="1867"/>
      <c r="P26" s="1868"/>
      <c r="Q26" s="1869">
        <f>'XM.FILE GOC'!Q26</f>
        <v>32</v>
      </c>
      <c r="R26" s="1869"/>
      <c r="S26" s="114"/>
      <c r="T26" s="1866">
        <f>'XM.FILE GOC'!T26</f>
        <v>34</v>
      </c>
      <c r="U26" s="1867"/>
      <c r="V26" s="1868"/>
      <c r="W26" s="1869">
        <f>'XM.FILE GOC'!W26</f>
        <v>33</v>
      </c>
      <c r="X26" s="1869"/>
      <c r="Y26" s="114"/>
      <c r="Z26" s="1866">
        <f>'XM.FILE GOC'!Z26</f>
        <v>31</v>
      </c>
      <c r="AA26" s="1867"/>
      <c r="AB26" s="1868"/>
      <c r="AC26" s="1869">
        <f>'XM.FILE GOC'!AC26</f>
        <v>31</v>
      </c>
      <c r="AD26" s="1869"/>
      <c r="AE26" s="114"/>
      <c r="AF26" s="1866">
        <f>'XM.FILE GOC'!AF26</f>
        <v>0</v>
      </c>
      <c r="AG26" s="1867"/>
      <c r="AH26" s="1868"/>
      <c r="AI26" s="1869">
        <f>'XM.FILE GOC'!AI26</f>
        <v>0</v>
      </c>
      <c r="AJ26" s="1869"/>
      <c r="AK26" s="114"/>
      <c r="AL26" s="1866">
        <f>'XM.FILE GOC'!AL26</f>
        <v>30</v>
      </c>
      <c r="AM26" s="1867"/>
      <c r="AN26" s="1868"/>
      <c r="AO26" s="1869">
        <f>'XM.FILE GOC'!AO26</f>
        <v>30</v>
      </c>
      <c r="AP26" s="1869"/>
    </row>
    <row r="27" spans="1:45" s="111" customFormat="1" ht="34.5" customHeight="1">
      <c r="A27" s="324" t="s">
        <v>295</v>
      </c>
      <c r="B27" s="1199" t="s">
        <v>236</v>
      </c>
      <c r="C27" s="1182" t="s">
        <v>165</v>
      </c>
      <c r="D27" s="22" t="s">
        <v>113</v>
      </c>
      <c r="E27" s="1615" t="s">
        <v>1435</v>
      </c>
      <c r="F27" s="1640"/>
      <c r="G27" s="115"/>
      <c r="H27" s="1866">
        <f>'XM.FILE GOC'!H27</f>
        <v>42</v>
      </c>
      <c r="I27" s="1867"/>
      <c r="J27" s="1868"/>
      <c r="K27" s="1866">
        <f>'XM.FILE GOC'!K27</f>
        <v>41</v>
      </c>
      <c r="L27" s="1867"/>
      <c r="M27" s="114"/>
      <c r="N27" s="1866">
        <f>'XM.FILE GOC'!N27</f>
        <v>42</v>
      </c>
      <c r="O27" s="1867"/>
      <c r="P27" s="1868"/>
      <c r="Q27" s="1866">
        <f>'XM.FILE GOC'!Q27</f>
        <v>41</v>
      </c>
      <c r="R27" s="1867"/>
      <c r="S27" s="114"/>
      <c r="T27" s="1866">
        <f>'XM.FILE GOC'!T27</f>
        <v>42</v>
      </c>
      <c r="U27" s="1867"/>
      <c r="V27" s="1868"/>
      <c r="W27" s="1866">
        <f>'XM.FILE GOC'!W27</f>
        <v>41</v>
      </c>
      <c r="X27" s="1867"/>
      <c r="Y27" s="114"/>
      <c r="Z27" s="1866">
        <f>'XM.FILE GOC'!Z27</f>
        <v>41</v>
      </c>
      <c r="AA27" s="1867"/>
      <c r="AB27" s="1868"/>
      <c r="AC27" s="1866">
        <f>'XM.FILE GOC'!AC27</f>
        <v>42</v>
      </c>
      <c r="AD27" s="1867"/>
      <c r="AE27" s="114"/>
      <c r="AF27" s="1866">
        <f>'XM.FILE GOC'!AF27</f>
        <v>0</v>
      </c>
      <c r="AG27" s="1867"/>
      <c r="AH27" s="1868"/>
      <c r="AI27" s="1866">
        <f>'XM.FILE GOC'!AI27</f>
        <v>0</v>
      </c>
      <c r="AJ27" s="1867"/>
      <c r="AK27" s="114"/>
      <c r="AL27" s="1866">
        <f>'XM.FILE GOC'!AL27</f>
        <v>40</v>
      </c>
      <c r="AM27" s="1867"/>
      <c r="AN27" s="1868"/>
      <c r="AO27" s="1866">
        <f>'XM.FILE GOC'!AO27</f>
        <v>41</v>
      </c>
      <c r="AP27" s="1867"/>
    </row>
    <row r="28" spans="1:45" s="111" customFormat="1" ht="34.5" customHeight="1">
      <c r="A28" s="324" t="s">
        <v>296</v>
      </c>
      <c r="B28" s="1199" t="s">
        <v>236</v>
      </c>
      <c r="C28" s="1182" t="s">
        <v>73</v>
      </c>
      <c r="D28" s="22" t="s">
        <v>113</v>
      </c>
      <c r="E28" s="1611" t="s">
        <v>1436</v>
      </c>
      <c r="F28" s="1640"/>
      <c r="G28" s="115"/>
      <c r="H28" s="1866">
        <f>'XM.FILE GOC'!H28</f>
        <v>57</v>
      </c>
      <c r="I28" s="1867"/>
      <c r="J28" s="1868"/>
      <c r="K28" s="1866">
        <f>'XM.FILE GOC'!K28</f>
        <v>56</v>
      </c>
      <c r="L28" s="1867"/>
      <c r="M28" s="114"/>
      <c r="N28" s="1866">
        <f>'XM.FILE GOC'!N28</f>
        <v>58</v>
      </c>
      <c r="O28" s="1867"/>
      <c r="P28" s="1868"/>
      <c r="Q28" s="1866">
        <f>'XM.FILE GOC'!Q28</f>
        <v>57</v>
      </c>
      <c r="R28" s="1867"/>
      <c r="S28" s="114"/>
      <c r="T28" s="1866">
        <f>'XM.FILE GOC'!T28</f>
        <v>58</v>
      </c>
      <c r="U28" s="1867"/>
      <c r="V28" s="1868"/>
      <c r="W28" s="1866">
        <f>'XM.FILE GOC'!W28</f>
        <v>57</v>
      </c>
      <c r="X28" s="1867"/>
      <c r="Y28" s="114"/>
      <c r="Z28" s="1866">
        <f>'XM.FILE GOC'!Z28</f>
        <v>58</v>
      </c>
      <c r="AA28" s="1867"/>
      <c r="AB28" s="1868"/>
      <c r="AC28" s="1866">
        <f>'XM.FILE GOC'!AC28</f>
        <v>57</v>
      </c>
      <c r="AD28" s="1867"/>
      <c r="AE28" s="114"/>
      <c r="AF28" s="1866">
        <f>'XM.FILE GOC'!AF28</f>
        <v>0</v>
      </c>
      <c r="AG28" s="1867"/>
      <c r="AH28" s="1868"/>
      <c r="AI28" s="1866">
        <f>'XM.FILE GOC'!AI28</f>
        <v>0</v>
      </c>
      <c r="AJ28" s="1867"/>
      <c r="AK28" s="114"/>
      <c r="AL28" s="1866">
        <f>'XM.FILE GOC'!AL28</f>
        <v>59</v>
      </c>
      <c r="AM28" s="1867"/>
      <c r="AN28" s="1868"/>
      <c r="AO28" s="1866">
        <f>'XM.FILE GOC'!AO28</f>
        <v>58</v>
      </c>
      <c r="AP28" s="1867"/>
    </row>
    <row r="29" spans="1:45" s="111" customFormat="1" ht="34.5" customHeight="1">
      <c r="A29" s="54" t="s">
        <v>297</v>
      </c>
      <c r="B29" s="1199" t="s">
        <v>236</v>
      </c>
      <c r="C29" s="1182" t="s">
        <v>74</v>
      </c>
      <c r="D29" s="22" t="s">
        <v>113</v>
      </c>
      <c r="E29" s="1611" t="s">
        <v>1462</v>
      </c>
      <c r="F29" s="1640"/>
      <c r="G29" s="115"/>
      <c r="H29" s="1870"/>
      <c r="I29" s="1871"/>
      <c r="J29" s="1872"/>
      <c r="K29" s="1866">
        <f>'XM.FILE GOC'!K29</f>
        <v>73</v>
      </c>
      <c r="L29" s="1867"/>
      <c r="M29" s="1868"/>
      <c r="N29" s="1870"/>
      <c r="O29" s="1871"/>
      <c r="P29" s="1872"/>
      <c r="Q29" s="1866">
        <f>'XM.FILE GOC'!Q29</f>
        <v>74</v>
      </c>
      <c r="R29" s="1867"/>
      <c r="S29" s="1868"/>
      <c r="T29" s="1870"/>
      <c r="U29" s="1871"/>
      <c r="V29" s="1872"/>
      <c r="W29" s="1866">
        <f>'XM.FILE GOC'!W29</f>
        <v>70</v>
      </c>
      <c r="X29" s="1867"/>
      <c r="Y29" s="1868"/>
      <c r="Z29" s="1870"/>
      <c r="AA29" s="1871"/>
      <c r="AB29" s="1872"/>
      <c r="AC29" s="1866">
        <f>'XM.FILE GOC'!AC29</f>
        <v>74</v>
      </c>
      <c r="AD29" s="1867"/>
      <c r="AE29" s="1868"/>
      <c r="AF29" s="1870"/>
      <c r="AG29" s="1871"/>
      <c r="AH29" s="1872"/>
      <c r="AI29" s="1866">
        <f>'XM.FILE GOC'!AI29</f>
        <v>0</v>
      </c>
      <c r="AJ29" s="1867"/>
      <c r="AK29" s="1868"/>
      <c r="AL29" s="1870"/>
      <c r="AM29" s="1871"/>
      <c r="AN29" s="1872"/>
      <c r="AO29" s="1866">
        <f>'XM.FILE GOC'!AO29</f>
        <v>73</v>
      </c>
      <c r="AP29" s="1867"/>
    </row>
    <row r="30" spans="1:45" s="233" customFormat="1" ht="54" customHeight="1">
      <c r="A30" s="335" t="s">
        <v>78</v>
      </c>
      <c r="B30" s="336"/>
      <c r="C30" s="336"/>
      <c r="D30" s="336"/>
      <c r="E30" s="1613"/>
      <c r="F30" s="1625"/>
      <c r="G30" s="336"/>
      <c r="H30" s="336"/>
      <c r="I30" s="336"/>
      <c r="J30" s="336"/>
      <c r="K30" s="336"/>
      <c r="L30" s="336"/>
      <c r="M30" s="336"/>
      <c r="N30" s="337"/>
      <c r="O30" s="336"/>
      <c r="P30" s="336"/>
      <c r="Q30" s="336"/>
      <c r="R30" s="337"/>
      <c r="S30" s="336"/>
      <c r="T30" s="337"/>
      <c r="U30" s="336"/>
      <c r="V30" s="336"/>
      <c r="W30" s="336"/>
      <c r="X30" s="336"/>
      <c r="Y30" s="336"/>
      <c r="Z30" s="336"/>
      <c r="AA30" s="336"/>
      <c r="AB30" s="336"/>
      <c r="AC30" s="336"/>
      <c r="AD30" s="336"/>
      <c r="AE30" s="337"/>
      <c r="AF30" s="337"/>
      <c r="AG30" s="337"/>
      <c r="AH30" s="337"/>
      <c r="AI30" s="337"/>
      <c r="AJ30" s="337"/>
      <c r="AK30" s="337"/>
      <c r="AL30" s="337"/>
      <c r="AM30" s="337"/>
      <c r="AN30" s="337"/>
      <c r="AO30" s="337"/>
      <c r="AP30" s="1155"/>
    </row>
    <row r="31" spans="1:45" s="111" customFormat="1" ht="45.75" customHeight="1">
      <c r="A31" s="324" t="s">
        <v>298</v>
      </c>
      <c r="B31" s="1199" t="s">
        <v>236</v>
      </c>
      <c r="C31" s="1200" t="s">
        <v>54</v>
      </c>
      <c r="D31" s="116" t="s">
        <v>50</v>
      </c>
      <c r="E31" s="1616" t="s">
        <v>264</v>
      </c>
      <c r="F31" s="1641"/>
      <c r="G31" s="328"/>
      <c r="H31" s="1866">
        <f>'XM.FILE GOC'!H31</f>
        <v>350</v>
      </c>
      <c r="I31" s="1867"/>
      <c r="J31" s="1867"/>
      <c r="K31" s="1867"/>
      <c r="L31" s="1868"/>
      <c r="M31" s="327"/>
      <c r="N31" s="1866">
        <f>'XM.FILE GOC'!N31</f>
        <v>345</v>
      </c>
      <c r="O31" s="1867"/>
      <c r="P31" s="1867"/>
      <c r="Q31" s="1867"/>
      <c r="R31" s="1868"/>
      <c r="T31" s="1866">
        <f>'XM.FILE GOC'!T31</f>
        <v>330</v>
      </c>
      <c r="U31" s="1867"/>
      <c r="V31" s="1867"/>
      <c r="W31" s="1867"/>
      <c r="X31" s="1868"/>
      <c r="Y31" s="1202"/>
      <c r="Z31" s="1866">
        <f>'XM.FILE GOC'!Z31</f>
        <v>335</v>
      </c>
      <c r="AA31" s="1867"/>
      <c r="AB31" s="1867"/>
      <c r="AC31" s="1867"/>
      <c r="AD31" s="1868"/>
      <c r="AE31" s="310"/>
      <c r="AF31" s="1866">
        <f>'XM.FILE GOC'!AF31</f>
        <v>0</v>
      </c>
      <c r="AG31" s="1867"/>
      <c r="AH31" s="1867"/>
      <c r="AI31" s="1867"/>
      <c r="AJ31" s="1868"/>
      <c r="AK31" s="310"/>
      <c r="AL31" s="1866">
        <f>'XM.FILE GOC'!AL31</f>
        <v>340</v>
      </c>
      <c r="AM31" s="1867"/>
      <c r="AN31" s="1867"/>
      <c r="AO31" s="1867"/>
      <c r="AP31" s="1868"/>
    </row>
    <row r="32" spans="1:45" s="111" customFormat="1" ht="45.75" customHeight="1">
      <c r="A32" s="324" t="s">
        <v>299</v>
      </c>
      <c r="B32" s="1199" t="s">
        <v>236</v>
      </c>
      <c r="C32" s="127" t="s">
        <v>55</v>
      </c>
      <c r="D32" s="116" t="s">
        <v>50</v>
      </c>
      <c r="E32" s="1617" t="s">
        <v>265</v>
      </c>
      <c r="F32" s="1623"/>
      <c r="G32" s="55"/>
      <c r="H32" s="1866">
        <f>'XM.FILE GOC'!H32</f>
        <v>44</v>
      </c>
      <c r="I32" s="1867"/>
      <c r="J32" s="1867"/>
      <c r="K32" s="1867"/>
      <c r="L32" s="1868"/>
      <c r="M32" s="1196"/>
      <c r="N32" s="1866">
        <f>'XM.FILE GOC'!N32</f>
        <v>42</v>
      </c>
      <c r="O32" s="1867"/>
      <c r="P32" s="1867"/>
      <c r="Q32" s="1867"/>
      <c r="R32" s="1868"/>
      <c r="S32" s="1203"/>
      <c r="T32" s="1866">
        <f>'XM.FILE GOC'!T32</f>
        <v>42</v>
      </c>
      <c r="U32" s="1867"/>
      <c r="V32" s="1867"/>
      <c r="W32" s="1867"/>
      <c r="X32" s="1868"/>
      <c r="Y32" s="1196"/>
      <c r="Z32" s="1866">
        <f>'XM.FILE GOC'!Z32</f>
        <v>40</v>
      </c>
      <c r="AA32" s="1867"/>
      <c r="AB32" s="1867"/>
      <c r="AC32" s="1867"/>
      <c r="AD32" s="1868"/>
      <c r="AE32" s="1181"/>
      <c r="AF32" s="1866">
        <f>'XM.FILE GOC'!AF32</f>
        <v>0</v>
      </c>
      <c r="AG32" s="1867"/>
      <c r="AH32" s="1867"/>
      <c r="AI32" s="1867"/>
      <c r="AJ32" s="1868"/>
      <c r="AK32" s="1181"/>
      <c r="AL32" s="1866">
        <f>'XM.FILE GOC'!AL32</f>
        <v>42</v>
      </c>
      <c r="AM32" s="1867"/>
      <c r="AN32" s="1867"/>
      <c r="AO32" s="1867"/>
      <c r="AP32" s="1868"/>
    </row>
    <row r="33" spans="1:45" s="111" customFormat="1" ht="22.5" customHeight="1">
      <c r="A33" s="323"/>
      <c r="B33" s="323"/>
      <c r="C33" s="1183"/>
      <c r="D33" s="234"/>
      <c r="E33" s="1618"/>
      <c r="F33" s="1642"/>
      <c r="G33" s="115"/>
      <c r="H33" s="1183"/>
      <c r="I33" s="1183"/>
      <c r="J33" s="1183"/>
      <c r="K33" s="1183"/>
      <c r="L33" s="1183"/>
      <c r="M33" s="1183"/>
      <c r="N33" s="1183"/>
      <c r="O33" s="1183"/>
      <c r="P33" s="1183"/>
      <c r="Q33" s="1183"/>
      <c r="R33" s="1183"/>
      <c r="T33" s="1183"/>
      <c r="U33" s="1183"/>
      <c r="V33" s="1183"/>
      <c r="W33" s="1183"/>
      <c r="X33" s="1183"/>
      <c r="Y33" s="1183"/>
      <c r="Z33" s="1183"/>
      <c r="AA33" s="1183"/>
      <c r="AB33" s="1183"/>
      <c r="AC33" s="1183"/>
      <c r="AD33" s="1183"/>
      <c r="AE33" s="125"/>
      <c r="AF33" s="1182"/>
      <c r="AG33" s="112"/>
      <c r="AH33" s="112"/>
      <c r="AI33" s="112"/>
      <c r="AJ33" s="112"/>
      <c r="AK33" s="125"/>
      <c r="AL33" s="112"/>
      <c r="AM33" s="112"/>
      <c r="AN33" s="112"/>
      <c r="AO33" s="112"/>
      <c r="AP33" s="112"/>
    </row>
    <row r="34" spans="1:45" ht="41.25" customHeight="1">
      <c r="A34" s="1228" t="s">
        <v>233</v>
      </c>
      <c r="B34" s="1229"/>
      <c r="C34" s="1230"/>
      <c r="D34" s="1230"/>
      <c r="E34" s="1607"/>
      <c r="F34" s="1631" t="s">
        <v>92</v>
      </c>
      <c r="G34" s="1231"/>
      <c r="H34" s="1232"/>
      <c r="I34" s="1231"/>
      <c r="J34" s="1231"/>
      <c r="K34" s="1233"/>
      <c r="L34" s="1233"/>
      <c r="M34" s="1233"/>
      <c r="N34" s="1233"/>
      <c r="O34" s="1233"/>
      <c r="P34" s="1233"/>
      <c r="Q34" s="1233"/>
      <c r="R34" s="1231"/>
      <c r="S34" s="1231"/>
      <c r="T34" s="1231"/>
      <c r="U34" s="1231"/>
      <c r="V34" s="1231"/>
      <c r="W34" s="1231"/>
      <c r="X34" s="1231"/>
      <c r="Y34" s="1231"/>
      <c r="Z34" s="1231"/>
      <c r="AA34" s="1231"/>
      <c r="AB34" s="1231"/>
      <c r="AC34" s="1231"/>
      <c r="AD34" s="1231"/>
      <c r="AE34" s="1226"/>
      <c r="AF34" s="1229" t="s">
        <v>233</v>
      </c>
      <c r="AG34" s="1234"/>
      <c r="AH34" s="1234"/>
      <c r="AI34" s="1234"/>
      <c r="AJ34" s="1234"/>
      <c r="AK34" s="1234"/>
      <c r="AL34" s="1234"/>
      <c r="AM34" s="1234"/>
      <c r="AN34" s="1234"/>
      <c r="AO34" s="1234"/>
      <c r="AP34" s="1235"/>
    </row>
    <row r="35" spans="1:45" ht="36.75" customHeight="1">
      <c r="A35" s="1195"/>
      <c r="B35" s="1195"/>
      <c r="C35" s="1195"/>
      <c r="D35" s="1195"/>
      <c r="E35" s="1608"/>
      <c r="F35" s="2114" t="s">
        <v>141</v>
      </c>
      <c r="G35" s="105"/>
      <c r="H35" s="314" t="s">
        <v>241</v>
      </c>
      <c r="I35" s="314"/>
      <c r="J35" s="314"/>
      <c r="K35" s="314"/>
      <c r="L35" s="314"/>
      <c r="M35" s="106"/>
      <c r="N35" s="331" t="s">
        <v>242</v>
      </c>
      <c r="O35" s="314"/>
      <c r="P35" s="314"/>
      <c r="Q35" s="314"/>
      <c r="R35" s="315"/>
      <c r="S35" s="314"/>
      <c r="T35" s="314" t="s">
        <v>243</v>
      </c>
      <c r="U35" s="314"/>
      <c r="V35" s="314"/>
      <c r="W35" s="314"/>
      <c r="X35" s="314"/>
      <c r="Y35" s="106"/>
      <c r="Z35" s="331" t="s">
        <v>244</v>
      </c>
      <c r="AA35" s="314"/>
      <c r="AB35" s="314"/>
      <c r="AC35" s="314"/>
      <c r="AD35" s="315"/>
      <c r="AE35" s="314"/>
      <c r="AF35" s="314" t="s">
        <v>245</v>
      </c>
      <c r="AG35" s="314"/>
      <c r="AH35" s="314"/>
      <c r="AI35" s="314"/>
      <c r="AJ35" s="314"/>
      <c r="AK35" s="314"/>
      <c r="AL35" s="331" t="s">
        <v>246</v>
      </c>
      <c r="AM35" s="314"/>
      <c r="AN35" s="314"/>
      <c r="AO35" s="315"/>
      <c r="AP35" s="1154"/>
    </row>
    <row r="36" spans="1:45" ht="63.75" customHeight="1">
      <c r="A36" s="1198" t="s">
        <v>276</v>
      </c>
      <c r="B36" s="1198" t="s">
        <v>359</v>
      </c>
      <c r="C36" s="1202" t="s">
        <v>357</v>
      </c>
      <c r="D36" s="1198" t="s">
        <v>137</v>
      </c>
      <c r="E36" s="1663" t="s">
        <v>1469</v>
      </c>
      <c r="F36" s="2115"/>
      <c r="G36" s="21"/>
      <c r="H36" s="1195" t="s">
        <v>146</v>
      </c>
      <c r="I36" s="36" t="s">
        <v>1</v>
      </c>
      <c r="J36" s="332" t="s">
        <v>1</v>
      </c>
      <c r="K36" s="332"/>
      <c r="L36" s="333"/>
      <c r="M36" s="107"/>
      <c r="N36" s="1195" t="s">
        <v>146</v>
      </c>
      <c r="O36" s="36" t="s">
        <v>1</v>
      </c>
      <c r="P36" s="332" t="s">
        <v>1</v>
      </c>
      <c r="Q36" s="332"/>
      <c r="R36" s="333"/>
      <c r="S36" s="21"/>
      <c r="T36" s="1195" t="s">
        <v>146</v>
      </c>
      <c r="U36" s="36" t="s">
        <v>1</v>
      </c>
      <c r="V36" s="332" t="s">
        <v>1</v>
      </c>
      <c r="W36" s="332"/>
      <c r="X36" s="333"/>
      <c r="Y36" s="107"/>
      <c r="Z36" s="1195" t="s">
        <v>146</v>
      </c>
      <c r="AA36" s="36" t="s">
        <v>1</v>
      </c>
      <c r="AB36" s="332" t="s">
        <v>1</v>
      </c>
      <c r="AC36" s="332"/>
      <c r="AD36" s="333"/>
      <c r="AE36" s="107"/>
      <c r="AF36" s="1195" t="s">
        <v>146</v>
      </c>
      <c r="AG36" s="36" t="s">
        <v>1</v>
      </c>
      <c r="AH36" s="332" t="s">
        <v>1</v>
      </c>
      <c r="AI36" s="332"/>
      <c r="AJ36" s="333"/>
      <c r="AK36" s="107"/>
      <c r="AL36" s="1195" t="s">
        <v>146</v>
      </c>
      <c r="AM36" s="36" t="s">
        <v>1</v>
      </c>
      <c r="AN36" s="332" t="s">
        <v>1</v>
      </c>
      <c r="AO36" s="332"/>
      <c r="AP36" s="333"/>
      <c r="AR36" s="1219" t="s">
        <v>1092</v>
      </c>
      <c r="AS36" s="1220" t="s">
        <v>1091</v>
      </c>
    </row>
    <row r="37" spans="1:45" ht="34.5" customHeight="1">
      <c r="A37" s="1199" t="s">
        <v>300</v>
      </c>
      <c r="B37" s="1199" t="s">
        <v>235</v>
      </c>
      <c r="C37" s="1199" t="s">
        <v>80</v>
      </c>
      <c r="D37" s="1203" t="s">
        <v>4</v>
      </c>
      <c r="E37" s="1609" t="s">
        <v>1057</v>
      </c>
      <c r="F37" s="1632">
        <v>70</v>
      </c>
      <c r="G37" s="109">
        <f>XM.HN!B19</f>
        <v>11.1</v>
      </c>
      <c r="H37" s="64">
        <f>G37*6.49</f>
        <v>72.039000000000001</v>
      </c>
      <c r="I37" s="36">
        <f>($F$37-H37)*2693/1000</f>
        <v>-5.4910270000000034</v>
      </c>
      <c r="J37" s="39" t="s">
        <v>8</v>
      </c>
      <c r="K37" s="40">
        <f>IF(I37&lt;0,0,I37)</f>
        <v>0</v>
      </c>
      <c r="L37" s="45" t="s">
        <v>9</v>
      </c>
      <c r="M37" s="107">
        <f>XM.HN!C19</f>
        <v>10.9</v>
      </c>
      <c r="N37" s="64">
        <f>M37*6.49</f>
        <v>70.741</v>
      </c>
      <c r="O37" s="36">
        <f>($F$37-N37)*2693/1000</f>
        <v>-1.995512999999999</v>
      </c>
      <c r="P37" s="39" t="s">
        <v>8</v>
      </c>
      <c r="Q37" s="40">
        <f>IF(O37&lt;0,0,O37)</f>
        <v>0</v>
      </c>
      <c r="R37" s="45" t="s">
        <v>9</v>
      </c>
      <c r="S37" s="21">
        <f>XM.HN!D19</f>
        <v>11.3</v>
      </c>
      <c r="T37" s="64">
        <f>S37*6.49</f>
        <v>73.337000000000003</v>
      </c>
      <c r="U37" s="36">
        <f>($F$37-T37)*2693/1000</f>
        <v>-8.9865410000000079</v>
      </c>
      <c r="V37" s="39" t="s">
        <v>8</v>
      </c>
      <c r="W37" s="40">
        <f>IF(U37&lt;0,0,U37)</f>
        <v>0</v>
      </c>
      <c r="X37" s="45" t="s">
        <v>9</v>
      </c>
      <c r="Y37" s="107">
        <f>XM.HN!E19</f>
        <v>11.1</v>
      </c>
      <c r="Z37" s="64">
        <f>Y37*6.49</f>
        <v>72.039000000000001</v>
      </c>
      <c r="AA37" s="36">
        <f>($F$37-Z37)*2693/1000</f>
        <v>-5.4910270000000034</v>
      </c>
      <c r="AB37" s="39" t="s">
        <v>8</v>
      </c>
      <c r="AC37" s="40">
        <f>IF(AA37&lt;0,0,AA37)</f>
        <v>0</v>
      </c>
      <c r="AD37" s="45" t="s">
        <v>9</v>
      </c>
      <c r="AE37" s="107">
        <f>XM.HN!F19</f>
        <v>0</v>
      </c>
      <c r="AF37" s="64">
        <f>AE37*6.49</f>
        <v>0</v>
      </c>
      <c r="AG37" s="36">
        <f>($F$37-AF37)*2693/1000</f>
        <v>188.51</v>
      </c>
      <c r="AH37" s="39" t="s">
        <v>8</v>
      </c>
      <c r="AI37" s="40">
        <f>IF(AG37&lt;0,0,AG37)</f>
        <v>188.51</v>
      </c>
      <c r="AJ37" s="45" t="s">
        <v>9</v>
      </c>
      <c r="AK37" s="107">
        <f>XM.HN!G19</f>
        <v>11</v>
      </c>
      <c r="AL37" s="64">
        <f>AK37*6.49</f>
        <v>71.39</v>
      </c>
      <c r="AM37" s="36">
        <f>($F$37-AL37)*2693/1000</f>
        <v>-3.7432700000000012</v>
      </c>
      <c r="AN37" s="39" t="s">
        <v>8</v>
      </c>
      <c r="AO37" s="40">
        <f>IF(AM37&lt;0,0,AM37)</f>
        <v>0</v>
      </c>
      <c r="AP37" s="45" t="s">
        <v>9</v>
      </c>
      <c r="AR37" s="1221" t="s">
        <v>1095</v>
      </c>
      <c r="AS37" s="2117" t="s">
        <v>1105</v>
      </c>
    </row>
    <row r="38" spans="1:45" ht="34.5" customHeight="1">
      <c r="A38" s="1199" t="s">
        <v>301</v>
      </c>
      <c r="B38" s="1199" t="s">
        <v>235</v>
      </c>
      <c r="C38" s="1199" t="s">
        <v>81</v>
      </c>
      <c r="D38" s="1203" t="s">
        <v>4</v>
      </c>
      <c r="E38" s="1609" t="s">
        <v>1057</v>
      </c>
      <c r="F38" s="1632">
        <v>70</v>
      </c>
      <c r="G38" s="109">
        <f>XM.HN!B20</f>
        <v>12.2</v>
      </c>
      <c r="H38" s="64">
        <f>G38*6.49</f>
        <v>79.177999999999997</v>
      </c>
      <c r="I38" s="36">
        <f>($F$38-H38)*3305/1000</f>
        <v>-30.333289999999991</v>
      </c>
      <c r="J38" s="39" t="s">
        <v>8</v>
      </c>
      <c r="K38" s="40">
        <f>IF(I38&lt;0,0,I38)</f>
        <v>0</v>
      </c>
      <c r="L38" s="45" t="s">
        <v>9</v>
      </c>
      <c r="M38" s="107">
        <f>XM.HN!C20</f>
        <v>12.2</v>
      </c>
      <c r="N38" s="64">
        <f>M38*6.49</f>
        <v>79.177999999999997</v>
      </c>
      <c r="O38" s="36">
        <f>($F$38-N38)*3305/1000</f>
        <v>-30.333289999999991</v>
      </c>
      <c r="P38" s="39" t="s">
        <v>8</v>
      </c>
      <c r="Q38" s="40">
        <f>IF(O38&lt;0,0,O38)</f>
        <v>0</v>
      </c>
      <c r="R38" s="45" t="s">
        <v>9</v>
      </c>
      <c r="S38" s="21">
        <f>XM.HN!D20</f>
        <v>12.3</v>
      </c>
      <c r="T38" s="64">
        <f>S38*6.49</f>
        <v>79.827000000000012</v>
      </c>
      <c r="U38" s="36">
        <f>($F$38-T38)*3305/1000</f>
        <v>-32.478235000000041</v>
      </c>
      <c r="V38" s="39" t="s">
        <v>8</v>
      </c>
      <c r="W38" s="40">
        <f>IF(U38&lt;0,0,U38)</f>
        <v>0</v>
      </c>
      <c r="X38" s="45" t="s">
        <v>9</v>
      </c>
      <c r="Y38" s="107">
        <f>XM.HN!E20</f>
        <v>12.5</v>
      </c>
      <c r="Z38" s="64">
        <f>Y38*6.49</f>
        <v>81.125</v>
      </c>
      <c r="AA38" s="36">
        <f>($F$38-Z38)*3305/1000</f>
        <v>-36.768124999999998</v>
      </c>
      <c r="AB38" s="39" t="s">
        <v>8</v>
      </c>
      <c r="AC38" s="40">
        <f>IF(AA38&lt;0,0,AA38)</f>
        <v>0</v>
      </c>
      <c r="AD38" s="45" t="s">
        <v>9</v>
      </c>
      <c r="AE38" s="107">
        <f>XM.HN!F20</f>
        <v>0</v>
      </c>
      <c r="AF38" s="64">
        <f>AE38*6.49</f>
        <v>0</v>
      </c>
      <c r="AG38" s="36">
        <f>($F$38-AF38)*3305/1000</f>
        <v>231.35</v>
      </c>
      <c r="AH38" s="39" t="s">
        <v>8</v>
      </c>
      <c r="AI38" s="40">
        <f>IF(AG38&lt;0,0,AG38)</f>
        <v>231.35</v>
      </c>
      <c r="AJ38" s="45" t="s">
        <v>9</v>
      </c>
      <c r="AK38" s="107">
        <f>XM.HN!G20</f>
        <v>12.4</v>
      </c>
      <c r="AL38" s="64">
        <f>AK38*6.49</f>
        <v>80.475999999999999</v>
      </c>
      <c r="AM38" s="38">
        <f>($F$38-AL38)*3305/1000</f>
        <v>-34.623179999999998</v>
      </c>
      <c r="AN38" s="39" t="s">
        <v>8</v>
      </c>
      <c r="AO38" s="1156">
        <f>IF(AM38&lt;0,0,AM38)</f>
        <v>0</v>
      </c>
      <c r="AP38" s="41" t="s">
        <v>9</v>
      </c>
      <c r="AR38" s="1221" t="s">
        <v>1095</v>
      </c>
      <c r="AS38" s="2118"/>
    </row>
    <row r="39" spans="1:45" ht="34.5" customHeight="1">
      <c r="A39" s="1199" t="s">
        <v>302</v>
      </c>
      <c r="B39" s="1199" t="s">
        <v>235</v>
      </c>
      <c r="C39" s="1199" t="s">
        <v>52</v>
      </c>
      <c r="D39" s="54" t="s">
        <v>4</v>
      </c>
      <c r="E39" s="1609" t="s">
        <v>270</v>
      </c>
      <c r="F39" s="1632">
        <v>60</v>
      </c>
      <c r="G39" s="109">
        <f>XM.HN!B21</f>
        <v>11.2</v>
      </c>
      <c r="H39" s="64">
        <f>G39*4.62</f>
        <v>51.744</v>
      </c>
      <c r="I39" s="38">
        <f>($F$39-H39)*1156/1000</f>
        <v>9.5439360000000004</v>
      </c>
      <c r="J39" s="39" t="s">
        <v>8</v>
      </c>
      <c r="K39" s="40">
        <f>IF(I39&lt;0,0,I39)</f>
        <v>9.5439360000000004</v>
      </c>
      <c r="L39" s="45" t="s">
        <v>9</v>
      </c>
      <c r="M39" s="124">
        <f>XM.HN!C21</f>
        <v>11.6</v>
      </c>
      <c r="N39" s="64">
        <f>M39*4.62</f>
        <v>53.591999999999999</v>
      </c>
      <c r="O39" s="38">
        <f>($F$39-N39)*1156/1000</f>
        <v>7.4076480000000009</v>
      </c>
      <c r="P39" s="39" t="s">
        <v>8</v>
      </c>
      <c r="Q39" s="40">
        <f>IF(O39&lt;0,0,O39)</f>
        <v>7.4076480000000009</v>
      </c>
      <c r="R39" s="45" t="s">
        <v>9</v>
      </c>
      <c r="S39" s="109">
        <f>XM.HN!D21</f>
        <v>12.1</v>
      </c>
      <c r="T39" s="64">
        <f>S39*4.62</f>
        <v>55.902000000000001</v>
      </c>
      <c r="U39" s="38">
        <f>($F$39-T39)*1156/1000</f>
        <v>4.7372879999999986</v>
      </c>
      <c r="V39" s="39" t="s">
        <v>8</v>
      </c>
      <c r="W39" s="40">
        <f>IF(U39&lt;0,0,U39)</f>
        <v>4.7372879999999986</v>
      </c>
      <c r="X39" s="45" t="s">
        <v>9</v>
      </c>
      <c r="Y39" s="109">
        <f>XM.HN!E21</f>
        <v>13.5</v>
      </c>
      <c r="Z39" s="64">
        <f>Y39*4.62</f>
        <v>62.370000000000005</v>
      </c>
      <c r="AA39" s="38">
        <f>($F$39-Z39)*1156/1000</f>
        <v>-2.739720000000005</v>
      </c>
      <c r="AB39" s="39" t="s">
        <v>8</v>
      </c>
      <c r="AC39" s="40">
        <f>IF(AA39&lt;0,0,AA39)</f>
        <v>0</v>
      </c>
      <c r="AD39" s="45" t="s">
        <v>9</v>
      </c>
      <c r="AE39" s="109">
        <f>XM.HN!F21</f>
        <v>0</v>
      </c>
      <c r="AF39" s="64">
        <f>AE39*4.62</f>
        <v>0</v>
      </c>
      <c r="AG39" s="38">
        <f>($F$39-AF39)*1156/1000</f>
        <v>69.36</v>
      </c>
      <c r="AH39" s="39" t="s">
        <v>8</v>
      </c>
      <c r="AI39" s="40">
        <f>IF(AG39&lt;0,0,AG39)</f>
        <v>69.36</v>
      </c>
      <c r="AJ39" s="45" t="s">
        <v>9</v>
      </c>
      <c r="AK39" s="109">
        <f>XM.HN!G21</f>
        <v>13.2</v>
      </c>
      <c r="AL39" s="64">
        <f>AK39*4.62</f>
        <v>60.983999999999995</v>
      </c>
      <c r="AM39" s="38">
        <f>($F$39-AL39)*1156/1000</f>
        <v>-1.1375039999999939</v>
      </c>
      <c r="AN39" s="39" t="s">
        <v>8</v>
      </c>
      <c r="AO39" s="1156">
        <f>IF(AM39&lt;0,0,AM39)</f>
        <v>0</v>
      </c>
      <c r="AP39" s="41" t="s">
        <v>9</v>
      </c>
      <c r="AR39" s="1221" t="s">
        <v>1095</v>
      </c>
      <c r="AS39" s="2118" t="s">
        <v>1106</v>
      </c>
    </row>
    <row r="40" spans="1:45" ht="34.5" customHeight="1">
      <c r="A40" s="1199" t="s">
        <v>303</v>
      </c>
      <c r="B40" s="1199" t="s">
        <v>235</v>
      </c>
      <c r="C40" s="1199" t="s">
        <v>53</v>
      </c>
      <c r="D40" s="54" t="s">
        <v>4</v>
      </c>
      <c r="E40" s="1609" t="s">
        <v>270</v>
      </c>
      <c r="F40" s="1632">
        <v>60</v>
      </c>
      <c r="G40" s="109">
        <f>XM.HN!B22</f>
        <v>16.399999999999999</v>
      </c>
      <c r="H40" s="64">
        <f>G40*4.62</f>
        <v>75.768000000000001</v>
      </c>
      <c r="I40" s="38">
        <f>($F$40-H40)*1459/1000</f>
        <v>-23.005512000000003</v>
      </c>
      <c r="J40" s="39" t="s">
        <v>8</v>
      </c>
      <c r="K40" s="40">
        <f>IF(I40&lt;0,0,I40)</f>
        <v>0</v>
      </c>
      <c r="L40" s="45" t="s">
        <v>9</v>
      </c>
      <c r="M40" s="124">
        <f>XM.HN!C22</f>
        <v>9.1999999999999993</v>
      </c>
      <c r="N40" s="64">
        <f>M40*4.62</f>
        <v>42.503999999999998</v>
      </c>
      <c r="O40" s="38">
        <f>($F$40-N40)*1459/1000</f>
        <v>25.526664000000004</v>
      </c>
      <c r="P40" s="39" t="s">
        <v>8</v>
      </c>
      <c r="Q40" s="40">
        <f>IF(O40&lt;0,0,O40)</f>
        <v>25.526664000000004</v>
      </c>
      <c r="R40" s="45" t="s">
        <v>9</v>
      </c>
      <c r="S40" s="109">
        <f>XM.HN!D22</f>
        <v>11.7</v>
      </c>
      <c r="T40" s="64">
        <f>S40*4.62</f>
        <v>54.053999999999995</v>
      </c>
      <c r="U40" s="38">
        <f>($F$40-T40)*1459/1000</f>
        <v>8.6752140000000075</v>
      </c>
      <c r="V40" s="39" t="s">
        <v>8</v>
      </c>
      <c r="W40" s="40">
        <f>IF(U40&lt;0,0,U40)</f>
        <v>8.6752140000000075</v>
      </c>
      <c r="X40" s="45" t="s">
        <v>9</v>
      </c>
      <c r="Y40" s="109">
        <f>XM.HN!E22</f>
        <v>12.6</v>
      </c>
      <c r="Z40" s="64">
        <f>Y40*4.62</f>
        <v>58.211999999999996</v>
      </c>
      <c r="AA40" s="38">
        <f>($F$40-Z40)*1459/1000</f>
        <v>2.6086920000000053</v>
      </c>
      <c r="AB40" s="39" t="s">
        <v>8</v>
      </c>
      <c r="AC40" s="40">
        <f>IF(AA40&lt;0,0,AA40)</f>
        <v>2.6086920000000053</v>
      </c>
      <c r="AD40" s="45" t="s">
        <v>9</v>
      </c>
      <c r="AE40" s="109">
        <f>XM.HN!F22</f>
        <v>0</v>
      </c>
      <c r="AF40" s="64">
        <f>AE40*4.62</f>
        <v>0</v>
      </c>
      <c r="AG40" s="38">
        <f>($F$40-AF40)*1459/1000</f>
        <v>87.54</v>
      </c>
      <c r="AH40" s="39" t="s">
        <v>8</v>
      </c>
      <c r="AI40" s="40">
        <f>IF(AG40&lt;0,0,AG40)</f>
        <v>87.54</v>
      </c>
      <c r="AJ40" s="45" t="s">
        <v>9</v>
      </c>
      <c r="AK40" s="109">
        <f>XM.HN!G22</f>
        <v>12.5</v>
      </c>
      <c r="AL40" s="64">
        <f>AK40*4.62</f>
        <v>57.75</v>
      </c>
      <c r="AM40" s="38">
        <f>($F$40-AL40)*1459/1000</f>
        <v>3.2827500000000001</v>
      </c>
      <c r="AN40" s="39" t="s">
        <v>8</v>
      </c>
      <c r="AO40" s="1156">
        <f>IF(AM40&lt;0,0,AM40)</f>
        <v>3.2827500000000001</v>
      </c>
      <c r="AP40" s="41" t="s">
        <v>9</v>
      </c>
      <c r="AR40" s="1221" t="s">
        <v>1095</v>
      </c>
      <c r="AS40" s="2119"/>
    </row>
    <row r="41" spans="1:45" ht="34.5" customHeight="1">
      <c r="A41" s="1199" t="s">
        <v>304</v>
      </c>
      <c r="B41" s="1199" t="s">
        <v>235</v>
      </c>
      <c r="C41" s="1197" t="s">
        <v>59</v>
      </c>
      <c r="D41" s="1203" t="s">
        <v>4</v>
      </c>
      <c r="E41" s="1609" t="s">
        <v>1442</v>
      </c>
      <c r="F41" s="1633">
        <v>140</v>
      </c>
      <c r="G41" s="109">
        <f>XM.HN!B23</f>
        <v>17.5</v>
      </c>
      <c r="H41" s="64">
        <f>G41*8</f>
        <v>140</v>
      </c>
      <c r="I41" s="38">
        <f>($F$41-H41)*19951/1000</f>
        <v>0</v>
      </c>
      <c r="J41" s="39" t="s">
        <v>8</v>
      </c>
      <c r="K41" s="40">
        <f t="shared" ref="K41" si="12">IF(I41&lt;0,0,I41)</f>
        <v>0</v>
      </c>
      <c r="L41" s="45" t="s">
        <v>9</v>
      </c>
      <c r="M41" s="124">
        <f>XM.HN!C23</f>
        <v>17.5</v>
      </c>
      <c r="N41" s="64">
        <f>M41*8</f>
        <v>140</v>
      </c>
      <c r="O41" s="38">
        <f>($F$41-N41)*19951/1000</f>
        <v>0</v>
      </c>
      <c r="P41" s="39" t="s">
        <v>8</v>
      </c>
      <c r="Q41" s="40">
        <f t="shared" ref="Q41" si="13">IF(O41&lt;0,0,O41)</f>
        <v>0</v>
      </c>
      <c r="R41" s="45" t="s">
        <v>9</v>
      </c>
      <c r="S41" s="109">
        <f>XM.HN!D23</f>
        <v>17.5</v>
      </c>
      <c r="T41" s="64">
        <f>S41*8</f>
        <v>140</v>
      </c>
      <c r="U41" s="38">
        <f>($F$41-T41)*19951/1000</f>
        <v>0</v>
      </c>
      <c r="V41" s="39" t="s">
        <v>8</v>
      </c>
      <c r="W41" s="40">
        <f t="shared" ref="W41" si="14">IF(U41&lt;0,0,U41)</f>
        <v>0</v>
      </c>
      <c r="X41" s="45" t="s">
        <v>9</v>
      </c>
      <c r="Y41" s="109">
        <f>XM.HN!E23</f>
        <v>17.5</v>
      </c>
      <c r="Z41" s="64">
        <f>Y41*8</f>
        <v>140</v>
      </c>
      <c r="AA41" s="38">
        <f>($F$41-Z41)*19951/1000</f>
        <v>0</v>
      </c>
      <c r="AB41" s="39" t="s">
        <v>8</v>
      </c>
      <c r="AC41" s="40">
        <f t="shared" ref="AC41" si="15">IF(AA41&lt;0,0,AA41)</f>
        <v>0</v>
      </c>
      <c r="AD41" s="45" t="s">
        <v>9</v>
      </c>
      <c r="AE41" s="109">
        <f>XM.HN!F23</f>
        <v>0</v>
      </c>
      <c r="AF41" s="64">
        <f>AE41*8</f>
        <v>0</v>
      </c>
      <c r="AG41" s="38">
        <f>($F$41-AF41)*19951/1000</f>
        <v>2793.14</v>
      </c>
      <c r="AH41" s="39" t="s">
        <v>8</v>
      </c>
      <c r="AI41" s="40">
        <f t="shared" ref="AI41" si="16">IF(AG41&lt;0,0,AG41)</f>
        <v>2793.14</v>
      </c>
      <c r="AJ41" s="45" t="s">
        <v>9</v>
      </c>
      <c r="AK41" s="109">
        <f>XM.HN!G23</f>
        <v>17.5</v>
      </c>
      <c r="AL41" s="64">
        <f>AK41*8</f>
        <v>140</v>
      </c>
      <c r="AM41" s="38">
        <f>($F$41-AL41)*19951/1000</f>
        <v>0</v>
      </c>
      <c r="AN41" s="39" t="s">
        <v>8</v>
      </c>
      <c r="AO41" s="1156">
        <f t="shared" ref="AO41" si="17">IF(AM41&lt;0,0,AM41)</f>
        <v>0</v>
      </c>
      <c r="AP41" s="41" t="s">
        <v>9</v>
      </c>
      <c r="AR41" s="1374" t="s">
        <v>1095</v>
      </c>
      <c r="AS41" s="1373" t="s">
        <v>1224</v>
      </c>
    </row>
    <row r="42" spans="1:45" ht="34.5" customHeight="1">
      <c r="A42" s="54" t="s">
        <v>305</v>
      </c>
      <c r="B42" s="1199" t="s">
        <v>235</v>
      </c>
      <c r="C42" s="1181" t="s">
        <v>60</v>
      </c>
      <c r="D42" s="1203" t="s">
        <v>4</v>
      </c>
      <c r="E42" s="1609" t="s">
        <v>1443</v>
      </c>
      <c r="F42" s="1634">
        <v>10</v>
      </c>
      <c r="G42" s="109">
        <f>XM.HN!B24</f>
        <v>6.3</v>
      </c>
      <c r="H42" s="64">
        <f>G42*1.3</f>
        <v>8.19</v>
      </c>
      <c r="I42" s="36">
        <f>($F$42-H42)*19951/1000</f>
        <v>36.11131000000001</v>
      </c>
      <c r="J42" s="39" t="s">
        <v>8</v>
      </c>
      <c r="K42" s="40">
        <f t="shared" ref="K42:K43" si="18">IF(I42&lt;0,0,I42)</f>
        <v>36.11131000000001</v>
      </c>
      <c r="L42" s="41" t="s">
        <v>9</v>
      </c>
      <c r="M42" s="107">
        <f>XM.HN!C24</f>
        <v>6.3</v>
      </c>
      <c r="N42" s="64">
        <f>M42*1.3</f>
        <v>8.19</v>
      </c>
      <c r="O42" s="36">
        <f>($F$42-N42)*19951/1000</f>
        <v>36.11131000000001</v>
      </c>
      <c r="P42" s="39" t="s">
        <v>8</v>
      </c>
      <c r="Q42" s="40">
        <f t="shared" ref="Q42:Q43" si="19">IF(O42&lt;0,0,O42)</f>
        <v>36.11131000000001</v>
      </c>
      <c r="R42" s="41" t="s">
        <v>9</v>
      </c>
      <c r="S42" s="21">
        <f>XM.HN!D24</f>
        <v>6.25</v>
      </c>
      <c r="T42" s="64">
        <f>S42*1.3</f>
        <v>8.125</v>
      </c>
      <c r="U42" s="36">
        <f>($F$42-T42)*19951/1000</f>
        <v>37.408124999999998</v>
      </c>
      <c r="V42" s="39" t="s">
        <v>8</v>
      </c>
      <c r="W42" s="40">
        <f t="shared" ref="W42:W43" si="20">IF(U42&lt;0,0,U42)</f>
        <v>37.408124999999998</v>
      </c>
      <c r="X42" s="41" t="s">
        <v>9</v>
      </c>
      <c r="Y42" s="107">
        <f>XM.HN!E24</f>
        <v>6.5</v>
      </c>
      <c r="Z42" s="64">
        <f>Y42*1.3</f>
        <v>8.4500000000000011</v>
      </c>
      <c r="AA42" s="36">
        <f>($F$42-Z42)*19951/1000</f>
        <v>30.924049999999976</v>
      </c>
      <c r="AB42" s="39" t="s">
        <v>8</v>
      </c>
      <c r="AC42" s="40">
        <f t="shared" ref="AC42:AC43" si="21">IF(AA42&lt;0,0,AA42)</f>
        <v>30.924049999999976</v>
      </c>
      <c r="AD42" s="41" t="s">
        <v>9</v>
      </c>
      <c r="AE42" s="107">
        <f>XM.HN!F24</f>
        <v>0</v>
      </c>
      <c r="AF42" s="64">
        <f>AE42*1.3</f>
        <v>0</v>
      </c>
      <c r="AG42" s="36">
        <f>($F$42-AF42)*19951/1000</f>
        <v>199.51</v>
      </c>
      <c r="AH42" s="39" t="s">
        <v>8</v>
      </c>
      <c r="AI42" s="40">
        <f t="shared" ref="AI42:AI43" si="22">IF(AG42&lt;0,0,AG42)</f>
        <v>199.51</v>
      </c>
      <c r="AJ42" s="41" t="s">
        <v>9</v>
      </c>
      <c r="AK42" s="107">
        <f>XM.HN!G24</f>
        <v>6.5</v>
      </c>
      <c r="AL42" s="64">
        <f>AK42*1.3</f>
        <v>8.4500000000000011</v>
      </c>
      <c r="AM42" s="36">
        <f>($F$42-AL42)*19951/1000</f>
        <v>30.924049999999976</v>
      </c>
      <c r="AN42" s="39" t="s">
        <v>8</v>
      </c>
      <c r="AO42" s="40">
        <f t="shared" ref="AO42:AO43" si="23">IF(AM42&lt;0,0,AM42)</f>
        <v>30.924049999999976</v>
      </c>
      <c r="AP42" s="41" t="s">
        <v>9</v>
      </c>
      <c r="AR42" s="1221" t="s">
        <v>1095</v>
      </c>
      <c r="AS42" s="1225" t="s">
        <v>1118</v>
      </c>
    </row>
    <row r="43" spans="1:45" ht="37.5" customHeight="1">
      <c r="A43" s="324" t="s">
        <v>306</v>
      </c>
      <c r="B43" s="1199" t="s">
        <v>235</v>
      </c>
      <c r="C43" s="1227" t="s">
        <v>1121</v>
      </c>
      <c r="D43" s="1203" t="s">
        <v>3</v>
      </c>
      <c r="E43" s="1609" t="s">
        <v>1444</v>
      </c>
      <c r="F43" s="1634">
        <v>8</v>
      </c>
      <c r="G43" s="109">
        <f>XM.HN!B25</f>
        <v>16.2</v>
      </c>
      <c r="H43" s="64">
        <f>(G43*0.4237)-1.0461</f>
        <v>5.8178400000000003</v>
      </c>
      <c r="I43" s="36">
        <f>($F$43-H43)*575/100</f>
        <v>12.547419999999997</v>
      </c>
      <c r="J43" s="39" t="s">
        <v>8</v>
      </c>
      <c r="K43" s="40">
        <f t="shared" si="18"/>
        <v>12.547419999999997</v>
      </c>
      <c r="L43" s="45" t="s">
        <v>10</v>
      </c>
      <c r="M43" s="107">
        <f>XM.HN!C25</f>
        <v>16</v>
      </c>
      <c r="N43" s="64">
        <f>(M43*0.4237)-1.0461</f>
        <v>5.7331000000000003</v>
      </c>
      <c r="O43" s="36">
        <f>($F$43-N43)*575/100</f>
        <v>13.034674999999998</v>
      </c>
      <c r="P43" s="39" t="s">
        <v>8</v>
      </c>
      <c r="Q43" s="40">
        <f t="shared" si="19"/>
        <v>13.034674999999998</v>
      </c>
      <c r="R43" s="45" t="s">
        <v>10</v>
      </c>
      <c r="S43" s="308">
        <f>XM.HN!D25</f>
        <v>14.9</v>
      </c>
      <c r="T43" s="64">
        <f>(S43*0.4237)-1.0461</f>
        <v>5.2670300000000001</v>
      </c>
      <c r="U43" s="36">
        <f>($F$43-T43)*575/100</f>
        <v>15.714577500000001</v>
      </c>
      <c r="V43" s="39" t="s">
        <v>8</v>
      </c>
      <c r="W43" s="40">
        <f t="shared" si="20"/>
        <v>15.714577500000001</v>
      </c>
      <c r="X43" s="45" t="s">
        <v>10</v>
      </c>
      <c r="Y43" s="308">
        <f>XM.HN!E25</f>
        <v>12.2</v>
      </c>
      <c r="Z43" s="64">
        <f>(Y43*0.4237)-1.0461</f>
        <v>4.1230399999999996</v>
      </c>
      <c r="AA43" s="36">
        <f>($F$43-Z43)*575/100</f>
        <v>22.292520000000003</v>
      </c>
      <c r="AB43" s="39" t="s">
        <v>8</v>
      </c>
      <c r="AC43" s="40">
        <f t="shared" si="21"/>
        <v>22.292520000000003</v>
      </c>
      <c r="AD43" s="45" t="s">
        <v>10</v>
      </c>
      <c r="AE43" s="308">
        <f>XM.HN!F25</f>
        <v>0</v>
      </c>
      <c r="AF43" s="64">
        <f>(AE43*0.4237)-1.0461</f>
        <v>-1.0461</v>
      </c>
      <c r="AG43" s="36">
        <f>($F$43-AF43)*575/100</f>
        <v>52.015074999999996</v>
      </c>
      <c r="AH43" s="39" t="s">
        <v>8</v>
      </c>
      <c r="AI43" s="40">
        <f t="shared" si="22"/>
        <v>52.015074999999996</v>
      </c>
      <c r="AJ43" s="45" t="s">
        <v>10</v>
      </c>
      <c r="AK43" s="308">
        <f>XM.HN!G25</f>
        <v>13.2</v>
      </c>
      <c r="AL43" s="64">
        <f>(AK43*0.4237)-1.0461</f>
        <v>4.5467399999999998</v>
      </c>
      <c r="AM43" s="36">
        <f>($F$43-AL43)*575/100</f>
        <v>19.856245000000001</v>
      </c>
      <c r="AN43" s="39" t="s">
        <v>8</v>
      </c>
      <c r="AO43" s="40">
        <f t="shared" si="23"/>
        <v>19.856245000000001</v>
      </c>
      <c r="AP43" s="45" t="s">
        <v>10</v>
      </c>
      <c r="AR43" s="1221" t="s">
        <v>1095</v>
      </c>
      <c r="AS43" s="1222" t="s">
        <v>1109</v>
      </c>
    </row>
    <row r="44" spans="1:45" ht="34.5" customHeight="1">
      <c r="A44" s="324" t="s">
        <v>307</v>
      </c>
      <c r="B44" s="1199" t="s">
        <v>235</v>
      </c>
      <c r="C44" s="327" t="s">
        <v>132</v>
      </c>
      <c r="D44" s="1203" t="s">
        <v>5</v>
      </c>
      <c r="E44" s="1609" t="s">
        <v>1491</v>
      </c>
      <c r="F44" s="1635"/>
      <c r="G44" s="109"/>
      <c r="H44" s="70">
        <f>XM.HN!B32</f>
        <v>2.35</v>
      </c>
      <c r="I44" s="36"/>
      <c r="J44" s="43"/>
      <c r="K44" s="44"/>
      <c r="L44" s="42"/>
      <c r="M44" s="107"/>
      <c r="N44" s="70">
        <f>XM.HN!C32</f>
        <v>2.3199999999999998</v>
      </c>
      <c r="T44" s="70">
        <f>XM.HN!D32</f>
        <v>2.4300000000000002</v>
      </c>
      <c r="Z44" s="70">
        <f>XM.HN!E32</f>
        <v>2.4</v>
      </c>
      <c r="AD44" s="308"/>
      <c r="AF44" s="70">
        <f>XM.HN!F32</f>
        <v>0</v>
      </c>
      <c r="AJ44" s="308"/>
      <c r="AL44" s="70">
        <f>XM.HN!G32</f>
        <v>2.35</v>
      </c>
      <c r="AM44" s="42"/>
      <c r="AN44" s="43"/>
      <c r="AO44" s="1157"/>
      <c r="AP44" s="1158"/>
      <c r="AR44" s="1216"/>
      <c r="AS44" s="1218"/>
    </row>
    <row r="45" spans="1:45" ht="34.5" customHeight="1">
      <c r="A45" s="325" t="s">
        <v>308</v>
      </c>
      <c r="B45" s="1199" t="s">
        <v>235</v>
      </c>
      <c r="C45" s="1197" t="s">
        <v>61</v>
      </c>
      <c r="D45" s="1203" t="s">
        <v>6</v>
      </c>
      <c r="E45" s="1609" t="s">
        <v>257</v>
      </c>
      <c r="F45" s="1636">
        <v>0.45</v>
      </c>
      <c r="G45" s="109">
        <f>XM.HN!B26</f>
        <v>4.2</v>
      </c>
      <c r="H45" s="71">
        <f>(1*G45*36.5)/(1*10)/32%/100</f>
        <v>0.47906250000000006</v>
      </c>
      <c r="I45" s="37">
        <f>($F$45-H45)*2122</f>
        <v>-61.670625000000101</v>
      </c>
      <c r="J45" s="45" t="s">
        <v>8</v>
      </c>
      <c r="K45" s="46">
        <f>IF(I45&lt;0,0,I45)</f>
        <v>0</v>
      </c>
      <c r="L45" s="249" t="s">
        <v>10</v>
      </c>
      <c r="M45" s="124">
        <f>XM.HN!C26</f>
        <v>4.4000000000000004</v>
      </c>
      <c r="N45" s="71">
        <f>(1*M45*36.5)/(1*10)/32%/100</f>
        <v>0.50187500000000007</v>
      </c>
      <c r="O45" s="37">
        <f>($F$45-N45)*2122</f>
        <v>-110.07875000000013</v>
      </c>
      <c r="P45" s="45" t="s">
        <v>8</v>
      </c>
      <c r="Q45" s="46">
        <f>IF(O45&lt;0,0,O45)</f>
        <v>0</v>
      </c>
      <c r="R45" s="249" t="s">
        <v>10</v>
      </c>
      <c r="S45" s="109">
        <f>XM.HN!D26</f>
        <v>4.4000000000000004</v>
      </c>
      <c r="T45" s="71">
        <f>(1*S45*36.5)/(1*10)/32%/100</f>
        <v>0.50187500000000007</v>
      </c>
      <c r="U45" s="37">
        <f>($F$45-T45)*2122</f>
        <v>-110.07875000000013</v>
      </c>
      <c r="V45" s="45" t="s">
        <v>8</v>
      </c>
      <c r="W45" s="46">
        <f>IF(U45&lt;0,0,U45)</f>
        <v>0</v>
      </c>
      <c r="X45" s="249" t="s">
        <v>10</v>
      </c>
      <c r="Y45" s="109">
        <f>XM.HN!E26</f>
        <v>4.0999999999999996</v>
      </c>
      <c r="Z45" s="71">
        <f>(1*Y45*36.5)/(1*10)/32%/100</f>
        <v>0.46765624999999994</v>
      </c>
      <c r="AA45" s="37">
        <f>($F$45-Z45)*2122</f>
        <v>-37.466562499999853</v>
      </c>
      <c r="AB45" s="45" t="s">
        <v>8</v>
      </c>
      <c r="AC45" s="46">
        <f>IF(AA45&lt;0,0,AA45)</f>
        <v>0</v>
      </c>
      <c r="AD45" s="249" t="s">
        <v>10</v>
      </c>
      <c r="AE45" s="109">
        <f>XM.HN!F26</f>
        <v>0</v>
      </c>
      <c r="AF45" s="71">
        <f>(1*AE45*36.5)/(1*10)/32%/100</f>
        <v>0</v>
      </c>
      <c r="AG45" s="37">
        <f>($F$45-AF45)*2122</f>
        <v>954.9</v>
      </c>
      <c r="AH45" s="45" t="s">
        <v>8</v>
      </c>
      <c r="AI45" s="46">
        <f>IF(AG45&lt;0,0,AG45)</f>
        <v>954.9</v>
      </c>
      <c r="AJ45" s="249" t="s">
        <v>10</v>
      </c>
      <c r="AK45" s="109">
        <f>XM.HN!G26</f>
        <v>4</v>
      </c>
      <c r="AL45" s="71">
        <f>(1*AK45*36.5)/(1*10)/32%/100</f>
        <v>0.45624999999999999</v>
      </c>
      <c r="AM45" s="37">
        <f>($F$45-AL45)*2122</f>
        <v>-13.262499999999953</v>
      </c>
      <c r="AN45" s="45" t="s">
        <v>8</v>
      </c>
      <c r="AO45" s="1159">
        <f>IF(AM45&lt;0,0,AM45)</f>
        <v>0</v>
      </c>
      <c r="AP45" s="47" t="s">
        <v>10</v>
      </c>
      <c r="AR45" s="54" t="s">
        <v>1099</v>
      </c>
      <c r="AS45" s="2116" t="s">
        <v>1094</v>
      </c>
    </row>
    <row r="46" spans="1:45" ht="44.25" customHeight="1">
      <c r="A46" s="325" t="s">
        <v>309</v>
      </c>
      <c r="B46" s="1199" t="s">
        <v>235</v>
      </c>
      <c r="C46" s="1197" t="s">
        <v>62</v>
      </c>
      <c r="D46" s="1203" t="s">
        <v>6</v>
      </c>
      <c r="E46" s="1609" t="s">
        <v>258</v>
      </c>
      <c r="F46" s="1636">
        <v>0.22</v>
      </c>
      <c r="G46" s="109">
        <f>XM.HN!B27</f>
        <v>2.2000000000000002</v>
      </c>
      <c r="H46" s="71">
        <f>(1*G46*36.5)/(1*10)/32%/100</f>
        <v>0.25093750000000004</v>
      </c>
      <c r="I46" s="37">
        <f>($F$46-H46)*612</f>
        <v>-18.933750000000021</v>
      </c>
      <c r="J46" s="45" t="s">
        <v>8</v>
      </c>
      <c r="K46" s="46">
        <f>IF(I46&lt;0,0,I46)</f>
        <v>0</v>
      </c>
      <c r="L46" s="249" t="s">
        <v>10</v>
      </c>
      <c r="M46" s="124">
        <f>XM.HN!C27</f>
        <v>2.2000000000000002</v>
      </c>
      <c r="N46" s="71">
        <f>(1*M46*36.5)/(1*10)/32%/100</f>
        <v>0.25093750000000004</v>
      </c>
      <c r="O46" s="37">
        <f>($F$46-N46)*612</f>
        <v>-18.933750000000021</v>
      </c>
      <c r="P46" s="45" t="s">
        <v>8</v>
      </c>
      <c r="Q46" s="46">
        <f>IF(O46&lt;0,0,O46)</f>
        <v>0</v>
      </c>
      <c r="R46" s="249" t="s">
        <v>10</v>
      </c>
      <c r="S46" s="109">
        <f>XM.HN!D27</f>
        <v>2.2000000000000002</v>
      </c>
      <c r="T46" s="71">
        <f>(1*S46*36.5)/(1*10)/32%/100</f>
        <v>0.25093750000000004</v>
      </c>
      <c r="U46" s="37">
        <f>($F$46-T46)*612</f>
        <v>-18.933750000000021</v>
      </c>
      <c r="V46" s="45" t="s">
        <v>8</v>
      </c>
      <c r="W46" s="46">
        <f>IF(U46&lt;0,0,U46)</f>
        <v>0</v>
      </c>
      <c r="X46" s="249" t="s">
        <v>10</v>
      </c>
      <c r="Y46" s="109">
        <f>XM.HN!E27</f>
        <v>2.2999999999999998</v>
      </c>
      <c r="Z46" s="71">
        <f>(1*Y46*36.5)/(1*10)/32%/100</f>
        <v>0.26234374999999999</v>
      </c>
      <c r="AA46" s="37">
        <f>($F$46-Z46)*612</f>
        <v>-25.914374999999993</v>
      </c>
      <c r="AB46" s="45" t="s">
        <v>8</v>
      </c>
      <c r="AC46" s="46">
        <f>IF(AA46&lt;0,0,AA46)</f>
        <v>0</v>
      </c>
      <c r="AD46" s="249" t="s">
        <v>10</v>
      </c>
      <c r="AE46" s="109">
        <f>XM.HN!F27</f>
        <v>0</v>
      </c>
      <c r="AF46" s="71">
        <f>(1*AE46*36.5)/(1*10)/32%/100</f>
        <v>0</v>
      </c>
      <c r="AG46" s="37">
        <f>($F$46-AF46)*612</f>
        <v>134.64000000000001</v>
      </c>
      <c r="AH46" s="45" t="s">
        <v>8</v>
      </c>
      <c r="AI46" s="46">
        <f>IF(AG46&lt;0,0,AG46)</f>
        <v>134.64000000000001</v>
      </c>
      <c r="AJ46" s="249" t="s">
        <v>10</v>
      </c>
      <c r="AK46" s="109">
        <f>XM.HN!G27</f>
        <v>2.2000000000000002</v>
      </c>
      <c r="AL46" s="71">
        <f>(1*AK46*36.5)/(1*10)/32%/100</f>
        <v>0.25093750000000004</v>
      </c>
      <c r="AM46" s="37">
        <f>($F$46-AL46)*612</f>
        <v>-18.933750000000021</v>
      </c>
      <c r="AN46" s="45" t="s">
        <v>8</v>
      </c>
      <c r="AO46" s="1159">
        <f>IF(AM46&lt;0,0,AM46)</f>
        <v>0</v>
      </c>
      <c r="AP46" s="47" t="s">
        <v>10</v>
      </c>
      <c r="AR46" s="54" t="s">
        <v>1099</v>
      </c>
      <c r="AS46" s="2116"/>
    </row>
    <row r="47" spans="1:45" ht="44.25" customHeight="1">
      <c r="A47" s="325" t="s">
        <v>310</v>
      </c>
      <c r="B47" s="1199" t="s">
        <v>235</v>
      </c>
      <c r="C47" s="1197" t="s">
        <v>63</v>
      </c>
      <c r="D47" s="1203" t="s">
        <v>6</v>
      </c>
      <c r="E47" s="1609" t="s">
        <v>1441</v>
      </c>
      <c r="F47" s="1636">
        <v>0.1</v>
      </c>
      <c r="G47" s="109">
        <f>XM.HN!B28</f>
        <v>4.7</v>
      </c>
      <c r="H47" s="71">
        <f>(1*G47*36.5)/(5*10)/32%/100</f>
        <v>0.10721875</v>
      </c>
      <c r="I47" s="37">
        <f>($F$47-H47)*575</f>
        <v>-4.1507812499999979</v>
      </c>
      <c r="J47" s="45" t="s">
        <v>8</v>
      </c>
      <c r="K47" s="46">
        <f>IF(I47&lt;0,0,I47)</f>
        <v>0</v>
      </c>
      <c r="L47" s="47" t="s">
        <v>10</v>
      </c>
      <c r="M47" s="110">
        <f>XM.HN!C28</f>
        <v>6.1</v>
      </c>
      <c r="N47" s="71">
        <f>(1*M47*36.5)/(5*10)/32%/100</f>
        <v>0.13915624999999998</v>
      </c>
      <c r="O47" s="37">
        <f>($F$47-N47)*575</f>
        <v>-22.514843749999986</v>
      </c>
      <c r="P47" s="45" t="s">
        <v>8</v>
      </c>
      <c r="Q47" s="46">
        <f>IF(O47&lt;0,0,O47)</f>
        <v>0</v>
      </c>
      <c r="R47" s="47" t="s">
        <v>10</v>
      </c>
      <c r="S47" s="110">
        <f>XM.HN!D28</f>
        <v>5.6</v>
      </c>
      <c r="T47" s="71">
        <f>(1*S47*36.5)/(5*10)/32%/100</f>
        <v>0.12774999999999997</v>
      </c>
      <c r="U47" s="37">
        <f>($F$47-T47)*575</f>
        <v>-15.956249999999983</v>
      </c>
      <c r="V47" s="45" t="s">
        <v>8</v>
      </c>
      <c r="W47" s="46">
        <f>IF(U47&lt;0,0,U47)</f>
        <v>0</v>
      </c>
      <c r="X47" s="47" t="s">
        <v>10</v>
      </c>
      <c r="Y47" s="110">
        <f>XM.HN!E28</f>
        <v>5.3</v>
      </c>
      <c r="Z47" s="71">
        <f>(1*Y47*36.5)/(5*10)/32%/100</f>
        <v>0.12090624999999999</v>
      </c>
      <c r="AA47" s="37">
        <f>($F$47-Z47)*575</f>
        <v>-12.021093749999993</v>
      </c>
      <c r="AB47" s="45" t="s">
        <v>8</v>
      </c>
      <c r="AC47" s="46">
        <f>IF(AA47&lt;0,0,AA47)</f>
        <v>0</v>
      </c>
      <c r="AD47" s="47" t="s">
        <v>10</v>
      </c>
      <c r="AE47" s="109">
        <f>XM.HN!F28</f>
        <v>0</v>
      </c>
      <c r="AF47" s="71">
        <f>(1*AE47*36.5)/(5*10)/32%/100</f>
        <v>0</v>
      </c>
      <c r="AG47" s="37">
        <f>($F$47-AF47)*575</f>
        <v>57.5</v>
      </c>
      <c r="AH47" s="45" t="s">
        <v>8</v>
      </c>
      <c r="AI47" s="46">
        <f>IF(AG47&lt;0,0,AG47)</f>
        <v>57.5</v>
      </c>
      <c r="AJ47" s="47" t="s">
        <v>10</v>
      </c>
      <c r="AK47" s="109">
        <f>XM.HN!G28</f>
        <v>5</v>
      </c>
      <c r="AL47" s="71">
        <f>(1*AK47*36.5)/(5*10)/32%/100</f>
        <v>0.1140625</v>
      </c>
      <c r="AM47" s="71">
        <f>($F$47-AL47)*575</f>
        <v>-8.0859374999999947</v>
      </c>
      <c r="AN47" s="37" t="s">
        <v>8</v>
      </c>
      <c r="AO47" s="45">
        <f>IF(AM47&lt;0,0,AM47)</f>
        <v>0</v>
      </c>
      <c r="AP47" s="491" t="s">
        <v>10</v>
      </c>
      <c r="AR47" s="54" t="s">
        <v>1099</v>
      </c>
      <c r="AS47" s="1216" t="s">
        <v>1097</v>
      </c>
    </row>
    <row r="48" spans="1:45" ht="34.5" customHeight="1">
      <c r="A48" s="325" t="s">
        <v>311</v>
      </c>
      <c r="B48" s="1199" t="s">
        <v>235</v>
      </c>
      <c r="C48" s="1197" t="s">
        <v>164</v>
      </c>
      <c r="D48" s="1203" t="s">
        <v>3</v>
      </c>
      <c r="E48" s="1609" t="s">
        <v>1445</v>
      </c>
      <c r="F48" s="1637">
        <v>0.01</v>
      </c>
      <c r="G48" s="109">
        <f>XM.HN!B29</f>
        <v>0.9</v>
      </c>
      <c r="H48" s="72">
        <f>(1*G48*6.301)/5/100</f>
        <v>1.1341800000000003E-2</v>
      </c>
      <c r="I48" s="37">
        <f>($F$48-H48)*530/65%</f>
        <v>-1.0940830769230789</v>
      </c>
      <c r="J48" s="45" t="s">
        <v>8</v>
      </c>
      <c r="K48" s="48">
        <f>IF(I48&lt;0,0,I48)</f>
        <v>0</v>
      </c>
      <c r="L48" s="249" t="s">
        <v>10</v>
      </c>
      <c r="M48" s="285">
        <f>XM.HN!C29</f>
        <v>1</v>
      </c>
      <c r="N48" s="72">
        <f>(1*M48*6.301)/5/100</f>
        <v>1.2602E-2</v>
      </c>
      <c r="O48" s="37">
        <f>($F$48-N48)*530/65%</f>
        <v>-2.1216307692307694</v>
      </c>
      <c r="P48" s="45" t="s">
        <v>8</v>
      </c>
      <c r="Q48" s="48">
        <f>IF(O48&lt;0,0,O48)</f>
        <v>0</v>
      </c>
      <c r="R48" s="249" t="s">
        <v>10</v>
      </c>
      <c r="S48" s="110">
        <f>XM.HN!D29</f>
        <v>0.9</v>
      </c>
      <c r="T48" s="72">
        <f>(1*S48*6.301)/5/100</f>
        <v>1.1341800000000003E-2</v>
      </c>
      <c r="U48" s="37">
        <f>($F$48-T48)*530/65%</f>
        <v>-1.0940830769230789</v>
      </c>
      <c r="V48" s="45" t="s">
        <v>8</v>
      </c>
      <c r="W48" s="48">
        <f>IF(U48&lt;0,0,U48)</f>
        <v>0</v>
      </c>
      <c r="X48" s="249" t="s">
        <v>10</v>
      </c>
      <c r="Y48" s="110">
        <f>XM.HN!E29</f>
        <v>0.9</v>
      </c>
      <c r="Z48" s="72">
        <f>(1*Y48*6.301)/5/100</f>
        <v>1.1341800000000003E-2</v>
      </c>
      <c r="AA48" s="37">
        <f>($F$48-Z48)*530/65%</f>
        <v>-1.0940830769230789</v>
      </c>
      <c r="AB48" s="45" t="s">
        <v>8</v>
      </c>
      <c r="AC48" s="48">
        <f>IF(AA48&lt;0,0,AA48)</f>
        <v>0</v>
      </c>
      <c r="AD48" s="249" t="s">
        <v>10</v>
      </c>
      <c r="AE48" s="109">
        <f>XM.HN!F29</f>
        <v>0</v>
      </c>
      <c r="AF48" s="72">
        <f>(1*AE48*6.301)/5/100</f>
        <v>0</v>
      </c>
      <c r="AG48" s="37">
        <f>($F$48-AF48)*530/65%</f>
        <v>8.1538461538461533</v>
      </c>
      <c r="AH48" s="45" t="s">
        <v>8</v>
      </c>
      <c r="AI48" s="48">
        <f>IF(AG48&lt;0,0,AG48)</f>
        <v>8.1538461538461533</v>
      </c>
      <c r="AJ48" s="249" t="s">
        <v>10</v>
      </c>
      <c r="AK48" s="109">
        <f>XM.HN!G29</f>
        <v>0.96</v>
      </c>
      <c r="AL48" s="72">
        <f>(1*AK48*6.301)/5/100</f>
        <v>1.209792E-2</v>
      </c>
      <c r="AM48" s="37">
        <f>($F$48-AL48)*530/65%</f>
        <v>-1.7106116923076919</v>
      </c>
      <c r="AN48" s="45" t="s">
        <v>8</v>
      </c>
      <c r="AO48" s="1160">
        <f>IF(AM48&lt;0,0,AM48)</f>
        <v>0</v>
      </c>
      <c r="AP48" s="47" t="s">
        <v>10</v>
      </c>
      <c r="AR48" s="54" t="s">
        <v>1099</v>
      </c>
      <c r="AS48" s="1216" t="s">
        <v>1098</v>
      </c>
    </row>
    <row r="49" spans="1:42" ht="45" customHeight="1">
      <c r="A49" s="324" t="s">
        <v>312</v>
      </c>
      <c r="B49" s="1199" t="s">
        <v>235</v>
      </c>
      <c r="C49" s="344" t="s">
        <v>891</v>
      </c>
      <c r="D49" s="54" t="s">
        <v>3</v>
      </c>
      <c r="E49" s="1609" t="s">
        <v>1446</v>
      </c>
      <c r="F49" s="1638">
        <v>6</v>
      </c>
      <c r="G49" s="109">
        <f>XM.HN!B30</f>
        <v>6</v>
      </c>
      <c r="H49" s="318">
        <f>IF(XM.HN!B30="","",G49*0.8+1.1)</f>
        <v>5.9</v>
      </c>
      <c r="I49" s="49">
        <f>($F$49-H49)*575/95</f>
        <v>0.60526315789473473</v>
      </c>
      <c r="J49" s="45" t="s">
        <v>8</v>
      </c>
      <c r="K49" s="46">
        <f>IF(H49="","",IF(I49&lt;0,0,I49))</f>
        <v>0.60526315789473473</v>
      </c>
      <c r="L49" s="249" t="s">
        <v>10</v>
      </c>
      <c r="M49" s="110">
        <f>XM.HN!C30</f>
        <v>0</v>
      </c>
      <c r="N49" s="318" t="str">
        <f>IF(XM.HN!C30="","",M49*0.8+1.1)</f>
        <v/>
      </c>
      <c r="O49" s="49" t="e">
        <f>($F$49-N49)*575/95</f>
        <v>#VALUE!</v>
      </c>
      <c r="P49" s="45" t="s">
        <v>8</v>
      </c>
      <c r="Q49" s="46" t="str">
        <f>IF(N49="","",IF(O49&lt;0,0,O49))</f>
        <v/>
      </c>
      <c r="R49" s="249" t="s">
        <v>10</v>
      </c>
      <c r="S49" s="110">
        <f>XM.HN!D30</f>
        <v>0</v>
      </c>
      <c r="T49" s="318" t="str">
        <f>IF(XM.HN!D30="","",S49*0.8+1.1)</f>
        <v/>
      </c>
      <c r="U49" s="49" t="e">
        <f>($F$49-T49)*575/95</f>
        <v>#VALUE!</v>
      </c>
      <c r="V49" s="45" t="s">
        <v>8</v>
      </c>
      <c r="W49" s="46" t="str">
        <f>IF(T49="","",IF(U49&lt;0,0,U49))</f>
        <v/>
      </c>
      <c r="X49" s="249" t="s">
        <v>10</v>
      </c>
      <c r="Y49" s="110">
        <f>XM.HN!E30</f>
        <v>6.1</v>
      </c>
      <c r="Z49" s="318">
        <f>IF(XM.HN!E30="","",Y49*0.8+1.1)</f>
        <v>5.98</v>
      </c>
      <c r="AA49" s="49">
        <f>($F$49-Z49)*575/95</f>
        <v>0.12105263157894479</v>
      </c>
      <c r="AB49" s="45" t="s">
        <v>8</v>
      </c>
      <c r="AC49" s="46">
        <f>IF(Z49="","",IF(AA49&lt;0,0,AA49))</f>
        <v>0.12105263157894479</v>
      </c>
      <c r="AD49" s="249" t="s">
        <v>10</v>
      </c>
      <c r="AE49" s="110">
        <f>XM.HN!F30</f>
        <v>0</v>
      </c>
      <c r="AF49" s="318" t="str">
        <f>IF(XM.HN!F30="","",AE49*0.8+1.1)</f>
        <v/>
      </c>
      <c r="AG49" s="49" t="e">
        <f>($F$49-AF49)*575/95</f>
        <v>#VALUE!</v>
      </c>
      <c r="AH49" s="45" t="s">
        <v>8</v>
      </c>
      <c r="AI49" s="46" t="str">
        <f>IF(AF49="","",IF(AG49&lt;0,0,AG49))</f>
        <v/>
      </c>
      <c r="AJ49" s="249" t="s">
        <v>10</v>
      </c>
      <c r="AK49" s="110">
        <f>XM.HN!G30</f>
        <v>0</v>
      </c>
      <c r="AL49" s="318" t="str">
        <f>IF(XM.HN!G30="","",AK49*0.8+1.1)</f>
        <v/>
      </c>
      <c r="AM49" s="49" t="e">
        <f>($F$49-AL49)*575/95</f>
        <v>#VALUE!</v>
      </c>
      <c r="AN49" s="45" t="s">
        <v>8</v>
      </c>
      <c r="AO49" s="46" t="str">
        <f>IF(AL49="","",IF(AM49&lt;0,0,AM49))</f>
        <v/>
      </c>
      <c r="AP49" s="249" t="s">
        <v>10</v>
      </c>
    </row>
    <row r="50" spans="1:42" ht="34.5" customHeight="1">
      <c r="A50" s="54" t="s">
        <v>313</v>
      </c>
      <c r="B50" s="1199" t="s">
        <v>235</v>
      </c>
      <c r="C50" s="345" t="s">
        <v>132</v>
      </c>
      <c r="D50" s="54" t="s">
        <v>5</v>
      </c>
      <c r="E50" s="1609" t="s">
        <v>1489</v>
      </c>
      <c r="F50" s="1635"/>
      <c r="G50" s="109"/>
      <c r="H50" s="319">
        <f>'XM.FILE GOC'!H50</f>
        <v>1.84</v>
      </c>
      <c r="I50" s="49"/>
      <c r="J50" s="45"/>
      <c r="K50" s="46"/>
      <c r="L50" s="249"/>
      <c r="M50" s="110"/>
      <c r="N50" s="319">
        <f>'XM.FILE GOC'!N50</f>
        <v>0</v>
      </c>
      <c r="O50" s="49"/>
      <c r="P50" s="45"/>
      <c r="Q50" s="46"/>
      <c r="R50" s="249"/>
      <c r="S50" s="110"/>
      <c r="T50" s="319">
        <f>'XM.FILE GOC'!T50</f>
        <v>0</v>
      </c>
      <c r="U50" s="49"/>
      <c r="V50" s="45"/>
      <c r="W50" s="46"/>
      <c r="X50" s="249"/>
      <c r="Y50" s="110"/>
      <c r="Z50" s="319">
        <f>'XM.FILE GOC'!Z50</f>
        <v>1.8</v>
      </c>
      <c r="AA50" s="49"/>
      <c r="AB50" s="45"/>
      <c r="AC50" s="46"/>
      <c r="AD50" s="249"/>
      <c r="AE50" s="110"/>
      <c r="AF50" s="319">
        <f>'XM.FILE GOC'!AF50</f>
        <v>0</v>
      </c>
      <c r="AG50" s="49"/>
      <c r="AH50" s="45"/>
      <c r="AI50" s="46"/>
      <c r="AJ50" s="249"/>
      <c r="AK50" s="110"/>
      <c r="AL50" s="319">
        <f>'XM.FILE GOC'!AL50</f>
        <v>0</v>
      </c>
      <c r="AM50" s="49"/>
      <c r="AN50" s="45"/>
      <c r="AO50" s="1159"/>
      <c r="AP50" s="47"/>
    </row>
    <row r="51" spans="1:42" s="233" customFormat="1" ht="54" customHeight="1">
      <c r="A51" s="335" t="s">
        <v>76</v>
      </c>
      <c r="B51" s="336"/>
      <c r="C51" s="336"/>
      <c r="D51" s="336"/>
      <c r="E51" s="1613"/>
      <c r="F51" s="1625"/>
      <c r="G51" s="336"/>
      <c r="H51" s="336"/>
      <c r="I51" s="336"/>
      <c r="J51" s="336"/>
      <c r="K51" s="336"/>
      <c r="L51" s="336"/>
      <c r="M51" s="336"/>
      <c r="N51" s="337"/>
      <c r="O51" s="336"/>
      <c r="P51" s="336"/>
      <c r="Q51" s="336"/>
      <c r="R51" s="337"/>
      <c r="S51" s="336"/>
      <c r="T51" s="337"/>
      <c r="U51" s="336"/>
      <c r="V51" s="336"/>
      <c r="W51" s="336"/>
      <c r="X51" s="336"/>
      <c r="Y51" s="336"/>
      <c r="Z51" s="336"/>
      <c r="AA51" s="336"/>
      <c r="AB51" s="336"/>
      <c r="AC51" s="336"/>
      <c r="AD51" s="336"/>
      <c r="AE51" s="337"/>
      <c r="AF51" s="337"/>
      <c r="AG51" s="337"/>
      <c r="AH51" s="337"/>
      <c r="AI51" s="337"/>
      <c r="AJ51" s="337"/>
      <c r="AK51" s="337"/>
      <c r="AL51" s="337"/>
      <c r="AM51" s="337"/>
      <c r="AN51" s="337"/>
      <c r="AO51" s="337"/>
      <c r="AP51" s="1155"/>
    </row>
    <row r="52" spans="1:42" ht="44.25" customHeight="1">
      <c r="A52" s="1203" t="s">
        <v>276</v>
      </c>
      <c r="B52" s="1198" t="s">
        <v>359</v>
      </c>
      <c r="C52" s="1196" t="s">
        <v>64</v>
      </c>
      <c r="D52" s="1196" t="s">
        <v>66</v>
      </c>
      <c r="E52" s="1619" t="s">
        <v>67</v>
      </c>
      <c r="F52" s="1639"/>
      <c r="G52" s="112"/>
      <c r="H52" s="329" t="s">
        <v>48</v>
      </c>
      <c r="I52" s="330"/>
      <c r="J52" s="330"/>
      <c r="K52" s="329" t="s">
        <v>65</v>
      </c>
      <c r="L52" s="346"/>
      <c r="M52" s="327"/>
      <c r="N52" s="329" t="s">
        <v>48</v>
      </c>
      <c r="O52" s="330"/>
      <c r="P52" s="330"/>
      <c r="Q52" s="329" t="s">
        <v>65</v>
      </c>
      <c r="R52" s="346"/>
      <c r="S52" s="113"/>
      <c r="T52" s="329" t="s">
        <v>48</v>
      </c>
      <c r="U52" s="330"/>
      <c r="V52" s="330"/>
      <c r="W52" s="329" t="s">
        <v>65</v>
      </c>
      <c r="X52" s="346"/>
      <c r="Y52" s="114"/>
      <c r="Z52" s="329" t="s">
        <v>48</v>
      </c>
      <c r="AA52" s="330"/>
      <c r="AB52" s="330"/>
      <c r="AC52" s="329" t="s">
        <v>65</v>
      </c>
      <c r="AD52" s="346"/>
      <c r="AE52" s="114"/>
      <c r="AF52" s="329" t="s">
        <v>48</v>
      </c>
      <c r="AG52" s="330"/>
      <c r="AH52" s="330"/>
      <c r="AI52" s="329" t="s">
        <v>65</v>
      </c>
      <c r="AJ52" s="346"/>
      <c r="AK52" s="114"/>
      <c r="AL52" s="329" t="s">
        <v>48</v>
      </c>
      <c r="AM52" s="330"/>
      <c r="AN52" s="330"/>
      <c r="AO52" s="329" t="s">
        <v>65</v>
      </c>
      <c r="AP52" s="346"/>
    </row>
    <row r="53" spans="1:42" ht="38.25" customHeight="1">
      <c r="A53" s="1199" t="s">
        <v>314</v>
      </c>
      <c r="B53" s="1199" t="s">
        <v>235</v>
      </c>
      <c r="C53" s="1196" t="s">
        <v>68</v>
      </c>
      <c r="D53" s="117" t="s">
        <v>113</v>
      </c>
      <c r="E53" s="1611" t="s">
        <v>1437</v>
      </c>
      <c r="F53" s="1626"/>
      <c r="G53" s="118"/>
      <c r="H53" s="1866">
        <f>'XM.FILE GOC'!H53</f>
        <v>63</v>
      </c>
      <c r="I53" s="1867"/>
      <c r="J53" s="1868"/>
      <c r="K53" s="1866">
        <f>'XM.FILE GOC'!K53</f>
        <v>64</v>
      </c>
      <c r="L53" s="1867"/>
      <c r="M53" s="1868"/>
      <c r="N53" s="1866">
        <f>'XM.FILE GOC'!N53</f>
        <v>64</v>
      </c>
      <c r="O53" s="1867"/>
      <c r="P53" s="1868"/>
      <c r="Q53" s="1866">
        <f>'XM.FILE GOC'!Q53</f>
        <v>65</v>
      </c>
      <c r="R53" s="1867"/>
      <c r="S53" s="1868"/>
      <c r="T53" s="1866">
        <f>'XM.FILE GOC'!T53</f>
        <v>64</v>
      </c>
      <c r="U53" s="1867"/>
      <c r="V53" s="1868"/>
      <c r="W53" s="1866">
        <f>'XM.FILE GOC'!W53</f>
        <v>66</v>
      </c>
      <c r="X53" s="1867"/>
      <c r="Y53" s="1868"/>
      <c r="Z53" s="1866">
        <f>'XM.FILE GOC'!Z53</f>
        <v>67</v>
      </c>
      <c r="AA53" s="1867"/>
      <c r="AB53" s="1868"/>
      <c r="AC53" s="1866">
        <f>'XM.FILE GOC'!AC53</f>
        <v>65</v>
      </c>
      <c r="AD53" s="1867"/>
      <c r="AE53" s="1868"/>
      <c r="AF53" s="1866">
        <f>'XM.FILE GOC'!AF53</f>
        <v>0</v>
      </c>
      <c r="AG53" s="1867"/>
      <c r="AH53" s="1868"/>
      <c r="AI53" s="1866">
        <f>'XM.FILE GOC'!AI53</f>
        <v>0</v>
      </c>
      <c r="AJ53" s="1867"/>
      <c r="AK53" s="1868"/>
      <c r="AL53" s="1866">
        <f>'XM.FILE GOC'!AL53</f>
        <v>67</v>
      </c>
      <c r="AM53" s="1867"/>
      <c r="AN53" s="1868"/>
      <c r="AO53" s="1866">
        <f>'XM.FILE GOC'!AO53</f>
        <v>66</v>
      </c>
      <c r="AP53" s="1867"/>
    </row>
    <row r="54" spans="1:42" ht="38.25" customHeight="1">
      <c r="A54" s="1199" t="s">
        <v>315</v>
      </c>
      <c r="B54" s="1199" t="s">
        <v>235</v>
      </c>
      <c r="C54" s="1182" t="s">
        <v>69</v>
      </c>
      <c r="D54" s="117" t="s">
        <v>113</v>
      </c>
      <c r="E54" s="1611" t="s">
        <v>1437</v>
      </c>
      <c r="F54" s="1626"/>
      <c r="G54" s="118"/>
      <c r="H54" s="1866">
        <f>'XM.FILE GOC'!H54</f>
        <v>62</v>
      </c>
      <c r="I54" s="1867"/>
      <c r="J54" s="1868"/>
      <c r="K54" s="1866">
        <f>'XM.FILE GOC'!K54</f>
        <v>63</v>
      </c>
      <c r="L54" s="1867"/>
      <c r="M54" s="1868"/>
      <c r="N54" s="1866">
        <f>'XM.FILE GOC'!N54</f>
        <v>63</v>
      </c>
      <c r="O54" s="1867"/>
      <c r="P54" s="1868"/>
      <c r="Q54" s="1866">
        <f>'XM.FILE GOC'!Q54</f>
        <v>64</v>
      </c>
      <c r="R54" s="1867"/>
      <c r="S54" s="1868"/>
      <c r="T54" s="1866">
        <f>'XM.FILE GOC'!T54</f>
        <v>62</v>
      </c>
      <c r="U54" s="1867"/>
      <c r="V54" s="1868"/>
      <c r="W54" s="1866">
        <f>'XM.FILE GOC'!W54</f>
        <v>64</v>
      </c>
      <c r="X54" s="1867"/>
      <c r="Y54" s="1868"/>
      <c r="Z54" s="1866">
        <f>'XM.FILE GOC'!Z54</f>
        <v>65</v>
      </c>
      <c r="AA54" s="1867"/>
      <c r="AB54" s="1868"/>
      <c r="AC54" s="1866">
        <f>'XM.FILE GOC'!AC54</f>
        <v>64</v>
      </c>
      <c r="AD54" s="1867"/>
      <c r="AE54" s="1868"/>
      <c r="AF54" s="1866">
        <f>'XM.FILE GOC'!AF54</f>
        <v>0</v>
      </c>
      <c r="AG54" s="1867"/>
      <c r="AH54" s="1868"/>
      <c r="AI54" s="1866">
        <f>'XM.FILE GOC'!AI54</f>
        <v>0</v>
      </c>
      <c r="AJ54" s="1867"/>
      <c r="AK54" s="1868"/>
      <c r="AL54" s="1866">
        <f>'XM.FILE GOC'!AL54</f>
        <v>66</v>
      </c>
      <c r="AM54" s="1867"/>
      <c r="AN54" s="1868"/>
      <c r="AO54" s="1866">
        <f>'XM.FILE GOC'!AO54</f>
        <v>65</v>
      </c>
      <c r="AP54" s="1867"/>
    </row>
    <row r="55" spans="1:42" ht="38.25" customHeight="1">
      <c r="A55" s="1199" t="s">
        <v>316</v>
      </c>
      <c r="B55" s="1199" t="s">
        <v>235</v>
      </c>
      <c r="C55" s="1182" t="s">
        <v>71</v>
      </c>
      <c r="D55" s="117" t="s">
        <v>113</v>
      </c>
      <c r="E55" s="1611" t="s">
        <v>1437</v>
      </c>
      <c r="F55" s="1626"/>
      <c r="G55" s="118"/>
      <c r="H55" s="1866">
        <f>'XM.FILE GOC'!H55</f>
        <v>55</v>
      </c>
      <c r="I55" s="1867"/>
      <c r="J55" s="1868"/>
      <c r="K55" s="1866">
        <f>'XM.FILE GOC'!K55</f>
        <v>54</v>
      </c>
      <c r="L55" s="1867"/>
      <c r="M55" s="1868"/>
      <c r="N55" s="1866">
        <f>'XM.FILE GOC'!N55</f>
        <v>60</v>
      </c>
      <c r="O55" s="1867"/>
      <c r="P55" s="1868"/>
      <c r="Q55" s="1866">
        <f>'XM.FILE GOC'!Q55</f>
        <v>61</v>
      </c>
      <c r="R55" s="1867"/>
      <c r="S55" s="1868"/>
      <c r="T55" s="1866">
        <f>'XM.FILE GOC'!T55</f>
        <v>60</v>
      </c>
      <c r="U55" s="1867"/>
      <c r="V55" s="1868"/>
      <c r="W55" s="1866">
        <f>'XM.FILE GOC'!W55</f>
        <v>59</v>
      </c>
      <c r="X55" s="1867"/>
      <c r="Y55" s="1868"/>
      <c r="Z55" s="1866">
        <f>'XM.FILE GOC'!Z55</f>
        <v>61</v>
      </c>
      <c r="AA55" s="1867"/>
      <c r="AB55" s="1868"/>
      <c r="AC55" s="1866">
        <f>'XM.FILE GOC'!AC55</f>
        <v>60</v>
      </c>
      <c r="AD55" s="1867"/>
      <c r="AE55" s="1868"/>
      <c r="AF55" s="1866">
        <f>'XM.FILE GOC'!AF55</f>
        <v>0</v>
      </c>
      <c r="AG55" s="1867"/>
      <c r="AH55" s="1868"/>
      <c r="AI55" s="1866">
        <f>'XM.FILE GOC'!AI55</f>
        <v>0</v>
      </c>
      <c r="AJ55" s="1867"/>
      <c r="AK55" s="1868"/>
      <c r="AL55" s="1866">
        <f>'XM.FILE GOC'!AL55</f>
        <v>59</v>
      </c>
      <c r="AM55" s="1867"/>
      <c r="AN55" s="1868"/>
      <c r="AO55" s="1866">
        <f>'XM.FILE GOC'!AO55</f>
        <v>58</v>
      </c>
      <c r="AP55" s="1867"/>
    </row>
    <row r="56" spans="1:42" ht="38.25" customHeight="1">
      <c r="A56" s="1199" t="s">
        <v>317</v>
      </c>
      <c r="B56" s="1199" t="s">
        <v>235</v>
      </c>
      <c r="C56" s="1182" t="s">
        <v>70</v>
      </c>
      <c r="D56" s="117" t="s">
        <v>113</v>
      </c>
      <c r="E56" s="1611" t="s">
        <v>1437</v>
      </c>
      <c r="F56" s="1626"/>
      <c r="G56" s="118"/>
      <c r="H56" s="1866">
        <f>'XM.FILE GOC'!H56</f>
        <v>54</v>
      </c>
      <c r="I56" s="1867"/>
      <c r="J56" s="1868"/>
      <c r="K56" s="1866">
        <f>'XM.FILE GOC'!K56</f>
        <v>53</v>
      </c>
      <c r="L56" s="1867"/>
      <c r="M56" s="1868"/>
      <c r="N56" s="1866">
        <f>'XM.FILE GOC'!N56</f>
        <v>51</v>
      </c>
      <c r="O56" s="1867"/>
      <c r="P56" s="1868"/>
      <c r="Q56" s="1866">
        <f>'XM.FILE GOC'!Q56</f>
        <v>50</v>
      </c>
      <c r="R56" s="1867"/>
      <c r="S56" s="1868"/>
      <c r="T56" s="1866">
        <f>'XM.FILE GOC'!T56</f>
        <v>51</v>
      </c>
      <c r="U56" s="1867"/>
      <c r="V56" s="1868"/>
      <c r="W56" s="1866">
        <f>'XM.FILE GOC'!W56</f>
        <v>50</v>
      </c>
      <c r="X56" s="1867"/>
      <c r="Y56" s="1868"/>
      <c r="Z56" s="1866">
        <f>'XM.FILE GOC'!Z56</f>
        <v>52</v>
      </c>
      <c r="AA56" s="1867"/>
      <c r="AB56" s="1868"/>
      <c r="AC56" s="1866">
        <f>'XM.FILE GOC'!AC56</f>
        <v>50</v>
      </c>
      <c r="AD56" s="1867"/>
      <c r="AE56" s="1868"/>
      <c r="AF56" s="1866">
        <f>'XM.FILE GOC'!AF56</f>
        <v>0</v>
      </c>
      <c r="AG56" s="1867"/>
      <c r="AH56" s="1868"/>
      <c r="AI56" s="1866">
        <f>'XM.FILE GOC'!AI56</f>
        <v>0</v>
      </c>
      <c r="AJ56" s="1867"/>
      <c r="AK56" s="1868"/>
      <c r="AL56" s="1866">
        <f>'XM.FILE GOC'!AL56</f>
        <v>54</v>
      </c>
      <c r="AM56" s="1867"/>
      <c r="AN56" s="1868"/>
      <c r="AO56" s="1866">
        <f>'XM.FILE GOC'!AO56</f>
        <v>52</v>
      </c>
      <c r="AP56" s="1867"/>
    </row>
    <row r="57" spans="1:42" ht="38.25" customHeight="1">
      <c r="A57" s="1199" t="s">
        <v>356</v>
      </c>
      <c r="B57" s="1199" t="s">
        <v>235</v>
      </c>
      <c r="C57" s="1182" t="s">
        <v>72</v>
      </c>
      <c r="D57" s="117" t="s">
        <v>113</v>
      </c>
      <c r="E57" s="1620" t="s">
        <v>1463</v>
      </c>
      <c r="F57" s="1626"/>
      <c r="G57" s="118"/>
      <c r="H57" s="1866">
        <f>'XM.FILE GOC'!H57</f>
        <v>26</v>
      </c>
      <c r="I57" s="1867"/>
      <c r="J57" s="1868"/>
      <c r="K57" s="1866">
        <f>'XM.FILE GOC'!K57</f>
        <v>25</v>
      </c>
      <c r="L57" s="1868"/>
      <c r="M57" s="327"/>
      <c r="N57" s="1866">
        <f>'XM.FILE GOC'!N57</f>
        <v>28</v>
      </c>
      <c r="O57" s="1867"/>
      <c r="P57" s="1868"/>
      <c r="Q57" s="1866">
        <f>'XM.FILE GOC'!Q57</f>
        <v>27</v>
      </c>
      <c r="R57" s="1868"/>
      <c r="S57" s="113"/>
      <c r="T57" s="1866">
        <f>'XM.FILE GOC'!T57</f>
        <v>28</v>
      </c>
      <c r="U57" s="1867"/>
      <c r="V57" s="1868"/>
      <c r="W57" s="1866">
        <f>'XM.FILE GOC'!W57</f>
        <v>27</v>
      </c>
      <c r="X57" s="1868"/>
      <c r="Y57" s="114"/>
      <c r="Z57" s="1866">
        <f>'XM.FILE GOC'!Z57</f>
        <v>27</v>
      </c>
      <c r="AA57" s="1867"/>
      <c r="AB57" s="1868"/>
      <c r="AC57" s="1866">
        <f>'XM.FILE GOC'!AC57</f>
        <v>27</v>
      </c>
      <c r="AD57" s="1868"/>
      <c r="AE57" s="114"/>
      <c r="AF57" s="1866">
        <f>'XM.FILE GOC'!AF57</f>
        <v>0</v>
      </c>
      <c r="AG57" s="1867"/>
      <c r="AH57" s="1868"/>
      <c r="AI57" s="1866">
        <f>'XM.FILE GOC'!AI57</f>
        <v>0</v>
      </c>
      <c r="AJ57" s="1868"/>
      <c r="AK57" s="114"/>
      <c r="AL57" s="1866">
        <f>'XM.FILE GOC'!AL57</f>
        <v>27</v>
      </c>
      <c r="AM57" s="1867"/>
      <c r="AN57" s="1868"/>
      <c r="AO57" s="1866">
        <f>'XM.FILE GOC'!AO57</f>
        <v>26</v>
      </c>
      <c r="AP57" s="1868"/>
    </row>
    <row r="58" spans="1:42" ht="38.25" customHeight="1">
      <c r="A58" s="324" t="s">
        <v>318</v>
      </c>
      <c r="B58" s="1199" t="s">
        <v>235</v>
      </c>
      <c r="C58" s="1182" t="s">
        <v>165</v>
      </c>
      <c r="D58" s="117" t="s">
        <v>113</v>
      </c>
      <c r="E58" s="1620" t="s">
        <v>1464</v>
      </c>
      <c r="F58" s="1626"/>
      <c r="G58" s="118"/>
      <c r="H58" s="1866">
        <f>'XM.FILE GOC'!H58</f>
        <v>36</v>
      </c>
      <c r="I58" s="1867"/>
      <c r="J58" s="1868"/>
      <c r="K58" s="1866">
        <f>'XM.FILE GOC'!K58</f>
        <v>35</v>
      </c>
      <c r="L58" s="1868"/>
      <c r="M58" s="327"/>
      <c r="N58" s="1866">
        <f>'XM.FILE GOC'!N58</f>
        <v>37</v>
      </c>
      <c r="O58" s="1867"/>
      <c r="P58" s="1868"/>
      <c r="Q58" s="1866">
        <f>'XM.FILE GOC'!Q58</f>
        <v>36</v>
      </c>
      <c r="R58" s="1868"/>
      <c r="S58" s="113"/>
      <c r="T58" s="1866">
        <f>'XM.FILE GOC'!T58</f>
        <v>37</v>
      </c>
      <c r="U58" s="1867"/>
      <c r="V58" s="1868"/>
      <c r="W58" s="1866">
        <f>'XM.FILE GOC'!W58</f>
        <v>36</v>
      </c>
      <c r="X58" s="1868"/>
      <c r="Y58" s="114"/>
      <c r="Z58" s="1866">
        <f>'XM.FILE GOC'!Z58</f>
        <v>36</v>
      </c>
      <c r="AA58" s="1867"/>
      <c r="AB58" s="1868"/>
      <c r="AC58" s="1866">
        <f>'XM.FILE GOC'!AC58</f>
        <v>35</v>
      </c>
      <c r="AD58" s="1868"/>
      <c r="AE58" s="114"/>
      <c r="AF58" s="1866">
        <f>'XM.FILE GOC'!AF58</f>
        <v>0</v>
      </c>
      <c r="AG58" s="1867"/>
      <c r="AH58" s="1868"/>
      <c r="AI58" s="1866">
        <f>'XM.FILE GOC'!AI58</f>
        <v>0</v>
      </c>
      <c r="AJ58" s="1868"/>
      <c r="AK58" s="114"/>
      <c r="AL58" s="1866">
        <f>'XM.FILE GOC'!AL58</f>
        <v>36</v>
      </c>
      <c r="AM58" s="1867"/>
      <c r="AN58" s="1868"/>
      <c r="AO58" s="1866">
        <f>'XM.FILE GOC'!AO58</f>
        <v>35</v>
      </c>
      <c r="AP58" s="1868"/>
    </row>
    <row r="59" spans="1:42" ht="38.25" customHeight="1">
      <c r="A59" s="324" t="s">
        <v>319</v>
      </c>
      <c r="B59" s="1199" t="s">
        <v>235</v>
      </c>
      <c r="C59" s="1182" t="s">
        <v>73</v>
      </c>
      <c r="D59" s="117" t="s">
        <v>113</v>
      </c>
      <c r="E59" s="1620" t="s">
        <v>1438</v>
      </c>
      <c r="F59" s="1626"/>
      <c r="G59" s="118"/>
      <c r="H59" s="1866">
        <f>'XM.FILE GOC'!H59</f>
        <v>62</v>
      </c>
      <c r="I59" s="1867"/>
      <c r="J59" s="1868"/>
      <c r="K59" s="1866">
        <f>'XM.FILE GOC'!K59</f>
        <v>61</v>
      </c>
      <c r="L59" s="1868"/>
      <c r="M59" s="327"/>
      <c r="N59" s="1866">
        <f>'XM.FILE GOC'!N59</f>
        <v>58</v>
      </c>
      <c r="O59" s="1867"/>
      <c r="P59" s="1868"/>
      <c r="Q59" s="1866">
        <f>'XM.FILE GOC'!Q59</f>
        <v>56</v>
      </c>
      <c r="R59" s="1868"/>
      <c r="S59" s="113"/>
      <c r="T59" s="1866">
        <f>'XM.FILE GOC'!T59</f>
        <v>58</v>
      </c>
      <c r="U59" s="1867"/>
      <c r="V59" s="1868"/>
      <c r="W59" s="1866">
        <f>'XM.FILE GOC'!W59</f>
        <v>55</v>
      </c>
      <c r="X59" s="1868"/>
      <c r="Y59" s="114"/>
      <c r="Z59" s="1866">
        <f>'XM.FILE GOC'!Z59</f>
        <v>55</v>
      </c>
      <c r="AA59" s="1867"/>
      <c r="AB59" s="1868"/>
      <c r="AC59" s="1866">
        <f>'XM.FILE GOC'!AC59</f>
        <v>54</v>
      </c>
      <c r="AD59" s="1868"/>
      <c r="AE59" s="114"/>
      <c r="AF59" s="1866">
        <f>'XM.FILE GOC'!AF59</f>
        <v>0</v>
      </c>
      <c r="AG59" s="1867"/>
      <c r="AH59" s="1868"/>
      <c r="AI59" s="1866">
        <f>'XM.FILE GOC'!AI59</f>
        <v>0</v>
      </c>
      <c r="AJ59" s="1868"/>
      <c r="AK59" s="114"/>
      <c r="AL59" s="1866">
        <f>'XM.FILE GOC'!AL59</f>
        <v>57</v>
      </c>
      <c r="AM59" s="1867"/>
      <c r="AN59" s="1868"/>
      <c r="AO59" s="1866">
        <f>'XM.FILE GOC'!AO59</f>
        <v>56</v>
      </c>
      <c r="AP59" s="1868"/>
    </row>
    <row r="60" spans="1:42" ht="38.25" customHeight="1">
      <c r="A60" s="54" t="s">
        <v>320</v>
      </c>
      <c r="B60" s="1199" t="s">
        <v>235</v>
      </c>
      <c r="C60" s="1182" t="s">
        <v>74</v>
      </c>
      <c r="D60" s="117" t="s">
        <v>113</v>
      </c>
      <c r="E60" s="1620" t="s">
        <v>1439</v>
      </c>
      <c r="F60" s="1626"/>
      <c r="G60" s="118"/>
      <c r="H60" s="329"/>
      <c r="I60" s="330"/>
      <c r="J60" s="330"/>
      <c r="K60" s="1866">
        <f>'XM.FILE GOC'!K60</f>
        <v>73</v>
      </c>
      <c r="L60" s="1868"/>
      <c r="M60" s="327"/>
      <c r="N60" s="329"/>
      <c r="O60" s="330"/>
      <c r="P60" s="330"/>
      <c r="Q60" s="1866">
        <f>'XM.FILE GOC'!Q60</f>
        <v>71</v>
      </c>
      <c r="R60" s="1868"/>
      <c r="S60" s="113"/>
      <c r="T60" s="329"/>
      <c r="U60" s="330"/>
      <c r="V60" s="330"/>
      <c r="W60" s="1866">
        <f>'XM.FILE GOC'!W60</f>
        <v>71</v>
      </c>
      <c r="X60" s="1868"/>
      <c r="Y60" s="114"/>
      <c r="Z60" s="329"/>
      <c r="AA60" s="330"/>
      <c r="AB60" s="330"/>
      <c r="AC60" s="1866">
        <f>'XM.FILE GOC'!AC60</f>
        <v>73</v>
      </c>
      <c r="AD60" s="1868"/>
      <c r="AE60" s="114"/>
      <c r="AF60" s="329"/>
      <c r="AG60" s="330"/>
      <c r="AH60" s="330"/>
      <c r="AI60" s="1866">
        <f>'XM.FILE GOC'!AI60</f>
        <v>0</v>
      </c>
      <c r="AJ60" s="1868"/>
      <c r="AK60" s="114"/>
      <c r="AL60" s="329"/>
      <c r="AM60" s="330"/>
      <c r="AN60" s="330"/>
      <c r="AO60" s="1866">
        <f>'XM.FILE GOC'!AO60</f>
        <v>71</v>
      </c>
      <c r="AP60" s="1868"/>
    </row>
    <row r="61" spans="1:42" s="233" customFormat="1" ht="54" customHeight="1">
      <c r="A61" s="335" t="s">
        <v>78</v>
      </c>
      <c r="B61" s="336"/>
      <c r="C61" s="336"/>
      <c r="D61" s="336"/>
      <c r="E61" s="1613"/>
      <c r="F61" s="1625"/>
      <c r="G61" s="336"/>
      <c r="H61" s="336"/>
      <c r="I61" s="336"/>
      <c r="J61" s="336"/>
      <c r="K61" s="336"/>
      <c r="L61" s="336"/>
      <c r="M61" s="336"/>
      <c r="N61" s="337"/>
      <c r="O61" s="336"/>
      <c r="P61" s="336"/>
      <c r="Q61" s="336"/>
      <c r="R61" s="337"/>
      <c r="S61" s="336"/>
      <c r="T61" s="337"/>
      <c r="U61" s="336"/>
      <c r="V61" s="336"/>
      <c r="W61" s="336"/>
      <c r="X61" s="336"/>
      <c r="Y61" s="336"/>
      <c r="Z61" s="336"/>
      <c r="AA61" s="336"/>
      <c r="AB61" s="336"/>
      <c r="AC61" s="336"/>
      <c r="AD61" s="336"/>
      <c r="AE61" s="337"/>
      <c r="AF61" s="337"/>
      <c r="AG61" s="337"/>
      <c r="AH61" s="337"/>
      <c r="AI61" s="337"/>
      <c r="AJ61" s="337"/>
      <c r="AK61" s="337"/>
      <c r="AL61" s="337"/>
      <c r="AM61" s="337"/>
      <c r="AN61" s="337"/>
      <c r="AO61" s="337"/>
      <c r="AP61" s="1155"/>
    </row>
    <row r="62" spans="1:42" ht="41.25" customHeight="1">
      <c r="A62" s="324" t="s">
        <v>321</v>
      </c>
      <c r="B62" s="1199" t="s">
        <v>235</v>
      </c>
      <c r="C62" s="1200" t="s">
        <v>272</v>
      </c>
      <c r="D62" s="1161" t="s">
        <v>274</v>
      </c>
      <c r="E62" s="1616" t="s">
        <v>1447</v>
      </c>
      <c r="F62" s="1624"/>
      <c r="G62" s="51"/>
      <c r="H62" s="1866">
        <f>'XM.FILE GOC'!H62</f>
        <v>200</v>
      </c>
      <c r="I62" s="1867"/>
      <c r="J62" s="1867"/>
      <c r="K62" s="1867"/>
      <c r="L62" s="1868"/>
      <c r="M62" s="327"/>
      <c r="N62" s="1866">
        <f>'XM.FILE GOC'!N62</f>
        <v>195</v>
      </c>
      <c r="O62" s="1867"/>
      <c r="P62" s="1867"/>
      <c r="Q62" s="1867"/>
      <c r="R62" s="1868"/>
      <c r="S62" s="699"/>
      <c r="T62" s="1866">
        <f>'XM.FILE GOC'!T62</f>
        <v>190</v>
      </c>
      <c r="U62" s="1867"/>
      <c r="V62" s="1867"/>
      <c r="W62" s="1867"/>
      <c r="X62" s="1868"/>
      <c r="Y62" s="1202"/>
      <c r="Z62" s="1866">
        <f>'XM.FILE GOC'!Z62</f>
        <v>195</v>
      </c>
      <c r="AA62" s="1867"/>
      <c r="AB62" s="1867"/>
      <c r="AC62" s="1867"/>
      <c r="AD62" s="1868"/>
      <c r="AE62" s="310"/>
      <c r="AF62" s="1866">
        <f>'XM.FILE GOC'!AF62</f>
        <v>0</v>
      </c>
      <c r="AG62" s="1867"/>
      <c r="AH62" s="1867"/>
      <c r="AI62" s="1867"/>
      <c r="AJ62" s="1868"/>
      <c r="AK62" s="310"/>
      <c r="AL62" s="1869">
        <f>'XM.FILE GOC'!AL62</f>
        <v>190</v>
      </c>
      <c r="AM62" s="1869"/>
      <c r="AN62" s="1869"/>
      <c r="AO62" s="1869"/>
      <c r="AP62" s="1869"/>
    </row>
    <row r="63" spans="1:42" ht="41.25" customHeight="1">
      <c r="A63" s="54" t="s">
        <v>322</v>
      </c>
      <c r="B63" s="1199" t="s">
        <v>235</v>
      </c>
      <c r="C63" s="127" t="s">
        <v>273</v>
      </c>
      <c r="D63" s="1161" t="s">
        <v>274</v>
      </c>
      <c r="E63" s="1617" t="s">
        <v>1448</v>
      </c>
      <c r="F63" s="1624"/>
      <c r="G63" s="51"/>
      <c r="H63" s="1866">
        <f>'XM.FILE GOC'!H63</f>
        <v>43</v>
      </c>
      <c r="I63" s="1867"/>
      <c r="J63" s="1867"/>
      <c r="K63" s="1867"/>
      <c r="L63" s="1868"/>
      <c r="M63" s="1196"/>
      <c r="N63" s="1866">
        <f>'XM.FILE GOC'!N63</f>
        <v>42</v>
      </c>
      <c r="O63" s="1867"/>
      <c r="P63" s="1867"/>
      <c r="Q63" s="1867"/>
      <c r="R63" s="1868"/>
      <c r="S63" s="699">
        <f>'XM.FILE GOC'!T63</f>
        <v>43</v>
      </c>
      <c r="T63" s="1866">
        <f>'XM.FILE GOC'!T63</f>
        <v>43</v>
      </c>
      <c r="U63" s="1867"/>
      <c r="V63" s="1867"/>
      <c r="W63" s="1867"/>
      <c r="X63" s="1868"/>
      <c r="Y63" s="1196"/>
      <c r="Z63" s="1866">
        <f>'XM.FILE GOC'!Z63</f>
        <v>42</v>
      </c>
      <c r="AA63" s="1867"/>
      <c r="AB63" s="1867"/>
      <c r="AC63" s="1867"/>
      <c r="AD63" s="1867"/>
      <c r="AE63" s="1181"/>
      <c r="AF63" s="1866">
        <f>'XM.FILE GOC'!AF63</f>
        <v>0</v>
      </c>
      <c r="AG63" s="1867"/>
      <c r="AH63" s="1867"/>
      <c r="AI63" s="1867"/>
      <c r="AJ63" s="1867"/>
      <c r="AK63" s="1181"/>
      <c r="AL63" s="1869">
        <f>'XM.FILE GOC'!AL63</f>
        <v>39</v>
      </c>
      <c r="AM63" s="1869"/>
      <c r="AN63" s="1869"/>
      <c r="AO63" s="1869"/>
      <c r="AP63" s="1869"/>
    </row>
    <row r="64" spans="1:42" ht="26.25" customHeight="1">
      <c r="A64" s="309"/>
      <c r="B64" s="309"/>
      <c r="C64" s="309"/>
      <c r="D64" s="309"/>
      <c r="E64" s="1621"/>
      <c r="F64" s="1627"/>
      <c r="G64" s="309"/>
      <c r="H64" s="309"/>
      <c r="I64" s="309"/>
      <c r="J64" s="309"/>
      <c r="K64" s="309"/>
      <c r="L64" s="309"/>
      <c r="M64" s="309"/>
      <c r="N64" s="309"/>
      <c r="O64" s="309"/>
      <c r="P64" s="309"/>
      <c r="Q64" s="309"/>
      <c r="R64" s="309"/>
      <c r="S64" s="309"/>
      <c r="T64" s="309"/>
      <c r="U64" s="309"/>
      <c r="V64" s="309"/>
      <c r="W64" s="309"/>
      <c r="X64" s="309"/>
      <c r="Y64" s="309"/>
      <c r="Z64" s="309"/>
      <c r="AA64" s="309"/>
      <c r="AB64" s="309"/>
      <c r="AC64" s="309"/>
      <c r="AD64" s="309"/>
      <c r="AE64" s="309"/>
      <c r="AF64" s="309"/>
      <c r="AG64" s="309"/>
      <c r="AH64" s="309"/>
      <c r="AI64" s="309"/>
      <c r="AJ64" s="309"/>
      <c r="AK64" s="309"/>
      <c r="AL64" s="309"/>
      <c r="AM64" s="309"/>
      <c r="AN64" s="309"/>
      <c r="AO64" s="309"/>
      <c r="AP64" s="309"/>
    </row>
    <row r="65" spans="1:57" ht="41.25" customHeight="1">
      <c r="A65" s="1228" t="s">
        <v>56</v>
      </c>
      <c r="B65" s="1229"/>
      <c r="C65" s="1230"/>
      <c r="D65" s="1230"/>
      <c r="E65" s="1607"/>
      <c r="F65" s="1631" t="s">
        <v>75</v>
      </c>
      <c r="G65" s="1231"/>
      <c r="H65" s="1232"/>
      <c r="I65" s="1231"/>
      <c r="J65" s="1231"/>
      <c r="K65" s="1233"/>
      <c r="L65" s="1233"/>
      <c r="M65" s="1233"/>
      <c r="N65" s="1233"/>
      <c r="O65" s="1233"/>
      <c r="P65" s="1233"/>
      <c r="Q65" s="1233"/>
      <c r="R65" s="1231"/>
      <c r="S65" s="1231"/>
      <c r="T65" s="1231"/>
      <c r="U65" s="1231"/>
      <c r="V65" s="1231"/>
      <c r="W65" s="1231"/>
      <c r="X65" s="1231"/>
      <c r="Y65" s="1231"/>
      <c r="Z65" s="1231"/>
      <c r="AA65" s="1231"/>
      <c r="AB65" s="1231"/>
      <c r="AC65" s="1231"/>
      <c r="AD65" s="1231"/>
      <c r="AE65" s="1226"/>
      <c r="AF65" s="1229" t="s">
        <v>56</v>
      </c>
      <c r="AG65" s="1234"/>
      <c r="AH65" s="1234"/>
      <c r="AI65" s="1234"/>
      <c r="AJ65" s="1234"/>
      <c r="AK65" s="1234"/>
      <c r="AL65" s="1234"/>
      <c r="AM65" s="1234"/>
      <c r="AN65" s="1234"/>
      <c r="AO65" s="1234"/>
      <c r="AP65" s="1235"/>
      <c r="AR65" s="1223" t="s">
        <v>1122</v>
      </c>
      <c r="AS65" s="1223"/>
      <c r="AT65" s="1223"/>
      <c r="AU65" s="1223"/>
      <c r="AV65" s="1223"/>
      <c r="AW65" s="1223"/>
      <c r="AX65" s="1223"/>
      <c r="AY65" s="1223"/>
      <c r="AZ65" s="1223"/>
      <c r="BA65" s="1223"/>
      <c r="BB65" s="1223"/>
      <c r="BC65" s="1223"/>
      <c r="BD65" s="1223"/>
      <c r="BE65" s="1223"/>
    </row>
    <row r="66" spans="1:57" ht="36.75" customHeight="1">
      <c r="A66" s="1195"/>
      <c r="B66" s="1195"/>
      <c r="C66" s="1195"/>
      <c r="D66" s="1195"/>
      <c r="E66" s="1608"/>
      <c r="F66" s="2114" t="s">
        <v>141</v>
      </c>
      <c r="G66" s="105"/>
      <c r="H66" s="314" t="s">
        <v>241</v>
      </c>
      <c r="I66" s="314"/>
      <c r="J66" s="314"/>
      <c r="K66" s="314"/>
      <c r="L66" s="314"/>
      <c r="M66" s="106"/>
      <c r="N66" s="331" t="s">
        <v>242</v>
      </c>
      <c r="O66" s="314"/>
      <c r="P66" s="314"/>
      <c r="Q66" s="314"/>
      <c r="R66" s="315"/>
      <c r="S66" s="314"/>
      <c r="T66" s="314" t="s">
        <v>243</v>
      </c>
      <c r="U66" s="314"/>
      <c r="V66" s="314"/>
      <c r="W66" s="314"/>
      <c r="X66" s="314"/>
      <c r="Y66" s="106"/>
      <c r="Z66" s="331" t="s">
        <v>244</v>
      </c>
      <c r="AA66" s="314"/>
      <c r="AB66" s="314"/>
      <c r="AC66" s="314"/>
      <c r="AD66" s="315"/>
      <c r="AE66" s="314"/>
      <c r="AF66" s="314" t="s">
        <v>245</v>
      </c>
      <c r="AG66" s="314"/>
      <c r="AH66" s="314"/>
      <c r="AI66" s="314"/>
      <c r="AJ66" s="314"/>
      <c r="AK66" s="314"/>
      <c r="AL66" s="331" t="s">
        <v>246</v>
      </c>
      <c r="AM66" s="314"/>
      <c r="AN66" s="314"/>
      <c r="AO66" s="315"/>
      <c r="AP66" s="1154"/>
      <c r="AR66" s="1223"/>
      <c r="AS66" s="1223"/>
      <c r="AT66" s="1223"/>
      <c r="AU66" s="1223"/>
      <c r="AV66" s="1223"/>
      <c r="AW66" s="1223"/>
      <c r="AX66" s="1223"/>
      <c r="AY66" s="1223"/>
      <c r="AZ66" s="1223"/>
      <c r="BA66" s="1223"/>
      <c r="BB66" s="1223"/>
      <c r="BC66" s="1223"/>
      <c r="BD66" s="1223"/>
      <c r="BE66" s="1223"/>
    </row>
    <row r="67" spans="1:57" ht="63.75" customHeight="1">
      <c r="A67" s="1198" t="s">
        <v>276</v>
      </c>
      <c r="B67" s="1198" t="s">
        <v>359</v>
      </c>
      <c r="C67" s="1202" t="s">
        <v>357</v>
      </c>
      <c r="D67" s="1198" t="s">
        <v>137</v>
      </c>
      <c r="E67" s="1663" t="s">
        <v>1469</v>
      </c>
      <c r="F67" s="2115"/>
      <c r="G67" s="21"/>
      <c r="H67" s="1195" t="s">
        <v>146</v>
      </c>
      <c r="I67" s="36" t="s">
        <v>1</v>
      </c>
      <c r="J67" s="332" t="s">
        <v>1</v>
      </c>
      <c r="K67" s="332"/>
      <c r="L67" s="333"/>
      <c r="M67" s="107"/>
      <c r="N67" s="1195" t="s">
        <v>146</v>
      </c>
      <c r="O67" s="36" t="s">
        <v>1</v>
      </c>
      <c r="P67" s="332" t="s">
        <v>1</v>
      </c>
      <c r="Q67" s="332"/>
      <c r="R67" s="333"/>
      <c r="S67" s="21"/>
      <c r="T67" s="1195" t="s">
        <v>146</v>
      </c>
      <c r="U67" s="36" t="s">
        <v>1</v>
      </c>
      <c r="V67" s="332" t="s">
        <v>1</v>
      </c>
      <c r="W67" s="332"/>
      <c r="X67" s="333"/>
      <c r="Y67" s="107"/>
      <c r="Z67" s="1195" t="s">
        <v>146</v>
      </c>
      <c r="AA67" s="36" t="s">
        <v>1</v>
      </c>
      <c r="AB67" s="332" t="s">
        <v>1</v>
      </c>
      <c r="AC67" s="332"/>
      <c r="AD67" s="333"/>
      <c r="AE67" s="107"/>
      <c r="AF67" s="1195" t="s">
        <v>146</v>
      </c>
      <c r="AG67" s="36" t="s">
        <v>1</v>
      </c>
      <c r="AH67" s="332" t="s">
        <v>1</v>
      </c>
      <c r="AI67" s="332"/>
      <c r="AJ67" s="333"/>
      <c r="AK67" s="107"/>
      <c r="AL67" s="1195" t="s">
        <v>146</v>
      </c>
      <c r="AM67" s="36" t="s">
        <v>1</v>
      </c>
      <c r="AN67" s="332" t="s">
        <v>1</v>
      </c>
      <c r="AO67" s="332"/>
      <c r="AP67" s="333"/>
      <c r="AR67" s="1219" t="s">
        <v>1092</v>
      </c>
      <c r="AS67" s="1220" t="s">
        <v>1091</v>
      </c>
      <c r="AT67" s="1223"/>
      <c r="AU67" s="1223"/>
      <c r="AV67" s="1223"/>
      <c r="AW67" s="1223"/>
      <c r="AX67" s="1223"/>
      <c r="AY67" s="1223"/>
      <c r="AZ67" s="1223"/>
      <c r="BA67" s="1223"/>
      <c r="BB67" s="1223"/>
      <c r="BC67" s="1223"/>
      <c r="BD67" s="1223"/>
      <c r="BE67" s="1223"/>
    </row>
    <row r="68" spans="1:57" ht="33.75" customHeight="1">
      <c r="A68" s="1199" t="s">
        <v>323</v>
      </c>
      <c r="B68" s="1199" t="s">
        <v>144</v>
      </c>
      <c r="C68" s="54" t="s">
        <v>83</v>
      </c>
      <c r="D68" s="54" t="s">
        <v>4</v>
      </c>
      <c r="E68" s="1609" t="s">
        <v>263</v>
      </c>
      <c r="F68" s="1632">
        <v>50</v>
      </c>
      <c r="G68" s="110">
        <f>XM.HN!B35</f>
        <v>0</v>
      </c>
      <c r="H68" s="64">
        <f>G68*6.49</f>
        <v>0</v>
      </c>
      <c r="I68" s="1241">
        <f>($F$68-H68)*15517/1000</f>
        <v>775.85</v>
      </c>
      <c r="J68" s="1242" t="s">
        <v>8</v>
      </c>
      <c r="K68" s="46">
        <f t="shared" ref="K68:K69" si="24">IF(I68&lt;0,0,I68)</f>
        <v>775.85</v>
      </c>
      <c r="L68" s="249" t="s">
        <v>9</v>
      </c>
      <c r="M68" s="1244">
        <f>XM.HN!C35</f>
        <v>0</v>
      </c>
      <c r="N68" s="64">
        <f>M68*6.49</f>
        <v>0</v>
      </c>
      <c r="O68" s="1241">
        <f>($F$68-N68)*15517/1000</f>
        <v>775.85</v>
      </c>
      <c r="P68" s="1242" t="s">
        <v>8</v>
      </c>
      <c r="Q68" s="46">
        <f t="shared" ref="Q68:Q69" si="25">IF(O68&lt;0,0,O68)</f>
        <v>775.85</v>
      </c>
      <c r="R68" s="249" t="s">
        <v>9</v>
      </c>
      <c r="S68" s="1136">
        <f>XM.HN!D35</f>
        <v>0</v>
      </c>
      <c r="T68" s="64">
        <f>S68*6.49</f>
        <v>0</v>
      </c>
      <c r="U68" s="1241">
        <f>($F$68-T68)*15517/1000</f>
        <v>775.85</v>
      </c>
      <c r="V68" s="1242" t="s">
        <v>8</v>
      </c>
      <c r="W68" s="46">
        <f t="shared" ref="W68:W69" si="26">IF(U68&lt;0,0,U68)</f>
        <v>775.85</v>
      </c>
      <c r="X68" s="249" t="s">
        <v>9</v>
      </c>
      <c r="Y68" s="1244">
        <f>XM.HN!E35</f>
        <v>0</v>
      </c>
      <c r="Z68" s="64">
        <f>Y68*6.49</f>
        <v>0</v>
      </c>
      <c r="AA68" s="1241">
        <f>($F$68-Z68)*15517/1000</f>
        <v>775.85</v>
      </c>
      <c r="AB68" s="1242" t="s">
        <v>8</v>
      </c>
      <c r="AC68" s="46">
        <f t="shared" ref="AC68:AC69" si="27">IF(AA68&lt;0,0,AA68)</f>
        <v>775.85</v>
      </c>
      <c r="AD68" s="249" t="s">
        <v>9</v>
      </c>
      <c r="AE68" s="1244">
        <f>XM.HN!F35</f>
        <v>0</v>
      </c>
      <c r="AF68" s="64">
        <f>AE68*6.49</f>
        <v>0</v>
      </c>
      <c r="AG68" s="1241">
        <f>($F$68-AF68)*15517/1000</f>
        <v>775.85</v>
      </c>
      <c r="AH68" s="1242" t="s">
        <v>8</v>
      </c>
      <c r="AI68" s="46">
        <f t="shared" ref="AI68:AI69" si="28">IF(AG68&lt;0,0,AG68)</f>
        <v>775.85</v>
      </c>
      <c r="AJ68" s="249" t="s">
        <v>9</v>
      </c>
      <c r="AK68" s="1244">
        <f>XM.HN!G35</f>
        <v>0</v>
      </c>
      <c r="AL68" s="64">
        <f>AK68*6.49</f>
        <v>0</v>
      </c>
      <c r="AM68" s="36">
        <f>($F$68-AL68)*15517/1000</f>
        <v>775.85</v>
      </c>
      <c r="AN68" s="39" t="s">
        <v>8</v>
      </c>
      <c r="AO68" s="40">
        <f t="shared" ref="AO68:AO69" si="29">IF(AM68&lt;0,0,AM68)</f>
        <v>775.85</v>
      </c>
      <c r="AP68" s="45" t="s">
        <v>9</v>
      </c>
      <c r="AR68" s="1221" t="s">
        <v>1095</v>
      </c>
      <c r="AS68" s="2117" t="s">
        <v>1105</v>
      </c>
      <c r="AT68" s="1223"/>
      <c r="AU68" s="1223"/>
      <c r="AV68" s="1223"/>
      <c r="AW68" s="1223"/>
      <c r="AX68" s="1223"/>
      <c r="AY68" s="1223"/>
      <c r="AZ68" s="1223"/>
      <c r="BA68" s="1223"/>
      <c r="BB68" s="1223"/>
      <c r="BC68" s="1223"/>
      <c r="BD68" s="1223"/>
      <c r="BE68" s="1223"/>
    </row>
    <row r="69" spans="1:57" ht="33.75" customHeight="1">
      <c r="A69" s="1199" t="s">
        <v>324</v>
      </c>
      <c r="B69" s="1199" t="s">
        <v>144</v>
      </c>
      <c r="C69" s="54" t="s">
        <v>143</v>
      </c>
      <c r="D69" s="54" t="s">
        <v>4</v>
      </c>
      <c r="E69" s="1609" t="s">
        <v>263</v>
      </c>
      <c r="F69" s="1632">
        <v>50</v>
      </c>
      <c r="G69" s="110">
        <f>XM.HN!B36</f>
        <v>0</v>
      </c>
      <c r="H69" s="64">
        <f>G69*6.49</f>
        <v>0</v>
      </c>
      <c r="I69" s="1241">
        <f>($F$69-H69)*11475/1000</f>
        <v>573.75</v>
      </c>
      <c r="J69" s="1242" t="s">
        <v>8</v>
      </c>
      <c r="K69" s="46">
        <f t="shared" si="24"/>
        <v>573.75</v>
      </c>
      <c r="L69" s="249" t="s">
        <v>9</v>
      </c>
      <c r="M69" s="1244">
        <f>XM.HN!C36</f>
        <v>0</v>
      </c>
      <c r="N69" s="64">
        <f>M69*6.49</f>
        <v>0</v>
      </c>
      <c r="O69" s="1241">
        <f>($F$69-N69)*11475/1000</f>
        <v>573.75</v>
      </c>
      <c r="P69" s="1242" t="s">
        <v>8</v>
      </c>
      <c r="Q69" s="46">
        <f t="shared" si="25"/>
        <v>573.75</v>
      </c>
      <c r="R69" s="249" t="s">
        <v>9</v>
      </c>
      <c r="S69" s="1136">
        <f>XM.HN!D36</f>
        <v>0</v>
      </c>
      <c r="T69" s="64">
        <f>S69*6.49</f>
        <v>0</v>
      </c>
      <c r="U69" s="1241">
        <f>($F$69-T69)*11475/1000</f>
        <v>573.75</v>
      </c>
      <c r="V69" s="1242" t="s">
        <v>8</v>
      </c>
      <c r="W69" s="46">
        <f t="shared" si="26"/>
        <v>573.75</v>
      </c>
      <c r="X69" s="249" t="s">
        <v>9</v>
      </c>
      <c r="Y69" s="1244">
        <f>XM.HN!E36</f>
        <v>0</v>
      </c>
      <c r="Z69" s="64">
        <f>Y69*6.49</f>
        <v>0</v>
      </c>
      <c r="AA69" s="1241">
        <f>($F$69-Z69)*11475/1000</f>
        <v>573.75</v>
      </c>
      <c r="AB69" s="1242" t="s">
        <v>8</v>
      </c>
      <c r="AC69" s="46">
        <f t="shared" si="27"/>
        <v>573.75</v>
      </c>
      <c r="AD69" s="249" t="s">
        <v>9</v>
      </c>
      <c r="AE69" s="1244">
        <f>XM.HN!F36</f>
        <v>0</v>
      </c>
      <c r="AF69" s="64">
        <f>AE69*6.49</f>
        <v>0</v>
      </c>
      <c r="AG69" s="1241">
        <f>($F$69-AF69)*11475/1000</f>
        <v>573.75</v>
      </c>
      <c r="AH69" s="1242" t="s">
        <v>8</v>
      </c>
      <c r="AI69" s="46">
        <f t="shared" si="28"/>
        <v>573.75</v>
      </c>
      <c r="AJ69" s="249" t="s">
        <v>9</v>
      </c>
      <c r="AK69" s="1244">
        <f>XM.HN!G36</f>
        <v>0</v>
      </c>
      <c r="AL69" s="64">
        <f>AK69*6.49</f>
        <v>0</v>
      </c>
      <c r="AM69" s="37">
        <f>($F$69-AL69)*11475/1000</f>
        <v>573.75</v>
      </c>
      <c r="AN69" s="45" t="s">
        <v>8</v>
      </c>
      <c r="AO69" s="46">
        <f t="shared" si="29"/>
        <v>573.75</v>
      </c>
      <c r="AP69" s="47" t="s">
        <v>9</v>
      </c>
      <c r="AR69" s="1221" t="s">
        <v>1095</v>
      </c>
      <c r="AS69" s="2118"/>
      <c r="AT69" s="1223"/>
      <c r="AU69" s="1223"/>
      <c r="AV69" s="1223"/>
      <c r="AW69" s="1223"/>
      <c r="AX69" s="1223"/>
      <c r="AY69" s="1223"/>
      <c r="AZ69" s="1223"/>
      <c r="BA69" s="1223"/>
      <c r="BB69" s="1223"/>
      <c r="BC69" s="1223"/>
      <c r="BD69" s="1223"/>
      <c r="BE69" s="1223"/>
    </row>
    <row r="70" spans="1:57" ht="33.75" customHeight="1">
      <c r="A70" s="1199" t="s">
        <v>325</v>
      </c>
      <c r="B70" s="1199" t="s">
        <v>144</v>
      </c>
      <c r="C70" s="1578" t="s">
        <v>88</v>
      </c>
      <c r="D70" s="1578" t="s">
        <v>4</v>
      </c>
      <c r="E70" s="1609" t="s">
        <v>270</v>
      </c>
      <c r="F70" s="1632">
        <v>60</v>
      </c>
      <c r="G70" s="110">
        <f>XM.HN!B37</f>
        <v>0</v>
      </c>
      <c r="H70" s="64">
        <f>G70*4.62</f>
        <v>0</v>
      </c>
      <c r="I70" s="37">
        <f>($F$70-H70)*8200/1000</f>
        <v>492</v>
      </c>
      <c r="J70" s="45" t="s">
        <v>8</v>
      </c>
      <c r="K70" s="46">
        <f t="shared" ref="K70:K71" si="30">IF(I70&lt;0,0,I70)</f>
        <v>492</v>
      </c>
      <c r="L70" s="47" t="s">
        <v>9</v>
      </c>
      <c r="M70" s="110">
        <f>XM.HN!C37</f>
        <v>0</v>
      </c>
      <c r="N70" s="64">
        <f>M70*4.62</f>
        <v>0</v>
      </c>
      <c r="O70" s="37">
        <f>($F$70-N70)*8200/1000</f>
        <v>492</v>
      </c>
      <c r="P70" s="45" t="s">
        <v>8</v>
      </c>
      <c r="Q70" s="46">
        <f t="shared" ref="Q70" si="31">IF(O70&lt;0,0,O70)</f>
        <v>492</v>
      </c>
      <c r="R70" s="47" t="s">
        <v>9</v>
      </c>
      <c r="S70" s="110">
        <f>XM.HN!D37</f>
        <v>0</v>
      </c>
      <c r="T70" s="64">
        <f>S70*4.62</f>
        <v>0</v>
      </c>
      <c r="U70" s="37">
        <f>($F$70-T70)*8200/1000</f>
        <v>492</v>
      </c>
      <c r="V70" s="45" t="s">
        <v>8</v>
      </c>
      <c r="W70" s="46">
        <f t="shared" ref="W70" si="32">IF(U70&lt;0,0,U70)</f>
        <v>492</v>
      </c>
      <c r="X70" s="47" t="s">
        <v>9</v>
      </c>
      <c r="Y70" s="110">
        <f>XM.HN!E37</f>
        <v>0</v>
      </c>
      <c r="Z70" s="64">
        <f>Y70*4.62</f>
        <v>0</v>
      </c>
      <c r="AA70" s="37">
        <f>($F$70-Z70)*8200/1000</f>
        <v>492</v>
      </c>
      <c r="AB70" s="45" t="s">
        <v>8</v>
      </c>
      <c r="AC70" s="46">
        <f t="shared" ref="AC70" si="33">IF(AA70&lt;0,0,AA70)</f>
        <v>492</v>
      </c>
      <c r="AD70" s="47" t="s">
        <v>9</v>
      </c>
      <c r="AE70" s="110">
        <f>XM.HN!F37</f>
        <v>0</v>
      </c>
      <c r="AF70" s="64">
        <f>AE70*4.62</f>
        <v>0</v>
      </c>
      <c r="AG70" s="37">
        <f>($F$70-AF70)*8200/1000</f>
        <v>492</v>
      </c>
      <c r="AH70" s="45" t="s">
        <v>8</v>
      </c>
      <c r="AI70" s="46">
        <f t="shared" ref="AI70" si="34">IF(AG70&lt;0,0,AG70)</f>
        <v>492</v>
      </c>
      <c r="AJ70" s="47" t="s">
        <v>9</v>
      </c>
      <c r="AK70" s="110">
        <f>XM.HN!G37</f>
        <v>0</v>
      </c>
      <c r="AL70" s="64">
        <f>AK70*4.62</f>
        <v>0</v>
      </c>
      <c r="AM70" s="37">
        <f>($F$70-AL70)*8200/1000</f>
        <v>492</v>
      </c>
      <c r="AN70" s="45" t="s">
        <v>8</v>
      </c>
      <c r="AO70" s="46">
        <f t="shared" ref="AO70" si="35">IF(AM70&lt;0,0,AM70)</f>
        <v>492</v>
      </c>
      <c r="AP70" s="47" t="s">
        <v>9</v>
      </c>
      <c r="AR70" s="1221" t="s">
        <v>1095</v>
      </c>
      <c r="AS70" s="2118" t="s">
        <v>1106</v>
      </c>
      <c r="AT70" s="1223"/>
      <c r="AU70" s="1223"/>
      <c r="AV70" s="1223"/>
      <c r="AW70" s="1223"/>
      <c r="AX70" s="1223"/>
      <c r="AY70" s="1223"/>
      <c r="AZ70" s="1223"/>
      <c r="BA70" s="1223"/>
      <c r="BB70" s="1223"/>
      <c r="BC70" s="1223"/>
      <c r="BD70" s="1223"/>
      <c r="BE70" s="1223"/>
    </row>
    <row r="71" spans="1:57" ht="33.75" customHeight="1">
      <c r="A71" s="1199" t="s">
        <v>326</v>
      </c>
      <c r="B71" s="1199" t="s">
        <v>144</v>
      </c>
      <c r="C71" s="1578" t="s">
        <v>87</v>
      </c>
      <c r="D71" s="1578" t="s">
        <v>4</v>
      </c>
      <c r="E71" s="1609" t="s">
        <v>270</v>
      </c>
      <c r="F71" s="1632">
        <v>60</v>
      </c>
      <c r="G71" s="110">
        <f>XM.HN!B38</f>
        <v>0</v>
      </c>
      <c r="H71" s="64">
        <f>G71*4.62</f>
        <v>0</v>
      </c>
      <c r="I71" s="37">
        <f>($F$71-H71)*8668/1000</f>
        <v>520.08000000000004</v>
      </c>
      <c r="J71" s="45" t="s">
        <v>8</v>
      </c>
      <c r="K71" s="46">
        <f t="shared" si="30"/>
        <v>520.08000000000004</v>
      </c>
      <c r="L71" s="249" t="s">
        <v>9</v>
      </c>
      <c r="M71" s="285">
        <f>XM.HN!C38</f>
        <v>0</v>
      </c>
      <c r="N71" s="64">
        <f>M71*4.62</f>
        <v>0</v>
      </c>
      <c r="O71" s="37">
        <f>($F$71-N71)*8668/1000</f>
        <v>520.08000000000004</v>
      </c>
      <c r="P71" s="45" t="s">
        <v>8</v>
      </c>
      <c r="Q71" s="46">
        <f t="shared" ref="Q71:Q72" si="36">IF(O71&lt;0,0,O71)</f>
        <v>520.08000000000004</v>
      </c>
      <c r="R71" s="249" t="s">
        <v>9</v>
      </c>
      <c r="S71" s="110">
        <f>XM.HN!D38</f>
        <v>0</v>
      </c>
      <c r="T71" s="64">
        <f>S71*4.62</f>
        <v>0</v>
      </c>
      <c r="U71" s="37">
        <f>($F$71-T71)*8668/1000</f>
        <v>520.08000000000004</v>
      </c>
      <c r="V71" s="45" t="s">
        <v>8</v>
      </c>
      <c r="W71" s="46">
        <f t="shared" ref="W71:W72" si="37">IF(U71&lt;0,0,U71)</f>
        <v>520.08000000000004</v>
      </c>
      <c r="X71" s="249" t="s">
        <v>9</v>
      </c>
      <c r="Y71" s="110">
        <f>XM.HN!E38</f>
        <v>0</v>
      </c>
      <c r="Z71" s="64">
        <f>Y71*4.62</f>
        <v>0</v>
      </c>
      <c r="AA71" s="37">
        <f>($F$71-Z71)*8668/1000</f>
        <v>520.08000000000004</v>
      </c>
      <c r="AB71" s="45" t="s">
        <v>8</v>
      </c>
      <c r="AC71" s="46">
        <f t="shared" ref="AC71:AC72" si="38">IF(AA71&lt;0,0,AA71)</f>
        <v>520.08000000000004</v>
      </c>
      <c r="AD71" s="249" t="s">
        <v>9</v>
      </c>
      <c r="AE71" s="110">
        <f>XM.HN!F38</f>
        <v>0</v>
      </c>
      <c r="AF71" s="64">
        <f>AE71*4.62</f>
        <v>0</v>
      </c>
      <c r="AG71" s="37">
        <f>($F$71-AF71)*8668/1000</f>
        <v>520.08000000000004</v>
      </c>
      <c r="AH71" s="45" t="s">
        <v>8</v>
      </c>
      <c r="AI71" s="46">
        <f t="shared" ref="AI71:AI72" si="39">IF(AG71&lt;0,0,AG71)</f>
        <v>520.08000000000004</v>
      </c>
      <c r="AJ71" s="249" t="s">
        <v>9</v>
      </c>
      <c r="AK71" s="110">
        <f>XM.HN!G38</f>
        <v>0</v>
      </c>
      <c r="AL71" s="64">
        <f>AK71*4.62</f>
        <v>0</v>
      </c>
      <c r="AM71" s="37">
        <f>($F$71-AL71)*8668/1000</f>
        <v>520.08000000000004</v>
      </c>
      <c r="AN71" s="45" t="s">
        <v>8</v>
      </c>
      <c r="AO71" s="46">
        <f t="shared" ref="AO71:AO72" si="40">IF(AM71&lt;0,0,AM71)</f>
        <v>520.08000000000004</v>
      </c>
      <c r="AP71" s="47" t="s">
        <v>9</v>
      </c>
      <c r="AR71" s="1221" t="s">
        <v>1095</v>
      </c>
      <c r="AS71" s="2119"/>
      <c r="AT71" s="1223"/>
      <c r="AU71" s="1223"/>
      <c r="AV71" s="1223"/>
      <c r="AW71" s="1223"/>
      <c r="AX71" s="1223"/>
      <c r="AY71" s="1223"/>
      <c r="AZ71" s="1223"/>
      <c r="BA71" s="1223"/>
      <c r="BB71" s="1223"/>
      <c r="BC71" s="1223"/>
      <c r="BD71" s="1223"/>
      <c r="BE71" s="1223"/>
    </row>
    <row r="72" spans="1:57" ht="33.75" customHeight="1">
      <c r="A72" s="1199" t="s">
        <v>327</v>
      </c>
      <c r="B72" s="1199" t="s">
        <v>144</v>
      </c>
      <c r="C72" s="127" t="s">
        <v>84</v>
      </c>
      <c r="D72" s="1578" t="s">
        <v>4</v>
      </c>
      <c r="E72" s="1609" t="s">
        <v>1449</v>
      </c>
      <c r="F72" s="1632">
        <v>140</v>
      </c>
      <c r="G72" s="110">
        <f>XM.HN!B39</f>
        <v>0</v>
      </c>
      <c r="H72" s="64">
        <f>G72*8</f>
        <v>0</v>
      </c>
      <c r="I72" s="37">
        <f>($F$72-H72)*53066/1000</f>
        <v>7429.24</v>
      </c>
      <c r="J72" s="45" t="s">
        <v>8</v>
      </c>
      <c r="K72" s="46">
        <f t="shared" ref="K72:K74" si="41">IF(I72&lt;0,0,I72)</f>
        <v>7429.24</v>
      </c>
      <c r="L72" s="47" t="s">
        <v>9</v>
      </c>
      <c r="M72" s="110">
        <f>XM.HN!C39</f>
        <v>0</v>
      </c>
      <c r="N72" s="64">
        <f>M72*8</f>
        <v>0</v>
      </c>
      <c r="O72" s="37">
        <f>($F$72-N72)*53066/1000</f>
        <v>7429.24</v>
      </c>
      <c r="P72" s="45" t="s">
        <v>8</v>
      </c>
      <c r="Q72" s="46">
        <f t="shared" si="36"/>
        <v>7429.24</v>
      </c>
      <c r="R72" s="47" t="s">
        <v>9</v>
      </c>
      <c r="S72" s="21">
        <f>XM.HN!D39</f>
        <v>0</v>
      </c>
      <c r="T72" s="64">
        <f>S72*8</f>
        <v>0</v>
      </c>
      <c r="U72" s="37">
        <f>($F$72-T72)*53066/1000</f>
        <v>7429.24</v>
      </c>
      <c r="V72" s="45" t="s">
        <v>8</v>
      </c>
      <c r="W72" s="46">
        <f t="shared" si="37"/>
        <v>7429.24</v>
      </c>
      <c r="X72" s="47" t="s">
        <v>9</v>
      </c>
      <c r="Y72" s="107">
        <f>XM.HN!E39</f>
        <v>0</v>
      </c>
      <c r="Z72" s="64">
        <f>Y72*8</f>
        <v>0</v>
      </c>
      <c r="AA72" s="37">
        <f>($F$72-Z72)*53066/1000</f>
        <v>7429.24</v>
      </c>
      <c r="AB72" s="45" t="s">
        <v>8</v>
      </c>
      <c r="AC72" s="46">
        <f t="shared" si="38"/>
        <v>7429.24</v>
      </c>
      <c r="AD72" s="47" t="s">
        <v>9</v>
      </c>
      <c r="AE72" s="107">
        <f>XM.HN!F39</f>
        <v>0</v>
      </c>
      <c r="AF72" s="64">
        <f>AE72*8</f>
        <v>0</v>
      </c>
      <c r="AG72" s="37">
        <f>($F$72-AF72)*53066/1000</f>
        <v>7429.24</v>
      </c>
      <c r="AH72" s="45" t="s">
        <v>8</v>
      </c>
      <c r="AI72" s="46">
        <f t="shared" si="39"/>
        <v>7429.24</v>
      </c>
      <c r="AJ72" s="47" t="s">
        <v>9</v>
      </c>
      <c r="AK72" s="107">
        <f>XM.HN!G39</f>
        <v>0</v>
      </c>
      <c r="AL72" s="64">
        <f>AK72*8</f>
        <v>0</v>
      </c>
      <c r="AM72" s="37">
        <f>($F$72-AL72)*53066/1000</f>
        <v>7429.24</v>
      </c>
      <c r="AN72" s="45" t="s">
        <v>8</v>
      </c>
      <c r="AO72" s="46">
        <f t="shared" si="40"/>
        <v>7429.24</v>
      </c>
      <c r="AP72" s="47" t="s">
        <v>9</v>
      </c>
      <c r="AR72" s="1374" t="s">
        <v>1095</v>
      </c>
      <c r="AS72" s="1373" t="s">
        <v>1224</v>
      </c>
      <c r="AT72" s="1223"/>
      <c r="AU72" s="1223"/>
      <c r="AV72" s="1223"/>
      <c r="AW72" s="1223"/>
      <c r="AX72" s="1223"/>
      <c r="AY72" s="1223"/>
      <c r="AZ72" s="1223"/>
      <c r="BA72" s="1223"/>
      <c r="BB72" s="1223"/>
      <c r="BC72" s="1223"/>
      <c r="BD72" s="1223"/>
      <c r="BE72" s="1223"/>
    </row>
    <row r="73" spans="1:57" ht="33.75" customHeight="1">
      <c r="A73" s="54" t="s">
        <v>328</v>
      </c>
      <c r="B73" s="1199" t="s">
        <v>144</v>
      </c>
      <c r="C73" s="1577" t="s">
        <v>85</v>
      </c>
      <c r="D73" s="1578" t="s">
        <v>4</v>
      </c>
      <c r="E73" s="1609" t="s">
        <v>1450</v>
      </c>
      <c r="F73" s="1632">
        <v>7</v>
      </c>
      <c r="G73" s="110">
        <f>XM.HN!B40</f>
        <v>0</v>
      </c>
      <c r="H73" s="64">
        <f>G73*1.3</f>
        <v>0</v>
      </c>
      <c r="I73" s="37">
        <f>($F$73-H73)*53066/1000</f>
        <v>371.46199999999999</v>
      </c>
      <c r="J73" s="45" t="s">
        <v>8</v>
      </c>
      <c r="K73" s="46">
        <f t="shared" si="41"/>
        <v>371.46199999999999</v>
      </c>
      <c r="L73" s="47" t="s">
        <v>9</v>
      </c>
      <c r="M73" s="110">
        <f>XM.HN!C40</f>
        <v>0</v>
      </c>
      <c r="N73" s="64">
        <f>M73*1.3</f>
        <v>0</v>
      </c>
      <c r="O73" s="37">
        <f>($F$73-N73)*53066/1000</f>
        <v>371.46199999999999</v>
      </c>
      <c r="P73" s="45" t="s">
        <v>8</v>
      </c>
      <c r="Q73" s="46">
        <f t="shared" ref="Q73:Q74" si="42">IF(O73&lt;0,0,O73)</f>
        <v>371.46199999999999</v>
      </c>
      <c r="R73" s="47" t="s">
        <v>9</v>
      </c>
      <c r="S73" s="21">
        <f>XM.HN!D40</f>
        <v>0</v>
      </c>
      <c r="T73" s="64">
        <f>S73*1.3</f>
        <v>0</v>
      </c>
      <c r="U73" s="37">
        <f>($F$73-T73)*53066/1000</f>
        <v>371.46199999999999</v>
      </c>
      <c r="V73" s="45" t="s">
        <v>8</v>
      </c>
      <c r="W73" s="46">
        <f t="shared" ref="W73:W74" si="43">IF(U73&lt;0,0,U73)</f>
        <v>371.46199999999999</v>
      </c>
      <c r="X73" s="47" t="s">
        <v>9</v>
      </c>
      <c r="Y73" s="107">
        <f>XM.HN!E40</f>
        <v>0</v>
      </c>
      <c r="Z73" s="64">
        <f>Y73*1.3</f>
        <v>0</v>
      </c>
      <c r="AA73" s="37">
        <f>($F$73-Z73)*53066/1000</f>
        <v>371.46199999999999</v>
      </c>
      <c r="AB73" s="45" t="s">
        <v>8</v>
      </c>
      <c r="AC73" s="46">
        <f t="shared" ref="AC73:AC74" si="44">IF(AA73&lt;0,0,AA73)</f>
        <v>371.46199999999999</v>
      </c>
      <c r="AD73" s="47" t="s">
        <v>9</v>
      </c>
      <c r="AE73" s="107">
        <f>XM.HN!F40</f>
        <v>0</v>
      </c>
      <c r="AF73" s="64">
        <f>AE73*1.3</f>
        <v>0</v>
      </c>
      <c r="AG73" s="37">
        <f>($F$73-AF73)*53066/1000</f>
        <v>371.46199999999999</v>
      </c>
      <c r="AH73" s="45" t="s">
        <v>8</v>
      </c>
      <c r="AI73" s="46">
        <f t="shared" ref="AI73:AI74" si="45">IF(AG73&lt;0,0,AG73)</f>
        <v>371.46199999999999</v>
      </c>
      <c r="AJ73" s="47" t="s">
        <v>9</v>
      </c>
      <c r="AK73" s="107">
        <f>XM.HN!G40</f>
        <v>0</v>
      </c>
      <c r="AL73" s="64">
        <f>AK73*1.3</f>
        <v>0</v>
      </c>
      <c r="AM73" s="37">
        <f>($F$73-AL73)*53066/1000</f>
        <v>371.46199999999999</v>
      </c>
      <c r="AN73" s="45" t="s">
        <v>8</v>
      </c>
      <c r="AO73" s="46">
        <f t="shared" ref="AO73:AO74" si="46">IF(AM73&lt;0,0,AM73)</f>
        <v>371.46199999999999</v>
      </c>
      <c r="AP73" s="41" t="s">
        <v>9</v>
      </c>
      <c r="AR73" s="1221" t="s">
        <v>1095</v>
      </c>
      <c r="AS73" s="1236" t="s">
        <v>1118</v>
      </c>
      <c r="AT73" s="1223"/>
      <c r="AU73" s="1223"/>
      <c r="AV73" s="1223"/>
      <c r="AW73" s="1223"/>
      <c r="AX73" s="1223"/>
      <c r="AY73" s="1223"/>
      <c r="AZ73" s="1223"/>
      <c r="BA73" s="1223"/>
      <c r="BB73" s="1223"/>
      <c r="BC73" s="1223"/>
      <c r="BD73" s="1223"/>
      <c r="BE73" s="1223"/>
    </row>
    <row r="74" spans="1:57" ht="33.75" customHeight="1">
      <c r="A74" s="324" t="s">
        <v>329</v>
      </c>
      <c r="B74" s="1199" t="s">
        <v>144</v>
      </c>
      <c r="C74" s="1579" t="s">
        <v>1261</v>
      </c>
      <c r="D74" s="1210" t="s">
        <v>3</v>
      </c>
      <c r="E74" s="1609" t="s">
        <v>1451</v>
      </c>
      <c r="F74" s="1632">
        <v>6</v>
      </c>
      <c r="G74" s="110">
        <f>XM.HN!B41</f>
        <v>0</v>
      </c>
      <c r="H74" s="64">
        <f>(G74*0.4237)-1.0461</f>
        <v>-1.0461</v>
      </c>
      <c r="I74" s="37">
        <f>($F$74-H74)*3360/100</f>
        <v>236.74896000000001</v>
      </c>
      <c r="J74" s="45" t="s">
        <v>8</v>
      </c>
      <c r="K74" s="46">
        <f t="shared" si="41"/>
        <v>236.74896000000001</v>
      </c>
      <c r="L74" s="47" t="s">
        <v>10</v>
      </c>
      <c r="M74" s="107">
        <f>XM.HN!C41</f>
        <v>0</v>
      </c>
      <c r="N74" s="64">
        <f>(M74*0.4237)-1.0461</f>
        <v>-1.0461</v>
      </c>
      <c r="O74" s="37">
        <f>($F$74-N74)*3360/100</f>
        <v>236.74896000000001</v>
      </c>
      <c r="P74" s="45" t="s">
        <v>8</v>
      </c>
      <c r="Q74" s="46">
        <f t="shared" si="42"/>
        <v>236.74896000000001</v>
      </c>
      <c r="R74" s="47" t="s">
        <v>10</v>
      </c>
      <c r="S74" s="21">
        <f>XM.HN!D41</f>
        <v>0</v>
      </c>
      <c r="T74" s="64">
        <f>(S74*0.4237)-1.0461</f>
        <v>-1.0461</v>
      </c>
      <c r="U74" s="37">
        <f>($F$74-T74)*3360/100</f>
        <v>236.74896000000001</v>
      </c>
      <c r="V74" s="45" t="s">
        <v>8</v>
      </c>
      <c r="W74" s="46">
        <f t="shared" si="43"/>
        <v>236.74896000000001</v>
      </c>
      <c r="X74" s="47" t="s">
        <v>10</v>
      </c>
      <c r="Y74" s="107">
        <f>XM.HN!E41</f>
        <v>0</v>
      </c>
      <c r="Z74" s="64">
        <f>(Y74*0.4237)-1.0461</f>
        <v>-1.0461</v>
      </c>
      <c r="AA74" s="37">
        <f>($F$74-Z74)*3360/100</f>
        <v>236.74896000000001</v>
      </c>
      <c r="AB74" s="45" t="s">
        <v>8</v>
      </c>
      <c r="AC74" s="46">
        <f t="shared" si="44"/>
        <v>236.74896000000001</v>
      </c>
      <c r="AD74" s="47" t="s">
        <v>10</v>
      </c>
      <c r="AE74" s="107">
        <f>XM.HN!F41</f>
        <v>0</v>
      </c>
      <c r="AF74" s="64">
        <f>(AE74*0.4237)-1.0461</f>
        <v>-1.0461</v>
      </c>
      <c r="AG74" s="37">
        <f>($F$74-AF74)*3360/100</f>
        <v>236.74896000000001</v>
      </c>
      <c r="AH74" s="45" t="s">
        <v>8</v>
      </c>
      <c r="AI74" s="46">
        <f t="shared" si="45"/>
        <v>236.74896000000001</v>
      </c>
      <c r="AJ74" s="47" t="s">
        <v>10</v>
      </c>
      <c r="AK74" s="107">
        <f>XM.HN!G41</f>
        <v>0</v>
      </c>
      <c r="AL74" s="64">
        <f>(AK74*0.4237)-1.0461</f>
        <v>-1.0461</v>
      </c>
      <c r="AM74" s="37">
        <f>($F$74-AL74)*3360/100</f>
        <v>236.74896000000001</v>
      </c>
      <c r="AN74" s="45" t="s">
        <v>8</v>
      </c>
      <c r="AO74" s="46">
        <f t="shared" si="46"/>
        <v>236.74896000000001</v>
      </c>
      <c r="AP74" s="47" t="s">
        <v>10</v>
      </c>
      <c r="AR74" s="1221" t="s">
        <v>1095</v>
      </c>
      <c r="AS74" s="1236" t="s">
        <v>1109</v>
      </c>
      <c r="AT74" s="1223"/>
      <c r="AU74" s="1223"/>
      <c r="AV74" s="1223"/>
      <c r="AW74" s="1223"/>
      <c r="AX74" s="1223"/>
      <c r="AY74" s="1223"/>
      <c r="AZ74" s="1223"/>
      <c r="BA74" s="1223"/>
      <c r="BB74" s="1223"/>
      <c r="BC74" s="1223"/>
      <c r="BD74" s="1223"/>
      <c r="BE74" s="1223"/>
    </row>
    <row r="75" spans="1:57" ht="33.75" customHeight="1">
      <c r="A75" s="54" t="s">
        <v>330</v>
      </c>
      <c r="B75" s="1199" t="s">
        <v>144</v>
      </c>
      <c r="C75" s="327" t="s">
        <v>132</v>
      </c>
      <c r="D75" s="1210" t="s">
        <v>5</v>
      </c>
      <c r="E75" s="1609" t="s">
        <v>1496</v>
      </c>
      <c r="F75" s="1635"/>
      <c r="G75" s="110"/>
      <c r="H75" s="70">
        <f>XM.HN!B48</f>
        <v>0</v>
      </c>
      <c r="I75" s="42"/>
      <c r="J75" s="43"/>
      <c r="K75" s="44"/>
      <c r="L75" s="42"/>
      <c r="M75" s="110"/>
      <c r="N75" s="70">
        <f>XM.HN!C48</f>
        <v>0</v>
      </c>
      <c r="O75" s="36"/>
      <c r="P75" s="332"/>
      <c r="Q75" s="332"/>
      <c r="R75" s="333"/>
      <c r="S75" s="21"/>
      <c r="T75" s="70">
        <f>XM.HN!D48</f>
        <v>0</v>
      </c>
      <c r="U75" s="36"/>
      <c r="V75" s="332"/>
      <c r="W75" s="332"/>
      <c r="X75" s="333"/>
      <c r="Y75" s="107"/>
      <c r="Z75" s="70">
        <f>XM.HN!E48</f>
        <v>0</v>
      </c>
      <c r="AA75" s="36"/>
      <c r="AB75" s="332"/>
      <c r="AC75" s="332"/>
      <c r="AD75" s="333"/>
      <c r="AE75" s="107"/>
      <c r="AF75" s="70">
        <f>XM.HN!F48</f>
        <v>0</v>
      </c>
      <c r="AG75" s="36"/>
      <c r="AH75" s="332"/>
      <c r="AI75" s="332"/>
      <c r="AJ75" s="333"/>
      <c r="AK75" s="107"/>
      <c r="AL75" s="70">
        <f>XM.HN!G48</f>
        <v>0</v>
      </c>
      <c r="AM75" s="42"/>
      <c r="AN75" s="43"/>
      <c r="AO75" s="44"/>
      <c r="AP75" s="1158"/>
      <c r="AR75" s="1216"/>
      <c r="AS75" s="1218"/>
      <c r="AT75" s="1223"/>
      <c r="AU75" s="1223"/>
      <c r="AV75" s="1223"/>
      <c r="AW75" s="1223"/>
      <c r="AX75" s="1223"/>
      <c r="AY75" s="1223"/>
      <c r="AZ75" s="1223"/>
      <c r="BA75" s="1223"/>
      <c r="BB75" s="1223"/>
      <c r="BC75" s="1223"/>
      <c r="BD75" s="1223"/>
      <c r="BE75" s="1223"/>
    </row>
    <row r="76" spans="1:57" ht="32.25" customHeight="1">
      <c r="A76" s="325" t="s">
        <v>331</v>
      </c>
      <c r="B76" s="1199" t="s">
        <v>144</v>
      </c>
      <c r="C76" s="127" t="s">
        <v>89</v>
      </c>
      <c r="D76" s="54" t="s">
        <v>6</v>
      </c>
      <c r="E76" s="1609" t="s">
        <v>1452</v>
      </c>
      <c r="F76" s="1636">
        <v>0.45</v>
      </c>
      <c r="G76" s="110">
        <f>XM.HN!B42</f>
        <v>0</v>
      </c>
      <c r="H76" s="71">
        <f>(1*G76*36.5)/(0.5*10)/32%/100</f>
        <v>0</v>
      </c>
      <c r="I76" s="37">
        <f>($F$76-H76)*6723</f>
        <v>3025.35</v>
      </c>
      <c r="J76" s="45" t="s">
        <v>8</v>
      </c>
      <c r="K76" s="46">
        <f>IF(I76&lt;0,0,I76)</f>
        <v>3025.35</v>
      </c>
      <c r="L76" s="249" t="s">
        <v>10</v>
      </c>
      <c r="M76" s="285">
        <f>XM.HN!C42</f>
        <v>0</v>
      </c>
      <c r="N76" s="71">
        <f>(1*M76*36.5)/(0.5*10)/32%/100</f>
        <v>0</v>
      </c>
      <c r="O76" s="37">
        <f>($F$76-N76)*6723</f>
        <v>3025.35</v>
      </c>
      <c r="P76" s="45" t="s">
        <v>8</v>
      </c>
      <c r="Q76" s="46">
        <f>IF(O76&lt;0,0,O76)</f>
        <v>3025.35</v>
      </c>
      <c r="R76" s="249" t="s">
        <v>10</v>
      </c>
      <c r="S76" s="21">
        <f>XM.HN!D42</f>
        <v>0</v>
      </c>
      <c r="T76" s="71">
        <f>(1*S76*36.5)/(0.5*10)/32%/100</f>
        <v>0</v>
      </c>
      <c r="U76" s="37">
        <f>($F$76-T76)*6723</f>
        <v>3025.35</v>
      </c>
      <c r="V76" s="45" t="s">
        <v>8</v>
      </c>
      <c r="W76" s="46">
        <f>IF(U76&lt;0,0,U76)</f>
        <v>3025.35</v>
      </c>
      <c r="X76" s="249" t="s">
        <v>10</v>
      </c>
      <c r="Y76" s="107">
        <f>XM.HN!E42</f>
        <v>0</v>
      </c>
      <c r="Z76" s="71">
        <f>(1*Y76*36.5)/(0.5*10)/32%/100</f>
        <v>0</v>
      </c>
      <c r="AA76" s="37">
        <f>($F$76-Z76)*6723</f>
        <v>3025.35</v>
      </c>
      <c r="AB76" s="45" t="s">
        <v>8</v>
      </c>
      <c r="AC76" s="46">
        <f>IF(AA76&lt;0,0,AA76)</f>
        <v>3025.35</v>
      </c>
      <c r="AD76" s="249" t="s">
        <v>10</v>
      </c>
      <c r="AE76" s="107">
        <f>XM.HN!F42</f>
        <v>0</v>
      </c>
      <c r="AF76" s="71">
        <f>(1*AE76*36.5)/(0.5*10)/32%/100</f>
        <v>0</v>
      </c>
      <c r="AG76" s="37">
        <f>($F$76-AF76)*6723</f>
        <v>3025.35</v>
      </c>
      <c r="AH76" s="45" t="s">
        <v>8</v>
      </c>
      <c r="AI76" s="46">
        <f>IF(AG76&lt;0,0,AG76)</f>
        <v>3025.35</v>
      </c>
      <c r="AJ76" s="249" t="s">
        <v>10</v>
      </c>
      <c r="AK76" s="107">
        <f>XM.HN!G42</f>
        <v>0</v>
      </c>
      <c r="AL76" s="71">
        <f>(1*AK76*36.5)/(0.5*10)/32%/100</f>
        <v>0</v>
      </c>
      <c r="AM76" s="36">
        <f>($F$76-AL76)*6723</f>
        <v>3025.35</v>
      </c>
      <c r="AN76" s="332" t="s">
        <v>8</v>
      </c>
      <c r="AO76" s="46">
        <f>IF(AM76&lt;0,0,AM76)</f>
        <v>3025.35</v>
      </c>
      <c r="AP76" s="333" t="s">
        <v>10</v>
      </c>
      <c r="AR76" s="54" t="s">
        <v>1099</v>
      </c>
      <c r="AS76" s="2117" t="s">
        <v>1103</v>
      </c>
      <c r="AT76" s="1223"/>
      <c r="AU76" s="1223"/>
      <c r="AV76" s="1223"/>
      <c r="AW76" s="1223"/>
      <c r="AX76" s="1223"/>
      <c r="AY76" s="1223"/>
      <c r="AZ76" s="1223"/>
      <c r="BA76" s="1223"/>
      <c r="BB76" s="1223"/>
      <c r="BC76" s="1223"/>
      <c r="BD76" s="1223"/>
      <c r="BE76" s="1223"/>
    </row>
    <row r="77" spans="1:57" ht="32.25" customHeight="1">
      <c r="A77" s="325" t="s">
        <v>332</v>
      </c>
      <c r="B77" s="1199" t="s">
        <v>144</v>
      </c>
      <c r="C77" s="127" t="s">
        <v>90</v>
      </c>
      <c r="D77" s="54" t="s">
        <v>6</v>
      </c>
      <c r="E77" s="1609" t="s">
        <v>1452</v>
      </c>
      <c r="F77" s="1636">
        <v>0.45</v>
      </c>
      <c r="G77" s="110">
        <f>XM.HN!B43</f>
        <v>0</v>
      </c>
      <c r="H77" s="71">
        <f>(1*G77*36.5)/(0.5*10)/32%/100</f>
        <v>0</v>
      </c>
      <c r="I77" s="37">
        <f>($F$76-H77)*10509</f>
        <v>4729.05</v>
      </c>
      <c r="J77" s="45" t="s">
        <v>8</v>
      </c>
      <c r="K77" s="46">
        <f>IF(I77&lt;0,0,I77)</f>
        <v>4729.05</v>
      </c>
      <c r="L77" s="249" t="s">
        <v>10</v>
      </c>
      <c r="M77" s="285">
        <f>XM.HN!C43</f>
        <v>0</v>
      </c>
      <c r="N77" s="71">
        <f>(1*M77*36.5)/(0.5*10)/32%/100</f>
        <v>0</v>
      </c>
      <c r="O77" s="37">
        <f>($F$76-N77)*10509</f>
        <v>4729.05</v>
      </c>
      <c r="P77" s="45" t="s">
        <v>8</v>
      </c>
      <c r="Q77" s="46">
        <f>IF(O77&lt;0,0,O77)</f>
        <v>4729.05</v>
      </c>
      <c r="R77" s="249" t="s">
        <v>10</v>
      </c>
      <c r="S77" s="21">
        <f>XM.HN!D43</f>
        <v>0</v>
      </c>
      <c r="T77" s="71">
        <f>(1*S77*36.5)/(0.5*10)/32%/100</f>
        <v>0</v>
      </c>
      <c r="U77" s="37">
        <f>($F$76-T77)*10509</f>
        <v>4729.05</v>
      </c>
      <c r="V77" s="45" t="s">
        <v>8</v>
      </c>
      <c r="W77" s="46">
        <f>IF(U77&lt;0,0,U77)</f>
        <v>4729.05</v>
      </c>
      <c r="X77" s="249" t="s">
        <v>10</v>
      </c>
      <c r="Y77" s="107">
        <f>XM.HN!E43</f>
        <v>0</v>
      </c>
      <c r="Z77" s="71">
        <f>(1*Y77*36.5)/(0.5*10)/32%/100</f>
        <v>0</v>
      </c>
      <c r="AA77" s="37">
        <f>($F$76-Z77)*10509</f>
        <v>4729.05</v>
      </c>
      <c r="AB77" s="45" t="s">
        <v>8</v>
      </c>
      <c r="AC77" s="46">
        <f>IF(AA77&lt;0,0,AA77)</f>
        <v>4729.05</v>
      </c>
      <c r="AD77" s="249" t="s">
        <v>10</v>
      </c>
      <c r="AE77" s="107">
        <f>XM.HN!F43</f>
        <v>0</v>
      </c>
      <c r="AF77" s="71">
        <f>(1*AE77*36.5)/(0.5*10)/32%/100</f>
        <v>0</v>
      </c>
      <c r="AG77" s="37">
        <f>($F$76-AF77)*10509</f>
        <v>4729.05</v>
      </c>
      <c r="AH77" s="45" t="s">
        <v>8</v>
      </c>
      <c r="AI77" s="46">
        <f>IF(AG77&lt;0,0,AG77)</f>
        <v>4729.05</v>
      </c>
      <c r="AJ77" s="249" t="s">
        <v>10</v>
      </c>
      <c r="AK77" s="107">
        <f>XM.HN!G43</f>
        <v>0</v>
      </c>
      <c r="AL77" s="71">
        <f>(1*AK77*36.5)/(0.5*10)/32%/100</f>
        <v>0</v>
      </c>
      <c r="AM77" s="36">
        <f>($F$76-AL77)*10509</f>
        <v>4729.05</v>
      </c>
      <c r="AN77" s="332" t="s">
        <v>8</v>
      </c>
      <c r="AO77" s="46">
        <f>IF(AM77&lt;0,0,AM77)</f>
        <v>4729.05</v>
      </c>
      <c r="AP77" s="333" t="s">
        <v>10</v>
      </c>
      <c r="AR77" s="54" t="s">
        <v>1099</v>
      </c>
      <c r="AS77" s="2118"/>
      <c r="AT77" s="1223"/>
      <c r="AU77" s="1223"/>
      <c r="AV77" s="1223"/>
      <c r="AW77" s="1223"/>
      <c r="AX77" s="1223"/>
      <c r="AY77" s="1223"/>
      <c r="AZ77" s="1223"/>
      <c r="BA77" s="1223"/>
      <c r="BB77" s="1223"/>
      <c r="BC77" s="1223"/>
      <c r="BD77" s="1223"/>
      <c r="BE77" s="1223"/>
    </row>
    <row r="78" spans="1:57" ht="33.75" customHeight="1">
      <c r="A78" s="325" t="s">
        <v>333</v>
      </c>
      <c r="B78" s="1199" t="s">
        <v>144</v>
      </c>
      <c r="C78" s="127" t="s">
        <v>86</v>
      </c>
      <c r="D78" s="54" t="s">
        <v>6</v>
      </c>
      <c r="E78" s="1609" t="s">
        <v>1226</v>
      </c>
      <c r="F78" s="1636">
        <v>0.3</v>
      </c>
      <c r="G78" s="110">
        <f>XM.HN!B44</f>
        <v>0</v>
      </c>
      <c r="H78" s="71">
        <f>(1*G78*36.5)/(0.5*10)/32%/100</f>
        <v>0</v>
      </c>
      <c r="I78" s="36">
        <f>($F$78-H78)*3234</f>
        <v>970.19999999999993</v>
      </c>
      <c r="J78" s="332" t="s">
        <v>8</v>
      </c>
      <c r="K78" s="46">
        <f>IF(I78&lt;0,0,I78)</f>
        <v>970.19999999999993</v>
      </c>
      <c r="L78" s="249" t="s">
        <v>10</v>
      </c>
      <c r="M78" s="107">
        <f>XM.HN!C44</f>
        <v>0</v>
      </c>
      <c r="N78" s="71">
        <f>(1*M78*36.5)/(0.5*10)/32%/100</f>
        <v>0</v>
      </c>
      <c r="O78" s="36">
        <f>($F$78-N78)*3234</f>
        <v>970.19999999999993</v>
      </c>
      <c r="P78" s="332" t="s">
        <v>8</v>
      </c>
      <c r="Q78" s="46">
        <f>IF(O78&lt;0,0,O78)</f>
        <v>970.19999999999993</v>
      </c>
      <c r="R78" s="249" t="s">
        <v>10</v>
      </c>
      <c r="S78" s="21">
        <f>XM.HN!D44</f>
        <v>0</v>
      </c>
      <c r="T78" s="71">
        <f>(1*S78*36.5)/(0.5*10)/32%/100</f>
        <v>0</v>
      </c>
      <c r="U78" s="36">
        <f>($F$78-T78)*3234</f>
        <v>970.19999999999993</v>
      </c>
      <c r="V78" s="332" t="s">
        <v>8</v>
      </c>
      <c r="W78" s="46">
        <f>IF(U78&lt;0,0,U78)</f>
        <v>970.19999999999993</v>
      </c>
      <c r="X78" s="249" t="s">
        <v>10</v>
      </c>
      <c r="Y78" s="107">
        <f>XM.HN!E44</f>
        <v>0</v>
      </c>
      <c r="Z78" s="71">
        <f>(1*Y78*36.5)/(0.5*10)/32%/100</f>
        <v>0</v>
      </c>
      <c r="AA78" s="36">
        <f>($F$78-Z78)*3234</f>
        <v>970.19999999999993</v>
      </c>
      <c r="AB78" s="332" t="s">
        <v>8</v>
      </c>
      <c r="AC78" s="46">
        <f>IF(AA78&lt;0,0,AA78)</f>
        <v>970.19999999999993</v>
      </c>
      <c r="AD78" s="249" t="s">
        <v>10</v>
      </c>
      <c r="AE78" s="107">
        <f>XM.HN!F44</f>
        <v>0</v>
      </c>
      <c r="AF78" s="71">
        <f>(1*AE78*36.5)/(0.5*10)/32%/100</f>
        <v>0</v>
      </c>
      <c r="AG78" s="36">
        <f>($F$78-AF78)*3234</f>
        <v>970.19999999999993</v>
      </c>
      <c r="AH78" s="332" t="s">
        <v>8</v>
      </c>
      <c r="AI78" s="46">
        <f>IF(AG78&lt;0,0,AG78)</f>
        <v>970.19999999999993</v>
      </c>
      <c r="AJ78" s="249" t="s">
        <v>10</v>
      </c>
      <c r="AK78" s="107">
        <f>XM.HN!G44</f>
        <v>0</v>
      </c>
      <c r="AL78" s="71">
        <f>(1*AK78*36.5)/(0.5*10)/32%/100</f>
        <v>0</v>
      </c>
      <c r="AM78" s="36">
        <f>($F$78-AL78)*3234</f>
        <v>970.19999999999993</v>
      </c>
      <c r="AN78" s="332" t="s">
        <v>8</v>
      </c>
      <c r="AO78" s="46">
        <f>IF(AM78&lt;0,0,AM78)</f>
        <v>970.19999999999993</v>
      </c>
      <c r="AP78" s="333" t="s">
        <v>10</v>
      </c>
      <c r="AR78" s="54" t="s">
        <v>1099</v>
      </c>
      <c r="AS78" s="2119"/>
      <c r="AT78" s="1223"/>
      <c r="AU78" s="1223"/>
      <c r="AV78" s="1223"/>
      <c r="AW78" s="1223"/>
      <c r="AX78" s="1223"/>
      <c r="AY78" s="1223"/>
      <c r="AZ78" s="1223"/>
      <c r="BA78" s="1223"/>
      <c r="BB78" s="1223"/>
      <c r="BC78" s="1223"/>
      <c r="BD78" s="1223"/>
      <c r="BE78" s="1223"/>
    </row>
    <row r="79" spans="1:57" ht="33.75" customHeight="1">
      <c r="A79" s="325" t="s">
        <v>334</v>
      </c>
      <c r="B79" s="1199" t="s">
        <v>144</v>
      </c>
      <c r="C79" s="127" t="s">
        <v>166</v>
      </c>
      <c r="D79" s="54" t="s">
        <v>6</v>
      </c>
      <c r="E79" s="1609" t="s">
        <v>1453</v>
      </c>
      <c r="F79" s="1643">
        <v>0.01</v>
      </c>
      <c r="G79" s="110">
        <f>XM.HN!B45</f>
        <v>0</v>
      </c>
      <c r="H79" s="72">
        <f>(1*G79*6.301)/5/100/65%</f>
        <v>0</v>
      </c>
      <c r="I79" s="37">
        <f>($F$79-H79)*2808</f>
        <v>28.080000000000002</v>
      </c>
      <c r="J79" s="45" t="s">
        <v>8</v>
      </c>
      <c r="K79" s="48">
        <f>IF(I79&lt;0,0,I79)</f>
        <v>28.080000000000002</v>
      </c>
      <c r="L79" s="249" t="s">
        <v>10</v>
      </c>
      <c r="M79" s="110">
        <f>XM.HN!C45</f>
        <v>0</v>
      </c>
      <c r="N79" s="72">
        <f>(1*M79*6.301)/5/100/65%</f>
        <v>0</v>
      </c>
      <c r="O79" s="37">
        <f>($F$79-N79)*2808</f>
        <v>28.080000000000002</v>
      </c>
      <c r="P79" s="45" t="s">
        <v>8</v>
      </c>
      <c r="Q79" s="48">
        <f>IF(O79&lt;0,0,O79)</f>
        <v>28.080000000000002</v>
      </c>
      <c r="R79" s="249" t="s">
        <v>10</v>
      </c>
      <c r="S79" s="110">
        <f>XM.HN!D45</f>
        <v>0</v>
      </c>
      <c r="T79" s="72">
        <f>(1*S79*6.301)/5/100/65%</f>
        <v>0</v>
      </c>
      <c r="U79" s="37">
        <f>($F$79-T79)*2808</f>
        <v>28.080000000000002</v>
      </c>
      <c r="V79" s="45" t="s">
        <v>8</v>
      </c>
      <c r="W79" s="48">
        <f>IF(U79&lt;0,0,U79)</f>
        <v>28.080000000000002</v>
      </c>
      <c r="X79" s="249" t="s">
        <v>10</v>
      </c>
      <c r="Y79" s="110">
        <f>XM.HN!E45</f>
        <v>0</v>
      </c>
      <c r="Z79" s="72">
        <f>(1*Y79*6.301)/5/100/65%</f>
        <v>0</v>
      </c>
      <c r="AA79" s="37">
        <f>($F$79-Z79)*2808</f>
        <v>28.080000000000002</v>
      </c>
      <c r="AB79" s="45" t="s">
        <v>8</v>
      </c>
      <c r="AC79" s="48">
        <f>IF(AA79&lt;0,0,AA79)</f>
        <v>28.080000000000002</v>
      </c>
      <c r="AD79" s="249" t="s">
        <v>10</v>
      </c>
      <c r="AE79" s="110">
        <f>XM.HN!F45</f>
        <v>0</v>
      </c>
      <c r="AF79" s="72">
        <f>(1*AE79*6.301)/5/100/65%</f>
        <v>0</v>
      </c>
      <c r="AG79" s="37">
        <f>($F$79-AF79)*2808</f>
        <v>28.080000000000002</v>
      </c>
      <c r="AH79" s="45" t="s">
        <v>8</v>
      </c>
      <c r="AI79" s="48">
        <f>IF(AG79&lt;0,0,AG79)</f>
        <v>28.080000000000002</v>
      </c>
      <c r="AJ79" s="249" t="s">
        <v>10</v>
      </c>
      <c r="AK79" s="110">
        <f>XM.HN!G45</f>
        <v>0</v>
      </c>
      <c r="AL79" s="72">
        <f>(1*AK79*6.301)/5/100/65%</f>
        <v>0</v>
      </c>
      <c r="AM79" s="37">
        <f>($F$79-AL79)*2808</f>
        <v>28.080000000000002</v>
      </c>
      <c r="AN79" s="45" t="s">
        <v>8</v>
      </c>
      <c r="AO79" s="48">
        <f>IF(AM79&lt;0,0,AM79)</f>
        <v>28.080000000000002</v>
      </c>
      <c r="AP79" s="47" t="s">
        <v>10</v>
      </c>
      <c r="AR79" s="54" t="s">
        <v>1099</v>
      </c>
      <c r="AS79" s="1216" t="s">
        <v>1102</v>
      </c>
      <c r="AT79" s="1223"/>
      <c r="AU79" s="1223"/>
      <c r="AV79" s="1223"/>
      <c r="AW79" s="1223"/>
      <c r="AX79" s="1223"/>
      <c r="AY79" s="1223"/>
      <c r="AZ79" s="1223"/>
      <c r="BA79" s="1223"/>
      <c r="BB79" s="1223"/>
      <c r="BC79" s="1223"/>
      <c r="BD79" s="1223"/>
      <c r="BE79" s="1223"/>
    </row>
    <row r="80" spans="1:57" ht="33.75" customHeight="1">
      <c r="A80" s="324" t="s">
        <v>335</v>
      </c>
      <c r="B80" s="1199" t="s">
        <v>144</v>
      </c>
      <c r="C80" s="344" t="s">
        <v>93</v>
      </c>
      <c r="D80" s="54" t="s">
        <v>3</v>
      </c>
      <c r="E80" s="1612" t="s">
        <v>1454</v>
      </c>
      <c r="F80" s="1635">
        <v>6</v>
      </c>
      <c r="G80" s="110">
        <f>XM.HN!B46</f>
        <v>0</v>
      </c>
      <c r="H80" s="318" t="str">
        <f>IF(XM.HN!B46="","",(G80*0.8))</f>
        <v/>
      </c>
      <c r="I80" s="49" t="e">
        <f>($F$80-H80)*4042/95*0.88</f>
        <v>#VALUE!</v>
      </c>
      <c r="J80" s="45" t="s">
        <v>8</v>
      </c>
      <c r="K80" s="46" t="str">
        <f>IF(H80="","",(IF(I80&lt;0,0,I80)))</f>
        <v/>
      </c>
      <c r="L80" s="249" t="s">
        <v>10</v>
      </c>
      <c r="M80" s="110">
        <f>XM.HN!C46</f>
        <v>0</v>
      </c>
      <c r="N80" s="318" t="str">
        <f>IF(XM.HN!C46="","",(M80*0.8))</f>
        <v/>
      </c>
      <c r="O80" s="49" t="e">
        <f>($F$80-N80)*4042/95*0.88</f>
        <v>#VALUE!</v>
      </c>
      <c r="P80" s="45" t="s">
        <v>8</v>
      </c>
      <c r="Q80" s="46" t="str">
        <f>IF(N80="","",(IF(O80&lt;0,0,O80)))</f>
        <v/>
      </c>
      <c r="R80" s="249" t="s">
        <v>10</v>
      </c>
      <c r="S80" s="110">
        <f>XM.HN!D46</f>
        <v>0</v>
      </c>
      <c r="T80" s="318" t="str">
        <f>IF(XM.HN!D46="","",(S80*0.8))</f>
        <v/>
      </c>
      <c r="U80" s="49" t="e">
        <f>($F$80-T80)*4042/95*0.88</f>
        <v>#VALUE!</v>
      </c>
      <c r="V80" s="45" t="s">
        <v>8</v>
      </c>
      <c r="W80" s="46" t="str">
        <f>IF(T80="","",(IF(U80&lt;0,0,U80)))</f>
        <v/>
      </c>
      <c r="X80" s="249" t="s">
        <v>10</v>
      </c>
      <c r="Y80" s="110">
        <f>XM.HN!E46</f>
        <v>0</v>
      </c>
      <c r="Z80" s="318" t="str">
        <f>IF(XM.HN!E46="","",(Y80*0.8))</f>
        <v/>
      </c>
      <c r="AA80" s="49" t="e">
        <f>($F$80-Z80)*4042/95*0.88</f>
        <v>#VALUE!</v>
      </c>
      <c r="AB80" s="45" t="s">
        <v>8</v>
      </c>
      <c r="AC80" s="46" t="str">
        <f>IF(Z80="","",(IF(AA80&lt;0,0,AA80)))</f>
        <v/>
      </c>
      <c r="AD80" s="249" t="s">
        <v>10</v>
      </c>
      <c r="AE80" s="110">
        <f>XM.HN!F46</f>
        <v>0</v>
      </c>
      <c r="AF80" s="318" t="str">
        <f>IF(XM.HN!F46="","",(AE80*0.8))</f>
        <v/>
      </c>
      <c r="AG80" s="49" t="e">
        <f>($F$80-AF80)*4042/95*0.88</f>
        <v>#VALUE!</v>
      </c>
      <c r="AH80" s="45" t="s">
        <v>8</v>
      </c>
      <c r="AI80" s="46" t="str">
        <f>IF(AF80="","",(IF(AG80&lt;0,0,AG80)))</f>
        <v/>
      </c>
      <c r="AJ80" s="249" t="s">
        <v>10</v>
      </c>
      <c r="AK80" s="110">
        <f>XM.HN!G46</f>
        <v>0</v>
      </c>
      <c r="AL80" s="318" t="str">
        <f>IF(XM.HN!G46="","",(AK80*0.8))</f>
        <v/>
      </c>
      <c r="AM80" s="49" t="e">
        <f>($F$80-AL80)*4042/95*0.88</f>
        <v>#VALUE!</v>
      </c>
      <c r="AN80" s="45" t="s">
        <v>8</v>
      </c>
      <c r="AO80" s="46" t="str">
        <f>IF(AL80="","",(IF(AM80&lt;0,0,AM80)))</f>
        <v/>
      </c>
      <c r="AP80" s="47" t="s">
        <v>10</v>
      </c>
      <c r="AR80" s="1223"/>
      <c r="AS80" s="1223"/>
      <c r="AT80" s="1223"/>
      <c r="AU80" s="1223"/>
      <c r="AV80" s="1223"/>
      <c r="AW80" s="1223"/>
      <c r="AX80" s="1223"/>
      <c r="AY80" s="1223"/>
      <c r="AZ80" s="1223"/>
      <c r="BA80" s="1223"/>
      <c r="BB80" s="1223"/>
      <c r="BC80" s="1223"/>
      <c r="BD80" s="1223"/>
      <c r="BE80" s="1223"/>
    </row>
    <row r="81" spans="1:57" ht="33.75" customHeight="1">
      <c r="A81" s="324" t="s">
        <v>336</v>
      </c>
      <c r="B81" s="1199" t="s">
        <v>144</v>
      </c>
      <c r="C81" s="345" t="s">
        <v>132</v>
      </c>
      <c r="D81" s="54" t="s">
        <v>5</v>
      </c>
      <c r="E81" s="1612" t="s">
        <v>1493</v>
      </c>
      <c r="F81" s="1635"/>
      <c r="G81" s="109"/>
      <c r="H81" s="319">
        <f>'XM.FILE GOC'!H81</f>
        <v>0</v>
      </c>
      <c r="I81" s="49"/>
      <c r="J81" s="45"/>
      <c r="K81" s="46"/>
      <c r="L81" s="249"/>
      <c r="M81" s="110"/>
      <c r="N81" s="319">
        <f>'XM.FILE GOC'!N81</f>
        <v>0</v>
      </c>
      <c r="O81" s="49"/>
      <c r="P81" s="45"/>
      <c r="Q81" s="46"/>
      <c r="R81" s="249"/>
      <c r="S81" s="110"/>
      <c r="T81" s="319">
        <f>'XM.FILE GOC'!T81</f>
        <v>0</v>
      </c>
      <c r="U81" s="49"/>
      <c r="V81" s="45"/>
      <c r="W81" s="46"/>
      <c r="X81" s="249"/>
      <c r="Y81" s="110"/>
      <c r="Z81" s="319">
        <f>'XM.FILE GOC'!Z81</f>
        <v>0</v>
      </c>
      <c r="AA81" s="49"/>
      <c r="AB81" s="45"/>
      <c r="AC81" s="46"/>
      <c r="AD81" s="249"/>
      <c r="AE81" s="110"/>
      <c r="AF81" s="319">
        <f>'XM.FILE GOC'!AF81</f>
        <v>0</v>
      </c>
      <c r="AG81" s="49"/>
      <c r="AH81" s="45"/>
      <c r="AI81" s="46"/>
      <c r="AJ81" s="249"/>
      <c r="AK81" s="110"/>
      <c r="AL81" s="319">
        <f>'XM.FILE GOC'!AL81</f>
        <v>0</v>
      </c>
      <c r="AM81" s="49"/>
      <c r="AN81" s="45"/>
      <c r="AO81" s="46"/>
      <c r="AP81" s="47"/>
      <c r="AR81" s="1223"/>
      <c r="AS81" s="1223"/>
      <c r="AT81" s="1223"/>
      <c r="AU81" s="1223"/>
      <c r="AV81" s="1223"/>
      <c r="AW81" s="1223"/>
      <c r="AX81" s="1223"/>
      <c r="AY81" s="1223"/>
      <c r="AZ81" s="1223"/>
      <c r="BA81" s="1223"/>
      <c r="BB81" s="1223"/>
      <c r="BC81" s="1223"/>
      <c r="BD81" s="1223"/>
      <c r="BE81" s="1223"/>
    </row>
    <row r="82" spans="1:57" ht="33.75" customHeight="1">
      <c r="A82" s="324"/>
      <c r="B82" s="1408"/>
      <c r="C82" s="1665" t="s">
        <v>1473</v>
      </c>
      <c r="D82" s="321" t="s">
        <v>3</v>
      </c>
      <c r="E82" s="1609" t="s">
        <v>1256</v>
      </c>
      <c r="F82" s="1635">
        <v>12</v>
      </c>
      <c r="G82" s="110">
        <f>XM.HN!B49</f>
        <v>0</v>
      </c>
      <c r="H82" s="1409" t="str">
        <f>IF(XM.HN!B49="","",(G82*10/6.95))</f>
        <v/>
      </c>
      <c r="I82" s="37" t="e">
        <f>($F$82-H82)*3360/100</f>
        <v>#VALUE!</v>
      </c>
      <c r="J82" s="45" t="s">
        <v>8</v>
      </c>
      <c r="K82" s="46" t="str">
        <f>IF(H82="","",(IF(I82&lt;0,0,I82)))</f>
        <v/>
      </c>
      <c r="L82" s="47" t="s">
        <v>10</v>
      </c>
      <c r="M82" s="107">
        <f>XM.HN!C49</f>
        <v>0</v>
      </c>
      <c r="N82" s="1409" t="str">
        <f>IF(XM.HN!C49="","",(M82*10/6.95))</f>
        <v/>
      </c>
      <c r="O82" s="37" t="e">
        <f>($F$82-N82)*3360/100</f>
        <v>#VALUE!</v>
      </c>
      <c r="P82" s="45" t="s">
        <v>8</v>
      </c>
      <c r="Q82" s="46" t="str">
        <f>IF(N82="","",(IF(O82&lt;0,0,O82)))</f>
        <v/>
      </c>
      <c r="R82" s="47" t="s">
        <v>10</v>
      </c>
      <c r="S82" s="21">
        <f>XM.HN!D49</f>
        <v>0</v>
      </c>
      <c r="T82" s="1409" t="str">
        <f>IF(XM.HN!D49="","",(S82*10/6.95))</f>
        <v/>
      </c>
      <c r="U82" s="37" t="e">
        <f>($F$82-T82)*3360/100</f>
        <v>#VALUE!</v>
      </c>
      <c r="V82" s="45" t="s">
        <v>8</v>
      </c>
      <c r="W82" s="46" t="str">
        <f>IF(T82="","",(IF(U82&lt;0,0,U82)))</f>
        <v/>
      </c>
      <c r="X82" s="47" t="s">
        <v>10</v>
      </c>
      <c r="Y82" s="107">
        <f>XM.HN!E49</f>
        <v>0</v>
      </c>
      <c r="Z82" s="1409" t="str">
        <f>IF(XM.HN!E49="","",(Y82*10/6.95))</f>
        <v/>
      </c>
      <c r="AA82" s="37" t="e">
        <f>($F$82-Z82)*3360/100</f>
        <v>#VALUE!</v>
      </c>
      <c r="AB82" s="45" t="s">
        <v>8</v>
      </c>
      <c r="AC82" s="46" t="str">
        <f>IF(Z82="","",(IF(AA82&lt;0,0,AA82)))</f>
        <v/>
      </c>
      <c r="AD82" s="47" t="s">
        <v>10</v>
      </c>
      <c r="AE82" s="107">
        <f>XM.HN!F49</f>
        <v>0</v>
      </c>
      <c r="AF82" s="1409" t="str">
        <f>IF(XM.HN!F49="","",(AE82*10/6.95))</f>
        <v/>
      </c>
      <c r="AG82" s="37" t="e">
        <f>($F$82-AF82)*3360/100</f>
        <v>#VALUE!</v>
      </c>
      <c r="AH82" s="45" t="s">
        <v>8</v>
      </c>
      <c r="AI82" s="46" t="str">
        <f>IF(AF82="","",(IF(AG82&lt;0,0,AG82)))</f>
        <v/>
      </c>
      <c r="AJ82" s="47" t="s">
        <v>10</v>
      </c>
      <c r="AK82" s="107">
        <f>XM.HN!G49</f>
        <v>0</v>
      </c>
      <c r="AL82" s="1409" t="str">
        <f>IF(XM.HN!G49="","",(AK82*10/6.95))</f>
        <v/>
      </c>
      <c r="AM82" s="37" t="e">
        <f>($F$82-AL82)*3360/100</f>
        <v>#VALUE!</v>
      </c>
      <c r="AN82" s="45" t="s">
        <v>8</v>
      </c>
      <c r="AO82" s="46" t="str">
        <f>IF(AL82="","",(IF(AM82&lt;0,0,AM82)))</f>
        <v/>
      </c>
      <c r="AP82" s="47" t="s">
        <v>10</v>
      </c>
      <c r="AR82" s="1223"/>
      <c r="AS82" s="1223"/>
      <c r="AT82" s="1223"/>
      <c r="AU82" s="1223"/>
      <c r="AV82" s="1223"/>
      <c r="AW82" s="1223"/>
      <c r="AX82" s="1223"/>
      <c r="AY82" s="1223"/>
      <c r="AZ82" s="1223"/>
      <c r="BA82" s="1223"/>
      <c r="BB82" s="1223"/>
      <c r="BC82" s="1223"/>
      <c r="BD82" s="1223"/>
      <c r="BE82" s="1223"/>
    </row>
    <row r="83" spans="1:57" ht="33.75" customHeight="1">
      <c r="A83" s="324"/>
      <c r="B83" s="1408"/>
      <c r="C83" s="1666" t="s">
        <v>132</v>
      </c>
      <c r="D83" s="321" t="s">
        <v>5</v>
      </c>
      <c r="E83" s="1609" t="s">
        <v>1494</v>
      </c>
      <c r="F83" s="1635"/>
      <c r="G83" s="109"/>
      <c r="H83" s="1428">
        <f>XM.HN!B50</f>
        <v>0</v>
      </c>
      <c r="I83" s="42"/>
      <c r="J83" s="43"/>
      <c r="K83" s="44"/>
      <c r="L83" s="42"/>
      <c r="M83" s="110"/>
      <c r="N83" s="1428">
        <f>XM.HN!C50</f>
        <v>0</v>
      </c>
      <c r="O83" s="36"/>
      <c r="P83" s="332"/>
      <c r="Q83" s="332"/>
      <c r="R83" s="333"/>
      <c r="S83" s="21"/>
      <c r="T83" s="1428">
        <f>XM.HN!D50</f>
        <v>0</v>
      </c>
      <c r="U83" s="36"/>
      <c r="V83" s="332"/>
      <c r="W83" s="332"/>
      <c r="X83" s="333"/>
      <c r="Y83" s="107"/>
      <c r="Z83" s="1428">
        <f>XM.HN!E50</f>
        <v>0</v>
      </c>
      <c r="AA83" s="36"/>
      <c r="AB83" s="332"/>
      <c r="AC83" s="332"/>
      <c r="AD83" s="333"/>
      <c r="AE83" s="107"/>
      <c r="AF83" s="1428">
        <f>XM.HN!F50</f>
        <v>0</v>
      </c>
      <c r="AG83" s="36"/>
      <c r="AH83" s="332"/>
      <c r="AI83" s="332"/>
      <c r="AJ83" s="333"/>
      <c r="AK83" s="107"/>
      <c r="AL83" s="1428">
        <f>XM.HN!G50</f>
        <v>0</v>
      </c>
      <c r="AM83" s="42"/>
      <c r="AN83" s="43"/>
      <c r="AO83" s="44"/>
      <c r="AP83" s="1158"/>
      <c r="AR83" s="1223"/>
      <c r="AS83" s="1223"/>
      <c r="AT83" s="1223"/>
      <c r="AU83" s="1223"/>
      <c r="AV83" s="1223"/>
      <c r="AW83" s="1223"/>
      <c r="AX83" s="1223"/>
      <c r="AY83" s="1223"/>
      <c r="AZ83" s="1223"/>
      <c r="BA83" s="1223"/>
      <c r="BB83" s="1223"/>
      <c r="BC83" s="1223"/>
      <c r="BD83" s="1223"/>
      <c r="BE83" s="1223"/>
    </row>
    <row r="84" spans="1:57" ht="33.75" customHeight="1">
      <c r="A84" s="1581" t="s">
        <v>346</v>
      </c>
      <c r="B84" s="1199" t="s">
        <v>144</v>
      </c>
      <c r="C84" s="248" t="s">
        <v>212</v>
      </c>
      <c r="D84" s="240" t="s">
        <v>4</v>
      </c>
      <c r="E84" s="1609" t="s">
        <v>1455</v>
      </c>
      <c r="F84" s="1634">
        <v>5.5</v>
      </c>
      <c r="G84" s="241">
        <f>XM.HN!B53</f>
        <v>0</v>
      </c>
      <c r="H84" s="64" t="str">
        <f>IF(XM.HN!B53="","",G84*1.3)</f>
        <v/>
      </c>
      <c r="I84" s="242" t="e">
        <f>($F$84-H84)*8000/1000</f>
        <v>#VALUE!</v>
      </c>
      <c r="J84" s="45" t="s">
        <v>8</v>
      </c>
      <c r="K84" s="46" t="str">
        <f>IF($H$84="","",IF(I84&lt;0,0,I84))</f>
        <v/>
      </c>
      <c r="L84" s="249" t="s">
        <v>9</v>
      </c>
      <c r="M84" s="284">
        <f>XM.HN!C53</f>
        <v>0</v>
      </c>
      <c r="N84" s="37"/>
      <c r="O84" s="37"/>
      <c r="P84" s="45"/>
      <c r="Q84" s="46"/>
      <c r="R84" s="47"/>
      <c r="S84" s="237">
        <f>XM.HN!D53</f>
        <v>0</v>
      </c>
      <c r="T84" s="64" t="str">
        <f>IF(XM.HN!D53="","",S84*1.3)</f>
        <v/>
      </c>
      <c r="U84" s="242" t="e">
        <f>($F$84-T84)*8000/1000</f>
        <v>#VALUE!</v>
      </c>
      <c r="V84" s="45" t="s">
        <v>8</v>
      </c>
      <c r="W84" s="46" t="str">
        <f>IF($T$84="","",IF(U84&lt;0,0,U84))</f>
        <v/>
      </c>
      <c r="X84" s="47" t="s">
        <v>9</v>
      </c>
      <c r="Y84" s="243">
        <f>XM.HN!E53</f>
        <v>0</v>
      </c>
      <c r="Z84" s="64" t="str">
        <f>IF(XM.HN!E53="","",Y84*1.3)</f>
        <v/>
      </c>
      <c r="AA84" s="242" t="e">
        <f>($F$84-Z84)*8000/1000</f>
        <v>#VALUE!</v>
      </c>
      <c r="AB84" s="45" t="s">
        <v>8</v>
      </c>
      <c r="AC84" s="46" t="str">
        <f>IF($Z$84="","",IF(AA84&lt;0,0,AA84))</f>
        <v/>
      </c>
      <c r="AD84" s="47" t="s">
        <v>9</v>
      </c>
      <c r="AE84" s="1162"/>
      <c r="AF84" s="37"/>
      <c r="AG84" s="37"/>
      <c r="AH84" s="45"/>
      <c r="AI84" s="46"/>
      <c r="AJ84" s="47"/>
      <c r="AK84" s="238">
        <f>XM.HN!G53</f>
        <v>0</v>
      </c>
      <c r="AL84" s="64" t="str">
        <f>IF(XM.HN!G53="","",AK84*1.3)</f>
        <v/>
      </c>
      <c r="AM84" s="242" t="e">
        <f>($F$84-AL84)*8000/1000</f>
        <v>#VALUE!</v>
      </c>
      <c r="AN84" s="45" t="s">
        <v>8</v>
      </c>
      <c r="AO84" s="46" t="str">
        <f>IF($AL$84="","",IF(AM84&lt;0,0,AM84))</f>
        <v/>
      </c>
      <c r="AP84" s="47" t="s">
        <v>9</v>
      </c>
      <c r="AR84" s="1221" t="s">
        <v>1100</v>
      </c>
      <c r="AS84" s="1224" t="s">
        <v>1225</v>
      </c>
      <c r="AT84" s="1223"/>
      <c r="AU84" s="1223"/>
      <c r="AV84" s="1223"/>
      <c r="AW84" s="1223"/>
      <c r="AX84" s="1223"/>
      <c r="AY84" s="1223"/>
      <c r="AZ84" s="1223"/>
      <c r="BA84" s="1223"/>
      <c r="BB84" s="1223"/>
      <c r="BC84" s="1223"/>
      <c r="BD84" s="1223"/>
      <c r="BE84" s="1223"/>
    </row>
    <row r="85" spans="1:57" ht="33.75" hidden="1" customHeight="1">
      <c r="A85" s="1581" t="s">
        <v>347</v>
      </c>
      <c r="B85" s="1199" t="s">
        <v>144</v>
      </c>
      <c r="C85" s="248" t="s">
        <v>210</v>
      </c>
      <c r="D85" s="240" t="s">
        <v>4</v>
      </c>
      <c r="E85" s="1609" t="s">
        <v>127</v>
      </c>
      <c r="F85" s="1638">
        <v>1.8</v>
      </c>
      <c r="G85" s="244">
        <f>XM.HN!B54</f>
        <v>0</v>
      </c>
      <c r="H85" s="70">
        <f>G85</f>
        <v>0</v>
      </c>
      <c r="I85" s="242">
        <f>($F$85-H85)*8000/1000</f>
        <v>14.4</v>
      </c>
      <c r="J85" s="45" t="s">
        <v>8</v>
      </c>
      <c r="K85" s="46" t="str">
        <f t="shared" ref="K85:K87" si="47">IF($H$84="","",IF(I85&lt;0,0,I85))</f>
        <v/>
      </c>
      <c r="L85" s="249" t="s">
        <v>10</v>
      </c>
      <c r="M85" s="284">
        <f>XM.HN!C54</f>
        <v>0</v>
      </c>
      <c r="N85" s="1469"/>
      <c r="O85" s="37"/>
      <c r="P85" s="45"/>
      <c r="Q85" s="46"/>
      <c r="R85" s="47"/>
      <c r="S85" s="237">
        <f>XM.HN!D54</f>
        <v>0</v>
      </c>
      <c r="T85" s="70">
        <f>S85</f>
        <v>0</v>
      </c>
      <c r="U85" s="242">
        <f>($F$85-T85)*8000/1000</f>
        <v>14.4</v>
      </c>
      <c r="V85" s="45" t="s">
        <v>8</v>
      </c>
      <c r="W85" s="46" t="str">
        <f t="shared" ref="W85:W87" si="48">IF($T$84="","",IF(U85&lt;0,0,U85))</f>
        <v/>
      </c>
      <c r="X85" s="47" t="s">
        <v>10</v>
      </c>
      <c r="Y85" s="243">
        <f>XM.HN!E54</f>
        <v>0</v>
      </c>
      <c r="Z85" s="70">
        <f>Y85</f>
        <v>0</v>
      </c>
      <c r="AA85" s="242">
        <f>($F$85-Z85)*8000/1000</f>
        <v>14.4</v>
      </c>
      <c r="AB85" s="45" t="s">
        <v>8</v>
      </c>
      <c r="AC85" s="46" t="str">
        <f t="shared" ref="AC85:AC87" si="49">IF($Z$84="","",IF(AA85&lt;0,0,AA85))</f>
        <v/>
      </c>
      <c r="AD85" s="47" t="s">
        <v>10</v>
      </c>
      <c r="AE85" s="1162"/>
      <c r="AF85" s="1469"/>
      <c r="AG85" s="37"/>
      <c r="AH85" s="45"/>
      <c r="AI85" s="46"/>
      <c r="AJ85" s="47"/>
      <c r="AK85" s="238">
        <f>XM.HN!G54</f>
        <v>0</v>
      </c>
      <c r="AL85" s="70">
        <f>AK85</f>
        <v>0</v>
      </c>
      <c r="AM85" s="242">
        <f>($F$85-AL85)*8000/1000</f>
        <v>14.4</v>
      </c>
      <c r="AN85" s="45" t="s">
        <v>8</v>
      </c>
      <c r="AO85" s="46" t="str">
        <f t="shared" ref="AO85:AO87" si="50">IF($AL$84="","",IF(AM85&lt;0,0,AM85))</f>
        <v/>
      </c>
      <c r="AP85" s="47" t="s">
        <v>10</v>
      </c>
      <c r="AR85" s="1221" t="s">
        <v>1095</v>
      </c>
      <c r="AS85" s="1223"/>
      <c r="AT85" s="1223"/>
      <c r="AU85" s="1223"/>
      <c r="AV85" s="1223"/>
      <c r="AW85" s="1223"/>
      <c r="AX85" s="1223"/>
      <c r="AY85" s="1223"/>
      <c r="AZ85" s="1223"/>
      <c r="BA85" s="1223"/>
      <c r="BB85" s="1223"/>
      <c r="BC85" s="1223"/>
      <c r="BD85" s="1223"/>
      <c r="BE85" s="1223"/>
    </row>
    <row r="86" spans="1:57" ht="33.75" customHeight="1">
      <c r="A86" s="1581" t="s">
        <v>348</v>
      </c>
      <c r="B86" s="1199" t="s">
        <v>144</v>
      </c>
      <c r="C86" s="248" t="s">
        <v>211</v>
      </c>
      <c r="D86" s="240" t="s">
        <v>4</v>
      </c>
      <c r="E86" s="1609" t="s">
        <v>1456</v>
      </c>
      <c r="F86" s="1635">
        <v>125</v>
      </c>
      <c r="G86" s="241">
        <f>XM.HN!B55</f>
        <v>0</v>
      </c>
      <c r="H86" s="70">
        <f>G86*8</f>
        <v>0</v>
      </c>
      <c r="I86" s="242">
        <f>($F$86-H86)*8000/1000</f>
        <v>1000</v>
      </c>
      <c r="J86" s="45" t="s">
        <v>8</v>
      </c>
      <c r="K86" s="46" t="str">
        <f t="shared" si="47"/>
        <v/>
      </c>
      <c r="L86" s="249" t="s">
        <v>9</v>
      </c>
      <c r="M86" s="284">
        <f>XM.HN!C55</f>
        <v>0</v>
      </c>
      <c r="N86" s="37"/>
      <c r="O86" s="37"/>
      <c r="P86" s="45"/>
      <c r="Q86" s="46"/>
      <c r="R86" s="47"/>
      <c r="S86" s="237">
        <f>XM.HN!D55</f>
        <v>0</v>
      </c>
      <c r="T86" s="70">
        <f>S86*8</f>
        <v>0</v>
      </c>
      <c r="U86" s="242">
        <f>($F$86-T86)*8000/1000</f>
        <v>1000</v>
      </c>
      <c r="V86" s="45" t="s">
        <v>8</v>
      </c>
      <c r="W86" s="46" t="str">
        <f t="shared" si="48"/>
        <v/>
      </c>
      <c r="X86" s="47" t="s">
        <v>9</v>
      </c>
      <c r="Y86" s="243">
        <f>XM.HN!E55</f>
        <v>0</v>
      </c>
      <c r="Z86" s="70">
        <f>Y86*8</f>
        <v>0</v>
      </c>
      <c r="AA86" s="242">
        <f>($F$86-Z86)*8000/1000</f>
        <v>1000</v>
      </c>
      <c r="AB86" s="45" t="s">
        <v>8</v>
      </c>
      <c r="AC86" s="46" t="str">
        <f t="shared" si="49"/>
        <v/>
      </c>
      <c r="AD86" s="47" t="s">
        <v>9</v>
      </c>
      <c r="AE86" s="1162"/>
      <c r="AF86" s="37"/>
      <c r="AG86" s="37"/>
      <c r="AH86" s="45"/>
      <c r="AI86" s="46"/>
      <c r="AJ86" s="47"/>
      <c r="AK86" s="238">
        <f>XM.HN!G55</f>
        <v>0</v>
      </c>
      <c r="AL86" s="70">
        <f>AK86*8</f>
        <v>0</v>
      </c>
      <c r="AM86" s="242">
        <f>($F$86-AL86)*8000/1000</f>
        <v>1000</v>
      </c>
      <c r="AN86" s="45" t="s">
        <v>8</v>
      </c>
      <c r="AO86" s="46" t="str">
        <f t="shared" si="50"/>
        <v/>
      </c>
      <c r="AP86" s="47" t="s">
        <v>9</v>
      </c>
      <c r="AR86" s="1221" t="s">
        <v>1101</v>
      </c>
      <c r="AS86" s="1575" t="s">
        <v>1426</v>
      </c>
      <c r="AT86" s="1223"/>
      <c r="AU86" s="1223"/>
      <c r="AV86" s="1223"/>
      <c r="AW86" s="1223"/>
      <c r="AX86" s="1223"/>
      <c r="AY86" s="1223"/>
      <c r="AZ86" s="1223"/>
      <c r="BA86" s="1223"/>
      <c r="BB86" s="1223"/>
      <c r="BC86" s="1223"/>
      <c r="BD86" s="1223"/>
      <c r="BE86" s="1223"/>
    </row>
    <row r="87" spans="1:57" ht="33.75" hidden="1" customHeight="1">
      <c r="A87" s="1581" t="s">
        <v>349</v>
      </c>
      <c r="B87" s="1199" t="s">
        <v>144</v>
      </c>
      <c r="C87" s="248" t="s">
        <v>213</v>
      </c>
      <c r="D87" s="240" t="s">
        <v>4</v>
      </c>
      <c r="E87" s="1609" t="s">
        <v>139</v>
      </c>
      <c r="F87" s="1634">
        <v>130</v>
      </c>
      <c r="G87" s="241">
        <f>XM.HN!B56</f>
        <v>0</v>
      </c>
      <c r="H87" s="70" t="str">
        <f>IF(H84="","",(G87-0.5)*8.9)</f>
        <v/>
      </c>
      <c r="I87" s="242" t="e">
        <f>($F$87-H87)*8000/1000</f>
        <v>#VALUE!</v>
      </c>
      <c r="J87" s="45" t="s">
        <v>8</v>
      </c>
      <c r="K87" s="46" t="str">
        <f t="shared" si="47"/>
        <v/>
      </c>
      <c r="L87" s="249" t="s">
        <v>10</v>
      </c>
      <c r="M87" s="284">
        <f>XM.HN!C56</f>
        <v>0</v>
      </c>
      <c r="N87" s="1693"/>
      <c r="O87" s="1694"/>
      <c r="P87" s="1695"/>
      <c r="Q87" s="1696"/>
      <c r="R87" s="249"/>
      <c r="S87" s="237">
        <f>XM.HN!D56</f>
        <v>0</v>
      </c>
      <c r="T87" s="70" t="str">
        <f>IF(T84="","",(S87-0.5)*8.9)</f>
        <v/>
      </c>
      <c r="U87" s="242" t="e">
        <f>($F$87-T87)*8000/1000</f>
        <v>#VALUE!</v>
      </c>
      <c r="V87" s="45" t="s">
        <v>8</v>
      </c>
      <c r="W87" s="46" t="str">
        <f t="shared" si="48"/>
        <v/>
      </c>
      <c r="X87" s="249" t="s">
        <v>10</v>
      </c>
      <c r="Y87" s="243">
        <f>XM.HN!E56</f>
        <v>0</v>
      </c>
      <c r="Z87" s="70" t="str">
        <f>IF(Z84="","",(Y87-0.5)*8.9)</f>
        <v/>
      </c>
      <c r="AA87" s="242" t="e">
        <f>($F$87-Z87)*8000/1000</f>
        <v>#VALUE!</v>
      </c>
      <c r="AB87" s="45" t="s">
        <v>8</v>
      </c>
      <c r="AC87" s="46" t="str">
        <f t="shared" si="49"/>
        <v/>
      </c>
      <c r="AD87" s="249" t="s">
        <v>10</v>
      </c>
      <c r="AE87" s="1162"/>
      <c r="AF87" s="1693"/>
      <c r="AG87" s="1694"/>
      <c r="AH87" s="1695"/>
      <c r="AI87" s="1696"/>
      <c r="AJ87" s="249"/>
      <c r="AK87" s="238">
        <f>XM.HN!G56</f>
        <v>0</v>
      </c>
      <c r="AL87" s="70" t="str">
        <f>IF(AL84="","",(AK87-0.5)*8.9)</f>
        <v/>
      </c>
      <c r="AM87" s="242" t="e">
        <f>($F$87-AL87)*8000/1000</f>
        <v>#VALUE!</v>
      </c>
      <c r="AN87" s="45" t="s">
        <v>8</v>
      </c>
      <c r="AO87" s="46" t="str">
        <f t="shared" si="50"/>
        <v/>
      </c>
      <c r="AP87" s="249" t="s">
        <v>10</v>
      </c>
      <c r="AR87" s="1223"/>
      <c r="AS87" s="1223"/>
      <c r="AT87" s="1223"/>
      <c r="AU87" s="1223"/>
      <c r="AV87" s="1223"/>
      <c r="AW87" s="1223"/>
      <c r="AX87" s="1223"/>
      <c r="AY87" s="1223"/>
      <c r="AZ87" s="1223"/>
      <c r="BA87" s="1223"/>
      <c r="BB87" s="1223"/>
      <c r="BC87" s="1223"/>
      <c r="BD87" s="1223"/>
      <c r="BE87" s="1223"/>
    </row>
    <row r="88" spans="1:57" ht="33.75" customHeight="1">
      <c r="A88" s="1581" t="s">
        <v>350</v>
      </c>
      <c r="B88" s="1199" t="s">
        <v>144</v>
      </c>
      <c r="C88" s="245" t="s">
        <v>214</v>
      </c>
      <c r="D88" s="240" t="s">
        <v>132</v>
      </c>
      <c r="E88" s="1610" t="s">
        <v>1495</v>
      </c>
      <c r="F88" s="1635"/>
      <c r="G88" s="241"/>
      <c r="H88" s="70">
        <f>XM.HN!B57</f>
        <v>0</v>
      </c>
      <c r="I88" s="243"/>
      <c r="J88" s="39"/>
      <c r="K88" s="40"/>
      <c r="L88" s="42"/>
      <c r="M88" s="284"/>
      <c r="N88" s="42"/>
      <c r="O88" s="42"/>
      <c r="P88" s="39"/>
      <c r="Q88" s="40"/>
      <c r="R88" s="42"/>
      <c r="S88" s="237"/>
      <c r="T88" s="70">
        <f>XM.HN!D57</f>
        <v>0</v>
      </c>
      <c r="U88" s="243"/>
      <c r="V88" s="39"/>
      <c r="W88" s="40"/>
      <c r="X88" s="42"/>
      <c r="Y88" s="243"/>
      <c r="Z88" s="70">
        <f>XM.HN!E57</f>
        <v>0</v>
      </c>
      <c r="AA88" s="243"/>
      <c r="AB88" s="39"/>
      <c r="AC88" s="40"/>
      <c r="AD88" s="42"/>
      <c r="AE88" s="1162"/>
      <c r="AF88" s="42"/>
      <c r="AG88" s="42"/>
      <c r="AH88" s="39"/>
      <c r="AI88" s="40"/>
      <c r="AJ88" s="42"/>
      <c r="AK88" s="1163"/>
      <c r="AL88" s="70">
        <f>XM.HN!G57</f>
        <v>0</v>
      </c>
      <c r="AM88" s="1164"/>
      <c r="AN88" s="1158"/>
      <c r="AO88" s="1158"/>
      <c r="AP88" s="1158"/>
      <c r="AR88" s="1221" t="s">
        <v>1093</v>
      </c>
      <c r="AS88" s="1223"/>
      <c r="AT88" s="1223"/>
      <c r="AU88" s="1223"/>
      <c r="AV88" s="1223"/>
      <c r="AW88" s="1223"/>
      <c r="AX88" s="1223"/>
      <c r="AY88" s="1223"/>
      <c r="AZ88" s="1223"/>
      <c r="BA88" s="1223"/>
      <c r="BB88" s="1223"/>
      <c r="BC88" s="1223"/>
      <c r="BD88" s="1223"/>
      <c r="BE88" s="1223"/>
    </row>
    <row r="89" spans="1:57" s="233" customFormat="1" ht="54" customHeight="1">
      <c r="A89" s="335" t="s">
        <v>76</v>
      </c>
      <c r="B89" s="336"/>
      <c r="C89" s="336"/>
      <c r="D89" s="336"/>
      <c r="E89" s="1613"/>
      <c r="F89" s="1625"/>
      <c r="G89" s="336"/>
      <c r="H89" s="336"/>
      <c r="I89" s="336"/>
      <c r="J89" s="336"/>
      <c r="K89" s="336"/>
      <c r="L89" s="336"/>
      <c r="M89" s="336"/>
      <c r="N89" s="337"/>
      <c r="O89" s="336"/>
      <c r="P89" s="336"/>
      <c r="Q89" s="336"/>
      <c r="R89" s="337"/>
      <c r="S89" s="336"/>
      <c r="T89" s="337"/>
      <c r="U89" s="336"/>
      <c r="V89" s="336"/>
      <c r="W89" s="336"/>
      <c r="X89" s="336"/>
      <c r="Y89" s="336"/>
      <c r="Z89" s="336"/>
      <c r="AA89" s="336"/>
      <c r="AB89" s="336"/>
      <c r="AC89" s="336"/>
      <c r="AD89" s="336"/>
      <c r="AE89" s="337"/>
      <c r="AF89" s="337"/>
      <c r="AG89" s="337"/>
      <c r="AH89" s="337"/>
      <c r="AI89" s="337"/>
      <c r="AJ89" s="337"/>
      <c r="AK89" s="337"/>
      <c r="AL89" s="337"/>
      <c r="AM89" s="337"/>
      <c r="AN89" s="337"/>
      <c r="AO89" s="337"/>
      <c r="AP89" s="1165"/>
    </row>
    <row r="90" spans="1:57" ht="50.25" customHeight="1">
      <c r="A90" s="1203" t="s">
        <v>276</v>
      </c>
      <c r="B90" s="1198" t="s">
        <v>359</v>
      </c>
      <c r="C90" s="1196" t="s">
        <v>64</v>
      </c>
      <c r="D90" s="327" t="s">
        <v>66</v>
      </c>
      <c r="E90" s="1614" t="s">
        <v>67</v>
      </c>
      <c r="F90" s="1639"/>
      <c r="G90" s="112"/>
      <c r="H90" s="329" t="s">
        <v>48</v>
      </c>
      <c r="I90" s="330"/>
      <c r="J90" s="330"/>
      <c r="K90" s="329" t="s">
        <v>65</v>
      </c>
      <c r="L90" s="346"/>
      <c r="M90" s="327"/>
      <c r="N90" s="329" t="s">
        <v>48</v>
      </c>
      <c r="O90" s="330"/>
      <c r="P90" s="330"/>
      <c r="Q90" s="329" t="s">
        <v>65</v>
      </c>
      <c r="R90" s="346"/>
      <c r="S90" s="113"/>
      <c r="T90" s="329" t="s">
        <v>48</v>
      </c>
      <c r="U90" s="330"/>
      <c r="V90" s="330"/>
      <c r="W90" s="329" t="s">
        <v>65</v>
      </c>
      <c r="X90" s="346"/>
      <c r="Y90" s="114"/>
      <c r="Z90" s="329" t="s">
        <v>48</v>
      </c>
      <c r="AA90" s="330"/>
      <c r="AB90" s="330"/>
      <c r="AC90" s="329" t="s">
        <v>65</v>
      </c>
      <c r="AD90" s="346"/>
      <c r="AE90" s="114"/>
      <c r="AF90" s="329" t="s">
        <v>48</v>
      </c>
      <c r="AG90" s="330"/>
      <c r="AH90" s="330"/>
      <c r="AI90" s="329" t="s">
        <v>65</v>
      </c>
      <c r="AJ90" s="346"/>
      <c r="AK90" s="114"/>
      <c r="AL90" s="329" t="s">
        <v>48</v>
      </c>
      <c r="AM90" s="330"/>
      <c r="AN90" s="330"/>
      <c r="AO90" s="329" t="s">
        <v>65</v>
      </c>
      <c r="AP90" s="346"/>
    </row>
    <row r="91" spans="1:57" ht="45" customHeight="1">
      <c r="A91" s="1199" t="s">
        <v>337</v>
      </c>
      <c r="B91" s="1199" t="s">
        <v>144</v>
      </c>
      <c r="C91" s="1182" t="s">
        <v>68</v>
      </c>
      <c r="D91" s="117" t="s">
        <v>113</v>
      </c>
      <c r="E91" s="1620" t="s">
        <v>1462</v>
      </c>
      <c r="F91" s="1644"/>
      <c r="G91" s="118"/>
      <c r="H91" s="1866">
        <f>'XM.FILE GOC'!H91</f>
        <v>0</v>
      </c>
      <c r="I91" s="1867"/>
      <c r="J91" s="1868"/>
      <c r="K91" s="1869">
        <f>'XM.FILE GOC'!K91</f>
        <v>0</v>
      </c>
      <c r="L91" s="1869"/>
      <c r="M91" s="114"/>
      <c r="N91" s="1866">
        <f>'XM.FILE GOC'!N91</f>
        <v>0</v>
      </c>
      <c r="O91" s="1867"/>
      <c r="P91" s="1868"/>
      <c r="Q91" s="1869">
        <f>'XM.FILE GOC'!Q91</f>
        <v>0</v>
      </c>
      <c r="R91" s="1869"/>
      <c r="S91" s="114"/>
      <c r="T91" s="1866">
        <f>'XM.FILE GOC'!T91</f>
        <v>0</v>
      </c>
      <c r="U91" s="1867"/>
      <c r="V91" s="1868"/>
      <c r="W91" s="1869">
        <f>'XM.FILE GOC'!W91</f>
        <v>0</v>
      </c>
      <c r="X91" s="1869"/>
      <c r="Y91" s="114"/>
      <c r="Z91" s="1866">
        <f>'XM.FILE GOC'!Z91</f>
        <v>0</v>
      </c>
      <c r="AA91" s="1867"/>
      <c r="AB91" s="1868"/>
      <c r="AC91" s="1869">
        <f>'XM.FILE GOC'!AC91</f>
        <v>0</v>
      </c>
      <c r="AD91" s="1869"/>
      <c r="AE91" s="114"/>
      <c r="AF91" s="1866">
        <f>'XM.FILE GOC'!AF91</f>
        <v>0</v>
      </c>
      <c r="AG91" s="1867"/>
      <c r="AH91" s="1868"/>
      <c r="AI91" s="1869">
        <f>'XM.FILE GOC'!AI91</f>
        <v>0</v>
      </c>
      <c r="AJ91" s="1869"/>
      <c r="AK91" s="114"/>
      <c r="AL91" s="1866">
        <f>'XM.FILE GOC'!AL91</f>
        <v>0</v>
      </c>
      <c r="AM91" s="1867"/>
      <c r="AN91" s="1868"/>
      <c r="AO91" s="1869">
        <f>'XM.FILE GOC'!AO91</f>
        <v>0</v>
      </c>
      <c r="AP91" s="1869"/>
    </row>
    <row r="92" spans="1:57" ht="45" customHeight="1">
      <c r="A92" s="1199" t="s">
        <v>338</v>
      </c>
      <c r="B92" s="1199" t="s">
        <v>144</v>
      </c>
      <c r="C92" s="1182" t="s">
        <v>69</v>
      </c>
      <c r="D92" s="117" t="s">
        <v>113</v>
      </c>
      <c r="E92" s="1620" t="s">
        <v>1462</v>
      </c>
      <c r="F92" s="1644"/>
      <c r="G92" s="118"/>
      <c r="H92" s="1866">
        <f>'XM.FILE GOC'!H92</f>
        <v>0</v>
      </c>
      <c r="I92" s="1867"/>
      <c r="J92" s="1868"/>
      <c r="K92" s="1869">
        <f>'XM.FILE GOC'!K92</f>
        <v>0</v>
      </c>
      <c r="L92" s="1869"/>
      <c r="M92" s="114"/>
      <c r="N92" s="1866">
        <f>'XM.FILE GOC'!N92</f>
        <v>0</v>
      </c>
      <c r="O92" s="1867"/>
      <c r="P92" s="1868"/>
      <c r="Q92" s="1869">
        <f>'XM.FILE GOC'!Q92</f>
        <v>0</v>
      </c>
      <c r="R92" s="1869"/>
      <c r="S92" s="114"/>
      <c r="T92" s="1866">
        <f>'XM.FILE GOC'!T92</f>
        <v>0</v>
      </c>
      <c r="U92" s="1867"/>
      <c r="V92" s="1868"/>
      <c r="W92" s="1869">
        <f>'XM.FILE GOC'!W92</f>
        <v>0</v>
      </c>
      <c r="X92" s="1869"/>
      <c r="Y92" s="114"/>
      <c r="Z92" s="1866">
        <f>'XM.FILE GOC'!Z92</f>
        <v>0</v>
      </c>
      <c r="AA92" s="1867"/>
      <c r="AB92" s="1868"/>
      <c r="AC92" s="1869">
        <f>'XM.FILE GOC'!AC92</f>
        <v>0</v>
      </c>
      <c r="AD92" s="1869"/>
      <c r="AE92" s="114"/>
      <c r="AF92" s="1866">
        <f>'XM.FILE GOC'!AF92</f>
        <v>0</v>
      </c>
      <c r="AG92" s="1867"/>
      <c r="AH92" s="1868"/>
      <c r="AI92" s="1869">
        <f>'XM.FILE GOC'!AI92</f>
        <v>0</v>
      </c>
      <c r="AJ92" s="1869"/>
      <c r="AK92" s="114"/>
      <c r="AL92" s="1866">
        <f>'XM.FILE GOC'!AL92</f>
        <v>0</v>
      </c>
      <c r="AM92" s="1867"/>
      <c r="AN92" s="1868"/>
      <c r="AO92" s="1869">
        <f>'XM.FILE GOC'!AO92</f>
        <v>0</v>
      </c>
      <c r="AP92" s="1869"/>
    </row>
    <row r="93" spans="1:57" ht="45" customHeight="1">
      <c r="A93" s="1199" t="s">
        <v>339</v>
      </c>
      <c r="B93" s="1199" t="s">
        <v>144</v>
      </c>
      <c r="C93" s="1182" t="s">
        <v>71</v>
      </c>
      <c r="D93" s="117" t="s">
        <v>113</v>
      </c>
      <c r="E93" s="1620" t="s">
        <v>1465</v>
      </c>
      <c r="F93" s="1644"/>
      <c r="G93" s="118"/>
      <c r="H93" s="1866">
        <f>'XM.FILE GOC'!H93</f>
        <v>0</v>
      </c>
      <c r="I93" s="1867"/>
      <c r="J93" s="1868"/>
      <c r="K93" s="1869">
        <f>'XM.FILE GOC'!K93</f>
        <v>0</v>
      </c>
      <c r="L93" s="1869"/>
      <c r="M93" s="114"/>
      <c r="N93" s="1866">
        <f>'XM.FILE GOC'!N93</f>
        <v>0</v>
      </c>
      <c r="O93" s="1867"/>
      <c r="P93" s="1868"/>
      <c r="Q93" s="1869">
        <f>'XM.FILE GOC'!Q93</f>
        <v>0</v>
      </c>
      <c r="R93" s="1869"/>
      <c r="S93" s="114"/>
      <c r="T93" s="1866">
        <f>'XM.FILE GOC'!T93</f>
        <v>0</v>
      </c>
      <c r="U93" s="1867"/>
      <c r="V93" s="1868"/>
      <c r="W93" s="1869">
        <f>'XM.FILE GOC'!W93</f>
        <v>0</v>
      </c>
      <c r="X93" s="1869"/>
      <c r="Y93" s="114"/>
      <c r="Z93" s="1866">
        <f>'XM.FILE GOC'!Z93</f>
        <v>0</v>
      </c>
      <c r="AA93" s="1867"/>
      <c r="AB93" s="1868"/>
      <c r="AC93" s="1869">
        <f>'XM.FILE GOC'!AC93</f>
        <v>0</v>
      </c>
      <c r="AD93" s="1869"/>
      <c r="AE93" s="114"/>
      <c r="AF93" s="1866">
        <f>'XM.FILE GOC'!AF93</f>
        <v>0</v>
      </c>
      <c r="AG93" s="1867"/>
      <c r="AH93" s="1868"/>
      <c r="AI93" s="1869">
        <f>'XM.FILE GOC'!AI93</f>
        <v>0</v>
      </c>
      <c r="AJ93" s="1869"/>
      <c r="AK93" s="114"/>
      <c r="AL93" s="1866">
        <f>'XM.FILE GOC'!AL93</f>
        <v>0</v>
      </c>
      <c r="AM93" s="1867"/>
      <c r="AN93" s="1868"/>
      <c r="AO93" s="1869">
        <f>'XM.FILE GOC'!AO93</f>
        <v>0</v>
      </c>
      <c r="AP93" s="1869"/>
    </row>
    <row r="94" spans="1:57" ht="45" customHeight="1">
      <c r="A94" s="1199" t="s">
        <v>340</v>
      </c>
      <c r="B94" s="1199" t="s">
        <v>144</v>
      </c>
      <c r="C94" s="1182" t="s">
        <v>70</v>
      </c>
      <c r="D94" s="117" t="s">
        <v>113</v>
      </c>
      <c r="E94" s="1620" t="s">
        <v>1465</v>
      </c>
      <c r="F94" s="1644"/>
      <c r="G94" s="118"/>
      <c r="H94" s="1866">
        <f>'XM.FILE GOC'!H94</f>
        <v>0</v>
      </c>
      <c r="I94" s="1867"/>
      <c r="J94" s="1868"/>
      <c r="K94" s="1869">
        <f>'XM.FILE GOC'!K94</f>
        <v>0</v>
      </c>
      <c r="L94" s="1869"/>
      <c r="M94" s="114"/>
      <c r="N94" s="1866">
        <f>'XM.FILE GOC'!N94</f>
        <v>0</v>
      </c>
      <c r="O94" s="1867"/>
      <c r="P94" s="1868"/>
      <c r="Q94" s="1869">
        <f>'XM.FILE GOC'!Q94</f>
        <v>0</v>
      </c>
      <c r="R94" s="1869"/>
      <c r="S94" s="114"/>
      <c r="T94" s="1866">
        <f>'XM.FILE GOC'!T94</f>
        <v>0</v>
      </c>
      <c r="U94" s="1867"/>
      <c r="V94" s="1868"/>
      <c r="W94" s="1869">
        <f>'XM.FILE GOC'!W94</f>
        <v>0</v>
      </c>
      <c r="X94" s="1869"/>
      <c r="Y94" s="114"/>
      <c r="Z94" s="1866">
        <f>'XM.FILE GOC'!Z94</f>
        <v>0</v>
      </c>
      <c r="AA94" s="1867"/>
      <c r="AB94" s="1868"/>
      <c r="AC94" s="1869">
        <f>'XM.FILE GOC'!AC94</f>
        <v>0</v>
      </c>
      <c r="AD94" s="1869"/>
      <c r="AE94" s="114"/>
      <c r="AF94" s="1866">
        <f>'XM.FILE GOC'!AF94</f>
        <v>0</v>
      </c>
      <c r="AG94" s="1867"/>
      <c r="AH94" s="1868"/>
      <c r="AI94" s="1869">
        <f>'XM.FILE GOC'!AI94</f>
        <v>0</v>
      </c>
      <c r="AJ94" s="1869"/>
      <c r="AK94" s="114"/>
      <c r="AL94" s="1866">
        <f>'XM.FILE GOC'!AL94</f>
        <v>0</v>
      </c>
      <c r="AM94" s="1867"/>
      <c r="AN94" s="1868"/>
      <c r="AO94" s="1869">
        <f>'XM.FILE GOC'!AO94</f>
        <v>0</v>
      </c>
      <c r="AP94" s="1869"/>
    </row>
    <row r="95" spans="1:57" ht="45" customHeight="1">
      <c r="A95" s="1199" t="s">
        <v>354</v>
      </c>
      <c r="B95" s="1199" t="s">
        <v>144</v>
      </c>
      <c r="C95" s="1182" t="s">
        <v>72</v>
      </c>
      <c r="D95" s="117" t="s">
        <v>113</v>
      </c>
      <c r="E95" s="1620" t="s">
        <v>1476</v>
      </c>
      <c r="F95" s="1644"/>
      <c r="G95" s="118"/>
      <c r="H95" s="1866">
        <f>'XM.FILE GOC'!H95</f>
        <v>0</v>
      </c>
      <c r="I95" s="1867"/>
      <c r="J95" s="1868"/>
      <c r="K95" s="1866">
        <f>'XM.FILE GOC'!K95</f>
        <v>0</v>
      </c>
      <c r="L95" s="1867"/>
      <c r="M95" s="327"/>
      <c r="N95" s="1866">
        <f>'XM.FILE GOC'!N95</f>
        <v>0</v>
      </c>
      <c r="O95" s="1867"/>
      <c r="P95" s="1868"/>
      <c r="Q95" s="1866">
        <f>'XM.FILE GOC'!Q95</f>
        <v>0</v>
      </c>
      <c r="R95" s="1867"/>
      <c r="S95" s="113"/>
      <c r="T95" s="1866">
        <f>'XM.FILE GOC'!T95</f>
        <v>0</v>
      </c>
      <c r="U95" s="1867"/>
      <c r="V95" s="1868"/>
      <c r="W95" s="1866">
        <f>'XM.FILE GOC'!W95</f>
        <v>0</v>
      </c>
      <c r="X95" s="1867"/>
      <c r="Y95" s="114"/>
      <c r="Z95" s="1866">
        <f>'XM.FILE GOC'!Z95</f>
        <v>0</v>
      </c>
      <c r="AA95" s="1867"/>
      <c r="AB95" s="1868"/>
      <c r="AC95" s="1866">
        <f>'XM.FILE GOC'!AC95</f>
        <v>0</v>
      </c>
      <c r="AD95" s="1867"/>
      <c r="AE95" s="114"/>
      <c r="AF95" s="1866">
        <f>'XM.FILE GOC'!AF95</f>
        <v>0</v>
      </c>
      <c r="AG95" s="1867"/>
      <c r="AH95" s="1868"/>
      <c r="AI95" s="1866">
        <f>'XM.FILE GOC'!AI95</f>
        <v>0</v>
      </c>
      <c r="AJ95" s="1867"/>
      <c r="AK95" s="114"/>
      <c r="AL95" s="1866">
        <f>'XM.FILE GOC'!AL95</f>
        <v>0</v>
      </c>
      <c r="AM95" s="1867"/>
      <c r="AN95" s="1868"/>
      <c r="AO95" s="1869">
        <f>'XM.FILE GOC'!AO95</f>
        <v>0</v>
      </c>
      <c r="AP95" s="1869"/>
    </row>
    <row r="96" spans="1:57" ht="45" customHeight="1">
      <c r="A96" s="324" t="s">
        <v>341</v>
      </c>
      <c r="B96" s="1199" t="s">
        <v>144</v>
      </c>
      <c r="C96" s="1671" t="s">
        <v>1484</v>
      </c>
      <c r="D96" s="117" t="s">
        <v>113</v>
      </c>
      <c r="E96" s="1620" t="s">
        <v>1481</v>
      </c>
      <c r="F96" s="1644"/>
      <c r="G96" s="118"/>
      <c r="H96" s="1866">
        <f>'XM.FILE GOC'!H96</f>
        <v>0</v>
      </c>
      <c r="I96" s="1867"/>
      <c r="J96" s="1868"/>
      <c r="K96" s="1866">
        <f>'XM.FILE GOC'!K96</f>
        <v>0</v>
      </c>
      <c r="L96" s="1867"/>
      <c r="M96" s="327"/>
      <c r="N96" s="1866">
        <f>'XM.FILE GOC'!N96</f>
        <v>0</v>
      </c>
      <c r="O96" s="1867"/>
      <c r="P96" s="1868"/>
      <c r="Q96" s="1866">
        <f>'XM.FILE GOC'!Q96</f>
        <v>0</v>
      </c>
      <c r="R96" s="1867"/>
      <c r="S96" s="113"/>
      <c r="T96" s="1866">
        <f>'XM.FILE GOC'!T96</f>
        <v>0</v>
      </c>
      <c r="U96" s="1867"/>
      <c r="V96" s="1868"/>
      <c r="W96" s="1866">
        <f>'XM.FILE GOC'!W96</f>
        <v>0</v>
      </c>
      <c r="X96" s="1867"/>
      <c r="Y96" s="114"/>
      <c r="Z96" s="1866">
        <f>'XM.FILE GOC'!Z96</f>
        <v>0</v>
      </c>
      <c r="AA96" s="1867"/>
      <c r="AB96" s="1868"/>
      <c r="AC96" s="1866">
        <f>'XM.FILE GOC'!AC96</f>
        <v>0</v>
      </c>
      <c r="AD96" s="1867"/>
      <c r="AE96" s="114"/>
      <c r="AF96" s="1866">
        <f>'XM.FILE GOC'!AF96</f>
        <v>0</v>
      </c>
      <c r="AG96" s="1867"/>
      <c r="AH96" s="1868"/>
      <c r="AI96" s="1866">
        <f>'XM.FILE GOC'!AI96</f>
        <v>0</v>
      </c>
      <c r="AJ96" s="1867"/>
      <c r="AK96" s="114"/>
      <c r="AL96" s="1866">
        <f>'XM.FILE GOC'!AL96</f>
        <v>0</v>
      </c>
      <c r="AM96" s="1867"/>
      <c r="AN96" s="1868"/>
      <c r="AO96" s="1869">
        <f>'XM.FILE GOC'!AO96</f>
        <v>0</v>
      </c>
      <c r="AP96" s="1869"/>
    </row>
    <row r="97" spans="1:42" ht="45" customHeight="1">
      <c r="A97" s="324" t="s">
        <v>342</v>
      </c>
      <c r="B97" s="1199" t="s">
        <v>144</v>
      </c>
      <c r="C97" s="1182" t="s">
        <v>73</v>
      </c>
      <c r="D97" s="117" t="s">
        <v>113</v>
      </c>
      <c r="E97" s="1620" t="s">
        <v>1466</v>
      </c>
      <c r="F97" s="1644"/>
      <c r="G97" s="118"/>
      <c r="H97" s="1866">
        <f>'XM.FILE GOC'!H97</f>
        <v>0</v>
      </c>
      <c r="I97" s="1867"/>
      <c r="J97" s="1868"/>
      <c r="K97" s="1866">
        <f>'XM.FILE GOC'!K97</f>
        <v>0</v>
      </c>
      <c r="L97" s="1867"/>
      <c r="M97" s="327"/>
      <c r="N97" s="1866">
        <f>'XM.FILE GOC'!N97</f>
        <v>0</v>
      </c>
      <c r="O97" s="1867"/>
      <c r="P97" s="1868"/>
      <c r="Q97" s="1866">
        <f>'XM.FILE GOC'!Q97</f>
        <v>0</v>
      </c>
      <c r="R97" s="1867"/>
      <c r="S97" s="113"/>
      <c r="T97" s="1866">
        <f>'XM.FILE GOC'!T97</f>
        <v>0</v>
      </c>
      <c r="U97" s="1867"/>
      <c r="V97" s="1868"/>
      <c r="W97" s="1866">
        <f>'XM.FILE GOC'!W97</f>
        <v>0</v>
      </c>
      <c r="X97" s="1867"/>
      <c r="Y97" s="114"/>
      <c r="Z97" s="1866">
        <f>'XM.FILE GOC'!Z97</f>
        <v>0</v>
      </c>
      <c r="AA97" s="1867"/>
      <c r="AB97" s="1868"/>
      <c r="AC97" s="1866">
        <f>'XM.FILE GOC'!AC97</f>
        <v>0</v>
      </c>
      <c r="AD97" s="1867"/>
      <c r="AE97" s="114"/>
      <c r="AF97" s="1866">
        <f>'XM.FILE GOC'!AF97</f>
        <v>0</v>
      </c>
      <c r="AG97" s="1867"/>
      <c r="AH97" s="1868"/>
      <c r="AI97" s="1866">
        <f>'XM.FILE GOC'!AI97</f>
        <v>0</v>
      </c>
      <c r="AJ97" s="1867"/>
      <c r="AK97" s="114"/>
      <c r="AL97" s="1866">
        <f>'XM.FILE GOC'!AL97</f>
        <v>0</v>
      </c>
      <c r="AM97" s="1867"/>
      <c r="AN97" s="1868"/>
      <c r="AO97" s="1869">
        <f>'XM.FILE GOC'!AO97</f>
        <v>0</v>
      </c>
      <c r="AP97" s="1869"/>
    </row>
    <row r="98" spans="1:42" ht="45" customHeight="1">
      <c r="A98" s="54" t="s">
        <v>343</v>
      </c>
      <c r="B98" s="1199" t="s">
        <v>144</v>
      </c>
      <c r="C98" s="1182" t="s">
        <v>74</v>
      </c>
      <c r="D98" s="117" t="s">
        <v>113</v>
      </c>
      <c r="E98" s="1620" t="s">
        <v>1462</v>
      </c>
      <c r="F98" s="1644"/>
      <c r="G98" s="118"/>
      <c r="H98" s="1870" t="s">
        <v>1482</v>
      </c>
      <c r="I98" s="1871"/>
      <c r="J98" s="1872"/>
      <c r="K98" s="1869">
        <f>'XM.FILE GOC'!K98</f>
        <v>0</v>
      </c>
      <c r="L98" s="1869"/>
      <c r="M98" s="114"/>
      <c r="N98" s="1870" t="s">
        <v>1482</v>
      </c>
      <c r="O98" s="1871"/>
      <c r="P98" s="1872"/>
      <c r="Q98" s="1869">
        <f>'XM.FILE GOC'!Q98</f>
        <v>0</v>
      </c>
      <c r="R98" s="1869"/>
      <c r="S98" s="114"/>
      <c r="T98" s="1870" t="s">
        <v>1482</v>
      </c>
      <c r="U98" s="1871"/>
      <c r="V98" s="1872"/>
      <c r="W98" s="1869">
        <f>'XM.FILE GOC'!W98</f>
        <v>0</v>
      </c>
      <c r="X98" s="1869"/>
      <c r="Y98" s="114"/>
      <c r="Z98" s="1870" t="s">
        <v>1482</v>
      </c>
      <c r="AA98" s="1871"/>
      <c r="AB98" s="1872"/>
      <c r="AC98" s="1869">
        <f>'XM.FILE GOC'!AC98</f>
        <v>0</v>
      </c>
      <c r="AD98" s="1869"/>
      <c r="AE98" s="114"/>
      <c r="AF98" s="1870" t="s">
        <v>1482</v>
      </c>
      <c r="AG98" s="1871"/>
      <c r="AH98" s="1872"/>
      <c r="AI98" s="1869">
        <f>'XM.FILE GOC'!AI98</f>
        <v>0</v>
      </c>
      <c r="AJ98" s="1869"/>
      <c r="AK98" s="114"/>
      <c r="AL98" s="1870" t="s">
        <v>1482</v>
      </c>
      <c r="AM98" s="1871"/>
      <c r="AN98" s="1872"/>
      <c r="AO98" s="1869">
        <f>'XM.FILE GOC'!AO98</f>
        <v>0</v>
      </c>
      <c r="AP98" s="1869"/>
    </row>
    <row r="99" spans="1:42" ht="45" customHeight="1">
      <c r="A99" s="324"/>
      <c r="B99" s="1199"/>
      <c r="C99" s="1182" t="s">
        <v>1077</v>
      </c>
      <c r="D99" s="22" t="s">
        <v>113</v>
      </c>
      <c r="E99" s="1620" t="s">
        <v>1457</v>
      </c>
      <c r="F99" s="1644"/>
      <c r="G99" s="118"/>
      <c r="H99" s="1182">
        <f>'XM.FILE GOC'!H99</f>
        <v>0</v>
      </c>
      <c r="I99" s="1183"/>
      <c r="J99" s="1183"/>
      <c r="K99" s="1870">
        <f>'XM.FILE GOC'!K99</f>
        <v>0</v>
      </c>
      <c r="L99" s="1871"/>
      <c r="M99" s="1872"/>
      <c r="N99" s="1182"/>
      <c r="O99" s="1183"/>
      <c r="P99" s="1183"/>
      <c r="Q99" s="1870"/>
      <c r="R99" s="1871"/>
      <c r="S99" s="1872"/>
      <c r="T99" s="1182">
        <f>'XM.FILE GOC'!T99</f>
        <v>0</v>
      </c>
      <c r="U99" s="1183"/>
      <c r="V99" s="1183"/>
      <c r="W99" s="1870">
        <f>'XM.FILE GOC'!W99</f>
        <v>0</v>
      </c>
      <c r="X99" s="1871"/>
      <c r="Y99" s="1872"/>
      <c r="Z99" s="1182">
        <f>'XM.FILE GOC'!Z99</f>
        <v>0</v>
      </c>
      <c r="AA99" s="1183"/>
      <c r="AB99" s="1183"/>
      <c r="AC99" s="1870">
        <f>'XM.FILE GOC'!AC99</f>
        <v>0</v>
      </c>
      <c r="AD99" s="1871"/>
      <c r="AE99" s="1872"/>
      <c r="AF99" s="1870"/>
      <c r="AG99" s="1871"/>
      <c r="AH99" s="1872"/>
      <c r="AI99" s="1870"/>
      <c r="AJ99" s="1871"/>
      <c r="AK99" s="1872"/>
      <c r="AL99" s="1870">
        <f>'XM.FILE GOC'!AL99</f>
        <v>0</v>
      </c>
      <c r="AM99" s="1871"/>
      <c r="AN99" s="1872"/>
      <c r="AO99" s="1870">
        <f>'XM.FILE GOC'!AO99</f>
        <v>0</v>
      </c>
      <c r="AP99" s="1872"/>
    </row>
    <row r="100" spans="1:42" ht="45" customHeight="1">
      <c r="A100" s="324"/>
      <c r="B100" s="1670"/>
      <c r="C100" s="1674" t="s">
        <v>1485</v>
      </c>
      <c r="D100" s="22" t="s">
        <v>113</v>
      </c>
      <c r="E100" s="1697" t="s">
        <v>1480</v>
      </c>
      <c r="F100" s="1644"/>
      <c r="G100" s="118"/>
      <c r="H100" s="1866">
        <f>'XM.FILE GOC'!H100</f>
        <v>0</v>
      </c>
      <c r="I100" s="1867"/>
      <c r="J100" s="1868"/>
      <c r="K100" s="1866">
        <f>'XM.FILE GOC'!K100</f>
        <v>0</v>
      </c>
      <c r="L100" s="1867"/>
      <c r="M100" s="1868"/>
      <c r="N100" s="1866">
        <f>'XM.FILE GOC'!N100</f>
        <v>0</v>
      </c>
      <c r="O100" s="1867"/>
      <c r="P100" s="1868"/>
      <c r="Q100" s="1866">
        <f>'XM.FILE GOC'!Q100</f>
        <v>0</v>
      </c>
      <c r="R100" s="1867"/>
      <c r="S100" s="1868"/>
      <c r="T100" s="1866">
        <f>'XM.FILE GOC'!T100</f>
        <v>0</v>
      </c>
      <c r="U100" s="1867"/>
      <c r="V100" s="1868"/>
      <c r="W100" s="1866">
        <f>'XM.FILE GOC'!W100</f>
        <v>0</v>
      </c>
      <c r="X100" s="1867"/>
      <c r="Y100" s="1868"/>
      <c r="Z100" s="1866">
        <f>'XM.FILE GOC'!Z100</f>
        <v>0</v>
      </c>
      <c r="AA100" s="1867"/>
      <c r="AB100" s="1868"/>
      <c r="AC100" s="1866">
        <f>'XM.FILE GOC'!AC100</f>
        <v>0</v>
      </c>
      <c r="AD100" s="1867"/>
      <c r="AE100" s="1868"/>
      <c r="AF100" s="1866">
        <f>'XM.FILE GOC'!AF100</f>
        <v>0</v>
      </c>
      <c r="AG100" s="1867"/>
      <c r="AH100" s="1868"/>
      <c r="AI100" s="1866">
        <f>'XM.FILE GOC'!AI100</f>
        <v>0</v>
      </c>
      <c r="AJ100" s="1867"/>
      <c r="AK100" s="1868"/>
      <c r="AL100" s="1866">
        <f>'XM.FILE GOC'!AL100</f>
        <v>0</v>
      </c>
      <c r="AM100" s="1867"/>
      <c r="AN100" s="1868"/>
      <c r="AO100" s="1866">
        <f>'XM.FILE GOC'!AO100</f>
        <v>0</v>
      </c>
      <c r="AP100" s="1867"/>
    </row>
    <row r="101" spans="1:42" ht="36.75" customHeight="1">
      <c r="A101" s="1581" t="s">
        <v>351</v>
      </c>
      <c r="B101" s="1582" t="s">
        <v>144</v>
      </c>
      <c r="C101" s="1179" t="s">
        <v>128</v>
      </c>
      <c r="D101" s="1180" t="s">
        <v>113</v>
      </c>
      <c r="E101" s="1620" t="s">
        <v>1467</v>
      </c>
      <c r="F101" s="1644"/>
      <c r="G101" s="118"/>
      <c r="H101" s="1866">
        <f>'XM.FILE GOC'!H101</f>
        <v>0</v>
      </c>
      <c r="I101" s="1867"/>
      <c r="J101" s="1868"/>
      <c r="K101" s="1866">
        <f>'XM.FILE GOC'!K101</f>
        <v>0</v>
      </c>
      <c r="L101" s="1867"/>
      <c r="M101" s="123"/>
      <c r="N101" s="1258">
        <f>'XM.FILE GOC'!N101</f>
        <v>0</v>
      </c>
      <c r="O101" s="1259"/>
      <c r="P101" s="1259"/>
      <c r="Q101" s="1258">
        <f>'XM.FILE GOC'!Q101</f>
        <v>0</v>
      </c>
      <c r="R101" s="347"/>
      <c r="S101" s="113"/>
      <c r="T101" s="1866">
        <f>'XM.FILE GOC'!T101</f>
        <v>0</v>
      </c>
      <c r="U101" s="1867"/>
      <c r="V101" s="1868"/>
      <c r="W101" s="1866">
        <f>'XM.FILE GOC'!W101</f>
        <v>0</v>
      </c>
      <c r="X101" s="1867"/>
      <c r="Y101" s="114"/>
      <c r="Z101" s="1866">
        <f>'XM.FILE GOC'!Z101</f>
        <v>0</v>
      </c>
      <c r="AA101" s="1867"/>
      <c r="AB101" s="1868"/>
      <c r="AC101" s="1866">
        <f>'XM.FILE GOC'!AC101</f>
        <v>0</v>
      </c>
      <c r="AD101" s="1867"/>
      <c r="AE101" s="114"/>
      <c r="AF101" s="1258">
        <f>'XM.FILE GOC'!AF101</f>
        <v>0</v>
      </c>
      <c r="AG101" s="1259"/>
      <c r="AH101" s="1259"/>
      <c r="AI101" s="1258">
        <f>'XM.FILE GOC'!AI101</f>
        <v>0</v>
      </c>
      <c r="AJ101" s="1260"/>
      <c r="AK101" s="114"/>
      <c r="AL101" s="1866">
        <f>'XM.FILE GOC'!AL101</f>
        <v>0</v>
      </c>
      <c r="AM101" s="1867"/>
      <c r="AN101" s="1868"/>
      <c r="AO101" s="1866">
        <f>'XM.FILE GOC'!AO101</f>
        <v>0</v>
      </c>
      <c r="AP101" s="1867"/>
    </row>
    <row r="102" spans="1:42" ht="36.75" customHeight="1">
      <c r="A102" s="1581" t="s">
        <v>352</v>
      </c>
      <c r="B102" s="1582" t="s">
        <v>144</v>
      </c>
      <c r="C102" s="1179" t="s">
        <v>1477</v>
      </c>
      <c r="D102" s="1180" t="s">
        <v>113</v>
      </c>
      <c r="E102" s="1620" t="s">
        <v>1440</v>
      </c>
      <c r="F102" s="1644"/>
      <c r="G102" s="118"/>
      <c r="H102" s="1866">
        <f>'XM.FILE GOC'!H102</f>
        <v>0</v>
      </c>
      <c r="I102" s="1867"/>
      <c r="J102" s="1868"/>
      <c r="K102" s="1866">
        <f>'XM.FILE GOC'!K102</f>
        <v>0</v>
      </c>
      <c r="L102" s="1867"/>
      <c r="M102" s="123"/>
      <c r="N102" s="1258">
        <f>'XM.FILE GOC'!N102</f>
        <v>0</v>
      </c>
      <c r="O102" s="1259"/>
      <c r="P102" s="1259"/>
      <c r="Q102" s="1258">
        <f>'XM.FILE GOC'!Q102</f>
        <v>0</v>
      </c>
      <c r="R102" s="347"/>
      <c r="S102" s="113"/>
      <c r="T102" s="1866">
        <f>'XM.FILE GOC'!T102</f>
        <v>0</v>
      </c>
      <c r="U102" s="1867"/>
      <c r="V102" s="1868"/>
      <c r="W102" s="1866">
        <f>'XM.FILE GOC'!W102</f>
        <v>0</v>
      </c>
      <c r="X102" s="1867"/>
      <c r="Y102" s="114"/>
      <c r="Z102" s="1866">
        <f>'XM.FILE GOC'!Z102</f>
        <v>0</v>
      </c>
      <c r="AA102" s="1867"/>
      <c r="AB102" s="1868"/>
      <c r="AC102" s="1866">
        <f>'XM.FILE GOC'!AC102</f>
        <v>0</v>
      </c>
      <c r="AD102" s="1867"/>
      <c r="AE102" s="114"/>
      <c r="AF102" s="1258">
        <f>'XM.FILE GOC'!AF102</f>
        <v>0</v>
      </c>
      <c r="AG102" s="1259"/>
      <c r="AH102" s="1259"/>
      <c r="AI102" s="1258">
        <f>'XM.FILE GOC'!AI102</f>
        <v>0</v>
      </c>
      <c r="AJ102" s="1260"/>
      <c r="AK102" s="114"/>
      <c r="AL102" s="1866">
        <f>'XM.FILE GOC'!AL102</f>
        <v>0</v>
      </c>
      <c r="AM102" s="1867"/>
      <c r="AN102" s="1868"/>
      <c r="AO102" s="1866">
        <f>'XM.FILE GOC'!AO102</f>
        <v>0</v>
      </c>
      <c r="AP102" s="1867"/>
    </row>
    <row r="103" spans="1:42" ht="36.75" customHeight="1">
      <c r="A103" s="1581" t="s">
        <v>353</v>
      </c>
      <c r="B103" s="1582" t="s">
        <v>144</v>
      </c>
      <c r="C103" s="1179" t="s">
        <v>133</v>
      </c>
      <c r="D103" s="1180" t="s">
        <v>113</v>
      </c>
      <c r="E103" s="1620" t="s">
        <v>1468</v>
      </c>
      <c r="F103" s="1644"/>
      <c r="G103" s="118"/>
      <c r="H103" s="1866">
        <f>'XM.FILE GOC'!H103</f>
        <v>0</v>
      </c>
      <c r="I103" s="1867"/>
      <c r="J103" s="1868"/>
      <c r="K103" s="1869">
        <f>'XM.FILE GOC'!K103</f>
        <v>0</v>
      </c>
      <c r="L103" s="1869"/>
      <c r="M103" s="114"/>
      <c r="N103" s="1258">
        <f>'XM.FILE GOC'!N103</f>
        <v>0</v>
      </c>
      <c r="O103" s="1259"/>
      <c r="P103" s="1259"/>
      <c r="Q103" s="1258">
        <f>'XM.FILE GOC'!Q103</f>
        <v>0</v>
      </c>
      <c r="R103" s="347"/>
      <c r="S103" s="114"/>
      <c r="T103" s="1866">
        <f>'XM.FILE GOC'!T103</f>
        <v>0</v>
      </c>
      <c r="U103" s="1867"/>
      <c r="V103" s="1868"/>
      <c r="W103" s="1869">
        <f>'XM.FILE GOC'!W103</f>
        <v>0</v>
      </c>
      <c r="X103" s="1869"/>
      <c r="Y103" s="114"/>
      <c r="Z103" s="1866">
        <f>'XM.FILE GOC'!Z103</f>
        <v>0</v>
      </c>
      <c r="AA103" s="1867"/>
      <c r="AB103" s="1868"/>
      <c r="AC103" s="1869">
        <f>'XM.FILE GOC'!AC103</f>
        <v>0</v>
      </c>
      <c r="AD103" s="1869"/>
      <c r="AE103" s="114"/>
      <c r="AF103" s="1258">
        <f>'XM.FILE GOC'!AF103</f>
        <v>0</v>
      </c>
      <c r="AG103" s="1259"/>
      <c r="AH103" s="1259"/>
      <c r="AI103" s="1258">
        <f>'XM.FILE GOC'!AI103</f>
        <v>0</v>
      </c>
      <c r="AJ103" s="1260"/>
      <c r="AK103" s="114"/>
      <c r="AL103" s="1866">
        <f>'XM.FILE GOC'!AL103</f>
        <v>0</v>
      </c>
      <c r="AM103" s="1867"/>
      <c r="AN103" s="1868"/>
      <c r="AO103" s="1869">
        <f>'XM.FILE GOC'!AO103</f>
        <v>0</v>
      </c>
      <c r="AP103" s="1869"/>
    </row>
    <row r="104" spans="1:42" s="233" customFormat="1" ht="54" customHeight="1">
      <c r="A104" s="335" t="s">
        <v>78</v>
      </c>
      <c r="B104" s="336"/>
      <c r="C104" s="336"/>
      <c r="D104" s="336"/>
      <c r="E104" s="1613"/>
      <c r="F104" s="1625"/>
      <c r="G104" s="336"/>
      <c r="H104" s="336"/>
      <c r="I104" s="336"/>
      <c r="J104" s="336"/>
      <c r="K104" s="336"/>
      <c r="L104" s="336"/>
      <c r="M104" s="336"/>
      <c r="N104" s="337"/>
      <c r="O104" s="336"/>
      <c r="P104" s="336"/>
      <c r="Q104" s="336"/>
      <c r="R104" s="337"/>
      <c r="S104" s="336"/>
      <c r="T104" s="337"/>
      <c r="U104" s="336"/>
      <c r="V104" s="336"/>
      <c r="W104" s="336"/>
      <c r="X104" s="336"/>
      <c r="Y104" s="336"/>
      <c r="Z104" s="336"/>
      <c r="AA104" s="336"/>
      <c r="AB104" s="336"/>
      <c r="AC104" s="336"/>
      <c r="AD104" s="336"/>
      <c r="AE104" s="337"/>
      <c r="AF104" s="337"/>
      <c r="AG104" s="337"/>
      <c r="AH104" s="337"/>
      <c r="AI104" s="337"/>
      <c r="AJ104" s="337"/>
      <c r="AK104" s="337"/>
      <c r="AL104" s="337"/>
      <c r="AM104" s="337"/>
      <c r="AN104" s="337"/>
      <c r="AO104" s="337"/>
      <c r="AP104" s="1155"/>
    </row>
    <row r="105" spans="1:42" ht="55.5" customHeight="1">
      <c r="A105" s="324" t="s">
        <v>344</v>
      </c>
      <c r="B105" s="1199" t="s">
        <v>144</v>
      </c>
      <c r="C105" s="127" t="s">
        <v>1230</v>
      </c>
      <c r="D105" s="1210" t="s">
        <v>50</v>
      </c>
      <c r="E105" s="1609" t="s">
        <v>1458</v>
      </c>
      <c r="F105" s="1645"/>
      <c r="G105" s="122"/>
      <c r="H105" s="1866">
        <f>'XM.FILE GOC'!H105</f>
        <v>0</v>
      </c>
      <c r="I105" s="1867"/>
      <c r="J105" s="1867"/>
      <c r="K105" s="1867"/>
      <c r="L105" s="1868"/>
      <c r="M105" s="327"/>
      <c r="N105" s="1866">
        <f>'XM.FILE GOC'!N105</f>
        <v>0</v>
      </c>
      <c r="O105" s="1867"/>
      <c r="P105" s="1867"/>
      <c r="Q105" s="1867"/>
      <c r="R105" s="1868"/>
      <c r="T105" s="1866">
        <f>'XM.FILE GOC'!T105</f>
        <v>0</v>
      </c>
      <c r="U105" s="1867"/>
      <c r="V105" s="1867"/>
      <c r="W105" s="1867"/>
      <c r="X105" s="1868"/>
      <c r="Z105" s="1866">
        <f>'XM.FILE GOC'!Z105:AD105</f>
        <v>0</v>
      </c>
      <c r="AA105" s="1867"/>
      <c r="AB105" s="1867"/>
      <c r="AC105" s="1867"/>
      <c r="AD105" s="1868"/>
      <c r="AF105" s="1866">
        <f>'XM.FILE GOC'!AF105:AJ105</f>
        <v>0</v>
      </c>
      <c r="AG105" s="1867"/>
      <c r="AH105" s="1867"/>
      <c r="AI105" s="1867"/>
      <c r="AJ105" s="1868"/>
      <c r="AL105" s="1866">
        <f>'XM.FILE GOC'!AL105</f>
        <v>0</v>
      </c>
      <c r="AM105" s="1867"/>
      <c r="AN105" s="1867"/>
      <c r="AO105" s="1867"/>
      <c r="AP105" s="1868"/>
    </row>
    <row r="106" spans="1:42" ht="55.5" customHeight="1">
      <c r="A106" s="54" t="s">
        <v>345</v>
      </c>
      <c r="B106" s="1199" t="s">
        <v>144</v>
      </c>
      <c r="C106" s="127" t="s">
        <v>1231</v>
      </c>
      <c r="D106" s="1210" t="s">
        <v>50</v>
      </c>
      <c r="E106" s="1609" t="s">
        <v>1459</v>
      </c>
      <c r="F106" s="1645"/>
      <c r="G106" s="122"/>
      <c r="H106" s="1866">
        <f>'XM.FILE GOC'!H106</f>
        <v>0</v>
      </c>
      <c r="I106" s="1867"/>
      <c r="J106" s="1867"/>
      <c r="K106" s="1867"/>
      <c r="L106" s="1868"/>
      <c r="M106" s="1196"/>
      <c r="N106" s="1866">
        <f>'XM.FILE GOC'!N106</f>
        <v>0</v>
      </c>
      <c r="O106" s="1867"/>
      <c r="P106" s="1867"/>
      <c r="Q106" s="1867"/>
      <c r="R106" s="1868"/>
      <c r="S106" s="1210"/>
      <c r="T106" s="1866">
        <f>'XM.FILE GOC'!T106:X106</f>
        <v>0</v>
      </c>
      <c r="U106" s="1867"/>
      <c r="V106" s="1867"/>
      <c r="W106" s="1867"/>
      <c r="X106" s="1868"/>
      <c r="Y106" s="1531"/>
      <c r="Z106" s="1866">
        <f>'XM.FILE GOC'!Z106</f>
        <v>0</v>
      </c>
      <c r="AA106" s="1867"/>
      <c r="AB106" s="1867"/>
      <c r="AC106" s="1867"/>
      <c r="AD106" s="1868"/>
      <c r="AE106" s="1530"/>
      <c r="AF106" s="1866">
        <f>'XM.FILE GOC'!AF106</f>
        <v>0</v>
      </c>
      <c r="AG106" s="1867"/>
      <c r="AH106" s="1867"/>
      <c r="AI106" s="1867"/>
      <c r="AJ106" s="1868"/>
      <c r="AK106" s="1530"/>
      <c r="AL106" s="1866">
        <f>'XM.FILE GOC'!AL106:AP106</f>
        <v>0</v>
      </c>
      <c r="AM106" s="1867"/>
      <c r="AN106" s="1867"/>
      <c r="AO106" s="1867"/>
      <c r="AP106" s="1868"/>
    </row>
    <row r="109" spans="1:42" ht="27" hidden="1" customHeight="1">
      <c r="A109" s="2113" t="s">
        <v>1500</v>
      </c>
      <c r="B109" s="2113"/>
      <c r="C109" s="2113"/>
      <c r="D109" s="2113"/>
      <c r="E109" s="2113"/>
    </row>
    <row r="110" spans="1:42" ht="27" hidden="1" customHeight="1">
      <c r="A110" s="1702" t="s">
        <v>1501</v>
      </c>
      <c r="B110" s="1566">
        <f>MENU!AC118</f>
        <v>0</v>
      </c>
      <c r="C110" s="1566" t="str">
        <f>MENU!AC9</f>
        <v>2022/12/03</v>
      </c>
      <c r="D110" s="1567"/>
      <c r="E110" s="1704"/>
    </row>
    <row r="111" spans="1:42" ht="27" hidden="1" customHeight="1">
      <c r="A111" s="2105" t="s">
        <v>1502</v>
      </c>
      <c r="B111" s="2107" t="s">
        <v>1341</v>
      </c>
      <c r="C111" s="2107" t="s">
        <v>1341</v>
      </c>
      <c r="D111" s="2112" t="s">
        <v>1406</v>
      </c>
      <c r="E111" s="2112"/>
    </row>
    <row r="112" spans="1:42" ht="27" hidden="1" customHeight="1">
      <c r="A112" s="2106"/>
      <c r="B112" s="2108"/>
      <c r="C112" s="2108"/>
      <c r="D112" s="1568">
        <v>0.33333333333333331</v>
      </c>
      <c r="E112" s="1705">
        <v>0.66666666666666663</v>
      </c>
    </row>
    <row r="113" spans="1:5" ht="33.75" hidden="1" customHeight="1">
      <c r="A113" s="2109" t="s">
        <v>1407</v>
      </c>
      <c r="B113" s="1569" t="s">
        <v>1409</v>
      </c>
      <c r="C113" s="1569" t="s">
        <v>1409</v>
      </c>
      <c r="D113" s="1570">
        <f>'KT DAU'!C5</f>
        <v>0</v>
      </c>
      <c r="E113" s="1570">
        <f>'KT DAU'!D5</f>
        <v>0</v>
      </c>
    </row>
    <row r="114" spans="1:5" ht="33.75" hidden="1" customHeight="1">
      <c r="A114" s="2110"/>
      <c r="B114" s="1569" t="s">
        <v>1410</v>
      </c>
      <c r="C114" s="1569" t="s">
        <v>1410</v>
      </c>
      <c r="D114" s="1570">
        <f>'KT DAU'!C6</f>
        <v>0</v>
      </c>
      <c r="E114" s="1570">
        <f>'KT DAU'!D6</f>
        <v>0</v>
      </c>
    </row>
    <row r="115" spans="1:5" ht="33.75" hidden="1" customHeight="1">
      <c r="A115" s="2111"/>
      <c r="B115" s="1569" t="s">
        <v>1411</v>
      </c>
      <c r="C115" s="1569" t="s">
        <v>1411</v>
      </c>
      <c r="D115" s="1570">
        <f>'KT DAU'!C7</f>
        <v>0</v>
      </c>
      <c r="E115" s="1570">
        <f>'KT DAU'!D7</f>
        <v>0</v>
      </c>
    </row>
    <row r="116" spans="1:5" ht="33.75" hidden="1" customHeight="1">
      <c r="A116" s="2109" t="s">
        <v>968</v>
      </c>
      <c r="B116" s="1569" t="s">
        <v>1409</v>
      </c>
      <c r="C116" s="1569" t="s">
        <v>1409</v>
      </c>
      <c r="D116" s="1570">
        <f>'KT DAU'!C8</f>
        <v>0</v>
      </c>
      <c r="E116" s="1570">
        <f>'KT DAU'!D8</f>
        <v>0</v>
      </c>
    </row>
    <row r="117" spans="1:5" ht="33.75" hidden="1" customHeight="1">
      <c r="A117" s="2110"/>
      <c r="B117" s="1569" t="s">
        <v>1410</v>
      </c>
      <c r="C117" s="1569" t="s">
        <v>1410</v>
      </c>
      <c r="D117" s="1570">
        <f>'KT DAU'!C9</f>
        <v>0</v>
      </c>
      <c r="E117" s="1570">
        <f>'KT DAU'!D9</f>
        <v>0</v>
      </c>
    </row>
    <row r="118" spans="1:5" ht="33.75" hidden="1" customHeight="1">
      <c r="A118" s="2111"/>
      <c r="B118" s="1569" t="s">
        <v>1411</v>
      </c>
      <c r="C118" s="1569" t="s">
        <v>1411</v>
      </c>
      <c r="D118" s="1570">
        <f>'KT DAU'!C10</f>
        <v>0</v>
      </c>
      <c r="E118" s="1570">
        <f>'KT DAU'!D10</f>
        <v>0</v>
      </c>
    </row>
    <row r="119" spans="1:5" ht="33.75" hidden="1" customHeight="1">
      <c r="A119" s="2109" t="s">
        <v>1408</v>
      </c>
      <c r="B119" s="1569" t="s">
        <v>1412</v>
      </c>
      <c r="C119" s="1569" t="s">
        <v>1412</v>
      </c>
      <c r="D119" s="1570">
        <f>'KT DAU'!C11</f>
        <v>0</v>
      </c>
      <c r="E119" s="1570">
        <f>'KT DAU'!D11</f>
        <v>0</v>
      </c>
    </row>
    <row r="120" spans="1:5" ht="33.75" hidden="1" customHeight="1">
      <c r="A120" s="2111"/>
      <c r="B120" s="1569" t="s">
        <v>1411</v>
      </c>
      <c r="C120" s="1569" t="s">
        <v>1411</v>
      </c>
      <c r="D120" s="1570">
        <f>'KT DAU'!C12</f>
        <v>0</v>
      </c>
      <c r="E120" s="1570">
        <f>'KT DAU'!D12</f>
        <v>0</v>
      </c>
    </row>
    <row r="121" spans="1:5" hidden="1">
      <c r="A121" s="13"/>
      <c r="B121" s="13"/>
      <c r="C121" s="13"/>
      <c r="D121" s="13"/>
      <c r="E121" s="1704"/>
    </row>
    <row r="122" spans="1:5" ht="33" hidden="1" customHeight="1">
      <c r="A122" s="1580" t="s">
        <v>1427</v>
      </c>
      <c r="B122" s="1706"/>
      <c r="C122" s="1580" t="s">
        <v>1503</v>
      </c>
      <c r="D122" s="13"/>
      <c r="E122" s="1704"/>
    </row>
    <row r="123" spans="1:5" ht="23.25">
      <c r="A123" s="1014"/>
      <c r="B123" s="13"/>
      <c r="C123" s="1576"/>
      <c r="D123" s="13"/>
      <c r="E123" s="1704"/>
    </row>
  </sheetData>
  <sheetProtection formatCells="0" formatColumns="0" formatRows="0" insertColumns="0" insertRows="0" insertHyperlinks="0" deleteColumns="0" deleteRows="0" selectLockedCells="1" sort="0" autoFilter="0" pivotTables="0"/>
  <mergeCells count="381">
    <mergeCell ref="AC100:AE100"/>
    <mergeCell ref="AI100:AK100"/>
    <mergeCell ref="N100:P100"/>
    <mergeCell ref="H100:J100"/>
    <mergeCell ref="T100:V100"/>
    <mergeCell ref="Z100:AB100"/>
    <mergeCell ref="AF100:AH100"/>
    <mergeCell ref="W96:X96"/>
    <mergeCell ref="AC96:AD96"/>
    <mergeCell ref="AI96:AJ96"/>
    <mergeCell ref="AL100:AN100"/>
    <mergeCell ref="AO100:AP100"/>
    <mergeCell ref="K100:M100"/>
    <mergeCell ref="Q100:S100"/>
    <mergeCell ref="W100:Y100"/>
    <mergeCell ref="W95:X95"/>
    <mergeCell ref="AC95:AD95"/>
    <mergeCell ref="AI95:AJ95"/>
    <mergeCell ref="AO95:AP95"/>
    <mergeCell ref="Z95:AB95"/>
    <mergeCell ref="AF95:AH95"/>
    <mergeCell ref="AL95:AN95"/>
    <mergeCell ref="AO96:AP96"/>
    <mergeCell ref="Z96:AB96"/>
    <mergeCell ref="AF96:AH96"/>
    <mergeCell ref="AL96:AN96"/>
    <mergeCell ref="AI99:AK99"/>
    <mergeCell ref="AL99:AN99"/>
    <mergeCell ref="AO99:AP99"/>
    <mergeCell ref="K99:M99"/>
    <mergeCell ref="Q99:S99"/>
    <mergeCell ref="W99:Y99"/>
    <mergeCell ref="AC99:AE99"/>
    <mergeCell ref="AF99:AH99"/>
    <mergeCell ref="H95:J95"/>
    <mergeCell ref="H96:J96"/>
    <mergeCell ref="K95:L95"/>
    <mergeCell ref="K96:L96"/>
    <mergeCell ref="N95:P95"/>
    <mergeCell ref="N96:P96"/>
    <mergeCell ref="Q95:R95"/>
    <mergeCell ref="Q96:R96"/>
    <mergeCell ref="T95:V95"/>
    <mergeCell ref="T96:V96"/>
    <mergeCell ref="AF106:AJ106"/>
    <mergeCell ref="AS6:AS9"/>
    <mergeCell ref="AS14:AS15"/>
    <mergeCell ref="AS45:AS46"/>
    <mergeCell ref="AS37:AS38"/>
    <mergeCell ref="AS39:AS40"/>
    <mergeCell ref="AS68:AS69"/>
    <mergeCell ref="AS70:AS71"/>
    <mergeCell ref="AS76:AS78"/>
    <mergeCell ref="AF92:AH92"/>
    <mergeCell ref="AI92:AJ92"/>
    <mergeCell ref="AL92:AN92"/>
    <mergeCell ref="AO92:AP92"/>
    <mergeCell ref="AL63:AP63"/>
    <mergeCell ref="AL56:AN56"/>
    <mergeCell ref="AO57:AP57"/>
    <mergeCell ref="AL58:AN58"/>
    <mergeCell ref="AO58:AP58"/>
    <mergeCell ref="AL59:AN59"/>
    <mergeCell ref="AO59:AP59"/>
    <mergeCell ref="AL57:AN57"/>
    <mergeCell ref="AF62:AJ62"/>
    <mergeCell ref="AL22:AN22"/>
    <mergeCell ref="AO22:AP22"/>
    <mergeCell ref="H93:J93"/>
    <mergeCell ref="K93:L93"/>
    <mergeCell ref="N93:P93"/>
    <mergeCell ref="Q93:R93"/>
    <mergeCell ref="H97:J97"/>
    <mergeCell ref="Z101:AB101"/>
    <mergeCell ref="AC101:AD101"/>
    <mergeCell ref="T101:V101"/>
    <mergeCell ref="W101:X101"/>
    <mergeCell ref="Q98:R98"/>
    <mergeCell ref="T98:V98"/>
    <mergeCell ref="K98:L98"/>
    <mergeCell ref="N98:P98"/>
    <mergeCell ref="K101:L101"/>
    <mergeCell ref="K97:L97"/>
    <mergeCell ref="N97:P97"/>
    <mergeCell ref="Q97:R97"/>
    <mergeCell ref="T97:V97"/>
    <mergeCell ref="W97:X97"/>
    <mergeCell ref="Z97:AB97"/>
    <mergeCell ref="AC97:AD97"/>
    <mergeCell ref="H98:J98"/>
    <mergeCell ref="H101:J101"/>
    <mergeCell ref="W98:X98"/>
    <mergeCell ref="K59:L59"/>
    <mergeCell ref="H91:J91"/>
    <mergeCell ref="K91:L91"/>
    <mergeCell ref="N91:P91"/>
    <mergeCell ref="Q91:R91"/>
    <mergeCell ref="H59:J59"/>
    <mergeCell ref="W92:X92"/>
    <mergeCell ref="T63:X63"/>
    <mergeCell ref="H92:J92"/>
    <mergeCell ref="H62:L62"/>
    <mergeCell ref="N62:R62"/>
    <mergeCell ref="T62:X62"/>
    <mergeCell ref="K28:L28"/>
    <mergeCell ref="N28:P28"/>
    <mergeCell ref="K53:M53"/>
    <mergeCell ref="Q53:S53"/>
    <mergeCell ref="H54:J54"/>
    <mergeCell ref="K57:L57"/>
    <mergeCell ref="K58:L58"/>
    <mergeCell ref="K56:M56"/>
    <mergeCell ref="Q58:R58"/>
    <mergeCell ref="Q55:S55"/>
    <mergeCell ref="H57:J57"/>
    <mergeCell ref="H58:J58"/>
    <mergeCell ref="AI58:AJ58"/>
    <mergeCell ref="AF59:AH59"/>
    <mergeCell ref="AI59:AJ59"/>
    <mergeCell ref="W56:Y56"/>
    <mergeCell ref="AO56:AP56"/>
    <mergeCell ref="F4:F5"/>
    <mergeCell ref="F35:F36"/>
    <mergeCell ref="F66:F67"/>
    <mergeCell ref="Z31:AD31"/>
    <mergeCell ref="AF31:AJ31"/>
    <mergeCell ref="H31:L31"/>
    <mergeCell ref="N31:R31"/>
    <mergeCell ref="AF63:AJ63"/>
    <mergeCell ref="N57:P57"/>
    <mergeCell ref="Q57:R57"/>
    <mergeCell ref="H63:L63"/>
    <mergeCell ref="N63:R63"/>
    <mergeCell ref="T53:V53"/>
    <mergeCell ref="T54:V54"/>
    <mergeCell ref="T55:V55"/>
    <mergeCell ref="T56:V56"/>
    <mergeCell ref="T22:V22"/>
    <mergeCell ref="K55:M55"/>
    <mergeCell ref="H28:J28"/>
    <mergeCell ref="AL106:AP106"/>
    <mergeCell ref="AF105:AJ105"/>
    <mergeCell ref="AL105:AP105"/>
    <mergeCell ref="AO60:AP60"/>
    <mergeCell ref="AI55:AK55"/>
    <mergeCell ref="W54:Y54"/>
    <mergeCell ref="AC54:AE54"/>
    <mergeCell ref="AI54:AK54"/>
    <mergeCell ref="AF56:AH56"/>
    <mergeCell ref="Z54:AB54"/>
    <mergeCell ref="AC58:AD58"/>
    <mergeCell ref="AF57:AH57"/>
    <mergeCell ref="AI57:AJ57"/>
    <mergeCell ref="AI56:AK56"/>
    <mergeCell ref="AO93:AP93"/>
    <mergeCell ref="AL91:AN91"/>
    <mergeCell ref="Z55:AB55"/>
    <mergeCell ref="Z56:AB56"/>
    <mergeCell ref="AF54:AH54"/>
    <mergeCell ref="AF55:AH55"/>
    <mergeCell ref="Z63:AD63"/>
    <mergeCell ref="Z92:AB92"/>
    <mergeCell ref="AC92:AD92"/>
    <mergeCell ref="Z91:AB91"/>
    <mergeCell ref="H105:L105"/>
    <mergeCell ref="H103:J103"/>
    <mergeCell ref="K103:L103"/>
    <mergeCell ref="T103:V103"/>
    <mergeCell ref="W103:X103"/>
    <mergeCell ref="Z103:AB103"/>
    <mergeCell ref="H102:J102"/>
    <mergeCell ref="K102:L102"/>
    <mergeCell ref="AC102:AD102"/>
    <mergeCell ref="T105:X105"/>
    <mergeCell ref="Z105:AD105"/>
    <mergeCell ref="AO103:AP103"/>
    <mergeCell ref="AL101:AN101"/>
    <mergeCell ref="AO101:AP101"/>
    <mergeCell ref="T102:V102"/>
    <mergeCell ref="W102:X102"/>
    <mergeCell ref="Z102:AB102"/>
    <mergeCell ref="AC91:AD91"/>
    <mergeCell ref="AF93:AH93"/>
    <mergeCell ref="AI93:AJ93"/>
    <mergeCell ref="AF91:AH91"/>
    <mergeCell ref="AI91:AJ91"/>
    <mergeCell ref="AL98:AN98"/>
    <mergeCell ref="AO97:AP97"/>
    <mergeCell ref="AL97:AN97"/>
    <mergeCell ref="AI97:AJ97"/>
    <mergeCell ref="AO102:AP102"/>
    <mergeCell ref="AF98:AH98"/>
    <mergeCell ref="AI98:AJ98"/>
    <mergeCell ref="AO98:AP98"/>
    <mergeCell ref="AL102:AN102"/>
    <mergeCell ref="T93:V93"/>
    <mergeCell ref="AO91:AP91"/>
    <mergeCell ref="Z98:AB98"/>
    <mergeCell ref="AC98:AD98"/>
    <mergeCell ref="H22:J22"/>
    <mergeCell ref="K22:L22"/>
    <mergeCell ref="N22:P22"/>
    <mergeCell ref="Q22:R22"/>
    <mergeCell ref="H23:J23"/>
    <mergeCell ref="K23:L23"/>
    <mergeCell ref="N23:P23"/>
    <mergeCell ref="Q23:R23"/>
    <mergeCell ref="T23:V23"/>
    <mergeCell ref="AL23:AN23"/>
    <mergeCell ref="AO23:AP23"/>
    <mergeCell ref="W22:X22"/>
    <mergeCell ref="Z22:AB22"/>
    <mergeCell ref="AC22:AD22"/>
    <mergeCell ref="AF22:AH22"/>
    <mergeCell ref="AI22:AJ22"/>
    <mergeCell ref="AF23:AH23"/>
    <mergeCell ref="W23:X23"/>
    <mergeCell ref="Z23:AB23"/>
    <mergeCell ref="AC23:AD23"/>
    <mergeCell ref="AI23:AJ23"/>
    <mergeCell ref="AL25:AN25"/>
    <mergeCell ref="AO25:AP25"/>
    <mergeCell ref="W24:X24"/>
    <mergeCell ref="Z24:AB24"/>
    <mergeCell ref="AC24:AD24"/>
    <mergeCell ref="AF24:AH24"/>
    <mergeCell ref="AI24:AJ24"/>
    <mergeCell ref="H24:J24"/>
    <mergeCell ref="K24:L24"/>
    <mergeCell ref="N24:P24"/>
    <mergeCell ref="Q24:R24"/>
    <mergeCell ref="T24:V24"/>
    <mergeCell ref="H25:J25"/>
    <mergeCell ref="K25:L25"/>
    <mergeCell ref="N25:P25"/>
    <mergeCell ref="Q25:R25"/>
    <mergeCell ref="T25:V25"/>
    <mergeCell ref="W25:X25"/>
    <mergeCell ref="Z25:AB25"/>
    <mergeCell ref="AC25:AD25"/>
    <mergeCell ref="AF25:AH25"/>
    <mergeCell ref="AL24:AN24"/>
    <mergeCell ref="AO24:AP24"/>
    <mergeCell ref="AI25:AJ25"/>
    <mergeCell ref="AL26:AN26"/>
    <mergeCell ref="AO26:AP26"/>
    <mergeCell ref="H27:J27"/>
    <mergeCell ref="K27:L27"/>
    <mergeCell ref="N27:P27"/>
    <mergeCell ref="Q27:R27"/>
    <mergeCell ref="T27:V27"/>
    <mergeCell ref="W27:X27"/>
    <mergeCell ref="Z27:AB27"/>
    <mergeCell ref="AC27:AD27"/>
    <mergeCell ref="AF27:AH27"/>
    <mergeCell ref="AI27:AJ27"/>
    <mergeCell ref="AL27:AN27"/>
    <mergeCell ref="AO27:AP27"/>
    <mergeCell ref="W26:X26"/>
    <mergeCell ref="Z26:AB26"/>
    <mergeCell ref="AC26:AD26"/>
    <mergeCell ref="AF26:AH26"/>
    <mergeCell ref="AI26:AJ26"/>
    <mergeCell ref="H26:J26"/>
    <mergeCell ref="K26:L26"/>
    <mergeCell ref="N26:P26"/>
    <mergeCell ref="Q26:R26"/>
    <mergeCell ref="T26:V26"/>
    <mergeCell ref="Z58:AB58"/>
    <mergeCell ref="H94:J94"/>
    <mergeCell ref="AL28:AN28"/>
    <mergeCell ref="AO28:AP28"/>
    <mergeCell ref="N29:P29"/>
    <mergeCell ref="T29:V29"/>
    <mergeCell ref="Z29:AB29"/>
    <mergeCell ref="AF29:AH29"/>
    <mergeCell ref="AL29:AN29"/>
    <mergeCell ref="AO29:AP29"/>
    <mergeCell ref="W28:X28"/>
    <mergeCell ref="Z28:AB28"/>
    <mergeCell ref="AC28:AD28"/>
    <mergeCell ref="AF28:AH28"/>
    <mergeCell ref="AI28:AJ28"/>
    <mergeCell ref="Q28:R28"/>
    <mergeCell ref="T28:V28"/>
    <mergeCell ref="Q29:S29"/>
    <mergeCell ref="W29:Y29"/>
    <mergeCell ref="AC29:AE29"/>
    <mergeCell ref="AI29:AK29"/>
    <mergeCell ref="AI53:AK53"/>
    <mergeCell ref="AL31:AP31"/>
    <mergeCell ref="Z32:AD32"/>
    <mergeCell ref="AF32:AJ32"/>
    <mergeCell ref="AL32:AP32"/>
    <mergeCell ref="Z57:AB57"/>
    <mergeCell ref="AC57:AD57"/>
    <mergeCell ref="K60:L60"/>
    <mergeCell ref="T57:V57"/>
    <mergeCell ref="W57:X57"/>
    <mergeCell ref="T58:V58"/>
    <mergeCell ref="W58:X58"/>
    <mergeCell ref="T59:V59"/>
    <mergeCell ref="W59:X59"/>
    <mergeCell ref="Q60:R60"/>
    <mergeCell ref="N59:P59"/>
    <mergeCell ref="Q59:R59"/>
    <mergeCell ref="N58:P58"/>
    <mergeCell ref="AI60:AJ60"/>
    <mergeCell ref="AL53:AN53"/>
    <mergeCell ref="AO53:AP53"/>
    <mergeCell ref="AL54:AN54"/>
    <mergeCell ref="AO54:AP54"/>
    <mergeCell ref="AL55:AN55"/>
    <mergeCell ref="AO55:AP55"/>
    <mergeCell ref="Z59:AB59"/>
    <mergeCell ref="AC59:AD59"/>
    <mergeCell ref="T31:X31"/>
    <mergeCell ref="T32:X32"/>
    <mergeCell ref="H32:L32"/>
    <mergeCell ref="N32:R32"/>
    <mergeCell ref="H53:J53"/>
    <mergeCell ref="H29:J29"/>
    <mergeCell ref="Z53:AB53"/>
    <mergeCell ref="AC56:AE56"/>
    <mergeCell ref="K54:M54"/>
    <mergeCell ref="W53:Y53"/>
    <mergeCell ref="Q56:S56"/>
    <mergeCell ref="W55:Y55"/>
    <mergeCell ref="AC55:AE55"/>
    <mergeCell ref="H55:J55"/>
    <mergeCell ref="H56:J56"/>
    <mergeCell ref="N53:P53"/>
    <mergeCell ref="N55:P55"/>
    <mergeCell ref="N54:P54"/>
    <mergeCell ref="N56:P56"/>
    <mergeCell ref="Q54:S54"/>
    <mergeCell ref="K29:M29"/>
    <mergeCell ref="AC53:AE53"/>
    <mergeCell ref="AC60:AD60"/>
    <mergeCell ref="AL94:AN94"/>
    <mergeCell ref="AF94:AH94"/>
    <mergeCell ref="Z62:AD62"/>
    <mergeCell ref="W60:X60"/>
    <mergeCell ref="K94:L94"/>
    <mergeCell ref="N94:P94"/>
    <mergeCell ref="Q94:R94"/>
    <mergeCell ref="T94:V94"/>
    <mergeCell ref="W94:X94"/>
    <mergeCell ref="Z94:AB94"/>
    <mergeCell ref="AC94:AD94"/>
    <mergeCell ref="AL62:AP62"/>
    <mergeCell ref="W93:X93"/>
    <mergeCell ref="Z93:AB93"/>
    <mergeCell ref="AC93:AD93"/>
    <mergeCell ref="T91:V91"/>
    <mergeCell ref="AO94:AP94"/>
    <mergeCell ref="W91:X91"/>
    <mergeCell ref="AF53:AH53"/>
    <mergeCell ref="AF58:AH58"/>
    <mergeCell ref="AL93:AN93"/>
    <mergeCell ref="K92:L92"/>
    <mergeCell ref="A111:A112"/>
    <mergeCell ref="B111:B112"/>
    <mergeCell ref="A113:A115"/>
    <mergeCell ref="A116:A118"/>
    <mergeCell ref="A119:A120"/>
    <mergeCell ref="C111:C112"/>
    <mergeCell ref="D111:E111"/>
    <mergeCell ref="A109:E109"/>
    <mergeCell ref="AF97:AH97"/>
    <mergeCell ref="AC103:AD103"/>
    <mergeCell ref="N92:P92"/>
    <mergeCell ref="Q92:R92"/>
    <mergeCell ref="T92:V92"/>
    <mergeCell ref="AI94:AJ94"/>
    <mergeCell ref="AL103:AN103"/>
    <mergeCell ref="H106:L106"/>
    <mergeCell ref="N106:R106"/>
    <mergeCell ref="T106:X106"/>
    <mergeCell ref="Z106:AD106"/>
    <mergeCell ref="N105:R105"/>
  </mergeCells>
  <phoneticPr fontId="6" type="noConversion"/>
  <conditionalFormatting sqref="AL14 AF14 Z14 T14 N14 H14">
    <cfRule type="expression" dxfId="1564" priority="6951">
      <formula>H14&lt;30%</formula>
    </cfRule>
    <cfRule type="expression" dxfId="1563" priority="6952">
      <formula>H14&gt;60%</formula>
    </cfRule>
  </conditionalFormatting>
  <conditionalFormatting sqref="AL17 AF17 Z17 T17 N17 H17 N79 T79 Z79 AF79 AL79 H79">
    <cfRule type="expression" dxfId="1562" priority="6945">
      <formula>H17&lt;0.5%</formula>
    </cfRule>
    <cfRule type="expression" dxfId="1561" priority="6946">
      <formula>H17&gt;1.5%</formula>
    </cfRule>
  </conditionalFormatting>
  <conditionalFormatting sqref="H75 AL83 AF83 Z83 T83 N83 H83">
    <cfRule type="expression" dxfId="1560" priority="6245">
      <formula>H75&lt;2</formula>
    </cfRule>
    <cfRule type="expression" dxfId="1559" priority="6246">
      <formula>H75&gt;2.4</formula>
    </cfRule>
  </conditionalFormatting>
  <conditionalFormatting sqref="AL46 AF46 Z46 T46 N46 H46 H15 N15 T15 Z15 AF15 AL15">
    <cfRule type="expression" dxfId="1558" priority="4065">
      <formula>H15&lt;15%</formula>
    </cfRule>
    <cfRule type="expression" dxfId="1557" priority="4066">
      <formula>H15&gt;30%</formula>
    </cfRule>
  </conditionalFormatting>
  <conditionalFormatting sqref="AL11 AF11 Z11 T11 N11 H11">
    <cfRule type="expression" dxfId="1556" priority="3147" stopIfTrue="1">
      <formula>H11&gt;12</formula>
    </cfRule>
    <cfRule type="expression" dxfId="1555" priority="3148" stopIfTrue="1">
      <formula>H11&lt;7</formula>
    </cfRule>
  </conditionalFormatting>
  <conditionalFormatting sqref="AL45 AF45 Z45 T45 N45 H45">
    <cfRule type="expression" dxfId="1554" priority="3080">
      <formula>H45&gt;60%</formula>
    </cfRule>
  </conditionalFormatting>
  <conditionalFormatting sqref="AL45 AF45 Z45 T45 N45 H45">
    <cfRule type="expression" dxfId="1553" priority="3079">
      <formula>H45&lt;30%</formula>
    </cfRule>
  </conditionalFormatting>
  <conditionalFormatting sqref="AL48 AF48 Z48 T48 N48 H48">
    <cfRule type="expression" dxfId="1552" priority="3076">
      <formula>H48&gt;1.5%</formula>
    </cfRule>
  </conditionalFormatting>
  <conditionalFormatting sqref="AL48 AF48 Z48 T48 N48 H48">
    <cfRule type="expression" dxfId="1551" priority="3075">
      <formula>H48&lt;0.5%</formula>
    </cfRule>
  </conditionalFormatting>
  <conditionalFormatting sqref="AL41 AF41 Z41 T41 N41 H41">
    <cfRule type="expression" dxfId="1550" priority="2910" stopIfTrue="1">
      <formula>H41&lt;130</formula>
    </cfRule>
  </conditionalFormatting>
  <conditionalFormatting sqref="AL41 AF41 Z41 T41 N41 H41">
    <cfRule type="expression" dxfId="1549" priority="2909" stopIfTrue="1">
      <formula>H41&gt;150</formula>
    </cfRule>
  </conditionalFormatting>
  <conditionalFormatting sqref="AL13 AF13 Z13 T13 N13 H13">
    <cfRule type="expression" dxfId="1548" priority="2815">
      <formula>H13&lt;1.6</formula>
    </cfRule>
    <cfRule type="expression" dxfId="1547" priority="2816">
      <formula>H13&gt;2.2</formula>
    </cfRule>
  </conditionalFormatting>
  <conditionalFormatting sqref="AL39:AL40 AF39:AF40 Z39:Z40 T39:T40 N39:N40 H39:H40 H70:H71 N70:N71 T70:T71 Z70:Z71 AF70:AF71 AL70:AL71">
    <cfRule type="expression" dxfId="1546" priority="2748" stopIfTrue="1">
      <formula>H39&lt;50</formula>
    </cfRule>
  </conditionalFormatting>
  <conditionalFormatting sqref="AL39:AL40 AF39:AF40 Z39:Z40 T39:T40 N39:N40 H39:H40 H70:H71 N70:N71 T70:T71 Z70:Z71 AF70:AF71 AL70:AL71">
    <cfRule type="expression" dxfId="1545" priority="2747" stopIfTrue="1">
      <formula>H39&gt;70</formula>
    </cfRule>
  </conditionalFormatting>
  <conditionalFormatting sqref="H47 N47 T47 Z47 AF47 AL47:AM47">
    <cfRule type="expression" dxfId="1544" priority="2299">
      <formula>H47&lt;8%</formula>
    </cfRule>
    <cfRule type="expression" dxfId="1543" priority="2300">
      <formula>H47&gt;15%</formula>
    </cfRule>
  </conditionalFormatting>
  <conditionalFormatting sqref="H8:H9 N8:N9 T8:T9 Z8:Z9 AF8:AF9 AL8:AL9">
    <cfRule type="expression" dxfId="1542" priority="2267" stopIfTrue="1">
      <formula>H8&gt;80</formula>
    </cfRule>
    <cfRule type="expression" dxfId="1541" priority="2268" stopIfTrue="1">
      <formula>H8&lt;60</formula>
    </cfRule>
  </conditionalFormatting>
  <conditionalFormatting sqref="K98:L98 Q98:R98 W98:X98 AC98:AD98 AI98:AJ98 AO98:AP98 K91:L92 H91:H92 Q91:R92 N91:N92 W91:X92 T91:T92 AC91:AD92 Z91:Z92 AI91:AJ92 AF91:AF92 AO91:AP92 AL91:AL92 AO22:AP23 K22:L23 H22:H23 AI22:AJ23 Q22:R23 N22:N23 AF22:AF23 W22:X23 T22:T23 AL22:AL23 AC22:AD23 Z22:Z23 K60 AO60 AI60 AC60 W60 Q60 K29 Q29 W29 AC29 AI29 AO29">
    <cfRule type="expression" dxfId="1540" priority="2241">
      <formula>H22&lt;65</formula>
    </cfRule>
    <cfRule type="expression" dxfId="1539" priority="2242">
      <formula>H22&gt;75</formula>
    </cfRule>
  </conditionalFormatting>
  <conditionalFormatting sqref="W103:X103 T103 AC103:AD103 Z103 K103:L103 H103 AO103:AP103 AL103 K26:L26 H26 Q26:R26 N26 W26:X26 T26 AC26:AD26 Z26 AI26:AJ26 AF26 AO26:AP26 AL26">
    <cfRule type="expression" dxfId="1538" priority="2235">
      <formula>H26&lt;20</formula>
    </cfRule>
    <cfRule type="expression" dxfId="1537" priority="2236">
      <formula>H26&gt;30</formula>
    </cfRule>
  </conditionalFormatting>
  <conditionalFormatting sqref="K24:K25 H24:H25 Q24:Q25 N24:N25 W24:W25 T24:T25 AC24:AC25 Z24:Z25 AI24:AI25 AF24:AF25 AO24:AO25 AL24:AL25">
    <cfRule type="expression" dxfId="1536" priority="2233">
      <formula>H24&lt;50</formula>
    </cfRule>
    <cfRule type="expression" dxfId="1535" priority="2234">
      <formula>H24&gt;60</formula>
    </cfRule>
  </conditionalFormatting>
  <conditionalFormatting sqref="K27 H27 Q27 N27 W27 T27 AC27 Z27 AI27 AF27 AO27 AL27">
    <cfRule type="expression" dxfId="1534" priority="2231">
      <formula>H27&lt;35</formula>
    </cfRule>
    <cfRule type="expression" dxfId="1533" priority="2232">
      <formula>H27&gt;45</formula>
    </cfRule>
  </conditionalFormatting>
  <conditionalFormatting sqref="H97 K97 N97 Q97 T97 W97 Z97 AC97 AF97 AI97 AL97 AO97 K28 H28 Q28 N28 W28 T28 AC28 Z28 AI28 AF28 AO28 AL28 K59 H59 AO59 AI59 AC59 W59 Q59 N59 T59 Z59 AF59 AL59">
    <cfRule type="expression" dxfId="1532" priority="2229">
      <formula>H28&lt;55</formula>
    </cfRule>
    <cfRule type="expression" dxfId="1531" priority="2230">
      <formula>H28&gt;65</formula>
    </cfRule>
  </conditionalFormatting>
  <conditionalFormatting sqref="H31 AL31 AF31 Z31 T31 N31">
    <cfRule type="expression" dxfId="1530" priority="1929">
      <formula>H31&lt;300</formula>
    </cfRule>
    <cfRule type="expression" dxfId="1529" priority="1930">
      <formula>H31&gt;360</formula>
    </cfRule>
  </conditionalFormatting>
  <conditionalFormatting sqref="H105 Z105 T105 N105 AF105 AL105 H32 AL32 AF32 Z32 T32 N32">
    <cfRule type="expression" dxfId="1528" priority="1927">
      <formula>H32&lt;30</formula>
    </cfRule>
    <cfRule type="expression" dxfId="1527" priority="1928">
      <formula>H32&gt;50</formula>
    </cfRule>
  </conditionalFormatting>
  <conditionalFormatting sqref="AO93:AP94 K93:L94 AC93:AD94 H93:H94 AF93:AF94 Q93:R94 Z93:Z94 N93:N94 AL93:AL94 W93:X94 AI93:AJ94 T93:T94">
    <cfRule type="expression" dxfId="1526" priority="1879">
      <formula>H93&lt;60</formula>
    </cfRule>
    <cfRule type="expression" dxfId="1525" priority="1880">
      <formula>H93&gt;70</formula>
    </cfRule>
  </conditionalFormatting>
  <conditionalFormatting sqref="H6:H7 N6:N7 T6:T7 Z6:Z7 AF6:AF7 AL6:AL7">
    <cfRule type="expression" dxfId="1524" priority="1389" stopIfTrue="1">
      <formula>H6&gt;35</formula>
    </cfRule>
    <cfRule type="expression" dxfId="1523" priority="1390" stopIfTrue="1">
      <formula>H6&lt;25</formula>
    </cfRule>
  </conditionalFormatting>
  <conditionalFormatting sqref="H16 N16 T16 Z16 AF16 AL16">
    <cfRule type="expression" dxfId="1522" priority="1313">
      <formula>H16&lt;5%</formula>
    </cfRule>
    <cfRule type="expression" dxfId="1521" priority="1314">
      <formula>H16&gt;15%</formula>
    </cfRule>
  </conditionalFormatting>
  <conditionalFormatting sqref="N12 T12 Z12 AF12 AL12 H12">
    <cfRule type="expression" dxfId="1520" priority="1277" stopIfTrue="1">
      <formula>H12&gt;18</formula>
    </cfRule>
    <cfRule type="expression" dxfId="1519" priority="1278" stopIfTrue="1">
      <formula>H12&lt;12</formula>
    </cfRule>
  </conditionalFormatting>
  <conditionalFormatting sqref="H62 N62 S62:T62 Z62 AF62 AL62">
    <cfRule type="expression" dxfId="1518" priority="949">
      <formula>H62&lt;100</formula>
    </cfRule>
    <cfRule type="expression" dxfId="1517" priority="950">
      <formula>H62&gt;200</formula>
    </cfRule>
  </conditionalFormatting>
  <conditionalFormatting sqref="H63 N63 Z63 AF63 AL63 S63:T63">
    <cfRule type="expression" dxfId="1516" priority="947">
      <formula>H63&lt;20</formula>
    </cfRule>
    <cfRule type="expression" dxfId="1515" priority="948">
      <formula>H63&gt;50</formula>
    </cfRule>
  </conditionalFormatting>
  <conditionalFormatting sqref="K58 H58 AO58 AI58 AC58 W58 Q58 N58 T58 Z58 AF58 AL58">
    <cfRule type="expression" dxfId="1514" priority="919">
      <formula>H58&lt;30</formula>
    </cfRule>
    <cfRule type="expression" dxfId="1513" priority="920">
      <formula>H58&gt;38</formula>
    </cfRule>
  </conditionalFormatting>
  <conditionalFormatting sqref="K57 H57 AO57 AI57 AC57 W57 Q57 N57 T57 Z57 AF57 AL57">
    <cfRule type="expression" dxfId="1512" priority="915">
      <formula>H57&lt;22</formula>
    </cfRule>
    <cfRule type="expression" dxfId="1511" priority="916">
      <formula>H57&gt;30</formula>
    </cfRule>
  </conditionalFormatting>
  <conditionalFormatting sqref="H76:H77 N76:N77 T76:T77 Z76:Z77 AF76:AF77 AL76:AL77">
    <cfRule type="expression" dxfId="1510" priority="789">
      <formula>H76&lt;40%</formula>
    </cfRule>
    <cfRule type="expression" dxfId="1509" priority="790">
      <formula>H76&gt;50%</formula>
    </cfRule>
  </conditionalFormatting>
  <conditionalFormatting sqref="H42 N42 T42 Z42 AF42 AL42">
    <cfRule type="expression" dxfId="1508" priority="719" stopIfTrue="1">
      <formula>H42&gt;12</formula>
    </cfRule>
    <cfRule type="expression" dxfId="1507" priority="720" stopIfTrue="1">
      <formula>H42&lt;8</formula>
    </cfRule>
  </conditionalFormatting>
  <conditionalFormatting sqref="H44 N44 T44 Z44 AF44 AL44">
    <cfRule type="expression" dxfId="1506" priority="705">
      <formula>H44&lt;2</formula>
    </cfRule>
    <cfRule type="expression" dxfId="1505" priority="706">
      <formula>H44&gt;2.5</formula>
    </cfRule>
  </conditionalFormatting>
  <conditionalFormatting sqref="H43 N43 T43 Z43 AF43 AL43">
    <cfRule type="expression" dxfId="1504" priority="703" stopIfTrue="1">
      <formula>H43&gt;10</formula>
    </cfRule>
    <cfRule type="expression" dxfId="1503" priority="704" stopIfTrue="1">
      <formula>H43&lt;6</formula>
    </cfRule>
  </conditionalFormatting>
  <conditionalFormatting sqref="H101 K101 T101 W101 Z101 AC101 AL101 AO101">
    <cfRule type="expression" dxfId="1502" priority="679">
      <formula>H101&lt;24</formula>
    </cfRule>
    <cfRule type="expression" dxfId="1501" priority="680">
      <formula>H101&gt;28</formula>
    </cfRule>
  </conditionalFormatting>
  <conditionalFormatting sqref="H102 K102 T102 W102 Z102 AC102 AL102 AO102">
    <cfRule type="expression" dxfId="1500" priority="663">
      <formula>H102&lt;40</formula>
    </cfRule>
    <cfRule type="expression" dxfId="1499" priority="664">
      <formula>H102&gt;60</formula>
    </cfRule>
  </conditionalFormatting>
  <conditionalFormatting sqref="H84 Z84 T84 AL84">
    <cfRule type="expression" dxfId="1498" priority="645" stopIfTrue="1">
      <formula>H84&gt;6</formula>
    </cfRule>
    <cfRule type="expression" dxfId="1497" priority="646" stopIfTrue="1">
      <formula>H84&lt;5</formula>
    </cfRule>
  </conditionalFormatting>
  <conditionalFormatting sqref="H85 Z85 T85 AL85">
    <cfRule type="expression" dxfId="1496" priority="643" stopIfTrue="1">
      <formula>H85&gt;1.9</formula>
    </cfRule>
    <cfRule type="expression" dxfId="1495" priority="644" stopIfTrue="1">
      <formula>H85&lt;1.7</formula>
    </cfRule>
  </conditionalFormatting>
  <conditionalFormatting sqref="H86 Z86 T86 AL86">
    <cfRule type="expression" dxfId="1494" priority="641" stopIfTrue="1">
      <formula>H86&gt;130</formula>
    </cfRule>
    <cfRule type="expression" dxfId="1493" priority="642" stopIfTrue="1">
      <formula>H86&lt;120</formula>
    </cfRule>
  </conditionalFormatting>
  <conditionalFormatting sqref="H87 Z87 T87 AL87">
    <cfRule type="expression" dxfId="1492" priority="639" stopIfTrue="1">
      <formula>H87&gt;135</formula>
    </cfRule>
    <cfRule type="expression" dxfId="1491" priority="640" stopIfTrue="1">
      <formula>H87&lt;125</formula>
    </cfRule>
  </conditionalFormatting>
  <conditionalFormatting sqref="H88 Z88 T88 AL88">
    <cfRule type="expression" dxfId="1490" priority="637" stopIfTrue="1">
      <formula>H88&gt;4.5</formula>
    </cfRule>
    <cfRule type="expression" dxfId="1489" priority="638" stopIfTrue="1">
      <formula>H88&lt;3</formula>
    </cfRule>
  </conditionalFormatting>
  <conditionalFormatting sqref="H53:H56 K53:K56 N53:N56 Q53:Q56 T53:T56 W53:W56 Z53:Z56 AC53:AC56 AF53:AF56 AI53:AI56 AL53:AL56 AO53:AO56">
    <cfRule type="expression" dxfId="1488" priority="597">
      <formula>H53&lt;50</formula>
    </cfRule>
    <cfRule type="expression" dxfId="1487" priority="598">
      <formula>H53&gt;70</formula>
    </cfRule>
  </conditionalFormatting>
  <conditionalFormatting sqref="H37:H38 N37:N38 T37:T38 Z37:Z38 AF37:AF38 AL37:AL38">
    <cfRule type="expression" dxfId="1486" priority="550" stopIfTrue="1">
      <formula>H37&lt;60</formula>
    </cfRule>
  </conditionalFormatting>
  <conditionalFormatting sqref="H37:H38 N37:N38 T37:T38 Z37:Z38 AF37:AF38 AL37:AL38">
    <cfRule type="expression" dxfId="1485" priority="549" stopIfTrue="1">
      <formula>H37&gt;80</formula>
    </cfRule>
  </conditionalFormatting>
  <conditionalFormatting sqref="H72 AL72 N72 AF72 Z72 T72">
    <cfRule type="expression" dxfId="1484" priority="382" stopIfTrue="1">
      <formula>H72&lt;135</formula>
    </cfRule>
  </conditionalFormatting>
  <conditionalFormatting sqref="H72 AL72 N72 AF72 Z72 T72">
    <cfRule type="expression" dxfId="1483" priority="381" stopIfTrue="1">
      <formula>H72&gt;145</formula>
    </cfRule>
  </conditionalFormatting>
  <conditionalFormatting sqref="H73 AL73 N73 AF73 Z73 T73">
    <cfRule type="expression" dxfId="1482" priority="380" stopIfTrue="1">
      <formula>H73&lt;6</formula>
    </cfRule>
  </conditionalFormatting>
  <conditionalFormatting sqref="H73 AL73 N73 AF73 Z73 T73">
    <cfRule type="expression" dxfId="1481" priority="379" stopIfTrue="1">
      <formula>H73&gt;8</formula>
    </cfRule>
  </conditionalFormatting>
  <conditionalFormatting sqref="H68:H69 N68:N69 T68:T69 Z68:Z69 AF68:AF69 AL68:AL69">
    <cfRule type="expression" dxfId="1480" priority="266" stopIfTrue="1">
      <formula>H68&lt;40</formula>
    </cfRule>
  </conditionalFormatting>
  <conditionalFormatting sqref="H68:H69 N68:N69 T68:T69 Z68:Z69 AF68:AF69 AL68:AL69">
    <cfRule type="expression" dxfId="1479" priority="265" stopIfTrue="1">
      <formula>H68&gt;60</formula>
    </cfRule>
  </conditionalFormatting>
  <conditionalFormatting sqref="H78 N78 T78 Z78 AF78 AL78">
    <cfRule type="expression" dxfId="1478" priority="241">
      <formula>H78&lt;20%</formula>
    </cfRule>
    <cfRule type="expression" dxfId="1477" priority="242">
      <formula>H78&gt;40%</formula>
    </cfRule>
  </conditionalFormatting>
  <conditionalFormatting sqref="H74 AL74 N74 AF74 Z74 T74">
    <cfRule type="expression" dxfId="1476" priority="175">
      <formula>H74&lt;5</formula>
    </cfRule>
    <cfRule type="expression" dxfId="1475" priority="176">
      <formula>H74&gt;8</formula>
    </cfRule>
  </conditionalFormatting>
  <conditionalFormatting sqref="H82 N82 T82 Z82 AF82 AL82">
    <cfRule type="expression" dxfId="1474" priority="151">
      <formula>H82&lt;8</formula>
    </cfRule>
    <cfRule type="expression" dxfId="1473" priority="152">
      <formula>H82&gt;16</formula>
    </cfRule>
  </conditionalFormatting>
  <conditionalFormatting sqref="AL10 AF10 Z10 T10 N10 H10">
    <cfRule type="expression" dxfId="1472" priority="139">
      <formula>H10&lt;130</formula>
    </cfRule>
    <cfRule type="expression" dxfId="1471" priority="140">
      <formula>H10&gt;150</formula>
    </cfRule>
  </conditionalFormatting>
  <conditionalFormatting sqref="H106 Z106 T106 N106 AF106 AL106">
    <cfRule type="expression" dxfId="1470" priority="107">
      <formula>H106&lt;160</formula>
    </cfRule>
    <cfRule type="expression" dxfId="1469" priority="108">
      <formula>H106&gt;220</formula>
    </cfRule>
  </conditionalFormatting>
  <conditionalFormatting sqref="N75">
    <cfRule type="expression" dxfId="1468" priority="85">
      <formula>N75&lt;2</formula>
    </cfRule>
    <cfRule type="expression" dxfId="1467" priority="86">
      <formula>N75&gt;2.4</formula>
    </cfRule>
  </conditionalFormatting>
  <conditionalFormatting sqref="T75">
    <cfRule type="expression" dxfId="1466" priority="83">
      <formula>T75&lt;2</formula>
    </cfRule>
    <cfRule type="expression" dxfId="1465" priority="84">
      <formula>T75&gt;2.4</formula>
    </cfRule>
  </conditionalFormatting>
  <conditionalFormatting sqref="Z75">
    <cfRule type="expression" dxfId="1464" priority="81">
      <formula>Z75&lt;2</formula>
    </cfRule>
    <cfRule type="expression" dxfId="1463" priority="82">
      <formula>Z75&gt;2.4</formula>
    </cfRule>
  </conditionalFormatting>
  <conditionalFormatting sqref="AF75">
    <cfRule type="expression" dxfId="1462" priority="79">
      <formula>AF75&lt;2</formula>
    </cfRule>
    <cfRule type="expression" dxfId="1461" priority="80">
      <formula>AF75&gt;2.4</formula>
    </cfRule>
  </conditionalFormatting>
  <conditionalFormatting sqref="AL75">
    <cfRule type="expression" dxfId="1460" priority="77">
      <formula>AL75&lt;2</formula>
    </cfRule>
    <cfRule type="expression" dxfId="1459" priority="78">
      <formula>AL75&gt;2.4</formula>
    </cfRule>
  </conditionalFormatting>
  <conditionalFormatting sqref="H95">
    <cfRule type="expression" dxfId="1458" priority="75">
      <formula>H95&lt;24</formula>
    </cfRule>
    <cfRule type="expression" dxfId="1457" priority="76">
      <formula>H95&gt;26</formula>
    </cfRule>
  </conditionalFormatting>
  <conditionalFormatting sqref="H96">
    <cfRule type="expression" dxfId="1456" priority="73">
      <formula>H96&lt;34</formula>
    </cfRule>
    <cfRule type="expression" dxfId="1455" priority="74">
      <formula>H96&gt;36</formula>
    </cfRule>
  </conditionalFormatting>
  <conditionalFormatting sqref="K95">
    <cfRule type="expression" dxfId="1454" priority="71">
      <formula>K95&lt;24</formula>
    </cfRule>
    <cfRule type="expression" dxfId="1453" priority="72">
      <formula>K95&gt;26</formula>
    </cfRule>
  </conditionalFormatting>
  <conditionalFormatting sqref="K96">
    <cfRule type="expression" dxfId="1452" priority="69">
      <formula>K96&lt;34</formula>
    </cfRule>
    <cfRule type="expression" dxfId="1451" priority="70">
      <formula>K96&gt;36</formula>
    </cfRule>
  </conditionalFormatting>
  <conditionalFormatting sqref="N95">
    <cfRule type="expression" dxfId="1450" priority="67">
      <formula>N95&lt;24</formula>
    </cfRule>
    <cfRule type="expression" dxfId="1449" priority="68">
      <formula>N95&gt;26</formula>
    </cfRule>
  </conditionalFormatting>
  <conditionalFormatting sqref="N96">
    <cfRule type="expression" dxfId="1448" priority="65">
      <formula>N96&lt;34</formula>
    </cfRule>
    <cfRule type="expression" dxfId="1447" priority="66">
      <formula>N96&gt;36</formula>
    </cfRule>
  </conditionalFormatting>
  <conditionalFormatting sqref="Q95">
    <cfRule type="expression" dxfId="1446" priority="63">
      <formula>Q95&lt;24</formula>
    </cfRule>
    <cfRule type="expression" dxfId="1445" priority="64">
      <formula>Q95&gt;26</formula>
    </cfRule>
  </conditionalFormatting>
  <conditionalFormatting sqref="Q96">
    <cfRule type="expression" dxfId="1444" priority="61">
      <formula>Q96&lt;34</formula>
    </cfRule>
    <cfRule type="expression" dxfId="1443" priority="62">
      <formula>Q96&gt;36</formula>
    </cfRule>
  </conditionalFormatting>
  <conditionalFormatting sqref="T95">
    <cfRule type="expression" dxfId="1442" priority="59">
      <formula>T95&lt;24</formula>
    </cfRule>
    <cfRule type="expression" dxfId="1441" priority="60">
      <formula>T95&gt;26</formula>
    </cfRule>
  </conditionalFormatting>
  <conditionalFormatting sqref="T96">
    <cfRule type="expression" dxfId="1440" priority="57">
      <formula>T96&lt;34</formula>
    </cfRule>
    <cfRule type="expression" dxfId="1439" priority="58">
      <formula>T96&gt;36</formula>
    </cfRule>
  </conditionalFormatting>
  <conditionalFormatting sqref="W95">
    <cfRule type="expression" dxfId="1438" priority="55">
      <formula>W95&lt;24</formula>
    </cfRule>
    <cfRule type="expression" dxfId="1437" priority="56">
      <formula>W95&gt;26</formula>
    </cfRule>
  </conditionalFormatting>
  <conditionalFormatting sqref="W96">
    <cfRule type="expression" dxfId="1436" priority="53">
      <formula>W96&lt;34</formula>
    </cfRule>
    <cfRule type="expression" dxfId="1435" priority="54">
      <formula>W96&gt;36</formula>
    </cfRule>
  </conditionalFormatting>
  <conditionalFormatting sqref="Z95">
    <cfRule type="expression" dxfId="1434" priority="51">
      <formula>Z95&lt;24</formula>
    </cfRule>
    <cfRule type="expression" dxfId="1433" priority="52">
      <formula>Z95&gt;26</formula>
    </cfRule>
  </conditionalFormatting>
  <conditionalFormatting sqref="Z96">
    <cfRule type="expression" dxfId="1432" priority="49">
      <formula>Z96&lt;34</formula>
    </cfRule>
    <cfRule type="expression" dxfId="1431" priority="50">
      <formula>Z96&gt;36</formula>
    </cfRule>
  </conditionalFormatting>
  <conditionalFormatting sqref="AC95">
    <cfRule type="expression" dxfId="1430" priority="47">
      <formula>AC95&lt;24</formula>
    </cfRule>
    <cfRule type="expression" dxfId="1429" priority="48">
      <formula>AC95&gt;26</formula>
    </cfRule>
  </conditionalFormatting>
  <conditionalFormatting sqref="AC96">
    <cfRule type="expression" dxfId="1428" priority="45">
      <formula>AC96&lt;34</formula>
    </cfRule>
    <cfRule type="expression" dxfId="1427" priority="46">
      <formula>AC96&gt;36</formula>
    </cfRule>
  </conditionalFormatting>
  <conditionalFormatting sqref="AF95">
    <cfRule type="expression" dxfId="1426" priority="43">
      <formula>AF95&lt;24</formula>
    </cfRule>
    <cfRule type="expression" dxfId="1425" priority="44">
      <formula>AF95&gt;26</formula>
    </cfRule>
  </conditionalFormatting>
  <conditionalFormatting sqref="AF96">
    <cfRule type="expression" dxfId="1424" priority="41">
      <formula>AF96&lt;34</formula>
    </cfRule>
    <cfRule type="expression" dxfId="1423" priority="42">
      <formula>AF96&gt;36</formula>
    </cfRule>
  </conditionalFormatting>
  <conditionalFormatting sqref="AI95">
    <cfRule type="expression" dxfId="1422" priority="39">
      <formula>AI95&lt;24</formula>
    </cfRule>
    <cfRule type="expression" dxfId="1421" priority="40">
      <formula>AI95&gt;26</formula>
    </cfRule>
  </conditionalFormatting>
  <conditionalFormatting sqref="AI96">
    <cfRule type="expression" dxfId="1420" priority="37">
      <formula>AI96&lt;34</formula>
    </cfRule>
    <cfRule type="expression" dxfId="1419" priority="38">
      <formula>AI96&gt;36</formula>
    </cfRule>
  </conditionalFormatting>
  <conditionalFormatting sqref="AL95">
    <cfRule type="expression" dxfId="1418" priority="35">
      <formula>AL95&lt;24</formula>
    </cfRule>
    <cfRule type="expression" dxfId="1417" priority="36">
      <formula>AL95&gt;26</formula>
    </cfRule>
  </conditionalFormatting>
  <conditionalFormatting sqref="AL96">
    <cfRule type="expression" dxfId="1416" priority="33">
      <formula>AL96&lt;34</formula>
    </cfRule>
    <cfRule type="expression" dxfId="1415" priority="34">
      <formula>AL96&gt;36</formula>
    </cfRule>
  </conditionalFormatting>
  <conditionalFormatting sqref="AO95">
    <cfRule type="expression" dxfId="1414" priority="31">
      <formula>AO95&lt;24</formula>
    </cfRule>
    <cfRule type="expression" dxfId="1413" priority="32">
      <formula>AO95&gt;26</formula>
    </cfRule>
  </conditionalFormatting>
  <conditionalFormatting sqref="AO96">
    <cfRule type="expression" dxfId="1412" priority="29">
      <formula>AO96&lt;34</formula>
    </cfRule>
    <cfRule type="expression" dxfId="1411" priority="30">
      <formula>AO96&gt;36</formula>
    </cfRule>
  </conditionalFormatting>
  <conditionalFormatting sqref="H100">
    <cfRule type="expression" dxfId="1410" priority="23">
      <formula>H100&lt;35</formula>
    </cfRule>
    <cfRule type="expression" dxfId="1409" priority="24">
      <formula>H100&gt;45</formula>
    </cfRule>
  </conditionalFormatting>
  <conditionalFormatting sqref="K100">
    <cfRule type="expression" dxfId="1408" priority="21">
      <formula>K100&lt;35</formula>
    </cfRule>
    <cfRule type="expression" dxfId="1407" priority="22">
      <formula>K100&gt;45</formula>
    </cfRule>
  </conditionalFormatting>
  <conditionalFormatting sqref="N100">
    <cfRule type="expression" dxfId="1406" priority="19">
      <formula>N100&lt;35</formula>
    </cfRule>
    <cfRule type="expression" dxfId="1405" priority="20">
      <formula>N100&gt;45</formula>
    </cfRule>
  </conditionalFormatting>
  <conditionalFormatting sqref="Q100">
    <cfRule type="expression" dxfId="1404" priority="17">
      <formula>Q100&lt;35</formula>
    </cfRule>
    <cfRule type="expression" dxfId="1403" priority="18">
      <formula>Q100&gt;45</formula>
    </cfRule>
  </conditionalFormatting>
  <conditionalFormatting sqref="T100">
    <cfRule type="expression" dxfId="1402" priority="15">
      <formula>T100&lt;35</formula>
    </cfRule>
    <cfRule type="expression" dxfId="1401" priority="16">
      <formula>T100&gt;45</formula>
    </cfRule>
  </conditionalFormatting>
  <conditionalFormatting sqref="W100">
    <cfRule type="expression" dxfId="1400" priority="13">
      <formula>W100&lt;35</formula>
    </cfRule>
    <cfRule type="expression" dxfId="1399" priority="14">
      <formula>W100&gt;45</formula>
    </cfRule>
  </conditionalFormatting>
  <conditionalFormatting sqref="Z100">
    <cfRule type="expression" dxfId="1398" priority="11">
      <formula>Z100&lt;35</formula>
    </cfRule>
    <cfRule type="expression" dxfId="1397" priority="12">
      <formula>Z100&gt;45</formula>
    </cfRule>
  </conditionalFormatting>
  <conditionalFormatting sqref="AC100">
    <cfRule type="expression" dxfId="1396" priority="9">
      <formula>AC100&lt;35</formula>
    </cfRule>
    <cfRule type="expression" dxfId="1395" priority="10">
      <formula>AC100&gt;45</formula>
    </cfRule>
  </conditionalFormatting>
  <conditionalFormatting sqref="AF100">
    <cfRule type="expression" dxfId="1394" priority="7">
      <formula>AF100&lt;35</formula>
    </cfRule>
    <cfRule type="expression" dxfId="1393" priority="8">
      <formula>AF100&gt;45</formula>
    </cfRule>
  </conditionalFormatting>
  <conditionalFormatting sqref="AI100">
    <cfRule type="expression" dxfId="1392" priority="5">
      <formula>AI100&lt;35</formula>
    </cfRule>
    <cfRule type="expression" dxfId="1391" priority="6">
      <formula>AI100&gt;45</formula>
    </cfRule>
  </conditionalFormatting>
  <conditionalFormatting sqref="AL100">
    <cfRule type="expression" dxfId="1390" priority="3">
      <formula>AL100&lt;35</formula>
    </cfRule>
    <cfRule type="expression" dxfId="1389" priority="4">
      <formula>AL100&gt;45</formula>
    </cfRule>
  </conditionalFormatting>
  <conditionalFormatting sqref="AO100">
    <cfRule type="expression" dxfId="1388" priority="1">
      <formula>AO100&lt;35</formula>
    </cfRule>
    <cfRule type="expression" dxfId="1387" priority="2">
      <formula>AO100&gt;45</formula>
    </cfRule>
  </conditionalFormatting>
  <hyperlinks>
    <hyperlink ref="AS14" r:id="rId1"/>
    <hyperlink ref="AS16" r:id="rId2"/>
    <hyperlink ref="AS17" r:id="rId3"/>
    <hyperlink ref="AS45" r:id="rId4"/>
    <hyperlink ref="AS47" r:id="rId5"/>
    <hyperlink ref="AS48" r:id="rId6"/>
    <hyperlink ref="AS79" r:id="rId7"/>
    <hyperlink ref="AS76:AS78" r:id="rId8" display="D:\2. Data hoa nghiem\1. PP HÓA NGHIỆM CÁC BỒN-XLBM\HCL đặc, loãng-XT.pdf"/>
    <hyperlink ref="AS12" r:id="rId9"/>
    <hyperlink ref="AS37:AS38" r:id="rId10" display="D:\2. Data hoa nghiem\1. PP HÓA NGHIỆM CÁC BỒN-XLBM\HALO-PPPT_CT-21A-XB-XT,XM-1F.pdf"/>
    <hyperlink ref="AS39:AS40" r:id="rId11" display="D:\2. Data hoa nghiem\1. PP HÓA NGHIỆM CÁC BỒN-XLBM\HALO-PPPT_EC-508-ĐG-XT,XM-1F.pdf"/>
    <hyperlink ref="AS68:AS69" r:id="rId12" display="D:\2. Data hoa nghiem\1. PP HÓA NGHIỆM CÁC BỒN-XLBM\HALO-PPPT_CT-21A-XB-XT,XM-1F.pdf"/>
    <hyperlink ref="AS70:AS71" r:id="rId13" display="D:\2. Data hoa nghiem\1. PP HÓA NGHIỆM CÁC BỒN-XLBM\HALO-PPPT_EC-508-ĐG-XT,XM-1F.pdf"/>
    <hyperlink ref="AS6:AS9" r:id="rId14" display="D:\2. Data hoa nghiem\1. PP HÓA NGHIỆM CÁC BỒN-XLBM\JASCO-XB,ĐG-XL-1E.pdf"/>
    <hyperlink ref="AS10" r:id="rId15"/>
    <hyperlink ref="AS43" r:id="rId16"/>
    <hyperlink ref="AS11" r:id="rId17"/>
    <hyperlink ref="AS42" r:id="rId18"/>
    <hyperlink ref="AS74" r:id="rId19"/>
    <hyperlink ref="AS73" r:id="rId20"/>
    <hyperlink ref="AS41" r:id="rId21"/>
    <hyperlink ref="AS72" r:id="rId22"/>
    <hyperlink ref="AS84" r:id="rId23"/>
    <hyperlink ref="AS86" r:id="rId24"/>
  </hyperlinks>
  <printOptions horizontalCentered="1"/>
  <pageMargins left="0.26" right="0.16" top="0.3" bottom="0.45" header="0.17" footer="0.27559055118110237"/>
  <pageSetup paperSize="9" scale="42" orientation="portrait" verticalDpi="300" r:id="rId25"/>
  <headerFooter alignWithMargins="0"/>
  <drawing r:id="rId26"/>
  <legacyDrawing r:id="rId27"/>
</worksheet>
</file>

<file path=xl/worksheets/sheet23.xml><?xml version="1.0" encoding="utf-8"?>
<worksheet xmlns="http://schemas.openxmlformats.org/spreadsheetml/2006/main" xmlns:r="http://schemas.openxmlformats.org/officeDocument/2006/relationships">
  <sheetPr codeName="Sheet14">
    <tabColor rgb="FFFFC000"/>
  </sheetPr>
  <dimension ref="A1:K221"/>
  <sheetViews>
    <sheetView workbookViewId="0"/>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236" t="str">
        <f>'1. XL-1E kh'!G3</f>
        <v>2022/12/03</v>
      </c>
    </row>
    <row r="2" spans="1:9" ht="26.25" customHeight="1"/>
    <row r="3" spans="1:9" ht="36" customHeight="1">
      <c r="A3" s="184"/>
      <c r="B3" s="293" t="s">
        <v>236</v>
      </c>
      <c r="C3" s="185"/>
      <c r="D3" s="169" t="s">
        <v>173</v>
      </c>
      <c r="E3" s="170"/>
      <c r="F3" s="170"/>
      <c r="G3" s="170"/>
      <c r="H3" s="170"/>
      <c r="I3" s="171"/>
    </row>
    <row r="4" spans="1:9" ht="21.75" customHeight="1" thickBot="1">
      <c r="A4" s="205"/>
      <c r="B4" s="185"/>
      <c r="C4" s="206"/>
      <c r="D4" s="180">
        <v>0.25</v>
      </c>
      <c r="E4" s="180">
        <v>0.41666666666666669</v>
      </c>
      <c r="F4" s="180">
        <v>0.58333333333333337</v>
      </c>
      <c r="G4" s="180">
        <v>0.75</v>
      </c>
      <c r="H4" s="180">
        <v>0.91666666666666663</v>
      </c>
      <c r="I4" s="181">
        <v>8.3333333333333329E-2</v>
      </c>
    </row>
    <row r="5" spans="1:9" ht="27" customHeight="1">
      <c r="A5" s="2120">
        <v>1</v>
      </c>
      <c r="B5" s="2122" t="s">
        <v>148</v>
      </c>
      <c r="C5" s="204" t="s">
        <v>108</v>
      </c>
      <c r="D5" s="208">
        <f>'1. XL-1E kh'!H6</f>
        <v>30</v>
      </c>
      <c r="E5" s="209">
        <f>'1. XL-1E kh'!P6</f>
        <v>29.6</v>
      </c>
      <c r="F5" s="209">
        <f>'1. XL-1E kh'!X6</f>
        <v>31</v>
      </c>
      <c r="G5" s="209">
        <f>'1. XL-1E kh'!H44</f>
        <v>30</v>
      </c>
      <c r="H5" s="209">
        <f>'1. XL-1E kh'!P44</f>
        <v>29.5</v>
      </c>
      <c r="I5" s="210">
        <f>'1. XL-1E kh'!X44</f>
        <v>29.2</v>
      </c>
    </row>
    <row r="6" spans="1:9" ht="21.75" hidden="1" customHeight="1">
      <c r="A6" s="2121"/>
      <c r="B6" s="2123"/>
      <c r="C6" s="207" t="s">
        <v>145</v>
      </c>
      <c r="D6" s="211">
        <f>'1. XL-1E kh'!H8</f>
        <v>0</v>
      </c>
      <c r="E6" s="162">
        <f>'1. XL-1E kh'!P8</f>
        <v>0</v>
      </c>
      <c r="F6" s="162">
        <f>'1. XL-1E kh'!X8</f>
        <v>0</v>
      </c>
      <c r="G6" s="162">
        <f>'1. XL-1E kh'!H46</f>
        <v>0</v>
      </c>
      <c r="H6" s="162">
        <f>'1. XL-1E kh'!P46</f>
        <v>0</v>
      </c>
      <c r="I6" s="212">
        <f>'1. XL-1E kh'!X46</f>
        <v>0</v>
      </c>
    </row>
    <row r="7" spans="1:9" ht="21.75" hidden="1" customHeight="1">
      <c r="A7" s="2064">
        <v>2</v>
      </c>
      <c r="B7" s="2124" t="s">
        <v>163</v>
      </c>
      <c r="C7" s="187" t="s">
        <v>108</v>
      </c>
      <c r="D7" s="213">
        <f>'1. XL-1E kh'!H9</f>
        <v>30.8</v>
      </c>
      <c r="E7" s="161">
        <f>'1. XL-1E kh'!P9</f>
        <v>30</v>
      </c>
      <c r="F7" s="161">
        <f>'1. XL-1E kh'!X9</f>
        <v>29.6</v>
      </c>
      <c r="G7" s="161">
        <f>'1. XL-1E kh'!H47</f>
        <v>31.6</v>
      </c>
      <c r="H7" s="161">
        <f>'1. XL-1E kh'!P47</f>
        <v>31.2</v>
      </c>
      <c r="I7" s="214">
        <f>'1. XL-1E kh'!X47</f>
        <v>30.8</v>
      </c>
    </row>
    <row r="8" spans="1:9" ht="21.75" hidden="1" customHeight="1">
      <c r="A8" s="2063"/>
      <c r="B8" s="2125"/>
      <c r="C8" s="164" t="s">
        <v>145</v>
      </c>
      <c r="D8" s="213">
        <f>'1. XL-1E kh'!H11</f>
        <v>0</v>
      </c>
      <c r="E8" s="161">
        <f>'1. XL-1E kh'!P11</f>
        <v>0</v>
      </c>
      <c r="F8" s="161">
        <f>'1. XL-1E kh'!X11</f>
        <v>0</v>
      </c>
      <c r="G8" s="161">
        <f>'1. XL-1E kh'!H49</f>
        <v>0</v>
      </c>
      <c r="H8" s="161">
        <f>'1. XL-1E kh'!P49</f>
        <v>0</v>
      </c>
      <c r="I8" s="214">
        <f>'1. XL-1E kh'!X49</f>
        <v>0</v>
      </c>
    </row>
    <row r="9" spans="1:9" ht="21.75" hidden="1" customHeight="1">
      <c r="A9" s="2062">
        <v>3</v>
      </c>
      <c r="B9" s="2129" t="s">
        <v>161</v>
      </c>
      <c r="C9" s="163" t="s">
        <v>108</v>
      </c>
      <c r="D9" s="213">
        <f>'1. XL-1E kh'!H12</f>
        <v>70.2</v>
      </c>
      <c r="E9" s="161">
        <f>'1. XL-1E kh'!P12</f>
        <v>69.2</v>
      </c>
      <c r="F9" s="161">
        <f>'1. XL-1E kh'!X12</f>
        <v>71.3</v>
      </c>
      <c r="G9" s="161">
        <f>'1. XL-1E kh'!H50</f>
        <v>71</v>
      </c>
      <c r="H9" s="161">
        <f>'1. XL-1E kh'!P50</f>
        <v>70.599999999999994</v>
      </c>
      <c r="I9" s="214">
        <f>'1. XL-1E kh'!X50</f>
        <v>70</v>
      </c>
    </row>
    <row r="10" spans="1:9" ht="21.75" hidden="1" customHeight="1">
      <c r="A10" s="2063"/>
      <c r="B10" s="2125"/>
      <c r="C10" s="164" t="s">
        <v>145</v>
      </c>
      <c r="D10" s="213">
        <f>'1. XL-1E kh'!H13</f>
        <v>0</v>
      </c>
      <c r="E10" s="161">
        <f>'1. XL-1E kh'!P13</f>
        <v>0</v>
      </c>
      <c r="F10" s="161">
        <f>'1. XL-1E kh'!X13</f>
        <v>0</v>
      </c>
      <c r="G10" s="161">
        <f>'1. XL-1E kh'!H51</f>
        <v>0</v>
      </c>
      <c r="H10" s="161">
        <f>'1. XL-1E kh'!P51</f>
        <v>0</v>
      </c>
      <c r="I10" s="214">
        <f>'1. XL-1E kh'!X51</f>
        <v>0</v>
      </c>
    </row>
    <row r="11" spans="1:9" ht="21.75" hidden="1" customHeight="1">
      <c r="A11" s="2062">
        <v>4</v>
      </c>
      <c r="B11" s="2129" t="s">
        <v>162</v>
      </c>
      <c r="C11" s="163" t="s">
        <v>108</v>
      </c>
      <c r="D11" s="213">
        <f>'1. XL-1E kh'!H14</f>
        <v>72.8</v>
      </c>
      <c r="E11" s="161">
        <f>'1. XL-1E kh'!P14</f>
        <v>71.2</v>
      </c>
      <c r="F11" s="161">
        <f>'1. XL-1E kh'!X14</f>
        <v>71</v>
      </c>
      <c r="G11" s="161">
        <f>'1. XL-1E kh'!H52</f>
        <v>70.400000000000006</v>
      </c>
      <c r="H11" s="161">
        <f>'1. XL-1E kh'!P52</f>
        <v>70</v>
      </c>
      <c r="I11" s="214">
        <f>'1. XL-1E kh'!X52</f>
        <v>69.5</v>
      </c>
    </row>
    <row r="12" spans="1:9" ht="21.75" hidden="1" customHeight="1">
      <c r="A12" s="2063"/>
      <c r="B12" s="2125"/>
      <c r="C12" s="164" t="s">
        <v>145</v>
      </c>
      <c r="D12" s="213">
        <f>'1. XL-1E kh'!H15</f>
        <v>0</v>
      </c>
      <c r="E12" s="161">
        <f>'1. XL-1E kh'!P15</f>
        <v>0</v>
      </c>
      <c r="F12" s="161">
        <f>'1. XL-1E kh'!X15</f>
        <v>0</v>
      </c>
      <c r="G12" s="161">
        <f>'1. XL-1E kh'!H53</f>
        <v>0</v>
      </c>
      <c r="H12" s="161">
        <f>'1. XL-1E kh'!P53</f>
        <v>0</v>
      </c>
      <c r="I12" s="214">
        <f>'1. XL-1E kh'!X53</f>
        <v>0</v>
      </c>
    </row>
    <row r="13" spans="1:9" ht="21.75" hidden="1" customHeight="1">
      <c r="A13" s="2062">
        <v>5</v>
      </c>
      <c r="B13" s="1970" t="s">
        <v>103</v>
      </c>
      <c r="C13" s="136" t="s">
        <v>102</v>
      </c>
      <c r="D13" s="213">
        <f>'1. XL-1E kh'!H16</f>
        <v>140</v>
      </c>
      <c r="E13" s="161">
        <f>'1. XL-1E kh'!P16</f>
        <v>139.19999999999999</v>
      </c>
      <c r="F13" s="161">
        <f>'1. XL-1E kh'!X16</f>
        <v>140.80000000000001</v>
      </c>
      <c r="G13" s="161">
        <f>'1. XL-1E kh'!H54</f>
        <v>140.80000000000001</v>
      </c>
      <c r="H13" s="161">
        <f>'1. XL-1E kh'!P54</f>
        <v>140.4</v>
      </c>
      <c r="I13" s="214">
        <f>'1. XL-1E kh'!X54</f>
        <v>139.19999999999999</v>
      </c>
    </row>
    <row r="14" spans="1:9" ht="21.75" hidden="1" customHeight="1">
      <c r="A14" s="2063"/>
      <c r="B14" s="1971"/>
      <c r="C14" s="136" t="s">
        <v>60</v>
      </c>
      <c r="D14" s="213">
        <f>'1. XL-1E kh'!H17</f>
        <v>10.01</v>
      </c>
      <c r="E14" s="161">
        <f>'1. XL-1E kh'!P17</f>
        <v>10.01</v>
      </c>
      <c r="F14" s="161">
        <f>'1. XL-1E kh'!X17</f>
        <v>9.75</v>
      </c>
      <c r="G14" s="161">
        <f>'1. XL-1E kh'!H55</f>
        <v>9.879999999999999</v>
      </c>
      <c r="H14" s="161">
        <f>'1. XL-1E kh'!P55</f>
        <v>10</v>
      </c>
      <c r="I14" s="214">
        <f>'1. XL-1E kh'!X55</f>
        <v>10.1</v>
      </c>
    </row>
    <row r="15" spans="1:9" ht="21.75" hidden="1" customHeight="1">
      <c r="A15" s="2062">
        <v>6</v>
      </c>
      <c r="B15" s="2126" t="s">
        <v>104</v>
      </c>
      <c r="C15" s="1948"/>
      <c r="D15" s="213">
        <f>'1. XL-1E kh'!H18</f>
        <v>13.669064748201439</v>
      </c>
      <c r="E15" s="161">
        <f>'1. XL-1E kh'!P18</f>
        <v>14.388489208633093</v>
      </c>
      <c r="F15" s="161">
        <f>'1. XL-1E kh'!X18</f>
        <v>14</v>
      </c>
      <c r="G15" s="161">
        <f>'1. XL-1E kh'!H56</f>
        <v>13.8</v>
      </c>
      <c r="H15" s="161">
        <f>'1. XL-1E kh'!P56</f>
        <v>13.5</v>
      </c>
      <c r="I15" s="214">
        <f>'1. XL-1E kh'!X56</f>
        <v>13.381294964028777</v>
      </c>
    </row>
    <row r="16" spans="1:9" ht="21.75" hidden="1" customHeight="1">
      <c r="A16" s="2063"/>
      <c r="B16" s="2127"/>
      <c r="C16" s="1920"/>
      <c r="D16" s="213">
        <f>'1. XL-1E kh'!H19</f>
        <v>1.76</v>
      </c>
      <c r="E16" s="161">
        <f>'1. XL-1E kh'!P19</f>
        <v>1.75</v>
      </c>
      <c r="F16" s="161">
        <f>'1. XL-1E kh'!X19</f>
        <v>1.89</v>
      </c>
      <c r="G16" s="161">
        <f>'1. XL-1E kh'!H57</f>
        <v>1.78</v>
      </c>
      <c r="H16" s="161">
        <f>'1. XL-1E kh'!P57</f>
        <v>1.87</v>
      </c>
      <c r="I16" s="214">
        <f>'1. XL-1E kh'!X57</f>
        <v>1.8</v>
      </c>
    </row>
    <row r="17" spans="1:9" ht="21.75" hidden="1" customHeight="1">
      <c r="A17" s="129">
        <v>7</v>
      </c>
      <c r="B17" s="1887" t="s">
        <v>61</v>
      </c>
      <c r="C17" s="2128"/>
      <c r="D17" s="213">
        <f>'1. XL-1E kh'!H20</f>
        <v>0.46</v>
      </c>
      <c r="E17" s="161">
        <f>'1. XL-1E kh'!P20</f>
        <v>0.45624999999999999</v>
      </c>
      <c r="F17" s="161">
        <f>'1. XL-1E kh'!X20</f>
        <v>0.45200000000000001</v>
      </c>
      <c r="G17" s="161">
        <f>'1. XL-1E kh'!H58</f>
        <v>0.45624999999999999</v>
      </c>
      <c r="H17" s="161">
        <f>'1. XL-1E kh'!P58</f>
        <v>0.45100000000000001</v>
      </c>
      <c r="I17" s="214">
        <f>'1. XL-1E kh'!X58</f>
        <v>0.44484374999999998</v>
      </c>
    </row>
    <row r="18" spans="1:9" ht="21.75" hidden="1" customHeight="1">
      <c r="A18" s="129">
        <v>8</v>
      </c>
      <c r="B18" s="1887" t="s">
        <v>62</v>
      </c>
      <c r="C18" s="2128"/>
      <c r="D18" s="213">
        <f>'1. XL-1E kh'!H21</f>
        <v>0.252</v>
      </c>
      <c r="E18" s="161">
        <f>'1. XL-1E kh'!P21</f>
        <v>0.24199999999999999</v>
      </c>
      <c r="F18" s="161">
        <f>'1. XL-1E kh'!X21</f>
        <v>0.23300000000000001</v>
      </c>
      <c r="G18" s="161">
        <f>'1. XL-1E kh'!H59</f>
        <v>0.23</v>
      </c>
      <c r="H18" s="161">
        <f>'1. XL-1E kh'!P59</f>
        <v>0.22800000000000001</v>
      </c>
      <c r="I18" s="214">
        <f>'1. XL-1E kh'!X59</f>
        <v>0.22500000000000001</v>
      </c>
    </row>
    <row r="19" spans="1:9" ht="21.75" hidden="1" customHeight="1">
      <c r="A19" s="129">
        <v>9</v>
      </c>
      <c r="B19" s="1887" t="s">
        <v>63</v>
      </c>
      <c r="C19" s="2128"/>
      <c r="D19" s="213">
        <f>'1. XL-1E kh'!H22</f>
        <v>0.1140625</v>
      </c>
      <c r="E19" s="161">
        <f>'1. XL-1E kh'!P22</f>
        <v>0.10493749999999999</v>
      </c>
      <c r="F19" s="161">
        <f>'1. XL-1E kh'!X22</f>
        <v>9.3531249999999982E-2</v>
      </c>
      <c r="G19" s="161">
        <f>'1. XL-1E kh'!H60</f>
        <v>0.10265625</v>
      </c>
      <c r="H19" s="161">
        <f>'1. XL-1E kh'!P60</f>
        <v>9.6000000000000002E-2</v>
      </c>
      <c r="I19" s="214">
        <f>'1. XL-1E kh'!X60</f>
        <v>9.5812500000000009E-2</v>
      </c>
    </row>
    <row r="20" spans="1:9" ht="21.75" hidden="1" customHeight="1">
      <c r="A20" s="129">
        <v>10</v>
      </c>
      <c r="B20" s="1887" t="s">
        <v>105</v>
      </c>
      <c r="C20" s="2128"/>
      <c r="D20" s="213">
        <f>'1. XL-1E kh'!H23</f>
        <v>1.1341800000000003E-2</v>
      </c>
      <c r="E20" s="161">
        <f>'1. XL-1E kh'!P23</f>
        <v>1.0081600000000001E-2</v>
      </c>
      <c r="F20" s="161">
        <f>'1. XL-1E kh'!X23</f>
        <v>1.1341800000000003E-2</v>
      </c>
      <c r="G20" s="161">
        <f>'1. XL-1E kh'!H61</f>
        <v>1.2602E-2</v>
      </c>
      <c r="H20" s="161">
        <f>'1. XL-1E kh'!P61</f>
        <v>1.0999999999999999E-2</v>
      </c>
      <c r="I20" s="214">
        <f>'1. XL-1E kh'!X61</f>
        <v>1.234996E-2</v>
      </c>
    </row>
    <row r="21" spans="1:9" ht="21.75" hidden="1" customHeight="1">
      <c r="A21" s="2130" t="s">
        <v>76</v>
      </c>
      <c r="B21" s="2130"/>
      <c r="C21" s="2131"/>
      <c r="D21" s="215" t="s">
        <v>175</v>
      </c>
      <c r="E21" s="170"/>
      <c r="F21" s="170"/>
      <c r="G21" s="170"/>
      <c r="H21" s="170"/>
      <c r="I21" s="216"/>
    </row>
    <row r="22" spans="1:9" ht="21.75" hidden="1" customHeight="1">
      <c r="A22" s="166" t="s">
        <v>7</v>
      </c>
      <c r="B22" s="2131" t="s">
        <v>64</v>
      </c>
      <c r="C22" s="2132"/>
      <c r="D22" s="217">
        <v>0.25</v>
      </c>
      <c r="E22" s="173">
        <v>0.41666666666666669</v>
      </c>
      <c r="F22" s="173">
        <v>0.58333333333333337</v>
      </c>
      <c r="G22" s="173">
        <v>0.75</v>
      </c>
      <c r="H22" s="173">
        <v>0.91666666666666663</v>
      </c>
      <c r="I22" s="218">
        <v>8.3333333333333329E-2</v>
      </c>
    </row>
    <row r="23" spans="1:9" ht="21.75" hidden="1" customHeight="1">
      <c r="A23" s="129">
        <v>1</v>
      </c>
      <c r="B23" s="1899" t="s">
        <v>68</v>
      </c>
      <c r="C23" s="1900"/>
      <c r="D23" s="213">
        <f>'1. XL-1E kh'!H26</f>
        <v>69</v>
      </c>
      <c r="E23" s="161">
        <f>'1. XL-1E kh'!P26</f>
        <v>68</v>
      </c>
      <c r="F23" s="161">
        <f>'1. XL-1E kh'!X26</f>
        <v>67</v>
      </c>
      <c r="G23" s="161">
        <f>'1. XL-1E kh'!H64</f>
        <v>67</v>
      </c>
      <c r="H23" s="161">
        <f>'1. XL-1E kh'!P64</f>
        <v>68</v>
      </c>
      <c r="I23" s="214">
        <f>'1. XL-1E kh'!X64</f>
        <v>68</v>
      </c>
    </row>
    <row r="24" spans="1:9" ht="21.75" hidden="1" customHeight="1">
      <c r="A24" s="129">
        <v>2</v>
      </c>
      <c r="B24" s="1899" t="s">
        <v>69</v>
      </c>
      <c r="C24" s="1900" t="s">
        <v>69</v>
      </c>
      <c r="D24" s="213">
        <f>'1. XL-1E kh'!H27</f>
        <v>71</v>
      </c>
      <c r="E24" s="161">
        <f>'1. XL-1E kh'!P27</f>
        <v>71</v>
      </c>
      <c r="F24" s="161">
        <f>'1. XL-1E kh'!X27</f>
        <v>71</v>
      </c>
      <c r="G24" s="161">
        <f>'1. XL-1E kh'!H65</f>
        <v>70</v>
      </c>
      <c r="H24" s="161">
        <f>'1. XL-1E kh'!P65</f>
        <v>70</v>
      </c>
      <c r="I24" s="214">
        <f>'1. XL-1E kh'!X65</f>
        <v>71</v>
      </c>
    </row>
    <row r="25" spans="1:9" ht="21.75" hidden="1" customHeight="1">
      <c r="A25" s="129">
        <v>3</v>
      </c>
      <c r="B25" s="1899" t="s">
        <v>71</v>
      </c>
      <c r="C25" s="1900" t="s">
        <v>71</v>
      </c>
      <c r="D25" s="213">
        <f>'1. XL-1E kh'!H28</f>
        <v>58</v>
      </c>
      <c r="E25" s="161">
        <f>'1. XL-1E kh'!P28</f>
        <v>58</v>
      </c>
      <c r="F25" s="161">
        <f>'1. XL-1E kh'!X28</f>
        <v>58</v>
      </c>
      <c r="G25" s="161">
        <f>'1. XL-1E kh'!H66</f>
        <v>59</v>
      </c>
      <c r="H25" s="161">
        <f>'1. XL-1E kh'!P66</f>
        <v>60</v>
      </c>
      <c r="I25" s="214">
        <f>'1. XL-1E kh'!X66</f>
        <v>59</v>
      </c>
    </row>
    <row r="26" spans="1:9" ht="21.75" hidden="1" customHeight="1">
      <c r="A26" s="129">
        <v>4</v>
      </c>
      <c r="B26" s="1899" t="s">
        <v>70</v>
      </c>
      <c r="C26" s="1900" t="s">
        <v>70</v>
      </c>
      <c r="D26" s="213">
        <f>'1. XL-1E kh'!H29</f>
        <v>55</v>
      </c>
      <c r="E26" s="161">
        <f>'1. XL-1E kh'!P29</f>
        <v>56</v>
      </c>
      <c r="F26" s="161">
        <f>'1. XL-1E kh'!X29</f>
        <v>56</v>
      </c>
      <c r="G26" s="161">
        <f>'1. XL-1E kh'!H67</f>
        <v>55</v>
      </c>
      <c r="H26" s="161">
        <f>'1. XL-1E kh'!P67</f>
        <v>56</v>
      </c>
      <c r="I26" s="214">
        <f>'1. XL-1E kh'!X67</f>
        <v>56</v>
      </c>
    </row>
    <row r="27" spans="1:9" ht="21.75" hidden="1" customHeight="1">
      <c r="A27" s="129">
        <v>5</v>
      </c>
      <c r="B27" s="1899" t="s">
        <v>72</v>
      </c>
      <c r="C27" s="1900" t="s">
        <v>72</v>
      </c>
      <c r="D27" s="213">
        <f>'1. XL-1E kh'!H30</f>
        <v>25</v>
      </c>
      <c r="E27" s="161">
        <f>'1. XL-1E kh'!P30</f>
        <v>26</v>
      </c>
      <c r="F27" s="161">
        <f>'1. XL-1E kh'!X30</f>
        <v>25</v>
      </c>
      <c r="G27" s="161">
        <f>'1. XL-1E kh'!H68</f>
        <v>29</v>
      </c>
      <c r="H27" s="161">
        <f>'1. XL-1E kh'!P68</f>
        <v>27</v>
      </c>
      <c r="I27" s="214">
        <f>'1. XL-1E kh'!X68</f>
        <v>30</v>
      </c>
    </row>
    <row r="28" spans="1:9" ht="21.75" hidden="1" customHeight="1">
      <c r="A28" s="129">
        <v>6</v>
      </c>
      <c r="B28" s="1899" t="s">
        <v>91</v>
      </c>
      <c r="C28" s="1900" t="s">
        <v>91</v>
      </c>
      <c r="D28" s="213">
        <f>'1. XL-1E kh'!H31</f>
        <v>42</v>
      </c>
      <c r="E28" s="161">
        <f>'1. XL-1E kh'!P31</f>
        <v>42</v>
      </c>
      <c r="F28" s="161">
        <f>'1. XL-1E kh'!X31</f>
        <v>42</v>
      </c>
      <c r="G28" s="161">
        <f>'1. XL-1E kh'!H69</f>
        <v>41</v>
      </c>
      <c r="H28" s="161">
        <f>'1. XL-1E kh'!P69</f>
        <v>42</v>
      </c>
      <c r="I28" s="214">
        <f>'1. XL-1E kh'!X69</f>
        <v>40</v>
      </c>
    </row>
    <row r="29" spans="1:9" ht="21.75" hidden="1" customHeight="1">
      <c r="A29" s="129">
        <v>7</v>
      </c>
      <c r="B29" s="1899" t="s">
        <v>73</v>
      </c>
      <c r="C29" s="1900" t="s">
        <v>73</v>
      </c>
      <c r="D29" s="213">
        <f>'1. XL-1E kh'!H32</f>
        <v>57</v>
      </c>
      <c r="E29" s="161">
        <f>'1. XL-1E kh'!P32</f>
        <v>58</v>
      </c>
      <c r="F29" s="161">
        <f>'1. XL-1E kh'!X32</f>
        <v>58</v>
      </c>
      <c r="G29" s="161">
        <f>'1. XL-1E kh'!H70</f>
        <v>58</v>
      </c>
      <c r="H29" s="161">
        <f>'1. XL-1E kh'!P70</f>
        <v>59</v>
      </c>
      <c r="I29" s="214">
        <f>'1. XL-1E kh'!X70</f>
        <v>59</v>
      </c>
    </row>
    <row r="30" spans="1:9" ht="21.75" hidden="1" customHeight="1">
      <c r="A30" s="129">
        <v>8</v>
      </c>
      <c r="B30" s="1899" t="s">
        <v>74</v>
      </c>
      <c r="C30" s="1900" t="s">
        <v>74</v>
      </c>
      <c r="D30" s="213">
        <f>'1. XL-1E kh'!J33</f>
        <v>73</v>
      </c>
      <c r="E30" s="161">
        <f>'1. XL-1E kh'!R33</f>
        <v>74</v>
      </c>
      <c r="F30" s="161">
        <f>'1. XL-1E kh'!Z33</f>
        <v>70</v>
      </c>
      <c r="G30" s="161">
        <f>'1. XL-1E kh'!J71</f>
        <v>74</v>
      </c>
      <c r="H30" s="161">
        <f>'1. XL-1E kh'!R71</f>
        <v>73</v>
      </c>
      <c r="I30" s="214">
        <f>'1. XL-1E kh'!Z71</f>
        <v>73</v>
      </c>
    </row>
    <row r="31" spans="1:9" ht="21.75" hidden="1" customHeight="1">
      <c r="A31" s="2130" t="s">
        <v>78</v>
      </c>
      <c r="B31" s="2130"/>
      <c r="C31" s="2131"/>
      <c r="D31" s="215" t="s">
        <v>176</v>
      </c>
      <c r="E31" s="170"/>
      <c r="F31" s="170"/>
      <c r="G31" s="170"/>
      <c r="H31" s="170"/>
      <c r="I31" s="216"/>
    </row>
    <row r="32" spans="1:9" ht="21.75" hidden="1" customHeight="1">
      <c r="A32" s="166" t="s">
        <v>7</v>
      </c>
      <c r="B32" s="2131" t="s">
        <v>100</v>
      </c>
      <c r="C32" s="2132"/>
      <c r="D32" s="219">
        <v>0.25</v>
      </c>
      <c r="E32" s="165">
        <v>0.41666666666666669</v>
      </c>
      <c r="F32" s="165">
        <v>0.58333333333333337</v>
      </c>
      <c r="G32" s="165">
        <v>0.75</v>
      </c>
      <c r="H32" s="165">
        <v>0.91666666666666663</v>
      </c>
      <c r="I32" s="220">
        <v>8.3333333333333329E-2</v>
      </c>
    </row>
    <row r="33" spans="1:9" ht="21.75" hidden="1" customHeight="1">
      <c r="A33" s="129">
        <v>1</v>
      </c>
      <c r="B33" s="1887" t="s">
        <v>106</v>
      </c>
      <c r="C33" s="1933"/>
      <c r="D33" s="213">
        <f>'1. XL-1E kh'!H36</f>
        <v>350</v>
      </c>
      <c r="E33" s="161">
        <f>'1. XL-1E kh'!P36</f>
        <v>345</v>
      </c>
      <c r="F33" s="161">
        <f>'1. XL-1E kh'!X36</f>
        <v>330</v>
      </c>
      <c r="G33" s="161">
        <f>'1. XL-1E kh'!H74</f>
        <v>335</v>
      </c>
      <c r="H33" s="161">
        <f>'1. XL-1E kh'!P74</f>
        <v>330</v>
      </c>
      <c r="I33" s="214">
        <f>'1. XL-1E kh'!X74</f>
        <v>340</v>
      </c>
    </row>
    <row r="34" spans="1:9" ht="21.75" hidden="1" customHeight="1">
      <c r="A34" s="129">
        <v>2</v>
      </c>
      <c r="B34" s="1887" t="s">
        <v>107</v>
      </c>
      <c r="C34" s="1933"/>
      <c r="D34" s="213">
        <f>'1. XL-1E kh'!H37</f>
        <v>44</v>
      </c>
      <c r="E34" s="161">
        <f>'1. XL-1E kh'!P37</f>
        <v>42</v>
      </c>
      <c r="F34" s="161">
        <f>'1. XL-1E kh'!X37</f>
        <v>42</v>
      </c>
      <c r="G34" s="161">
        <f>'1. XL-1E kh'!H75</f>
        <v>40</v>
      </c>
      <c r="H34" s="161">
        <f>'1. XL-1E kh'!P75</f>
        <v>42</v>
      </c>
      <c r="I34" s="214">
        <f>'1. XL-1E kh'!X75</f>
        <v>42</v>
      </c>
    </row>
    <row r="35" spans="1:9" ht="21.75" hidden="1" customHeight="1">
      <c r="A35" s="167"/>
      <c r="B35" s="167"/>
      <c r="C35" s="167"/>
      <c r="D35" s="215" t="s">
        <v>174</v>
      </c>
      <c r="E35" s="170"/>
      <c r="F35" s="170"/>
      <c r="G35" s="170"/>
      <c r="H35" s="170"/>
      <c r="I35" s="216"/>
    </row>
    <row r="36" spans="1:9" ht="21.75" hidden="1" customHeight="1">
      <c r="A36" s="167"/>
      <c r="B36" s="167"/>
      <c r="C36" s="167"/>
      <c r="D36" s="219">
        <v>0.25</v>
      </c>
      <c r="E36" s="165">
        <v>0.41666666666666669</v>
      </c>
      <c r="F36" s="165">
        <v>0.58333333333333337</v>
      </c>
      <c r="G36" s="165">
        <v>0.75</v>
      </c>
      <c r="H36" s="165">
        <v>0.91666666666666663</v>
      </c>
      <c r="I36" s="220">
        <v>8.3333333333333329E-2</v>
      </c>
    </row>
    <row r="37" spans="1:9" ht="21.75" hidden="1" customHeight="1">
      <c r="A37" s="2062">
        <v>1</v>
      </c>
      <c r="B37" s="2129" t="s">
        <v>148</v>
      </c>
      <c r="C37" s="163" t="s">
        <v>108</v>
      </c>
      <c r="D37" s="221">
        <f>'1. XL-1E kh'!J6</f>
        <v>0</v>
      </c>
      <c r="E37" s="168">
        <f>'1. XL-1E kh'!R6</f>
        <v>1.0771999999999962</v>
      </c>
      <c r="F37" s="168">
        <f>'1. XL-1E kh'!Z6</f>
        <v>0</v>
      </c>
      <c r="G37" s="168">
        <f>'1. XL-1E kh'!J44</f>
        <v>0</v>
      </c>
      <c r="H37" s="168">
        <f>'1. XL-1E kh'!R44</f>
        <v>1.3465</v>
      </c>
      <c r="I37" s="222">
        <f>'1. XL-1E kh'!Z44</f>
        <v>2.1544000000000021</v>
      </c>
    </row>
    <row r="38" spans="1:9" ht="21.75" hidden="1" customHeight="1">
      <c r="A38" s="2063"/>
      <c r="B38" s="2125"/>
      <c r="C38" s="164" t="s">
        <v>145</v>
      </c>
      <c r="D38" s="221">
        <f>'1. XL-1E kh'!J8</f>
        <v>0</v>
      </c>
      <c r="E38" s="168">
        <f>'1. XL-1E kh'!R8</f>
        <v>0.36193919999999874</v>
      </c>
      <c r="F38" s="168">
        <f>'1. XL-1E kh'!Z8</f>
        <v>0</v>
      </c>
      <c r="G38" s="168">
        <f>'1. XL-1E kh'!J46</f>
        <v>0</v>
      </c>
      <c r="H38" s="168">
        <f>'1. XL-1E kh'!R46</f>
        <v>0.45242399999999994</v>
      </c>
      <c r="I38" s="222">
        <f>'1. XL-1E kh'!Z46</f>
        <v>0.7238784000000007</v>
      </c>
    </row>
    <row r="39" spans="1:9" ht="21.75" hidden="1" customHeight="1">
      <c r="A39" s="2062">
        <v>2</v>
      </c>
      <c r="B39" s="2129" t="s">
        <v>163</v>
      </c>
      <c r="C39" s="163" t="s">
        <v>108</v>
      </c>
      <c r="D39" s="221">
        <f>'1. XL-1E kh'!J9</f>
        <v>0</v>
      </c>
      <c r="E39" s="168">
        <f>'1. XL-1E kh'!R9</f>
        <v>0</v>
      </c>
      <c r="F39" s="168">
        <f>'1. XL-1E kh'!Z9</f>
        <v>1.3219999999999952</v>
      </c>
      <c r="G39" s="168">
        <f>'1. XL-1E kh'!J47</f>
        <v>0</v>
      </c>
      <c r="H39" s="168">
        <f>'1. XL-1E kh'!R47</f>
        <v>0</v>
      </c>
      <c r="I39" s="222">
        <f>'1. XL-1E kh'!Z47</f>
        <v>0</v>
      </c>
    </row>
    <row r="40" spans="1:9" ht="21.75" hidden="1" customHeight="1">
      <c r="A40" s="2063"/>
      <c r="B40" s="2125"/>
      <c r="C40" s="164" t="s">
        <v>145</v>
      </c>
      <c r="D40" s="221">
        <f>'1. XL-1E kh'!J11</f>
        <v>0</v>
      </c>
      <c r="E40" s="168">
        <f>'1. XL-1E kh'!R11</f>
        <v>0</v>
      </c>
      <c r="F40" s="168">
        <f>'1. XL-1E kh'!Z11</f>
        <v>0.44419199999999837</v>
      </c>
      <c r="G40" s="168">
        <f>'1. XL-1E kh'!J49</f>
        <v>0</v>
      </c>
      <c r="H40" s="168">
        <f>'1. XL-1E kh'!R49</f>
        <v>0</v>
      </c>
      <c r="I40" s="222">
        <f>'1. XL-1E kh'!Z49</f>
        <v>0</v>
      </c>
    </row>
    <row r="41" spans="1:9" ht="21.75" hidden="1" customHeight="1">
      <c r="A41" s="2062">
        <v>3</v>
      </c>
      <c r="B41" s="2129" t="s">
        <v>161</v>
      </c>
      <c r="C41" s="163" t="s">
        <v>108</v>
      </c>
      <c r="D41" s="221">
        <f>'1. XL-1E kh'!J12</f>
        <v>0</v>
      </c>
      <c r="E41" s="168">
        <f>'1. XL-1E kh'!R12</f>
        <v>0.92479999999999674</v>
      </c>
      <c r="F41" s="168">
        <f>'1. XL-1E kh'!Z12</f>
        <v>0</v>
      </c>
      <c r="G41" s="168">
        <f>'1. XL-1E kh'!J50</f>
        <v>0</v>
      </c>
      <c r="H41" s="168">
        <f>'1. XL-1E kh'!R50</f>
        <v>0</v>
      </c>
      <c r="I41" s="222">
        <f>'1. XL-1E kh'!Z50</f>
        <v>0</v>
      </c>
    </row>
    <row r="42" spans="1:9" ht="21.75" hidden="1" customHeight="1">
      <c r="A42" s="2063"/>
      <c r="B42" s="2125"/>
      <c r="C42" s="164" t="s">
        <v>145</v>
      </c>
      <c r="D42" s="221">
        <f>'1. XL-1E kh'!J13</f>
        <v>0</v>
      </c>
      <c r="E42" s="168">
        <f>'1. XL-1E kh'!R13</f>
        <v>0.27743999999999902</v>
      </c>
      <c r="F42" s="168">
        <f>'1. XL-1E kh'!Z13</f>
        <v>0</v>
      </c>
      <c r="G42" s="168">
        <f>'1. XL-1E kh'!J51</f>
        <v>0</v>
      </c>
      <c r="H42" s="168">
        <f>'1. XL-1E kh'!R51</f>
        <v>0</v>
      </c>
      <c r="I42" s="222">
        <f>'1. XL-1E kh'!Z51</f>
        <v>0</v>
      </c>
    </row>
    <row r="43" spans="1:9" ht="21.75" hidden="1" customHeight="1">
      <c r="A43" s="2062">
        <v>4</v>
      </c>
      <c r="B43" s="2129" t="s">
        <v>162</v>
      </c>
      <c r="C43" s="163" t="s">
        <v>108</v>
      </c>
      <c r="D43" s="221">
        <f>'1. XL-1E kh'!J14</f>
        <v>0</v>
      </c>
      <c r="E43" s="168">
        <f>'1. XL-1E kh'!R14</f>
        <v>0</v>
      </c>
      <c r="F43" s="168">
        <f>'1. XL-1E kh'!Z14</f>
        <v>0</v>
      </c>
      <c r="G43" s="168">
        <f>'1. XL-1E kh'!J52</f>
        <v>0</v>
      </c>
      <c r="H43" s="168">
        <f>'1. XL-1E kh'!R52</f>
        <v>0</v>
      </c>
      <c r="I43" s="222">
        <f>'1. XL-1E kh'!Z52</f>
        <v>0.72950000000000004</v>
      </c>
    </row>
    <row r="44" spans="1:9" ht="21.75" hidden="1" customHeight="1">
      <c r="A44" s="2063"/>
      <c r="B44" s="2125"/>
      <c r="C44" s="164" t="s">
        <v>145</v>
      </c>
      <c r="D44" s="221">
        <f>'1. XL-1E kh'!J15</f>
        <v>0</v>
      </c>
      <c r="E44" s="168">
        <f>'1. XL-1E kh'!R15</f>
        <v>0</v>
      </c>
      <c r="F44" s="168">
        <f>'1. XL-1E kh'!Z15</f>
        <v>0</v>
      </c>
      <c r="G44" s="168">
        <f>'1. XL-1E kh'!J53</f>
        <v>0</v>
      </c>
      <c r="H44" s="168">
        <f>'1. XL-1E kh'!R53</f>
        <v>0</v>
      </c>
      <c r="I44" s="222">
        <f>'1. XL-1E kh'!Z53</f>
        <v>0.21885000000000002</v>
      </c>
    </row>
    <row r="45" spans="1:9" ht="21.75" hidden="1" customHeight="1">
      <c r="A45" s="2062">
        <v>5</v>
      </c>
      <c r="B45" s="1970" t="s">
        <v>103</v>
      </c>
      <c r="C45" s="136" t="s">
        <v>102</v>
      </c>
      <c r="D45" s="221">
        <f>'1. XL-1E kh'!J16</f>
        <v>0</v>
      </c>
      <c r="E45" s="168">
        <f>'1. XL-1E kh'!R16</f>
        <v>15.960800000000226</v>
      </c>
      <c r="F45" s="168">
        <f>'1. XL-1E kh'!Z16</f>
        <v>0</v>
      </c>
      <c r="G45" s="168">
        <f>'1. XL-1E kh'!J54</f>
        <v>0</v>
      </c>
      <c r="H45" s="168">
        <f>'1. XL-1E kh'!R54</f>
        <v>0</v>
      </c>
      <c r="I45" s="222">
        <f>'1. XL-1E kh'!Z54</f>
        <v>15.960800000000226</v>
      </c>
    </row>
    <row r="46" spans="1:9" ht="21.75" hidden="1" customHeight="1">
      <c r="A46" s="2063"/>
      <c r="B46" s="1971"/>
      <c r="C46" s="136" t="s">
        <v>60</v>
      </c>
      <c r="D46" s="221">
        <f>'1. XL-1E kh'!J17</f>
        <v>0</v>
      </c>
      <c r="E46" s="168">
        <f>'1. XL-1E kh'!R17</f>
        <v>0</v>
      </c>
      <c r="F46" s="168">
        <f>'1. XL-1E kh'!Z17</f>
        <v>0</v>
      </c>
      <c r="G46" s="168">
        <f>'1. XL-1E kh'!J55</f>
        <v>0</v>
      </c>
      <c r="H46" s="168">
        <f>'1. XL-1E kh'!R55</f>
        <v>0</v>
      </c>
      <c r="I46" s="222">
        <f>'1. XL-1E kh'!Z55</f>
        <v>0</v>
      </c>
    </row>
    <row r="47" spans="1:9" ht="21.75" hidden="1" customHeight="1">
      <c r="A47" s="2062">
        <v>6</v>
      </c>
      <c r="B47" s="2126" t="s">
        <v>104</v>
      </c>
      <c r="C47" s="1948"/>
      <c r="D47" s="221">
        <f>'1. XL-1E kh'!J18</f>
        <v>1.902877697841725</v>
      </c>
      <c r="E47" s="168">
        <f>'1. XL-1E kh'!R18</f>
        <v>0</v>
      </c>
      <c r="F47" s="168">
        <f>'1. XL-1E kh'!Z18</f>
        <v>0</v>
      </c>
      <c r="G47" s="168">
        <f>'1. XL-1E kh'!J56</f>
        <v>1.1499999999999959</v>
      </c>
      <c r="H47" s="168">
        <f>'1. XL-1E kh'!R56</f>
        <v>2.875</v>
      </c>
      <c r="I47" s="222">
        <f>'1. XL-1E kh'!Z56</f>
        <v>3.5575539568345307</v>
      </c>
    </row>
    <row r="48" spans="1:9" ht="21.75" hidden="1" customHeight="1">
      <c r="A48" s="2063"/>
      <c r="B48" s="2127"/>
      <c r="C48" s="1920"/>
      <c r="D48" s="221">
        <f>'1. XL-1E kh'!J19</f>
        <v>0</v>
      </c>
      <c r="E48" s="168">
        <f>'1. XL-1E kh'!R19</f>
        <v>0</v>
      </c>
      <c r="F48" s="168">
        <f>'1. XL-1E kh'!Z19</f>
        <v>0</v>
      </c>
      <c r="G48" s="168">
        <f>'1. XL-1E kh'!J57</f>
        <v>0</v>
      </c>
      <c r="H48" s="168">
        <f>'1. XL-1E kh'!R57</f>
        <v>0</v>
      </c>
      <c r="I48" s="222">
        <f>'1. XL-1E kh'!Z57</f>
        <v>0</v>
      </c>
    </row>
    <row r="49" spans="1:9" ht="21.75" hidden="1" customHeight="1">
      <c r="A49" s="129">
        <v>7</v>
      </c>
      <c r="B49" s="1887" t="s">
        <v>61</v>
      </c>
      <c r="C49" s="2128"/>
      <c r="D49" s="221">
        <f>'1. XL-1E kh'!J20</f>
        <v>0</v>
      </c>
      <c r="E49" s="168">
        <f>'1. XL-1E kh'!R20</f>
        <v>0</v>
      </c>
      <c r="F49" s="168">
        <f>'1. XL-1E kh'!Z20</f>
        <v>0</v>
      </c>
      <c r="G49" s="168">
        <f>'1. XL-1E kh'!J58</f>
        <v>0</v>
      </c>
      <c r="H49" s="168">
        <f>'1. XL-1E kh'!R58</f>
        <v>0</v>
      </c>
      <c r="I49" s="222">
        <f>'1. XL-1E kh'!Z58</f>
        <v>10.941562500000062</v>
      </c>
    </row>
    <row r="50" spans="1:9" ht="21.75" hidden="1" customHeight="1">
      <c r="A50" s="129">
        <v>8</v>
      </c>
      <c r="B50" s="1887" t="s">
        <v>62</v>
      </c>
      <c r="C50" s="2128"/>
      <c r="D50" s="221">
        <f>'1. XL-1E kh'!J21</f>
        <v>0</v>
      </c>
      <c r="E50" s="168">
        <f>'1. XL-1E kh'!R21</f>
        <v>0</v>
      </c>
      <c r="F50" s="168">
        <f>'1. XL-1E kh'!Z21</f>
        <v>0</v>
      </c>
      <c r="G50" s="168">
        <f>'1. XL-1E kh'!J59</f>
        <v>0</v>
      </c>
      <c r="H50" s="168">
        <f>'1. XL-1E kh'!R59</f>
        <v>0</v>
      </c>
      <c r="I50" s="222">
        <f>'1. XL-1E kh'!Z59</f>
        <v>0</v>
      </c>
    </row>
    <row r="51" spans="1:9" ht="21.75" hidden="1" customHeight="1">
      <c r="A51" s="129">
        <v>9</v>
      </c>
      <c r="B51" s="1887" t="s">
        <v>63</v>
      </c>
      <c r="C51" s="2128"/>
      <c r="D51" s="221">
        <f>'1. XL-1E kh'!J22</f>
        <v>0</v>
      </c>
      <c r="E51" s="168">
        <f>'1. XL-1E kh'!R22</f>
        <v>0</v>
      </c>
      <c r="F51" s="168">
        <f>'1. XL-1E kh'!Z22</f>
        <v>3.7195312500000135</v>
      </c>
      <c r="G51" s="168">
        <f>'1. XL-1E kh'!J60</f>
        <v>0</v>
      </c>
      <c r="H51" s="168">
        <f>'1. XL-1E kh'!R60</f>
        <v>2.300000000000002</v>
      </c>
      <c r="I51" s="222">
        <f>'1. XL-1E kh'!Z60</f>
        <v>2.4078124999999981</v>
      </c>
    </row>
    <row r="52" spans="1:9" ht="21.75" hidden="1" customHeight="1">
      <c r="A52" s="129">
        <v>10</v>
      </c>
      <c r="B52" s="1887" t="s">
        <v>105</v>
      </c>
      <c r="C52" s="2128"/>
      <c r="D52" s="223">
        <f>'1. XL-1E kh'!J23</f>
        <v>0</v>
      </c>
      <c r="E52" s="172">
        <f>'1. XL-1E kh'!R23</f>
        <v>0</v>
      </c>
      <c r="F52" s="172">
        <f>'1. XL-1E kh'!Z23</f>
        <v>0</v>
      </c>
      <c r="G52" s="172">
        <f>'1. XL-1E kh'!J61</f>
        <v>0</v>
      </c>
      <c r="H52" s="172">
        <f>'1. XL-1E kh'!R61</f>
        <v>0</v>
      </c>
      <c r="I52" s="224">
        <f>'1. XL-1E kh'!Z61</f>
        <v>0</v>
      </c>
    </row>
    <row r="53" spans="1:9" ht="21.75" hidden="1" customHeight="1">
      <c r="D53" s="213"/>
      <c r="E53" s="161"/>
      <c r="F53" s="161"/>
      <c r="G53" s="161"/>
      <c r="H53" s="161"/>
      <c r="I53" s="214"/>
    </row>
    <row r="54" spans="1:9" ht="21.75" hidden="1" customHeight="1">
      <c r="A54" s="201"/>
      <c r="B54" s="186" t="s">
        <v>235</v>
      </c>
      <c r="C54" s="197"/>
      <c r="D54" s="225"/>
      <c r="E54" s="198"/>
      <c r="F54" s="161"/>
      <c r="G54" s="161"/>
      <c r="H54" s="161"/>
      <c r="I54" s="214"/>
    </row>
    <row r="55" spans="1:9" ht="21.75" hidden="1" customHeight="1">
      <c r="A55" s="191" t="s">
        <v>7</v>
      </c>
      <c r="B55" s="179"/>
      <c r="C55" s="179"/>
      <c r="D55" s="215" t="s">
        <v>173</v>
      </c>
      <c r="E55" s="170"/>
      <c r="F55" s="170"/>
      <c r="G55" s="170"/>
      <c r="H55" s="170"/>
      <c r="I55" s="216"/>
    </row>
    <row r="56" spans="1:9" ht="21.75" hidden="1" customHeight="1">
      <c r="A56" s="192"/>
      <c r="B56" s="188"/>
      <c r="C56" s="188"/>
      <c r="D56" s="219">
        <v>0.25</v>
      </c>
      <c r="E56" s="165">
        <v>0.41666666666666669</v>
      </c>
      <c r="F56" s="165">
        <v>0.58333333333333337</v>
      </c>
      <c r="G56" s="165">
        <v>0.75</v>
      </c>
      <c r="H56" s="165">
        <v>0.91666666666666663</v>
      </c>
      <c r="I56" s="220">
        <v>8.3333333333333329E-2</v>
      </c>
    </row>
    <row r="57" spans="1:9" ht="21.75" hidden="1" customHeight="1">
      <c r="A57" s="202">
        <v>1</v>
      </c>
      <c r="B57" s="148" t="s">
        <v>148</v>
      </c>
      <c r="C57" s="203" t="s">
        <v>108</v>
      </c>
      <c r="D57" s="211">
        <f>'2. XL-1F kh'!H6</f>
        <v>72.039000000000001</v>
      </c>
      <c r="E57" s="162">
        <f>'2. XL-1F kh'!P6</f>
        <v>70.741</v>
      </c>
      <c r="F57" s="162">
        <f>'2. XL-1F kh'!X6</f>
        <v>70.2</v>
      </c>
      <c r="G57" s="162">
        <f>'2. XL-1F kh'!H42</f>
        <v>70</v>
      </c>
      <c r="H57" s="162">
        <f>'2. XL-1F kh'!P42</f>
        <v>69.5</v>
      </c>
      <c r="I57" s="212">
        <f>'2. XL-1F kh'!X42</f>
        <v>69</v>
      </c>
    </row>
    <row r="58" spans="1:9" ht="21.75" hidden="1" customHeight="1">
      <c r="A58" s="133"/>
      <c r="B58" s="152"/>
      <c r="C58" s="147" t="s">
        <v>109</v>
      </c>
      <c r="D58" s="213" t="e">
        <f>'2. XL-1F kh'!#REF!</f>
        <v>#REF!</v>
      </c>
      <c r="E58" s="161" t="e">
        <f>'2. XL-1F kh'!#REF!</f>
        <v>#REF!</v>
      </c>
      <c r="F58" s="161" t="e">
        <f>'2. XL-1F kh'!#REF!</f>
        <v>#REF!</v>
      </c>
      <c r="G58" s="161" t="e">
        <f>'2. XL-1F kh'!#REF!</f>
        <v>#REF!</v>
      </c>
      <c r="H58" s="161" t="e">
        <f>'2. XL-1F kh'!#REF!</f>
        <v>#REF!</v>
      </c>
      <c r="I58" s="214" t="e">
        <f>'2. XL-1F kh'!#REF!</f>
        <v>#REF!</v>
      </c>
    </row>
    <row r="59" spans="1:9" ht="21.75" hidden="1" customHeight="1">
      <c r="A59" s="134"/>
      <c r="B59" s="153"/>
      <c r="C59" s="138" t="s">
        <v>111</v>
      </c>
      <c r="D59" s="213" t="e">
        <f>'2. XL-1F kh'!#REF!</f>
        <v>#REF!</v>
      </c>
      <c r="E59" s="161" t="e">
        <f>'2. XL-1F kh'!#REF!</f>
        <v>#REF!</v>
      </c>
      <c r="F59" s="161" t="e">
        <f>'2. XL-1F kh'!#REF!</f>
        <v>#REF!</v>
      </c>
      <c r="G59" s="161" t="e">
        <f>'2. XL-1F kh'!#REF!</f>
        <v>#REF!</v>
      </c>
      <c r="H59" s="161" t="e">
        <f>'2. XL-1F kh'!#REF!</f>
        <v>#REF!</v>
      </c>
      <c r="I59" s="214" t="e">
        <f>'2. XL-1F kh'!#REF!</f>
        <v>#REF!</v>
      </c>
    </row>
    <row r="60" spans="1:9" ht="21.75" hidden="1" customHeight="1">
      <c r="A60" s="132">
        <v>2</v>
      </c>
      <c r="B60" s="145" t="s">
        <v>149</v>
      </c>
      <c r="C60" s="151" t="s">
        <v>108</v>
      </c>
      <c r="D60" s="213">
        <f>'2. XL-1F kh'!H8</f>
        <v>70.3</v>
      </c>
      <c r="E60" s="161">
        <f>'2. XL-1F kh'!P8</f>
        <v>70.099999999999994</v>
      </c>
      <c r="F60" s="161">
        <f>'2. XL-1F kh'!X8</f>
        <v>70</v>
      </c>
      <c r="G60" s="161">
        <f>'2. XL-1F kh'!H44</f>
        <v>70</v>
      </c>
      <c r="H60" s="161">
        <f>'2. XL-1F kh'!P44</f>
        <v>70</v>
      </c>
      <c r="I60" s="214">
        <f>'2. XL-1F kh'!X44</f>
        <v>69.5</v>
      </c>
    </row>
    <row r="61" spans="1:9" ht="21.75" hidden="1" customHeight="1">
      <c r="A61" s="133"/>
      <c r="B61" s="152"/>
      <c r="C61" s="138" t="s">
        <v>109</v>
      </c>
      <c r="D61" s="213" t="e">
        <f>'2. XL-1F kh'!#REF!</f>
        <v>#REF!</v>
      </c>
      <c r="E61" s="161" t="e">
        <f>'2. XL-1F kh'!#REF!</f>
        <v>#REF!</v>
      </c>
      <c r="F61" s="161" t="e">
        <f>'2. XL-1F kh'!#REF!</f>
        <v>#REF!</v>
      </c>
      <c r="G61" s="161" t="e">
        <f>'2. XL-1F kh'!#REF!</f>
        <v>#REF!</v>
      </c>
      <c r="H61" s="161" t="e">
        <f>'2. XL-1F kh'!#REF!</f>
        <v>#REF!</v>
      </c>
      <c r="I61" s="214" t="e">
        <f>'2. XL-1F kh'!#REF!</f>
        <v>#REF!</v>
      </c>
    </row>
    <row r="62" spans="1:9" ht="21.75" hidden="1" customHeight="1">
      <c r="A62" s="134"/>
      <c r="B62" s="153"/>
      <c r="C62" s="138" t="s">
        <v>111</v>
      </c>
      <c r="D62" s="213" t="e">
        <f>'2. XL-1F kh'!#REF!</f>
        <v>#REF!</v>
      </c>
      <c r="E62" s="161" t="e">
        <f>'2. XL-1F kh'!#REF!</f>
        <v>#REF!</v>
      </c>
      <c r="F62" s="161" t="e">
        <f>'2. XL-1F kh'!#REF!</f>
        <v>#REF!</v>
      </c>
      <c r="G62" s="161" t="e">
        <f>'2. XL-1F kh'!#REF!</f>
        <v>#REF!</v>
      </c>
      <c r="H62" s="161" t="e">
        <f>'2. XL-1F kh'!#REF!</f>
        <v>#REF!</v>
      </c>
      <c r="I62" s="214" t="e">
        <f>'2. XL-1F kh'!#REF!</f>
        <v>#REF!</v>
      </c>
    </row>
    <row r="63" spans="1:9" ht="21.75" hidden="1" customHeight="1">
      <c r="A63" s="132">
        <v>3</v>
      </c>
      <c r="B63" s="149" t="s">
        <v>150</v>
      </c>
      <c r="C63" s="151" t="s">
        <v>108</v>
      </c>
      <c r="D63" s="213">
        <f>'2. XL-1F kh'!H10</f>
        <v>59.3</v>
      </c>
      <c r="E63" s="161">
        <f>'2. XL-1F kh'!P10</f>
        <v>61.2</v>
      </c>
      <c r="F63" s="161">
        <f>'2. XL-1F kh'!X10</f>
        <v>60.3</v>
      </c>
      <c r="G63" s="161">
        <f>'2. XL-1F kh'!H46</f>
        <v>61.5</v>
      </c>
      <c r="H63" s="161">
        <f>'2. XL-1F kh'!P46</f>
        <v>61.2</v>
      </c>
      <c r="I63" s="214">
        <f>'2. XL-1F kh'!X46</f>
        <v>60.983999999999995</v>
      </c>
    </row>
    <row r="64" spans="1:9" ht="21.75" hidden="1" customHeight="1">
      <c r="A64" s="134"/>
      <c r="B64" s="150"/>
      <c r="C64" s="138" t="s">
        <v>112</v>
      </c>
      <c r="D64" s="213">
        <f>'2. XL-1F kh'!H11</f>
        <v>0</v>
      </c>
      <c r="E64" s="161">
        <f>'2. XL-1F kh'!P11</f>
        <v>0</v>
      </c>
      <c r="F64" s="161">
        <f>'2. XL-1F kh'!X11</f>
        <v>0</v>
      </c>
      <c r="G64" s="161">
        <f>'2. XL-1F kh'!H47</f>
        <v>0</v>
      </c>
      <c r="H64" s="161">
        <f>'2. XL-1F kh'!P47</f>
        <v>0</v>
      </c>
      <c r="I64" s="214">
        <f>'2. XL-1F kh'!X47</f>
        <v>0</v>
      </c>
    </row>
    <row r="65" spans="1:9" ht="21.75" hidden="1" customHeight="1">
      <c r="A65" s="132">
        <v>4</v>
      </c>
      <c r="B65" s="149" t="s">
        <v>151</v>
      </c>
      <c r="C65" s="151" t="s">
        <v>108</v>
      </c>
      <c r="D65" s="213">
        <f>'2. XL-1F kh'!H12</f>
        <v>60.3</v>
      </c>
      <c r="E65" s="161">
        <f>'2. XL-1F kh'!P12</f>
        <v>60</v>
      </c>
      <c r="F65" s="161">
        <f>'2. XL-1F kh'!X12</f>
        <v>59.6</v>
      </c>
      <c r="G65" s="161">
        <f>'2. XL-1F kh'!H48</f>
        <v>59</v>
      </c>
      <c r="H65" s="161">
        <f>'2. XL-1F kh'!P48</f>
        <v>59.5</v>
      </c>
      <c r="I65" s="214">
        <f>'2. XL-1F kh'!X48</f>
        <v>59</v>
      </c>
    </row>
    <row r="66" spans="1:9" ht="21.75" hidden="1" customHeight="1">
      <c r="A66" s="134"/>
      <c r="B66" s="150"/>
      <c r="C66" s="138" t="s">
        <v>112</v>
      </c>
      <c r="D66" s="213">
        <f>'2. XL-1F kh'!H13</f>
        <v>0</v>
      </c>
      <c r="E66" s="161">
        <f>'2. XL-1F kh'!P13</f>
        <v>0</v>
      </c>
      <c r="F66" s="161">
        <f>'2. XL-1F kh'!X13</f>
        <v>0</v>
      </c>
      <c r="G66" s="161">
        <f>'2. XL-1F kh'!H49</f>
        <v>0</v>
      </c>
      <c r="H66" s="161">
        <f>'2. XL-1F kh'!P49</f>
        <v>0</v>
      </c>
      <c r="I66" s="214">
        <f>'2. XL-1F kh'!X49</f>
        <v>0</v>
      </c>
    </row>
    <row r="67" spans="1:9" ht="21.75" hidden="1" customHeight="1">
      <c r="A67" s="135">
        <v>5</v>
      </c>
      <c r="B67" s="138" t="s">
        <v>82</v>
      </c>
      <c r="C67" s="139"/>
      <c r="D67" s="213">
        <f>'2. XL-1F kh'!H14</f>
        <v>140</v>
      </c>
      <c r="E67" s="161">
        <f>'2. XL-1F kh'!P14</f>
        <v>140</v>
      </c>
      <c r="F67" s="161">
        <f>'2. XL-1F kh'!X14</f>
        <v>140</v>
      </c>
      <c r="G67" s="161">
        <f>'2. XL-1F kh'!H50</f>
        <v>140</v>
      </c>
      <c r="H67" s="161">
        <f>'2. XL-1F kh'!P50</f>
        <v>139.6</v>
      </c>
      <c r="I67" s="214">
        <f>'2. XL-1F kh'!X50</f>
        <v>140</v>
      </c>
    </row>
    <row r="68" spans="1:9" ht="21.75" hidden="1" customHeight="1">
      <c r="A68" s="135">
        <v>6</v>
      </c>
      <c r="B68" s="138" t="s">
        <v>60</v>
      </c>
      <c r="C68" s="139"/>
      <c r="D68" s="213">
        <f>'2. XL-1F kh'!H15</f>
        <v>10</v>
      </c>
      <c r="E68" s="161">
        <f>'2. XL-1F kh'!P15</f>
        <v>10.1</v>
      </c>
      <c r="F68" s="161">
        <f>'2. XL-1F kh'!X15</f>
        <v>10</v>
      </c>
      <c r="G68" s="161">
        <f>'2. XL-1F kh'!H51</f>
        <v>10</v>
      </c>
      <c r="H68" s="161">
        <f>'2. XL-1F kh'!P51</f>
        <v>10</v>
      </c>
      <c r="I68" s="214">
        <f>'2. XL-1F kh'!X51</f>
        <v>10.7</v>
      </c>
    </row>
    <row r="69" spans="1:9" ht="21.75" hidden="1" customHeight="1">
      <c r="A69" s="143">
        <v>7</v>
      </c>
      <c r="B69" s="145" t="s">
        <v>114</v>
      </c>
      <c r="C69" s="146"/>
      <c r="D69" s="213">
        <f>'2. XL-1F kh'!H16</f>
        <v>8.3000000000000007</v>
      </c>
      <c r="E69" s="161">
        <f>'2. XL-1F kh'!P16</f>
        <v>8.1999999999999993</v>
      </c>
      <c r="F69" s="161">
        <f>'2. XL-1F kh'!X16</f>
        <v>8</v>
      </c>
      <c r="G69" s="161">
        <f>'2. XL-1F kh'!H52</f>
        <v>8</v>
      </c>
      <c r="H69" s="161">
        <f>'2. XL-1F kh'!P52</f>
        <v>7.8</v>
      </c>
      <c r="I69" s="214">
        <f>'2. XL-1F kh'!X52</f>
        <v>8.3000000000000007</v>
      </c>
    </row>
    <row r="70" spans="1:9" ht="21.75" hidden="1" customHeight="1">
      <c r="A70" s="144"/>
      <c r="B70" s="147"/>
      <c r="C70" s="148"/>
      <c r="D70" s="213">
        <f>'2. XL-1F kh'!H17</f>
        <v>2.2999999999999998</v>
      </c>
      <c r="E70" s="161">
        <f>'2. XL-1F kh'!P17</f>
        <v>2.3199999999999998</v>
      </c>
      <c r="F70" s="161">
        <f>'2. XL-1F kh'!X17</f>
        <v>2.35</v>
      </c>
      <c r="G70" s="161">
        <f>'2. XL-1F kh'!H53</f>
        <v>2.4</v>
      </c>
      <c r="H70" s="161">
        <f>'2. XL-1F kh'!P53</f>
        <v>2.39</v>
      </c>
      <c r="I70" s="214">
        <f>'2. XL-1F kh'!X53</f>
        <v>2.35</v>
      </c>
    </row>
    <row r="71" spans="1:9" ht="21.75" hidden="1" customHeight="1">
      <c r="A71" s="135">
        <v>8</v>
      </c>
      <c r="B71" s="138" t="s">
        <v>61</v>
      </c>
      <c r="C71" s="139"/>
      <c r="D71" s="213">
        <f>'2. XL-1F kh'!H18</f>
        <v>0.45</v>
      </c>
      <c r="E71" s="161">
        <f>'2. XL-1F kh'!P18</f>
        <v>0.44600000000000001</v>
      </c>
      <c r="F71" s="161">
        <f>'2. XL-1F kh'!X18</f>
        <v>0.46800000000000003</v>
      </c>
      <c r="G71" s="161">
        <f>'2. XL-1F kh'!H54</f>
        <v>0.46765624999999994</v>
      </c>
      <c r="H71" s="161">
        <f>'2. XL-1F kh'!P54</f>
        <v>0.46500000000000002</v>
      </c>
      <c r="I71" s="214">
        <f>'2. XL-1F kh'!X54</f>
        <v>0.45624999999999999</v>
      </c>
    </row>
    <row r="72" spans="1:9" ht="21.75" hidden="1" customHeight="1">
      <c r="A72" s="135">
        <v>9</v>
      </c>
      <c r="B72" s="138" t="s">
        <v>62</v>
      </c>
      <c r="C72" s="139"/>
      <c r="D72" s="213">
        <f>'2. XL-1F kh'!H19</f>
        <v>0.223</v>
      </c>
      <c r="E72" s="161">
        <f>'2. XL-1F kh'!P19</f>
        <v>0.24199999999999999</v>
      </c>
      <c r="F72" s="161">
        <f>'2. XL-1F kh'!X19</f>
        <v>0.23599999999999999</v>
      </c>
      <c r="G72" s="161">
        <f>'2. XL-1F kh'!H55</f>
        <v>0.26234374999999999</v>
      </c>
      <c r="H72" s="161">
        <f>'2. XL-1F kh'!P55</f>
        <v>0.25800000000000001</v>
      </c>
      <c r="I72" s="214">
        <f>'2. XL-1F kh'!X55</f>
        <v>0.25093750000000004</v>
      </c>
    </row>
    <row r="73" spans="1:9" ht="21.75" hidden="1" customHeight="1">
      <c r="A73" s="135">
        <v>11</v>
      </c>
      <c r="B73" s="138" t="s">
        <v>116</v>
      </c>
      <c r="C73" s="139"/>
      <c r="D73" s="213">
        <f>'2. XL-1F kh'!H20</f>
        <v>9.6000000000000002E-2</v>
      </c>
      <c r="E73" s="161">
        <f>'2. XL-1F kh'!P20</f>
        <v>0.13915624999999998</v>
      </c>
      <c r="F73" s="161">
        <f>'2. XL-1F kh'!X20</f>
        <v>0.12774999999999997</v>
      </c>
      <c r="G73" s="161">
        <f>'2. XL-1F kh'!H56</f>
        <v>0.12090624999999999</v>
      </c>
      <c r="H73" s="161">
        <f>'2. XL-1F kh'!P56</f>
        <v>0.115</v>
      </c>
      <c r="I73" s="214">
        <f>'2. XL-1F kh'!X56</f>
        <v>0.1140625</v>
      </c>
    </row>
    <row r="74" spans="1:9" ht="21.75" hidden="1" customHeight="1">
      <c r="A74" s="135">
        <v>12</v>
      </c>
      <c r="B74" s="138" t="s">
        <v>115</v>
      </c>
      <c r="C74" s="139"/>
      <c r="D74" s="213">
        <f>'2. XL-1F kh'!H21</f>
        <v>1.1341800000000003E-2</v>
      </c>
      <c r="E74" s="161">
        <f>'2. XL-1F kh'!P21</f>
        <v>1.2602E-2</v>
      </c>
      <c r="F74" s="161">
        <f>'2. XL-1F kh'!X21</f>
        <v>1.1341800000000003E-2</v>
      </c>
      <c r="G74" s="161">
        <f>'2. XL-1F kh'!H57</f>
        <v>1.1341800000000003E-2</v>
      </c>
      <c r="H74" s="161">
        <f>'2. XL-1F kh'!P57</f>
        <v>0.01</v>
      </c>
      <c r="I74" s="214">
        <f>'2. XL-1F kh'!X57</f>
        <v>1.209792E-2</v>
      </c>
    </row>
    <row r="75" spans="1:9" ht="21.75" hidden="1" customHeight="1">
      <c r="A75" s="174"/>
      <c r="B75" s="175" t="s">
        <v>117</v>
      </c>
      <c r="C75" s="182"/>
      <c r="D75" s="215" t="s">
        <v>175</v>
      </c>
      <c r="E75" s="170"/>
      <c r="F75" s="170"/>
      <c r="G75" s="170"/>
      <c r="H75" s="170"/>
      <c r="I75" s="216"/>
    </row>
    <row r="76" spans="1:9" ht="21.75" hidden="1" customHeight="1">
      <c r="A76" s="176" t="s">
        <v>7</v>
      </c>
      <c r="B76" s="177" t="s">
        <v>64</v>
      </c>
      <c r="C76" s="178"/>
      <c r="D76" s="217">
        <v>0.25</v>
      </c>
      <c r="E76" s="173">
        <v>0.41666666666666669</v>
      </c>
      <c r="F76" s="173">
        <v>0.58333333333333337</v>
      </c>
      <c r="G76" s="173">
        <v>0.75</v>
      </c>
      <c r="H76" s="173">
        <v>0.91666666666666663</v>
      </c>
      <c r="I76" s="218">
        <v>8.3333333333333329E-2</v>
      </c>
    </row>
    <row r="77" spans="1:9" ht="21.75" hidden="1" customHeight="1">
      <c r="A77" s="154">
        <v>1</v>
      </c>
      <c r="B77" s="141" t="s">
        <v>68</v>
      </c>
      <c r="C77" s="142"/>
      <c r="D77" s="213">
        <f>'2. XL-1F kh'!H24</f>
        <v>63</v>
      </c>
      <c r="E77" s="161">
        <f>'2. XL-1F kh'!P24</f>
        <v>64</v>
      </c>
      <c r="F77" s="161">
        <f>'2. XL-1F kh'!X24</f>
        <v>64</v>
      </c>
      <c r="G77" s="161">
        <f>'2. XL-1F kh'!H60</f>
        <v>67</v>
      </c>
      <c r="H77" s="161">
        <f>'2. XL-1F kh'!P60</f>
        <v>0</v>
      </c>
      <c r="I77" s="214">
        <f>'2. XL-1F kh'!X60</f>
        <v>67</v>
      </c>
    </row>
    <row r="78" spans="1:9" ht="21.75" hidden="1" customHeight="1">
      <c r="A78" s="154">
        <v>2</v>
      </c>
      <c r="B78" s="141" t="s">
        <v>69</v>
      </c>
      <c r="C78" s="142" t="s">
        <v>69</v>
      </c>
      <c r="D78" s="213">
        <f>'2. XL-1F kh'!H25</f>
        <v>62</v>
      </c>
      <c r="E78" s="161">
        <f>'2. XL-1F kh'!P25</f>
        <v>63</v>
      </c>
      <c r="F78" s="161">
        <f>'2. XL-1F kh'!X25</f>
        <v>62</v>
      </c>
      <c r="G78" s="161">
        <f>'2. XL-1F kh'!H61</f>
        <v>65</v>
      </c>
      <c r="H78" s="161">
        <f>'2. XL-1F kh'!P61</f>
        <v>0</v>
      </c>
      <c r="I78" s="214">
        <f>'2. XL-1F kh'!X61</f>
        <v>66</v>
      </c>
    </row>
    <row r="79" spans="1:9" ht="21.75" hidden="1" customHeight="1">
      <c r="A79" s="154">
        <v>3</v>
      </c>
      <c r="B79" s="141" t="s">
        <v>71</v>
      </c>
      <c r="C79" s="142" t="s">
        <v>71</v>
      </c>
      <c r="D79" s="213">
        <f>'2. XL-1F kh'!H26</f>
        <v>60</v>
      </c>
      <c r="E79" s="161">
        <f>'2. XL-1F kh'!P26</f>
        <v>60</v>
      </c>
      <c r="F79" s="161">
        <f>'2. XL-1F kh'!X26</f>
        <v>60</v>
      </c>
      <c r="G79" s="161">
        <f>'2. XL-1F kh'!H62</f>
        <v>61</v>
      </c>
      <c r="H79" s="161">
        <f>'2. XL-1F kh'!P62</f>
        <v>0</v>
      </c>
      <c r="I79" s="214">
        <f>'2. XL-1F kh'!X62</f>
        <v>59</v>
      </c>
    </row>
    <row r="80" spans="1:9" ht="21.75" hidden="1" customHeight="1">
      <c r="A80" s="154">
        <v>4</v>
      </c>
      <c r="B80" s="141" t="s">
        <v>70</v>
      </c>
      <c r="C80" s="142" t="s">
        <v>70</v>
      </c>
      <c r="D80" s="213">
        <f>'2. XL-1F kh'!H27</f>
        <v>60</v>
      </c>
      <c r="E80" s="161">
        <f>'2. XL-1F kh'!P27</f>
        <v>59</v>
      </c>
      <c r="F80" s="161">
        <f>'2. XL-1F kh'!X27</f>
        <v>58</v>
      </c>
      <c r="G80" s="161">
        <f>'2. XL-1F kh'!H63</f>
        <v>52</v>
      </c>
      <c r="H80" s="161">
        <f>'2. XL-1F kh'!P63</f>
        <v>0</v>
      </c>
      <c r="I80" s="214">
        <f>'2. XL-1F kh'!X63</f>
        <v>54</v>
      </c>
    </row>
    <row r="81" spans="1:9" ht="21.75" hidden="1" customHeight="1">
      <c r="A81" s="154">
        <v>5</v>
      </c>
      <c r="B81" s="141" t="s">
        <v>72</v>
      </c>
      <c r="C81" s="142" t="s">
        <v>72</v>
      </c>
      <c r="D81" s="213">
        <f>'2. XL-1F kh'!H28</f>
        <v>26</v>
      </c>
      <c r="E81" s="161">
        <f>'2. XL-1F kh'!P28</f>
        <v>25</v>
      </c>
      <c r="F81" s="161">
        <f>'2. XL-1F kh'!X28</f>
        <v>28</v>
      </c>
      <c r="G81" s="161">
        <f>'2. XL-1F kh'!H64</f>
        <v>27</v>
      </c>
      <c r="H81" s="161">
        <f>'2. XL-1F kh'!P64</f>
        <v>0</v>
      </c>
      <c r="I81" s="214">
        <f>'2. XL-1F kh'!X64</f>
        <v>27</v>
      </c>
    </row>
    <row r="82" spans="1:9" ht="21.75" hidden="1" customHeight="1">
      <c r="A82" s="154">
        <v>6</v>
      </c>
      <c r="B82" s="141" t="s">
        <v>95</v>
      </c>
      <c r="C82" s="142" t="s">
        <v>95</v>
      </c>
      <c r="D82" s="213">
        <f>'2. XL-1F kh'!H29</f>
        <v>36</v>
      </c>
      <c r="E82" s="161">
        <f>'2. XL-1F kh'!P29</f>
        <v>37</v>
      </c>
      <c r="F82" s="161">
        <f>'2. XL-1F kh'!X29</f>
        <v>37</v>
      </c>
      <c r="G82" s="161">
        <f>'2. XL-1F kh'!H65</f>
        <v>36</v>
      </c>
      <c r="H82" s="161">
        <f>'2. XL-1F kh'!P65</f>
        <v>0</v>
      </c>
      <c r="I82" s="214">
        <f>'2. XL-1F kh'!X65</f>
        <v>36</v>
      </c>
    </row>
    <row r="83" spans="1:9" ht="21.75" hidden="1" customHeight="1">
      <c r="A83" s="154">
        <v>7</v>
      </c>
      <c r="B83" s="141" t="s">
        <v>73</v>
      </c>
      <c r="C83" s="142" t="s">
        <v>73</v>
      </c>
      <c r="D83" s="213">
        <f>'2. XL-1F kh'!H30</f>
        <v>62</v>
      </c>
      <c r="E83" s="161">
        <f>'2. XL-1F kh'!P30</f>
        <v>58</v>
      </c>
      <c r="F83" s="161">
        <f>'2. XL-1F kh'!X30</f>
        <v>58</v>
      </c>
      <c r="G83" s="161">
        <f>'2. XL-1F kh'!H66</f>
        <v>57</v>
      </c>
      <c r="H83" s="161">
        <f>'2. XL-1F kh'!P66</f>
        <v>0</v>
      </c>
      <c r="I83" s="214">
        <f>'2. XL-1F kh'!X66</f>
        <v>57</v>
      </c>
    </row>
    <row r="84" spans="1:9" ht="21.75" hidden="1" customHeight="1">
      <c r="A84" s="154">
        <v>8</v>
      </c>
      <c r="B84" s="137" t="s">
        <v>74</v>
      </c>
      <c r="C84" s="140" t="s">
        <v>74</v>
      </c>
      <c r="D84" s="213">
        <f>'2. XL-1F kh'!J31</f>
        <v>73</v>
      </c>
      <c r="E84" s="161">
        <f>'2. XL-1F kh'!R31</f>
        <v>71</v>
      </c>
      <c r="F84" s="161">
        <f>'2. XL-1F kh'!Z31</f>
        <v>71</v>
      </c>
      <c r="G84" s="161">
        <f>'2. XL-1F kh'!J67</f>
        <v>73</v>
      </c>
      <c r="H84" s="161">
        <f>'2. XL-1F kh'!R67</f>
        <v>0</v>
      </c>
      <c r="I84" s="214">
        <f>'2. XL-1F kh'!Z67</f>
        <v>71</v>
      </c>
    </row>
    <row r="85" spans="1:9" ht="21.75" hidden="1" customHeight="1">
      <c r="A85" s="174"/>
      <c r="B85" s="175" t="s">
        <v>118</v>
      </c>
      <c r="C85" s="182"/>
      <c r="D85" s="215" t="s">
        <v>176</v>
      </c>
      <c r="E85" s="170"/>
      <c r="F85" s="170"/>
      <c r="G85" s="170"/>
      <c r="H85" s="170"/>
      <c r="I85" s="216"/>
    </row>
    <row r="86" spans="1:9" ht="21.75" hidden="1" customHeight="1">
      <c r="A86" s="176" t="s">
        <v>7</v>
      </c>
      <c r="B86" s="177" t="s">
        <v>100</v>
      </c>
      <c r="C86" s="178"/>
      <c r="D86" s="217">
        <v>0.25</v>
      </c>
      <c r="E86" s="173">
        <v>0.41666666666666669</v>
      </c>
      <c r="F86" s="173">
        <v>0.58333333333333337</v>
      </c>
      <c r="G86" s="173">
        <v>0.75</v>
      </c>
      <c r="H86" s="173">
        <v>0.91666666666666663</v>
      </c>
      <c r="I86" s="218">
        <v>8.3333333333333329E-2</v>
      </c>
    </row>
    <row r="87" spans="1:9" ht="21.75" hidden="1" customHeight="1">
      <c r="A87" s="135">
        <v>1</v>
      </c>
      <c r="B87" s="138" t="s">
        <v>54</v>
      </c>
      <c r="C87" s="139"/>
      <c r="D87" s="213">
        <f>'2. XL-1F kh'!H34</f>
        <v>200</v>
      </c>
      <c r="E87" s="161">
        <f>'2. XL-1F kh'!P34</f>
        <v>195</v>
      </c>
      <c r="F87" s="161">
        <f>'2. XL-1F kh'!X34</f>
        <v>190</v>
      </c>
      <c r="G87" s="161">
        <f>'2. XL-1F kh'!H70</f>
        <v>195</v>
      </c>
      <c r="H87" s="161">
        <f>'2. XL-1F kh'!P70</f>
        <v>0</v>
      </c>
      <c r="I87" s="214">
        <f>'2. XL-1F kh'!X70</f>
        <v>190</v>
      </c>
    </row>
    <row r="88" spans="1:9" ht="21.75" hidden="1" customHeight="1">
      <c r="A88" s="135">
        <v>2</v>
      </c>
      <c r="B88" s="138" t="s">
        <v>94</v>
      </c>
      <c r="C88" s="139"/>
      <c r="D88" s="213">
        <f>'2. XL-1F kh'!H35</f>
        <v>43</v>
      </c>
      <c r="E88" s="161">
        <f>'2. XL-1F kh'!P35</f>
        <v>42</v>
      </c>
      <c r="F88" s="161">
        <f>'2. XL-1F kh'!X35</f>
        <v>43</v>
      </c>
      <c r="G88" s="161">
        <f>'2. XL-1F kh'!H71</f>
        <v>42</v>
      </c>
      <c r="H88" s="161">
        <f>'2. XL-1F kh'!P71</f>
        <v>0</v>
      </c>
      <c r="I88" s="214">
        <f>'2. XL-1F kh'!X71</f>
        <v>39</v>
      </c>
    </row>
    <row r="89" spans="1:9" ht="21.75" hidden="1" customHeight="1">
      <c r="A89" s="167"/>
      <c r="B89" s="167"/>
      <c r="C89" s="167"/>
      <c r="D89" s="215" t="s">
        <v>174</v>
      </c>
      <c r="E89" s="170"/>
      <c r="F89" s="170"/>
      <c r="G89" s="170"/>
      <c r="H89" s="170"/>
      <c r="I89" s="216"/>
    </row>
    <row r="90" spans="1:9" ht="21.75" hidden="1" customHeight="1">
      <c r="A90" s="167"/>
      <c r="B90" s="167"/>
      <c r="C90" s="167"/>
      <c r="D90" s="219">
        <v>0.25</v>
      </c>
      <c r="E90" s="165">
        <v>0.41666666666666669</v>
      </c>
      <c r="F90" s="165">
        <v>0.58333333333333337</v>
      </c>
      <c r="G90" s="165">
        <v>0.75</v>
      </c>
      <c r="H90" s="165">
        <v>0.91666666666666663</v>
      </c>
      <c r="I90" s="220">
        <v>8.3333333333333329E-2</v>
      </c>
    </row>
    <row r="91" spans="1:9" ht="21.75" hidden="1" customHeight="1">
      <c r="A91" s="132">
        <v>1</v>
      </c>
      <c r="B91" s="145" t="s">
        <v>148</v>
      </c>
      <c r="C91" s="151" t="s">
        <v>108</v>
      </c>
      <c r="D91" s="221">
        <f>'2. XL-1F kh'!J6</f>
        <v>0</v>
      </c>
      <c r="E91" s="168">
        <f>'2. XL-1F kh'!R6</f>
        <v>0</v>
      </c>
      <c r="F91" s="168">
        <f>'2. XL-1F kh'!Z6</f>
        <v>0</v>
      </c>
      <c r="G91" s="168">
        <f>'2. XL-1F kh'!J42</f>
        <v>0</v>
      </c>
      <c r="H91" s="168">
        <f>'2. XL-1F kh'!R42</f>
        <v>1.3465</v>
      </c>
      <c r="I91" s="222">
        <f>'2. XL-1F kh'!Z42</f>
        <v>2.6930000000000001</v>
      </c>
    </row>
    <row r="92" spans="1:9" ht="21.75" hidden="1" customHeight="1">
      <c r="A92" s="133"/>
      <c r="B92" s="152"/>
      <c r="C92" s="138" t="s">
        <v>109</v>
      </c>
      <c r="D92" s="221" t="e">
        <f>'2. XL-1F kh'!#REF!</f>
        <v>#REF!</v>
      </c>
      <c r="E92" s="168" t="e">
        <f>'2. XL-1F kh'!#REF!</f>
        <v>#REF!</v>
      </c>
      <c r="F92" s="168" t="e">
        <f>'2. XL-1F kh'!#REF!</f>
        <v>#REF!</v>
      </c>
      <c r="G92" s="168" t="e">
        <f>'2. XL-1F kh'!#REF!</f>
        <v>#REF!</v>
      </c>
      <c r="H92" s="168" t="e">
        <f>'2. XL-1F kh'!#REF!</f>
        <v>#REF!</v>
      </c>
      <c r="I92" s="222" t="e">
        <f>'2. XL-1F kh'!#REF!</f>
        <v>#REF!</v>
      </c>
    </row>
    <row r="93" spans="1:9" ht="21.75" hidden="1" customHeight="1">
      <c r="A93" s="134"/>
      <c r="B93" s="153"/>
      <c r="C93" s="138" t="s">
        <v>111</v>
      </c>
      <c r="D93" s="221" t="e">
        <f>'2. XL-1F kh'!#REF!</f>
        <v>#REF!</v>
      </c>
      <c r="E93" s="168" t="e">
        <f>'2. XL-1F kh'!#REF!</f>
        <v>#REF!</v>
      </c>
      <c r="F93" s="168" t="e">
        <f>'2. XL-1F kh'!#REF!</f>
        <v>#REF!</v>
      </c>
      <c r="G93" s="168" t="e">
        <f>'2. XL-1F kh'!#REF!</f>
        <v>#REF!</v>
      </c>
      <c r="H93" s="168" t="e">
        <f>'2. XL-1F kh'!#REF!</f>
        <v>#REF!</v>
      </c>
      <c r="I93" s="222" t="e">
        <f>'2. XL-1F kh'!#REF!</f>
        <v>#REF!</v>
      </c>
    </row>
    <row r="94" spans="1:9" ht="21.75" hidden="1" customHeight="1">
      <c r="A94" s="132">
        <v>2</v>
      </c>
      <c r="B94" s="145" t="s">
        <v>149</v>
      </c>
      <c r="C94" s="151" t="s">
        <v>108</v>
      </c>
      <c r="D94" s="221">
        <f>'2. XL-1F kh'!J8</f>
        <v>0</v>
      </c>
      <c r="E94" s="168">
        <f>'2. XL-1F kh'!R8</f>
        <v>0</v>
      </c>
      <c r="F94" s="168">
        <f>'2. XL-1F kh'!Z8</f>
        <v>0</v>
      </c>
      <c r="G94" s="168">
        <f>'2. XL-1F kh'!J44</f>
        <v>0</v>
      </c>
      <c r="H94" s="168">
        <f>'2. XL-1F kh'!R44</f>
        <v>0</v>
      </c>
      <c r="I94" s="222">
        <f>'2. XL-1F kh'!Z44</f>
        <v>1.6525000000000001</v>
      </c>
    </row>
    <row r="95" spans="1:9" ht="21.75" hidden="1" customHeight="1">
      <c r="A95" s="133"/>
      <c r="B95" s="152"/>
      <c r="C95" s="138" t="s">
        <v>109</v>
      </c>
      <c r="D95" s="221" t="e">
        <f>'2. XL-1F kh'!#REF!</f>
        <v>#REF!</v>
      </c>
      <c r="E95" s="168" t="e">
        <f>'2. XL-1F kh'!#REF!</f>
        <v>#REF!</v>
      </c>
      <c r="F95" s="168" t="e">
        <f>'2. XL-1F kh'!#REF!</f>
        <v>#REF!</v>
      </c>
      <c r="G95" s="168" t="e">
        <f>'2. XL-1F kh'!#REF!</f>
        <v>#REF!</v>
      </c>
      <c r="H95" s="168" t="e">
        <f>'2. XL-1F kh'!#REF!</f>
        <v>#REF!</v>
      </c>
      <c r="I95" s="222" t="e">
        <f>'2. XL-1F kh'!#REF!</f>
        <v>#REF!</v>
      </c>
    </row>
    <row r="96" spans="1:9" ht="21.75" hidden="1" customHeight="1">
      <c r="A96" s="134"/>
      <c r="B96" s="153"/>
      <c r="C96" s="138" t="s">
        <v>111</v>
      </c>
      <c r="D96" s="221" t="e">
        <f>'2. XL-1F kh'!#REF!</f>
        <v>#REF!</v>
      </c>
      <c r="E96" s="168" t="e">
        <f>'2. XL-1F kh'!#REF!</f>
        <v>#REF!</v>
      </c>
      <c r="F96" s="168" t="e">
        <f>'2. XL-1F kh'!#REF!</f>
        <v>#REF!</v>
      </c>
      <c r="G96" s="168" t="e">
        <f>'2. XL-1F kh'!#REF!</f>
        <v>#REF!</v>
      </c>
      <c r="H96" s="168" t="e">
        <f>'2. XL-1F kh'!#REF!</f>
        <v>#REF!</v>
      </c>
      <c r="I96" s="222" t="e">
        <f>'2. XL-1F kh'!#REF!</f>
        <v>#REF!</v>
      </c>
    </row>
    <row r="97" spans="1:9" ht="21.75" hidden="1" customHeight="1">
      <c r="A97" s="132">
        <v>3</v>
      </c>
      <c r="B97" s="149" t="s">
        <v>150</v>
      </c>
      <c r="C97" s="151" t="s">
        <v>108</v>
      </c>
      <c r="D97" s="221">
        <f>'2. XL-1F kh'!J10</f>
        <v>0.80920000000000325</v>
      </c>
      <c r="E97" s="168">
        <f>'2. XL-1F kh'!R10</f>
        <v>0</v>
      </c>
      <c r="F97" s="168">
        <f>'2. XL-1F kh'!Z10</f>
        <v>0</v>
      </c>
      <c r="G97" s="168">
        <f>'2. XL-1F kh'!J46</f>
        <v>0</v>
      </c>
      <c r="H97" s="168">
        <f>'2. XL-1F kh'!R46</f>
        <v>0</v>
      </c>
      <c r="I97" s="222">
        <f>'2. XL-1F kh'!Z46</f>
        <v>0</v>
      </c>
    </row>
    <row r="98" spans="1:9" ht="21.75" hidden="1" customHeight="1">
      <c r="A98" s="134"/>
      <c r="B98" s="150"/>
      <c r="C98" s="138" t="s">
        <v>112</v>
      </c>
      <c r="D98" s="221">
        <f>'2. XL-1F kh'!J11</f>
        <v>0.22657600000000094</v>
      </c>
      <c r="E98" s="168">
        <f>'2. XL-1F kh'!R11</f>
        <v>0</v>
      </c>
      <c r="F98" s="168">
        <f>'2. XL-1F kh'!Z11</f>
        <v>0</v>
      </c>
      <c r="G98" s="168">
        <f>'2. XL-1F kh'!J47</f>
        <v>0</v>
      </c>
      <c r="H98" s="168">
        <f>'2. XL-1F kh'!R47</f>
        <v>0</v>
      </c>
      <c r="I98" s="222">
        <f>'2. XL-1F kh'!Z47</f>
        <v>0</v>
      </c>
    </row>
    <row r="99" spans="1:9" ht="21.75" hidden="1" customHeight="1">
      <c r="A99" s="132">
        <v>4</v>
      </c>
      <c r="B99" s="149" t="s">
        <v>151</v>
      </c>
      <c r="C99" s="151" t="s">
        <v>108</v>
      </c>
      <c r="D99" s="221">
        <f>'2. XL-1F kh'!J12</f>
        <v>0</v>
      </c>
      <c r="E99" s="168">
        <f>'2. XL-1F kh'!R12</f>
        <v>0</v>
      </c>
      <c r="F99" s="168">
        <f>'2. XL-1F kh'!Z12</f>
        <v>0.58359999999999801</v>
      </c>
      <c r="G99" s="168">
        <f>'2. XL-1F kh'!J48</f>
        <v>1.4590000000000001</v>
      </c>
      <c r="H99" s="168">
        <f>'2. XL-1F kh'!R48</f>
        <v>0.72950000000000004</v>
      </c>
      <c r="I99" s="222">
        <f>'2. XL-1F kh'!Z48</f>
        <v>1.4590000000000001</v>
      </c>
    </row>
    <row r="100" spans="1:9" ht="21.75" hidden="1" customHeight="1">
      <c r="A100" s="134"/>
      <c r="B100" s="150"/>
      <c r="C100" s="138" t="s">
        <v>112</v>
      </c>
      <c r="D100" s="221">
        <f>'2. XL-1F kh'!J13</f>
        <v>0</v>
      </c>
      <c r="E100" s="168">
        <f>'2. XL-1F kh'!R13</f>
        <v>0</v>
      </c>
      <c r="F100" s="168">
        <f>'2. XL-1F kh'!Z13</f>
        <v>0.16340799999999944</v>
      </c>
      <c r="G100" s="168">
        <f>'2. XL-1F kh'!J49</f>
        <v>0.40851999999999999</v>
      </c>
      <c r="H100" s="168">
        <f>'2. XL-1F kh'!R49</f>
        <v>0.20426</v>
      </c>
      <c r="I100" s="222">
        <f>'2. XL-1F kh'!Z49</f>
        <v>0.40851999999999999</v>
      </c>
    </row>
    <row r="101" spans="1:9" ht="21.75" hidden="1" customHeight="1">
      <c r="A101" s="135">
        <v>5</v>
      </c>
      <c r="B101" s="138" t="s">
        <v>82</v>
      </c>
      <c r="C101" s="139"/>
      <c r="D101" s="221">
        <f>'2. XL-1F kh'!J14</f>
        <v>0</v>
      </c>
      <c r="E101" s="168">
        <f>'2. XL-1F kh'!R14</f>
        <v>0</v>
      </c>
      <c r="F101" s="168">
        <f>'2. XL-1F kh'!Z14</f>
        <v>0</v>
      </c>
      <c r="G101" s="168">
        <f>'2. XL-1F kh'!J50</f>
        <v>0</v>
      </c>
      <c r="H101" s="168">
        <f>'2. XL-1F kh'!R50</f>
        <v>7.9804000000001132</v>
      </c>
      <c r="I101" s="222">
        <f>'2. XL-1F kh'!Z50</f>
        <v>0</v>
      </c>
    </row>
    <row r="102" spans="1:9" ht="21.75" hidden="1" customHeight="1">
      <c r="A102" s="135">
        <v>6</v>
      </c>
      <c r="B102" s="138" t="s">
        <v>60</v>
      </c>
      <c r="C102" s="139"/>
      <c r="D102" s="221">
        <f>'2. XL-1F kh'!J15</f>
        <v>0</v>
      </c>
      <c r="E102" s="168">
        <f>'2. XL-1F kh'!R15</f>
        <v>0</v>
      </c>
      <c r="F102" s="168">
        <f>'2. XL-1F kh'!Z15</f>
        <v>0</v>
      </c>
      <c r="G102" s="168">
        <f>'2. XL-1F kh'!J51</f>
        <v>0</v>
      </c>
      <c r="H102" s="168">
        <f>'2. XL-1F kh'!R51</f>
        <v>0</v>
      </c>
      <c r="I102" s="222">
        <f>'2. XL-1F kh'!Z51</f>
        <v>0</v>
      </c>
    </row>
    <row r="103" spans="1:9" ht="21.75" hidden="1" customHeight="1">
      <c r="A103" s="143">
        <v>7</v>
      </c>
      <c r="B103" s="145" t="s">
        <v>114</v>
      </c>
      <c r="C103" s="146"/>
      <c r="D103" s="221">
        <f>'2. XL-1F kh'!J16</f>
        <v>0</v>
      </c>
      <c r="E103" s="168">
        <f>'2. XL-1F kh'!R16</f>
        <v>0</v>
      </c>
      <c r="F103" s="168">
        <f>'2. XL-1F kh'!Z16</f>
        <v>0</v>
      </c>
      <c r="G103" s="168">
        <f>'2. XL-1F kh'!J52</f>
        <v>0</v>
      </c>
      <c r="H103" s="168">
        <f>'2. XL-1F kh'!R52</f>
        <v>1.150000000000001</v>
      </c>
      <c r="I103" s="222">
        <f>'2. XL-1F kh'!Z52</f>
        <v>0</v>
      </c>
    </row>
    <row r="104" spans="1:9" ht="21.75" hidden="1" customHeight="1">
      <c r="A104" s="144"/>
      <c r="B104" s="147"/>
      <c r="C104" s="148"/>
      <c r="D104" s="221">
        <f>'2. XL-1F kh'!J17</f>
        <v>0</v>
      </c>
      <c r="E104" s="168">
        <f>'2. XL-1F kh'!R17</f>
        <v>0</v>
      </c>
      <c r="F104" s="168">
        <f>'2. XL-1F kh'!Z17</f>
        <v>0</v>
      </c>
      <c r="G104" s="168">
        <f>'2. XL-1F kh'!J53</f>
        <v>0</v>
      </c>
      <c r="H104" s="168">
        <f>'2. XL-1F kh'!R53</f>
        <v>0</v>
      </c>
      <c r="I104" s="222">
        <f>'2. XL-1F kh'!Z53</f>
        <v>0</v>
      </c>
    </row>
    <row r="105" spans="1:9" ht="21.75" hidden="1" customHeight="1">
      <c r="A105" s="135">
        <v>8</v>
      </c>
      <c r="B105" s="138" t="s">
        <v>61</v>
      </c>
      <c r="C105" s="139"/>
      <c r="D105" s="221">
        <f>'2. XL-1F kh'!J18</f>
        <v>0</v>
      </c>
      <c r="E105" s="168">
        <f>'2. XL-1F kh'!R18</f>
        <v>8.4880000000000067</v>
      </c>
      <c r="F105" s="168">
        <f>'2. XL-1F kh'!Z18</f>
        <v>0</v>
      </c>
      <c r="G105" s="168">
        <f>'2. XL-1F kh'!J54</f>
        <v>0</v>
      </c>
      <c r="H105" s="168">
        <f>'2. XL-1F kh'!R54</f>
        <v>0</v>
      </c>
      <c r="I105" s="222">
        <f>'2. XL-1F kh'!Z54</f>
        <v>0</v>
      </c>
    </row>
    <row r="106" spans="1:9" ht="21.75" hidden="1" customHeight="1">
      <c r="A106" s="135">
        <v>9</v>
      </c>
      <c r="B106" s="138" t="s">
        <v>62</v>
      </c>
      <c r="C106" s="139"/>
      <c r="D106" s="221">
        <f>'2. XL-1F kh'!J19</f>
        <v>0</v>
      </c>
      <c r="E106" s="168">
        <f>'2. XL-1F kh'!R19</f>
        <v>0</v>
      </c>
      <c r="F106" s="168">
        <f>'2. XL-1F kh'!Z19</f>
        <v>0</v>
      </c>
      <c r="G106" s="168">
        <f>'2. XL-1F kh'!J55</f>
        <v>0</v>
      </c>
      <c r="H106" s="168">
        <f>'2. XL-1F kh'!R55</f>
        <v>0</v>
      </c>
      <c r="I106" s="222">
        <f>'2. XL-1F kh'!Z55</f>
        <v>0</v>
      </c>
    </row>
    <row r="107" spans="1:9" ht="21.75" hidden="1" customHeight="1">
      <c r="A107" s="135">
        <v>11</v>
      </c>
      <c r="B107" s="138" t="s">
        <v>116</v>
      </c>
      <c r="C107" s="139"/>
      <c r="D107" s="221">
        <f>'2. XL-1F kh'!J20</f>
        <v>2.300000000000002</v>
      </c>
      <c r="E107" s="168">
        <f>'2. XL-1F kh'!R20</f>
        <v>0</v>
      </c>
      <c r="F107" s="168">
        <f>'2. XL-1F kh'!Z20</f>
        <v>0</v>
      </c>
      <c r="G107" s="168">
        <f>'2. XL-1F kh'!J56</f>
        <v>0</v>
      </c>
      <c r="H107" s="168">
        <f>'2. XL-1F kh'!R56</f>
        <v>0</v>
      </c>
      <c r="I107" s="222">
        <f>'2. XL-1F kh'!Z56</f>
        <v>0</v>
      </c>
    </row>
    <row r="108" spans="1:9" ht="21.75" hidden="1" customHeight="1">
      <c r="A108" s="135">
        <v>12</v>
      </c>
      <c r="B108" s="138" t="s">
        <v>115</v>
      </c>
      <c r="C108" s="139"/>
      <c r="D108" s="223">
        <f>'2. XL-1F kh'!J21</f>
        <v>0</v>
      </c>
      <c r="E108" s="172">
        <f>'2. XL-1F kh'!R21</f>
        <v>0</v>
      </c>
      <c r="F108" s="172">
        <f>'2. XL-1F kh'!Z21</f>
        <v>0</v>
      </c>
      <c r="G108" s="172">
        <f>'2. XL-1F kh'!J57</f>
        <v>0</v>
      </c>
      <c r="H108" s="172">
        <f>'2. XL-1F kh'!R57</f>
        <v>0</v>
      </c>
      <c r="I108" s="224">
        <f>'2. XL-1F kh'!Z57</f>
        <v>0</v>
      </c>
    </row>
    <row r="109" spans="1:9" ht="21.75" hidden="1" customHeight="1">
      <c r="D109" s="213"/>
      <c r="E109" s="161"/>
      <c r="F109" s="161"/>
      <c r="G109" s="161"/>
      <c r="H109" s="161"/>
      <c r="I109" s="214"/>
    </row>
    <row r="110" spans="1:9" ht="39" hidden="1" customHeight="1">
      <c r="A110" s="196"/>
      <c r="B110" s="194" t="s">
        <v>230</v>
      </c>
      <c r="C110" s="197"/>
      <c r="D110" s="225"/>
      <c r="E110" s="198"/>
      <c r="F110" s="161"/>
      <c r="G110" s="161"/>
      <c r="H110" s="161"/>
      <c r="I110" s="214"/>
    </row>
    <row r="111" spans="1:9" ht="21.75" hidden="1" customHeight="1">
      <c r="A111" s="191" t="s">
        <v>7</v>
      </c>
      <c r="B111" s="179"/>
      <c r="C111" s="179"/>
      <c r="D111" s="215" t="s">
        <v>173</v>
      </c>
      <c r="E111" s="170"/>
      <c r="F111" s="170"/>
      <c r="G111" s="170"/>
      <c r="H111" s="170"/>
      <c r="I111" s="216"/>
    </row>
    <row r="112" spans="1:9" ht="21.75" hidden="1" customHeight="1">
      <c r="A112" s="192"/>
      <c r="B112" s="188"/>
      <c r="C112" s="188"/>
      <c r="D112" s="219">
        <v>0.25</v>
      </c>
      <c r="E112" s="165">
        <v>0.41666666666666669</v>
      </c>
      <c r="F112" s="165">
        <v>0.58333333333333337</v>
      </c>
      <c r="G112" s="165">
        <v>0.75</v>
      </c>
      <c r="H112" s="165">
        <v>0.91666666666666663</v>
      </c>
      <c r="I112" s="220">
        <v>8.3333333333333329E-2</v>
      </c>
    </row>
    <row r="113" spans="1:9" ht="21.75" hidden="1" customHeight="1">
      <c r="A113" s="2133">
        <v>1</v>
      </c>
      <c r="B113" s="2135" t="s">
        <v>148</v>
      </c>
      <c r="C113" s="199" t="s">
        <v>108</v>
      </c>
      <c r="D113" s="213" t="e">
        <f>#REF!</f>
        <v>#REF!</v>
      </c>
      <c r="E113" s="161" t="e">
        <f>#REF!</f>
        <v>#REF!</v>
      </c>
      <c r="F113" s="161" t="e">
        <f>#REF!</f>
        <v>#REF!</v>
      </c>
      <c r="G113" s="161" t="e">
        <f>#REF!</f>
        <v>#REF!</v>
      </c>
      <c r="H113" s="161" t="e">
        <f>#REF!</f>
        <v>#REF!</v>
      </c>
      <c r="I113" s="214" t="e">
        <f>#REF!</f>
        <v>#REF!</v>
      </c>
    </row>
    <row r="114" spans="1:9" ht="21.75" hidden="1" customHeight="1">
      <c r="A114" s="2133"/>
      <c r="B114" s="2136"/>
      <c r="C114" s="200" t="s">
        <v>109</v>
      </c>
      <c r="D114" s="213" t="e">
        <f>#REF!</f>
        <v>#REF!</v>
      </c>
      <c r="E114" s="161" t="e">
        <f>#REF!</f>
        <v>#REF!</v>
      </c>
      <c r="F114" s="161" t="e">
        <f>#REF!</f>
        <v>#REF!</v>
      </c>
      <c r="G114" s="161" t="e">
        <f>#REF!</f>
        <v>#REF!</v>
      </c>
      <c r="H114" s="161" t="e">
        <f>#REF!</f>
        <v>#REF!</v>
      </c>
      <c r="I114" s="214" t="e">
        <f>#REF!</f>
        <v>#REF!</v>
      </c>
    </row>
    <row r="115" spans="1:9" ht="21.75" hidden="1" customHeight="1">
      <c r="A115" s="2134"/>
      <c r="B115" s="2137"/>
      <c r="C115" s="148" t="s">
        <v>111</v>
      </c>
      <c r="D115" s="211" t="e">
        <f>#REF!</f>
        <v>#REF!</v>
      </c>
      <c r="E115" s="162" t="e">
        <f>#REF!</f>
        <v>#REF!</v>
      </c>
      <c r="F115" s="162" t="e">
        <f>#REF!</f>
        <v>#REF!</v>
      </c>
      <c r="G115" s="162" t="e">
        <f>#REF!</f>
        <v>#REF!</v>
      </c>
      <c r="H115" s="162" t="e">
        <f>#REF!</f>
        <v>#REF!</v>
      </c>
      <c r="I115" s="212" t="e">
        <f>#REF!</f>
        <v>#REF!</v>
      </c>
    </row>
    <row r="116" spans="1:9" ht="21.75" hidden="1" customHeight="1">
      <c r="A116" s="2076">
        <v>2</v>
      </c>
      <c r="B116" s="2138" t="s">
        <v>149</v>
      </c>
      <c r="C116" s="153" t="s">
        <v>108</v>
      </c>
      <c r="D116" s="213" t="e">
        <f>#REF!</f>
        <v>#REF!</v>
      </c>
      <c r="E116" s="161" t="e">
        <f>#REF!</f>
        <v>#REF!</v>
      </c>
      <c r="F116" s="161" t="e">
        <f>#REF!</f>
        <v>#REF!</v>
      </c>
      <c r="G116" s="161" t="e">
        <f>#REF!</f>
        <v>#REF!</v>
      </c>
      <c r="H116" s="161" t="e">
        <f>#REF!</f>
        <v>#REF!</v>
      </c>
      <c r="I116" s="214" t="e">
        <f>#REF!</f>
        <v>#REF!</v>
      </c>
    </row>
    <row r="117" spans="1:9" ht="21.75" hidden="1" customHeight="1">
      <c r="A117" s="2076"/>
      <c r="B117" s="2066"/>
      <c r="C117" s="138" t="s">
        <v>109</v>
      </c>
      <c r="D117" s="213" t="e">
        <f>#REF!</f>
        <v>#REF!</v>
      </c>
      <c r="E117" s="161" t="e">
        <f>#REF!</f>
        <v>#REF!</v>
      </c>
      <c r="F117" s="161" t="e">
        <f>#REF!</f>
        <v>#REF!</v>
      </c>
      <c r="G117" s="161" t="e">
        <f>#REF!</f>
        <v>#REF!</v>
      </c>
      <c r="H117" s="161" t="e">
        <f>#REF!</f>
        <v>#REF!</v>
      </c>
      <c r="I117" s="214" t="e">
        <f>#REF!</f>
        <v>#REF!</v>
      </c>
    </row>
    <row r="118" spans="1:9" ht="21.75" hidden="1" customHeight="1">
      <c r="A118" s="2061"/>
      <c r="B118" s="2068"/>
      <c r="C118" s="138" t="s">
        <v>111</v>
      </c>
      <c r="D118" s="213" t="e">
        <f>#REF!</f>
        <v>#REF!</v>
      </c>
      <c r="E118" s="161" t="e">
        <f>#REF!</f>
        <v>#REF!</v>
      </c>
      <c r="F118" s="161" t="e">
        <f>#REF!</f>
        <v>#REF!</v>
      </c>
      <c r="G118" s="161" t="e">
        <f>#REF!</f>
        <v>#REF!</v>
      </c>
      <c r="H118" s="161" t="e">
        <f>#REF!</f>
        <v>#REF!</v>
      </c>
      <c r="I118" s="214" t="e">
        <f>#REF!</f>
        <v>#REF!</v>
      </c>
    </row>
    <row r="119" spans="1:9" ht="21.75" hidden="1" customHeight="1">
      <c r="A119" s="2060">
        <v>3</v>
      </c>
      <c r="B119" s="2035" t="s">
        <v>150</v>
      </c>
      <c r="C119" s="151" t="s">
        <v>108</v>
      </c>
      <c r="D119" s="213" t="e">
        <f>#REF!</f>
        <v>#REF!</v>
      </c>
      <c r="E119" s="161" t="e">
        <f>#REF!</f>
        <v>#REF!</v>
      </c>
      <c r="F119" s="161" t="e">
        <f>#REF!</f>
        <v>#REF!</v>
      </c>
      <c r="G119" s="161" t="e">
        <f>#REF!</f>
        <v>#REF!</v>
      </c>
      <c r="H119" s="161" t="e">
        <f>#REF!</f>
        <v>#REF!</v>
      </c>
      <c r="I119" s="214" t="e">
        <f>#REF!</f>
        <v>#REF!</v>
      </c>
    </row>
    <row r="120" spans="1:9" ht="21.75" hidden="1" customHeight="1">
      <c r="A120" s="2061"/>
      <c r="B120" s="2036"/>
      <c r="C120" s="138" t="s">
        <v>112</v>
      </c>
      <c r="D120" s="213" t="e">
        <f>#REF!</f>
        <v>#REF!</v>
      </c>
      <c r="E120" s="161" t="e">
        <f>#REF!</f>
        <v>#REF!</v>
      </c>
      <c r="F120" s="161" t="e">
        <f>#REF!</f>
        <v>#REF!</v>
      </c>
      <c r="G120" s="161" t="e">
        <f>#REF!</f>
        <v>#REF!</v>
      </c>
      <c r="H120" s="161" t="e">
        <f>#REF!</f>
        <v>#REF!</v>
      </c>
      <c r="I120" s="214" t="e">
        <f>#REF!</f>
        <v>#REF!</v>
      </c>
    </row>
    <row r="121" spans="1:9" ht="21.75" hidden="1" customHeight="1">
      <c r="A121" s="2060">
        <v>4</v>
      </c>
      <c r="B121" s="2035" t="s">
        <v>151</v>
      </c>
      <c r="C121" s="151" t="s">
        <v>108</v>
      </c>
      <c r="D121" s="213" t="e">
        <f>#REF!</f>
        <v>#REF!</v>
      </c>
      <c r="E121" s="161" t="e">
        <f>#REF!</f>
        <v>#REF!</v>
      </c>
      <c r="F121" s="161" t="e">
        <f>#REF!</f>
        <v>#REF!</v>
      </c>
      <c r="G121" s="161" t="e">
        <f>#REF!</f>
        <v>#REF!</v>
      </c>
      <c r="H121" s="161" t="e">
        <f>#REF!</f>
        <v>#REF!</v>
      </c>
      <c r="I121" s="214" t="e">
        <f>#REF!</f>
        <v>#REF!</v>
      </c>
    </row>
    <row r="122" spans="1:9" ht="21.75" hidden="1" customHeight="1">
      <c r="A122" s="2061"/>
      <c r="B122" s="2036"/>
      <c r="C122" s="138" t="s">
        <v>112</v>
      </c>
      <c r="D122" s="213" t="e">
        <f>#REF!</f>
        <v>#REF!</v>
      </c>
      <c r="E122" s="161" t="e">
        <f>#REF!</f>
        <v>#REF!</v>
      </c>
      <c r="F122" s="161" t="e">
        <f>#REF!</f>
        <v>#REF!</v>
      </c>
      <c r="G122" s="161" t="e">
        <f>#REF!</f>
        <v>#REF!</v>
      </c>
      <c r="H122" s="161" t="e">
        <f>#REF!</f>
        <v>#REF!</v>
      </c>
      <c r="I122" s="214" t="e">
        <f>#REF!</f>
        <v>#REF!</v>
      </c>
    </row>
    <row r="123" spans="1:9" ht="21.75" hidden="1" customHeight="1">
      <c r="A123" s="135">
        <v>5</v>
      </c>
      <c r="B123" s="2037" t="s">
        <v>82</v>
      </c>
      <c r="C123" s="2059"/>
      <c r="D123" s="213" t="e">
        <f>#REF!</f>
        <v>#REF!</v>
      </c>
      <c r="E123" s="161" t="e">
        <f>#REF!</f>
        <v>#REF!</v>
      </c>
      <c r="F123" s="161" t="e">
        <f>#REF!</f>
        <v>#REF!</v>
      </c>
      <c r="G123" s="161" t="e">
        <f>#REF!</f>
        <v>#REF!</v>
      </c>
      <c r="H123" s="161" t="e">
        <f>#REF!</f>
        <v>#REF!</v>
      </c>
      <c r="I123" s="214" t="e">
        <f>#REF!</f>
        <v>#REF!</v>
      </c>
    </row>
    <row r="124" spans="1:9" ht="21.75" hidden="1" customHeight="1">
      <c r="A124" s="135">
        <v>6</v>
      </c>
      <c r="B124" s="2037" t="s">
        <v>60</v>
      </c>
      <c r="C124" s="2059"/>
      <c r="D124" s="213" t="e">
        <f>#REF!</f>
        <v>#REF!</v>
      </c>
      <c r="E124" s="161" t="e">
        <f>#REF!</f>
        <v>#REF!</v>
      </c>
      <c r="F124" s="161" t="e">
        <f>#REF!</f>
        <v>#REF!</v>
      </c>
      <c r="G124" s="161" t="e">
        <f>#REF!</f>
        <v>#REF!</v>
      </c>
      <c r="H124" s="161" t="e">
        <f>#REF!</f>
        <v>#REF!</v>
      </c>
      <c r="I124" s="214" t="e">
        <f>#REF!</f>
        <v>#REF!</v>
      </c>
    </row>
    <row r="125" spans="1:9" ht="21.75" hidden="1" customHeight="1">
      <c r="A125" s="2139">
        <v>7</v>
      </c>
      <c r="B125" s="2049" t="s">
        <v>167</v>
      </c>
      <c r="C125" s="2050"/>
      <c r="D125" s="213" t="e">
        <f>#REF!</f>
        <v>#REF!</v>
      </c>
      <c r="E125" s="161" t="e">
        <f>#REF!</f>
        <v>#REF!</v>
      </c>
      <c r="F125" s="161" t="e">
        <f>#REF!</f>
        <v>#REF!</v>
      </c>
      <c r="G125" s="161" t="e">
        <f>#REF!</f>
        <v>#REF!</v>
      </c>
      <c r="H125" s="161" t="e">
        <f>#REF!</f>
        <v>#REF!</v>
      </c>
      <c r="I125" s="214" t="e">
        <f>#REF!</f>
        <v>#REF!</v>
      </c>
    </row>
    <row r="126" spans="1:9" ht="21.75" hidden="1" customHeight="1">
      <c r="A126" s="2140"/>
      <c r="B126" s="2052"/>
      <c r="C126" s="2053"/>
      <c r="D126" s="213" t="e">
        <f>#REF!</f>
        <v>#REF!</v>
      </c>
      <c r="E126" s="161" t="e">
        <f>#REF!</f>
        <v>#REF!</v>
      </c>
      <c r="F126" s="161" t="e">
        <f>#REF!</f>
        <v>#REF!</v>
      </c>
      <c r="G126" s="161" t="e">
        <f>#REF!</f>
        <v>#REF!</v>
      </c>
      <c r="H126" s="161" t="e">
        <f>#REF!</f>
        <v>#REF!</v>
      </c>
      <c r="I126" s="214" t="e">
        <f>#REF!</f>
        <v>#REF!</v>
      </c>
    </row>
    <row r="127" spans="1:9" ht="21.75" hidden="1" customHeight="1">
      <c r="A127" s="135">
        <v>8</v>
      </c>
      <c r="B127" s="2037" t="s">
        <v>61</v>
      </c>
      <c r="C127" s="2059"/>
      <c r="D127" s="213" t="e">
        <f>#REF!</f>
        <v>#REF!</v>
      </c>
      <c r="E127" s="161" t="e">
        <f>#REF!</f>
        <v>#REF!</v>
      </c>
      <c r="F127" s="161" t="e">
        <f>#REF!</f>
        <v>#REF!</v>
      </c>
      <c r="G127" s="161" t="e">
        <f>#REF!</f>
        <v>#REF!</v>
      </c>
      <c r="H127" s="161" t="e">
        <f>#REF!</f>
        <v>#REF!</v>
      </c>
      <c r="I127" s="214" t="e">
        <f>#REF!</f>
        <v>#REF!</v>
      </c>
    </row>
    <row r="128" spans="1:9" ht="21.75" hidden="1" customHeight="1">
      <c r="A128" s="135">
        <v>9</v>
      </c>
      <c r="B128" s="2037" t="s">
        <v>62</v>
      </c>
      <c r="C128" s="2059"/>
      <c r="D128" s="213" t="e">
        <f>#REF!</f>
        <v>#REF!</v>
      </c>
      <c r="E128" s="161" t="e">
        <f>#REF!</f>
        <v>#REF!</v>
      </c>
      <c r="F128" s="161" t="e">
        <f>#REF!</f>
        <v>#REF!</v>
      </c>
      <c r="G128" s="161" t="e">
        <f>#REF!</f>
        <v>#REF!</v>
      </c>
      <c r="H128" s="161" t="e">
        <f>#REF!</f>
        <v>#REF!</v>
      </c>
      <c r="I128" s="214" t="e">
        <f>#REF!</f>
        <v>#REF!</v>
      </c>
    </row>
    <row r="129" spans="1:9" ht="21.75" hidden="1" customHeight="1">
      <c r="A129" s="135">
        <v>10</v>
      </c>
      <c r="B129" s="2037" t="s">
        <v>115</v>
      </c>
      <c r="C129" s="2059"/>
      <c r="D129" s="213" t="e">
        <f>#REF!</f>
        <v>#REF!</v>
      </c>
      <c r="E129" s="161" t="e">
        <f>#REF!</f>
        <v>#REF!</v>
      </c>
      <c r="F129" s="161" t="e">
        <f>#REF!</f>
        <v>#REF!</v>
      </c>
      <c r="G129" s="161" t="e">
        <f>#REF!</f>
        <v>#REF!</v>
      </c>
      <c r="H129" s="161" t="e">
        <f>#REF!</f>
        <v>#REF!</v>
      </c>
      <c r="I129" s="214" t="e">
        <f>#REF!</f>
        <v>#REF!</v>
      </c>
    </row>
    <row r="130" spans="1:9" ht="21.75" hidden="1" customHeight="1">
      <c r="A130" s="174"/>
      <c r="B130" s="175" t="s">
        <v>117</v>
      </c>
      <c r="C130" s="182"/>
      <c r="D130" s="215" t="s">
        <v>175</v>
      </c>
      <c r="E130" s="170"/>
      <c r="F130" s="170"/>
      <c r="G130" s="170"/>
      <c r="H130" s="170"/>
      <c r="I130" s="216"/>
    </row>
    <row r="131" spans="1:9" ht="21.75" hidden="1" customHeight="1">
      <c r="A131" s="176" t="s">
        <v>7</v>
      </c>
      <c r="B131" s="177" t="s">
        <v>64</v>
      </c>
      <c r="C131" s="178"/>
      <c r="D131" s="217">
        <v>0.25</v>
      </c>
      <c r="E131" s="173">
        <v>0.41666666666666669</v>
      </c>
      <c r="F131" s="173">
        <v>0.58333333333333337</v>
      </c>
      <c r="G131" s="173">
        <v>0.75</v>
      </c>
      <c r="H131" s="173">
        <v>0.91666666666666663</v>
      </c>
      <c r="I131" s="218">
        <v>8.3333333333333329E-2</v>
      </c>
    </row>
    <row r="132" spans="1:9" ht="21.75" hidden="1" customHeight="1">
      <c r="A132" s="154">
        <v>1</v>
      </c>
      <c r="B132" s="1896" t="s">
        <v>68</v>
      </c>
      <c r="C132" s="1897"/>
      <c r="D132" s="213" t="e">
        <f>#REF!</f>
        <v>#REF!</v>
      </c>
      <c r="E132" s="161" t="e">
        <f>#REF!</f>
        <v>#REF!</v>
      </c>
      <c r="F132" s="161" t="e">
        <f>#REF!</f>
        <v>#REF!</v>
      </c>
      <c r="G132" s="161" t="e">
        <f>#REF!</f>
        <v>#REF!</v>
      </c>
      <c r="H132" s="161" t="e">
        <f>#REF!</f>
        <v>#REF!</v>
      </c>
      <c r="I132" s="214" t="e">
        <f>#REF!</f>
        <v>#REF!</v>
      </c>
    </row>
    <row r="133" spans="1:9" ht="21.75" hidden="1" customHeight="1">
      <c r="A133" s="154">
        <v>2</v>
      </c>
      <c r="B133" s="1896" t="s">
        <v>69</v>
      </c>
      <c r="C133" s="1897" t="s">
        <v>69</v>
      </c>
      <c r="D133" s="213" t="e">
        <f>#REF!</f>
        <v>#REF!</v>
      </c>
      <c r="E133" s="161" t="e">
        <f>#REF!</f>
        <v>#REF!</v>
      </c>
      <c r="F133" s="161" t="e">
        <f>#REF!</f>
        <v>#REF!</v>
      </c>
      <c r="G133" s="161" t="e">
        <f>#REF!</f>
        <v>#REF!</v>
      </c>
      <c r="H133" s="161" t="e">
        <f>#REF!</f>
        <v>#REF!</v>
      </c>
      <c r="I133" s="214" t="e">
        <f>#REF!</f>
        <v>#REF!</v>
      </c>
    </row>
    <row r="134" spans="1:9" ht="21.75" hidden="1" customHeight="1">
      <c r="A134" s="154">
        <v>3</v>
      </c>
      <c r="B134" s="1896" t="s">
        <v>71</v>
      </c>
      <c r="C134" s="1897" t="s">
        <v>71</v>
      </c>
      <c r="D134" s="213" t="e">
        <f>#REF!</f>
        <v>#REF!</v>
      </c>
      <c r="E134" s="161" t="e">
        <f>#REF!</f>
        <v>#REF!</v>
      </c>
      <c r="F134" s="161" t="e">
        <f>#REF!</f>
        <v>#REF!</v>
      </c>
      <c r="G134" s="161" t="e">
        <f>#REF!</f>
        <v>#REF!</v>
      </c>
      <c r="H134" s="161" t="e">
        <f>#REF!</f>
        <v>#REF!</v>
      </c>
      <c r="I134" s="214" t="e">
        <f>#REF!</f>
        <v>#REF!</v>
      </c>
    </row>
    <row r="135" spans="1:9" ht="21.75" hidden="1" customHeight="1">
      <c r="A135" s="154">
        <v>4</v>
      </c>
      <c r="B135" s="1896" t="s">
        <v>70</v>
      </c>
      <c r="C135" s="1897" t="s">
        <v>70</v>
      </c>
      <c r="D135" s="213" t="e">
        <f>#REF!</f>
        <v>#REF!</v>
      </c>
      <c r="E135" s="161" t="e">
        <f>#REF!</f>
        <v>#REF!</v>
      </c>
      <c r="F135" s="161" t="e">
        <f>#REF!</f>
        <v>#REF!</v>
      </c>
      <c r="G135" s="161" t="e">
        <f>#REF!</f>
        <v>#REF!</v>
      </c>
      <c r="H135" s="161" t="e">
        <f>#REF!</f>
        <v>#REF!</v>
      </c>
      <c r="I135" s="214" t="e">
        <f>#REF!</f>
        <v>#REF!</v>
      </c>
    </row>
    <row r="136" spans="1:9" ht="21.75" hidden="1" customHeight="1">
      <c r="A136" s="154">
        <v>5</v>
      </c>
      <c r="B136" s="1896" t="s">
        <v>72</v>
      </c>
      <c r="C136" s="1897" t="s">
        <v>72</v>
      </c>
      <c r="D136" s="213" t="e">
        <f>#REF!</f>
        <v>#REF!</v>
      </c>
      <c r="E136" s="161" t="e">
        <f>#REF!</f>
        <v>#REF!</v>
      </c>
      <c r="F136" s="161" t="e">
        <f>#REF!</f>
        <v>#REF!</v>
      </c>
      <c r="G136" s="161" t="e">
        <f>#REF!</f>
        <v>#REF!</v>
      </c>
      <c r="H136" s="161" t="e">
        <f>#REF!</f>
        <v>#REF!</v>
      </c>
      <c r="I136" s="214" t="e">
        <f>#REF!</f>
        <v>#REF!</v>
      </c>
    </row>
    <row r="137" spans="1:9" ht="21.75" hidden="1" customHeight="1">
      <c r="A137" s="154">
        <v>6</v>
      </c>
      <c r="B137" s="1896" t="s">
        <v>95</v>
      </c>
      <c r="C137" s="1897" t="s">
        <v>95</v>
      </c>
      <c r="D137" s="213" t="e">
        <f>#REF!</f>
        <v>#REF!</v>
      </c>
      <c r="E137" s="161" t="e">
        <f>#REF!</f>
        <v>#REF!</v>
      </c>
      <c r="F137" s="161" t="e">
        <f>#REF!</f>
        <v>#REF!</v>
      </c>
      <c r="G137" s="161" t="e">
        <f>#REF!</f>
        <v>#REF!</v>
      </c>
      <c r="H137" s="161" t="e">
        <f>#REF!</f>
        <v>#REF!</v>
      </c>
      <c r="I137" s="214" t="e">
        <f>#REF!</f>
        <v>#REF!</v>
      </c>
    </row>
    <row r="138" spans="1:9" ht="21.75" hidden="1" customHeight="1">
      <c r="A138" s="154">
        <v>7</v>
      </c>
      <c r="B138" s="1896" t="s">
        <v>73</v>
      </c>
      <c r="C138" s="1897" t="s">
        <v>73</v>
      </c>
      <c r="D138" s="213" t="e">
        <f>#REF!</f>
        <v>#REF!</v>
      </c>
      <c r="E138" s="161" t="e">
        <f>#REF!</f>
        <v>#REF!</v>
      </c>
      <c r="F138" s="161" t="e">
        <f>#REF!</f>
        <v>#REF!</v>
      </c>
      <c r="G138" s="161" t="e">
        <f>#REF!</f>
        <v>#REF!</v>
      </c>
      <c r="H138" s="161" t="e">
        <f>#REF!</f>
        <v>#REF!</v>
      </c>
      <c r="I138" s="214" t="e">
        <f>#REF!</f>
        <v>#REF!</v>
      </c>
    </row>
    <row r="139" spans="1:9" ht="21.75" hidden="1" customHeight="1">
      <c r="A139" s="154">
        <v>8</v>
      </c>
      <c r="B139" s="1896" t="s">
        <v>74</v>
      </c>
      <c r="C139" s="1897" t="s">
        <v>74</v>
      </c>
      <c r="D139" s="213" t="e">
        <f>#REF!</f>
        <v>#REF!</v>
      </c>
      <c r="E139" s="161" t="e">
        <f>#REF!</f>
        <v>#REF!</v>
      </c>
      <c r="F139" s="161" t="e">
        <f>#REF!</f>
        <v>#REF!</v>
      </c>
      <c r="G139" s="161" t="e">
        <f>#REF!</f>
        <v>#REF!</v>
      </c>
      <c r="H139" s="161" t="e">
        <f>#REF!</f>
        <v>#REF!</v>
      </c>
      <c r="I139" s="214" t="e">
        <f>#REF!</f>
        <v>#REF!</v>
      </c>
    </row>
    <row r="140" spans="1:9" ht="21.75" hidden="1" customHeight="1">
      <c r="A140" s="174"/>
      <c r="B140" s="175" t="s">
        <v>118</v>
      </c>
      <c r="C140" s="182"/>
      <c r="D140" s="215" t="s">
        <v>176</v>
      </c>
      <c r="E140" s="170"/>
      <c r="F140" s="170"/>
      <c r="G140" s="170"/>
      <c r="H140" s="170"/>
      <c r="I140" s="216"/>
    </row>
    <row r="141" spans="1:9" ht="21.75" hidden="1" customHeight="1">
      <c r="A141" s="176" t="s">
        <v>7</v>
      </c>
      <c r="B141" s="177" t="s">
        <v>100</v>
      </c>
      <c r="C141" s="178"/>
      <c r="D141" s="217">
        <v>0.25</v>
      </c>
      <c r="E141" s="173">
        <v>0.41666666666666669</v>
      </c>
      <c r="F141" s="173">
        <v>0.58333333333333337</v>
      </c>
      <c r="G141" s="173">
        <v>0.75</v>
      </c>
      <c r="H141" s="173">
        <v>0.91666666666666663</v>
      </c>
      <c r="I141" s="218">
        <v>8.3333333333333329E-2</v>
      </c>
    </row>
    <row r="142" spans="1:9" ht="21.75" hidden="1" customHeight="1">
      <c r="A142" s="135">
        <v>1</v>
      </c>
      <c r="B142" s="2037" t="s">
        <v>54</v>
      </c>
      <c r="C142" s="2059"/>
      <c r="D142" s="213" t="e">
        <f>#REF!</f>
        <v>#REF!</v>
      </c>
      <c r="E142" s="161" t="e">
        <f>#REF!</f>
        <v>#REF!</v>
      </c>
      <c r="F142" s="161" t="e">
        <f>#REF!</f>
        <v>#REF!</v>
      </c>
      <c r="G142" s="161" t="e">
        <f>#REF!</f>
        <v>#REF!</v>
      </c>
      <c r="H142" s="161" t="e">
        <f>#REF!</f>
        <v>#REF!</v>
      </c>
      <c r="I142" s="214" t="e">
        <f>#REF!</f>
        <v>#REF!</v>
      </c>
    </row>
    <row r="143" spans="1:9" ht="21.75" hidden="1" customHeight="1">
      <c r="A143" s="135">
        <v>2</v>
      </c>
      <c r="B143" s="2037" t="s">
        <v>94</v>
      </c>
      <c r="C143" s="2059"/>
      <c r="D143" s="213" t="e">
        <f>#REF!</f>
        <v>#REF!</v>
      </c>
      <c r="E143" s="161" t="e">
        <f>#REF!</f>
        <v>#REF!</v>
      </c>
      <c r="F143" s="161" t="e">
        <f>#REF!</f>
        <v>#REF!</v>
      </c>
      <c r="G143" s="161" t="e">
        <f>#REF!</f>
        <v>#REF!</v>
      </c>
      <c r="H143" s="161" t="e">
        <f>#REF!</f>
        <v>#REF!</v>
      </c>
      <c r="I143" s="214" t="e">
        <f>#REF!</f>
        <v>#REF!</v>
      </c>
    </row>
    <row r="144" spans="1:9" ht="21.75" hidden="1" customHeight="1">
      <c r="A144" s="167"/>
      <c r="B144" s="167"/>
      <c r="C144" s="167"/>
      <c r="D144" s="215" t="s">
        <v>174</v>
      </c>
      <c r="E144" s="170"/>
      <c r="F144" s="170"/>
      <c r="G144" s="170"/>
      <c r="H144" s="170"/>
      <c r="I144" s="216"/>
    </row>
    <row r="145" spans="1:9" ht="21.75" hidden="1" customHeight="1">
      <c r="A145" s="167"/>
      <c r="B145" s="167"/>
      <c r="C145" s="167"/>
      <c r="D145" s="219">
        <v>0.25</v>
      </c>
      <c r="E145" s="165">
        <v>0.41666666666666669</v>
      </c>
      <c r="F145" s="165">
        <v>0.58333333333333337</v>
      </c>
      <c r="G145" s="165">
        <v>0.75</v>
      </c>
      <c r="H145" s="165">
        <v>0.91666666666666663</v>
      </c>
      <c r="I145" s="220">
        <v>8.3333333333333329E-2</v>
      </c>
    </row>
    <row r="146" spans="1:9" ht="21.75" hidden="1" customHeight="1">
      <c r="A146" s="2060">
        <v>1</v>
      </c>
      <c r="B146" s="2049" t="s">
        <v>148</v>
      </c>
      <c r="C146" s="151" t="s">
        <v>108</v>
      </c>
      <c r="D146" s="226" t="e">
        <f>#REF!</f>
        <v>#REF!</v>
      </c>
      <c r="E146" s="183" t="e">
        <f>#REF!</f>
        <v>#REF!</v>
      </c>
      <c r="F146" s="183" t="e">
        <f>#REF!</f>
        <v>#REF!</v>
      </c>
      <c r="G146" s="183" t="e">
        <f>#REF!</f>
        <v>#REF!</v>
      </c>
      <c r="H146" s="183" t="e">
        <f>#REF!</f>
        <v>#REF!</v>
      </c>
      <c r="I146" s="227" t="e">
        <f>#REF!</f>
        <v>#REF!</v>
      </c>
    </row>
    <row r="147" spans="1:9" ht="21.75" hidden="1" customHeight="1">
      <c r="A147" s="2076"/>
      <c r="B147" s="2066"/>
      <c r="C147" s="138" t="s">
        <v>109</v>
      </c>
      <c r="D147" s="221" t="e">
        <f>#REF!</f>
        <v>#REF!</v>
      </c>
      <c r="E147" s="168" t="e">
        <f>#REF!</f>
        <v>#REF!</v>
      </c>
      <c r="F147" s="168" t="e">
        <f>#REF!</f>
        <v>#REF!</v>
      </c>
      <c r="G147" s="168" t="e">
        <f>#REF!</f>
        <v>#REF!</v>
      </c>
      <c r="H147" s="168" t="e">
        <f>#REF!</f>
        <v>#REF!</v>
      </c>
      <c r="I147" s="222" t="e">
        <f>#REF!</f>
        <v>#REF!</v>
      </c>
    </row>
    <row r="148" spans="1:9" ht="21.75" hidden="1" customHeight="1">
      <c r="A148" s="2061"/>
      <c r="B148" s="2068"/>
      <c r="C148" s="138" t="s">
        <v>111</v>
      </c>
      <c r="D148" s="221" t="e">
        <f>#REF!</f>
        <v>#REF!</v>
      </c>
      <c r="E148" s="168" t="e">
        <f>#REF!</f>
        <v>#REF!</v>
      </c>
      <c r="F148" s="168" t="e">
        <f>#REF!</f>
        <v>#REF!</v>
      </c>
      <c r="G148" s="168" t="e">
        <f>#REF!</f>
        <v>#REF!</v>
      </c>
      <c r="H148" s="168" t="e">
        <f>#REF!</f>
        <v>#REF!</v>
      </c>
      <c r="I148" s="222" t="e">
        <f>#REF!</f>
        <v>#REF!</v>
      </c>
    </row>
    <row r="149" spans="1:9" ht="21.75" hidden="1" customHeight="1">
      <c r="A149" s="2060">
        <v>2</v>
      </c>
      <c r="B149" s="2049" t="s">
        <v>149</v>
      </c>
      <c r="C149" s="151" t="s">
        <v>108</v>
      </c>
      <c r="D149" s="221" t="e">
        <f>#REF!</f>
        <v>#REF!</v>
      </c>
      <c r="E149" s="168" t="e">
        <f>#REF!</f>
        <v>#REF!</v>
      </c>
      <c r="F149" s="168" t="e">
        <f>#REF!</f>
        <v>#REF!</v>
      </c>
      <c r="G149" s="168" t="e">
        <f>#REF!</f>
        <v>#REF!</v>
      </c>
      <c r="H149" s="168" t="e">
        <f>#REF!</f>
        <v>#REF!</v>
      </c>
      <c r="I149" s="222" t="e">
        <f>#REF!</f>
        <v>#REF!</v>
      </c>
    </row>
    <row r="150" spans="1:9" ht="21.75" hidden="1" customHeight="1">
      <c r="A150" s="2076"/>
      <c r="B150" s="2066"/>
      <c r="C150" s="138" t="s">
        <v>109</v>
      </c>
      <c r="D150" s="221" t="e">
        <f>#REF!</f>
        <v>#REF!</v>
      </c>
      <c r="E150" s="168" t="e">
        <f>#REF!</f>
        <v>#REF!</v>
      </c>
      <c r="F150" s="168" t="e">
        <f>#REF!</f>
        <v>#REF!</v>
      </c>
      <c r="G150" s="168" t="e">
        <f>#REF!</f>
        <v>#REF!</v>
      </c>
      <c r="H150" s="168" t="e">
        <f>#REF!</f>
        <v>#REF!</v>
      </c>
      <c r="I150" s="222" t="e">
        <f>#REF!</f>
        <v>#REF!</v>
      </c>
    </row>
    <row r="151" spans="1:9" ht="21.75" hidden="1" customHeight="1">
      <c r="A151" s="2061"/>
      <c r="B151" s="2068"/>
      <c r="C151" s="138" t="s">
        <v>111</v>
      </c>
      <c r="D151" s="221" t="e">
        <f>#REF!</f>
        <v>#REF!</v>
      </c>
      <c r="E151" s="168" t="e">
        <f>#REF!</f>
        <v>#REF!</v>
      </c>
      <c r="F151" s="168" t="e">
        <f>#REF!</f>
        <v>#REF!</v>
      </c>
      <c r="G151" s="168" t="e">
        <f>#REF!</f>
        <v>#REF!</v>
      </c>
      <c r="H151" s="168" t="e">
        <f>#REF!</f>
        <v>#REF!</v>
      </c>
      <c r="I151" s="222" t="e">
        <f>#REF!</f>
        <v>#REF!</v>
      </c>
    </row>
    <row r="152" spans="1:9" ht="21.75" hidden="1" customHeight="1">
      <c r="A152" s="2060">
        <v>3</v>
      </c>
      <c r="B152" s="2035" t="s">
        <v>150</v>
      </c>
      <c r="C152" s="151" t="s">
        <v>108</v>
      </c>
      <c r="D152" s="221" t="e">
        <f>#REF!</f>
        <v>#REF!</v>
      </c>
      <c r="E152" s="168" t="e">
        <f>#REF!</f>
        <v>#REF!</v>
      </c>
      <c r="F152" s="168" t="e">
        <f>#REF!</f>
        <v>#REF!</v>
      </c>
      <c r="G152" s="168" t="e">
        <f>#REF!</f>
        <v>#REF!</v>
      </c>
      <c r="H152" s="168" t="e">
        <f>#REF!</f>
        <v>#REF!</v>
      </c>
      <c r="I152" s="222" t="e">
        <f>#REF!</f>
        <v>#REF!</v>
      </c>
    </row>
    <row r="153" spans="1:9" ht="21.75" hidden="1" customHeight="1">
      <c r="A153" s="2061"/>
      <c r="B153" s="2036"/>
      <c r="C153" s="138" t="s">
        <v>112</v>
      </c>
      <c r="D153" s="221" t="e">
        <f>#REF!</f>
        <v>#REF!</v>
      </c>
      <c r="E153" s="168" t="e">
        <f>#REF!</f>
        <v>#REF!</v>
      </c>
      <c r="F153" s="168" t="e">
        <f>#REF!</f>
        <v>#REF!</v>
      </c>
      <c r="G153" s="168" t="e">
        <f>#REF!</f>
        <v>#REF!</v>
      </c>
      <c r="H153" s="168" t="e">
        <f>#REF!</f>
        <v>#REF!</v>
      </c>
      <c r="I153" s="222" t="e">
        <f>#REF!</f>
        <v>#REF!</v>
      </c>
    </row>
    <row r="154" spans="1:9" ht="21.75" hidden="1" customHeight="1">
      <c r="A154" s="2060">
        <v>4</v>
      </c>
      <c r="B154" s="2035" t="s">
        <v>151</v>
      </c>
      <c r="C154" s="151" t="s">
        <v>108</v>
      </c>
      <c r="D154" s="221" t="e">
        <f>#REF!</f>
        <v>#REF!</v>
      </c>
      <c r="E154" s="168" t="e">
        <f>#REF!</f>
        <v>#REF!</v>
      </c>
      <c r="F154" s="168" t="e">
        <f>#REF!</f>
        <v>#REF!</v>
      </c>
      <c r="G154" s="168" t="e">
        <f>#REF!</f>
        <v>#REF!</v>
      </c>
      <c r="H154" s="168" t="e">
        <f>#REF!</f>
        <v>#REF!</v>
      </c>
      <c r="I154" s="222" t="e">
        <f>#REF!</f>
        <v>#REF!</v>
      </c>
    </row>
    <row r="155" spans="1:9" ht="21.75" hidden="1" customHeight="1">
      <c r="A155" s="2061"/>
      <c r="B155" s="2036"/>
      <c r="C155" s="138" t="s">
        <v>112</v>
      </c>
      <c r="D155" s="221" t="e">
        <f>#REF!</f>
        <v>#REF!</v>
      </c>
      <c r="E155" s="168" t="e">
        <f>#REF!</f>
        <v>#REF!</v>
      </c>
      <c r="F155" s="168" t="e">
        <f>#REF!</f>
        <v>#REF!</v>
      </c>
      <c r="G155" s="168" t="e">
        <f>#REF!</f>
        <v>#REF!</v>
      </c>
      <c r="H155" s="168" t="e">
        <f>#REF!</f>
        <v>#REF!</v>
      </c>
      <c r="I155" s="222" t="e">
        <f>#REF!</f>
        <v>#REF!</v>
      </c>
    </row>
    <row r="156" spans="1:9" ht="21.75" hidden="1" customHeight="1">
      <c r="A156" s="135">
        <v>5</v>
      </c>
      <c r="B156" s="2037" t="s">
        <v>82</v>
      </c>
      <c r="C156" s="2059"/>
      <c r="D156" s="221" t="e">
        <f>#REF!</f>
        <v>#REF!</v>
      </c>
      <c r="E156" s="168" t="e">
        <f>#REF!</f>
        <v>#REF!</v>
      </c>
      <c r="F156" s="168" t="e">
        <f>#REF!</f>
        <v>#REF!</v>
      </c>
      <c r="G156" s="168" t="e">
        <f>#REF!</f>
        <v>#REF!</v>
      </c>
      <c r="H156" s="168" t="e">
        <f>#REF!</f>
        <v>#REF!</v>
      </c>
      <c r="I156" s="222" t="e">
        <f>#REF!</f>
        <v>#REF!</v>
      </c>
    </row>
    <row r="157" spans="1:9" ht="21.75" hidden="1" customHeight="1">
      <c r="A157" s="135">
        <v>6</v>
      </c>
      <c r="B157" s="2037" t="s">
        <v>60</v>
      </c>
      <c r="C157" s="2059"/>
      <c r="D157" s="221" t="e">
        <f>#REF!</f>
        <v>#REF!</v>
      </c>
      <c r="E157" s="168" t="e">
        <f>#REF!</f>
        <v>#REF!</v>
      </c>
      <c r="F157" s="168" t="e">
        <f>#REF!</f>
        <v>#REF!</v>
      </c>
      <c r="G157" s="168" t="e">
        <f>#REF!</f>
        <v>#REF!</v>
      </c>
      <c r="H157" s="168" t="e">
        <f>#REF!</f>
        <v>#REF!</v>
      </c>
      <c r="I157" s="222" t="e">
        <f>#REF!</f>
        <v>#REF!</v>
      </c>
    </row>
    <row r="158" spans="1:9" ht="21.75" hidden="1" customHeight="1">
      <c r="A158" s="2139">
        <v>7</v>
      </c>
      <c r="B158" s="2049" t="s">
        <v>167</v>
      </c>
      <c r="C158" s="2050"/>
      <c r="D158" s="221" t="e">
        <f>#REF!</f>
        <v>#REF!</v>
      </c>
      <c r="E158" s="168" t="e">
        <f>#REF!</f>
        <v>#REF!</v>
      </c>
      <c r="F158" s="168" t="e">
        <f>#REF!</f>
        <v>#REF!</v>
      </c>
      <c r="G158" s="168" t="e">
        <f>#REF!</f>
        <v>#REF!</v>
      </c>
      <c r="H158" s="168" t="e">
        <f>#REF!</f>
        <v>#REF!</v>
      </c>
      <c r="I158" s="222" t="e">
        <f>#REF!</f>
        <v>#REF!</v>
      </c>
    </row>
    <row r="159" spans="1:9" ht="21.75" hidden="1" customHeight="1">
      <c r="A159" s="2140"/>
      <c r="B159" s="2052"/>
      <c r="C159" s="2053"/>
      <c r="D159" s="221" t="e">
        <f>#REF!</f>
        <v>#REF!</v>
      </c>
      <c r="E159" s="168" t="e">
        <f>#REF!</f>
        <v>#REF!</v>
      </c>
      <c r="F159" s="168" t="e">
        <f>#REF!</f>
        <v>#REF!</v>
      </c>
      <c r="G159" s="168" t="e">
        <f>#REF!</f>
        <v>#REF!</v>
      </c>
      <c r="H159" s="168" t="e">
        <f>#REF!</f>
        <v>#REF!</v>
      </c>
      <c r="I159" s="222" t="e">
        <f>#REF!</f>
        <v>#REF!</v>
      </c>
    </row>
    <row r="160" spans="1:9" ht="21.75" hidden="1" customHeight="1">
      <c r="A160" s="135">
        <v>8</v>
      </c>
      <c r="B160" s="2037" t="s">
        <v>61</v>
      </c>
      <c r="C160" s="2059"/>
      <c r="D160" s="221" t="e">
        <f>#REF!</f>
        <v>#REF!</v>
      </c>
      <c r="E160" s="168" t="e">
        <f>#REF!</f>
        <v>#REF!</v>
      </c>
      <c r="F160" s="168" t="e">
        <f>#REF!</f>
        <v>#REF!</v>
      </c>
      <c r="G160" s="168" t="e">
        <f>#REF!</f>
        <v>#REF!</v>
      </c>
      <c r="H160" s="168" t="e">
        <f>#REF!</f>
        <v>#REF!</v>
      </c>
      <c r="I160" s="222" t="e">
        <f>#REF!</f>
        <v>#REF!</v>
      </c>
    </row>
    <row r="161" spans="1:9" ht="21.75" hidden="1" customHeight="1">
      <c r="A161" s="135">
        <v>9</v>
      </c>
      <c r="B161" s="2037" t="s">
        <v>62</v>
      </c>
      <c r="C161" s="2059"/>
      <c r="D161" s="221" t="e">
        <f>#REF!</f>
        <v>#REF!</v>
      </c>
      <c r="E161" s="168" t="e">
        <f>#REF!</f>
        <v>#REF!</v>
      </c>
      <c r="F161" s="168" t="e">
        <f>#REF!</f>
        <v>#REF!</v>
      </c>
      <c r="G161" s="168" t="e">
        <f>#REF!</f>
        <v>#REF!</v>
      </c>
      <c r="H161" s="168" t="e">
        <f>#REF!</f>
        <v>#REF!</v>
      </c>
      <c r="I161" s="222" t="e">
        <f>#REF!</f>
        <v>#REF!</v>
      </c>
    </row>
    <row r="162" spans="1:9" ht="21.75" hidden="1" customHeight="1">
      <c r="A162" s="135">
        <v>10</v>
      </c>
      <c r="B162" s="2037" t="s">
        <v>115</v>
      </c>
      <c r="C162" s="2059"/>
      <c r="D162" s="223" t="e">
        <f>#REF!</f>
        <v>#REF!</v>
      </c>
      <c r="E162" s="172" t="e">
        <f>#REF!</f>
        <v>#REF!</v>
      </c>
      <c r="F162" s="172" t="e">
        <f>#REF!</f>
        <v>#REF!</v>
      </c>
      <c r="G162" s="172" t="e">
        <f>#REF!</f>
        <v>#REF!</v>
      </c>
      <c r="H162" s="172" t="e">
        <f>#REF!</f>
        <v>#REF!</v>
      </c>
      <c r="I162" s="224" t="e">
        <f>#REF!</f>
        <v>#REF!</v>
      </c>
    </row>
    <row r="163" spans="1:9" ht="21.75" hidden="1" customHeight="1">
      <c r="D163" s="213"/>
      <c r="E163" s="161"/>
      <c r="F163" s="161"/>
      <c r="G163" s="161"/>
      <c r="H163" s="161"/>
      <c r="I163" s="214"/>
    </row>
    <row r="164" spans="1:9" s="161" customFormat="1" ht="32.25" hidden="1" customHeight="1">
      <c r="A164" s="193"/>
      <c r="B164" s="194" t="s">
        <v>144</v>
      </c>
      <c r="C164" s="195"/>
      <c r="D164" s="213"/>
      <c r="I164" s="214"/>
    </row>
    <row r="165" spans="1:9" ht="21.75" hidden="1" customHeight="1">
      <c r="A165" s="191" t="s">
        <v>7</v>
      </c>
      <c r="B165" s="179"/>
      <c r="C165" s="179"/>
      <c r="D165" s="215" t="s">
        <v>173</v>
      </c>
      <c r="E165" s="170"/>
      <c r="F165" s="170"/>
      <c r="G165" s="170"/>
      <c r="H165" s="170"/>
      <c r="I165" s="216"/>
    </row>
    <row r="166" spans="1:9" ht="21.75" hidden="1" customHeight="1">
      <c r="A166" s="192"/>
      <c r="B166" s="188"/>
      <c r="C166" s="188"/>
      <c r="D166" s="219">
        <v>0.25</v>
      </c>
      <c r="E166" s="165">
        <v>0.41666666666666669</v>
      </c>
      <c r="F166" s="165">
        <v>0.58333333333333337</v>
      </c>
      <c r="G166" s="165">
        <v>0.75</v>
      </c>
      <c r="H166" s="165">
        <v>0.91666666666666663</v>
      </c>
      <c r="I166" s="220">
        <v>8.3333333333333329E-2</v>
      </c>
    </row>
    <row r="167" spans="1:9" ht="21.75" hidden="1" customHeight="1">
      <c r="A167" s="2143">
        <v>1</v>
      </c>
      <c r="B167" s="2145" t="s">
        <v>156</v>
      </c>
      <c r="C167" s="189" t="s">
        <v>108</v>
      </c>
      <c r="D167" s="213">
        <f>'3.XT-C kh'!H6</f>
        <v>0</v>
      </c>
      <c r="E167" s="161">
        <f>'3.XT-C kh'!P6</f>
        <v>0</v>
      </c>
      <c r="F167" s="161">
        <f>'3.XT-C kh'!X6</f>
        <v>0</v>
      </c>
      <c r="G167" s="161">
        <f>'3.XT-C kh'!H42</f>
        <v>0</v>
      </c>
      <c r="H167" s="161">
        <f>'3.XT-C kh'!P42</f>
        <v>0</v>
      </c>
      <c r="I167" s="214">
        <f>'3.XT-C kh'!X42</f>
        <v>0</v>
      </c>
    </row>
    <row r="168" spans="1:9" ht="21.75" hidden="1" customHeight="1">
      <c r="A168" s="2143"/>
      <c r="B168" s="2146"/>
      <c r="C168" s="190" t="s">
        <v>109</v>
      </c>
      <c r="D168" s="213">
        <f>'3.XT-C kh'!H7</f>
        <v>0</v>
      </c>
      <c r="E168" s="161">
        <f>'3.XT-C kh'!P7</f>
        <v>0</v>
      </c>
      <c r="F168" s="161">
        <f>'3.XT-C kh'!X7</f>
        <v>0</v>
      </c>
      <c r="G168" s="161">
        <f>'3.XT-C kh'!H43</f>
        <v>0</v>
      </c>
      <c r="H168" s="161">
        <f>'3.XT-C kh'!P43</f>
        <v>0</v>
      </c>
      <c r="I168" s="214">
        <f>'3.XT-C kh'!X43</f>
        <v>0</v>
      </c>
    </row>
    <row r="169" spans="1:9" ht="21.75" hidden="1" customHeight="1">
      <c r="A169" s="2144"/>
      <c r="B169" s="2147"/>
      <c r="C169" s="160" t="s">
        <v>111</v>
      </c>
      <c r="D169" s="211" t="e">
        <f>'3.XT-C kh'!#REF!</f>
        <v>#REF!</v>
      </c>
      <c r="E169" s="162" t="e">
        <f>'3.XT-C kh'!#REF!</f>
        <v>#REF!</v>
      </c>
      <c r="F169" s="162" t="e">
        <f>'3.XT-C kh'!#REF!</f>
        <v>#REF!</v>
      </c>
      <c r="G169" s="162" t="e">
        <f>'3.XT-C kh'!#REF!</f>
        <v>#REF!</v>
      </c>
      <c r="H169" s="162" t="e">
        <f>'3.XT-C kh'!#REF!</f>
        <v>#REF!</v>
      </c>
      <c r="I169" s="212" t="e">
        <f>'3.XT-C kh'!#REF!</f>
        <v>#REF!</v>
      </c>
    </row>
    <row r="170" spans="1:9" ht="21.75" hidden="1" customHeight="1">
      <c r="A170" s="2039">
        <v>2</v>
      </c>
      <c r="B170" s="2141" t="s">
        <v>157</v>
      </c>
      <c r="C170" s="158" t="s">
        <v>108</v>
      </c>
      <c r="D170" s="213">
        <f>'3.XT-C kh'!H8</f>
        <v>0</v>
      </c>
      <c r="E170" s="161">
        <f>'3.XT-C kh'!P8</f>
        <v>0</v>
      </c>
      <c r="F170" s="161">
        <f>'3.XT-C kh'!X8</f>
        <v>0</v>
      </c>
      <c r="G170" s="161">
        <f>'3.XT-C kh'!H44</f>
        <v>0</v>
      </c>
      <c r="H170" s="161">
        <f>'3.XT-C kh'!P44</f>
        <v>0</v>
      </c>
      <c r="I170" s="214">
        <f>'3.XT-C kh'!X44</f>
        <v>0</v>
      </c>
    </row>
    <row r="171" spans="1:9" ht="21.75" hidden="1" customHeight="1">
      <c r="A171" s="2039"/>
      <c r="B171" s="2042"/>
      <c r="C171" s="156" t="s">
        <v>109</v>
      </c>
      <c r="D171" s="213">
        <f>'3.XT-C kh'!H9</f>
        <v>0</v>
      </c>
      <c r="E171" s="161">
        <f>'3.XT-C kh'!P9</f>
        <v>0</v>
      </c>
      <c r="F171" s="161">
        <f>'3.XT-C kh'!X9</f>
        <v>0</v>
      </c>
      <c r="G171" s="161">
        <f>'3.XT-C kh'!H45</f>
        <v>0</v>
      </c>
      <c r="H171" s="161">
        <f>'3.XT-C kh'!P45</f>
        <v>0</v>
      </c>
      <c r="I171" s="214">
        <f>'3.XT-C kh'!X45</f>
        <v>0</v>
      </c>
    </row>
    <row r="172" spans="1:9" ht="21.75" hidden="1" customHeight="1">
      <c r="A172" s="2028"/>
      <c r="B172" s="2142"/>
      <c r="C172" s="156" t="s">
        <v>111</v>
      </c>
      <c r="D172" s="213" t="e">
        <f>'3.XT-C kh'!#REF!</f>
        <v>#REF!</v>
      </c>
      <c r="E172" s="161" t="e">
        <f>'3.XT-C kh'!#REF!</f>
        <v>#REF!</v>
      </c>
      <c r="F172" s="161" t="e">
        <f>'3.XT-C kh'!#REF!</f>
        <v>#REF!</v>
      </c>
      <c r="G172" s="161" t="e">
        <f>'3.XT-C kh'!#REF!</f>
        <v>#REF!</v>
      </c>
      <c r="H172" s="161" t="e">
        <f>'3.XT-C kh'!#REF!</f>
        <v>#REF!</v>
      </c>
      <c r="I172" s="214" t="e">
        <f>'3.XT-C kh'!#REF!</f>
        <v>#REF!</v>
      </c>
    </row>
    <row r="173" spans="1:9" ht="21.75" hidden="1" customHeight="1">
      <c r="A173" s="2027">
        <v>3</v>
      </c>
      <c r="B173" s="2035" t="s">
        <v>158</v>
      </c>
      <c r="C173" s="155" t="s">
        <v>108</v>
      </c>
      <c r="D173" s="213">
        <f>'3.XT-C kh'!H10</f>
        <v>0</v>
      </c>
      <c r="E173" s="161">
        <f>'3.XT-C kh'!P10</f>
        <v>0</v>
      </c>
      <c r="F173" s="161">
        <f>'3.XT-C kh'!X10</f>
        <v>0</v>
      </c>
      <c r="G173" s="161">
        <f>'3.XT-C kh'!H46</f>
        <v>0</v>
      </c>
      <c r="H173" s="161">
        <f>'3.XT-C kh'!P46</f>
        <v>0</v>
      </c>
      <c r="I173" s="214">
        <f>'3.XT-C kh'!X46</f>
        <v>0</v>
      </c>
    </row>
    <row r="174" spans="1:9" ht="21.75" hidden="1" customHeight="1">
      <c r="A174" s="2028"/>
      <c r="B174" s="2036"/>
      <c r="C174" s="156" t="s">
        <v>112</v>
      </c>
      <c r="D174" s="213">
        <f>'3.XT-C kh'!H11</f>
        <v>0</v>
      </c>
      <c r="E174" s="161">
        <f>'3.XT-C kh'!P11</f>
        <v>0</v>
      </c>
      <c r="F174" s="161">
        <f>'3.XT-C kh'!X11</f>
        <v>0</v>
      </c>
      <c r="G174" s="161">
        <f>'3.XT-C kh'!H47</f>
        <v>0</v>
      </c>
      <c r="H174" s="161">
        <f>'3.XT-C kh'!P47</f>
        <v>0</v>
      </c>
      <c r="I174" s="214">
        <f>'3.XT-C kh'!X47</f>
        <v>0</v>
      </c>
    </row>
    <row r="175" spans="1:9" ht="21.75" hidden="1" customHeight="1">
      <c r="A175" s="2027">
        <v>4</v>
      </c>
      <c r="B175" s="2035" t="s">
        <v>159</v>
      </c>
      <c r="C175" s="155" t="s">
        <v>108</v>
      </c>
      <c r="D175" s="213">
        <f>'3.XT-C kh'!H12</f>
        <v>0</v>
      </c>
      <c r="E175" s="161">
        <f>'3.XT-C kh'!P12</f>
        <v>0</v>
      </c>
      <c r="F175" s="161">
        <f>'3.XT-C kh'!X12</f>
        <v>0</v>
      </c>
      <c r="G175" s="161">
        <f>'3.XT-C kh'!H48</f>
        <v>0</v>
      </c>
      <c r="H175" s="161">
        <f>'3.XT-C kh'!P48</f>
        <v>0</v>
      </c>
      <c r="I175" s="214">
        <f>'3.XT-C kh'!X48</f>
        <v>0</v>
      </c>
    </row>
    <row r="176" spans="1:9" ht="21.75" hidden="1" customHeight="1">
      <c r="A176" s="2028"/>
      <c r="B176" s="2036"/>
      <c r="C176" s="156" t="s">
        <v>112</v>
      </c>
      <c r="D176" s="213">
        <f>'3.XT-C kh'!H13</f>
        <v>0</v>
      </c>
      <c r="E176" s="161">
        <f>'3.XT-C kh'!P13</f>
        <v>0</v>
      </c>
      <c r="F176" s="161">
        <f>'3.XT-C kh'!X13</f>
        <v>0</v>
      </c>
      <c r="G176" s="161">
        <f>'3.XT-C kh'!H49</f>
        <v>0</v>
      </c>
      <c r="H176" s="161">
        <f>'3.XT-C kh'!P49</f>
        <v>0</v>
      </c>
      <c r="I176" s="214">
        <f>'3.XT-C kh'!X49</f>
        <v>0</v>
      </c>
    </row>
    <row r="177" spans="1:9" ht="21.75" hidden="1" customHeight="1">
      <c r="A177" s="2027">
        <v>5</v>
      </c>
      <c r="B177" s="2090" t="s">
        <v>121</v>
      </c>
      <c r="C177" s="157"/>
      <c r="D177" s="213">
        <f>'3.XT-C kh'!H14</f>
        <v>0</v>
      </c>
      <c r="E177" s="161">
        <f>'3.XT-C kh'!P14</f>
        <v>0</v>
      </c>
      <c r="F177" s="161">
        <f>'3.XT-C kh'!X14</f>
        <v>0</v>
      </c>
      <c r="G177" s="161">
        <f>'3.XT-C kh'!H50</f>
        <v>0</v>
      </c>
      <c r="H177" s="161">
        <f>'3.XT-C kh'!P50</f>
        <v>0</v>
      </c>
      <c r="I177" s="214">
        <f>'3.XT-C kh'!X50</f>
        <v>0</v>
      </c>
    </row>
    <row r="178" spans="1:9" ht="21.75" hidden="1" customHeight="1">
      <c r="A178" s="2028"/>
      <c r="B178" s="2091"/>
      <c r="C178" s="157"/>
      <c r="D178" s="213">
        <f>'3.XT-C kh'!H15</f>
        <v>0</v>
      </c>
      <c r="E178" s="161">
        <f>'3.XT-C kh'!P15</f>
        <v>0</v>
      </c>
      <c r="F178" s="161">
        <f>'3.XT-C kh'!X15</f>
        <v>0</v>
      </c>
      <c r="G178" s="161">
        <f>'3.XT-C kh'!H51</f>
        <v>0</v>
      </c>
      <c r="H178" s="161">
        <f>'3.XT-C kh'!P51</f>
        <v>0</v>
      </c>
      <c r="I178" s="214">
        <f>'3.XT-C kh'!X51</f>
        <v>0</v>
      </c>
    </row>
    <row r="179" spans="1:9" ht="21.75" hidden="1" customHeight="1">
      <c r="A179" s="2027">
        <v>6</v>
      </c>
      <c r="B179" s="2084" t="s">
        <v>40</v>
      </c>
      <c r="C179" s="2085"/>
      <c r="D179" s="213">
        <f>'3.XT-C kh'!H16</f>
        <v>-1.0461</v>
      </c>
      <c r="E179" s="161">
        <f>'3.XT-C kh'!P16</f>
        <v>-1.0461</v>
      </c>
      <c r="F179" s="161">
        <f>'3.XT-C kh'!X16</f>
        <v>-1.0461</v>
      </c>
      <c r="G179" s="161">
        <f>'3.XT-C kh'!H52</f>
        <v>-1.0461</v>
      </c>
      <c r="H179" s="161">
        <f>'3.XT-C kh'!P52</f>
        <v>-1.0461</v>
      </c>
      <c r="I179" s="214">
        <f>'3.XT-C kh'!X52</f>
        <v>-1.0461</v>
      </c>
    </row>
    <row r="180" spans="1:9" ht="21.75" hidden="1" customHeight="1">
      <c r="A180" s="2028"/>
      <c r="B180" s="2086"/>
      <c r="C180" s="2087"/>
      <c r="D180" s="213">
        <f>'3.XT-C kh'!H17</f>
        <v>0</v>
      </c>
      <c r="E180" s="161">
        <f>'3.XT-C kh'!P17</f>
        <v>0</v>
      </c>
      <c r="F180" s="161">
        <f>'3.XT-C kh'!X17</f>
        <v>0</v>
      </c>
      <c r="G180" s="161">
        <f>'3.XT-C kh'!H53</f>
        <v>0</v>
      </c>
      <c r="H180" s="161">
        <f>'3.XT-C kh'!P53</f>
        <v>0</v>
      </c>
      <c r="I180" s="214">
        <f>'3.XT-C kh'!X53</f>
        <v>0</v>
      </c>
    </row>
    <row r="181" spans="1:9" ht="21.75" hidden="1" customHeight="1">
      <c r="A181" s="159">
        <v>7</v>
      </c>
      <c r="B181" s="1990" t="s">
        <v>38</v>
      </c>
      <c r="C181" s="1991"/>
      <c r="D181" s="213">
        <f>'3.XT-C kh'!H18</f>
        <v>0</v>
      </c>
      <c r="E181" s="161">
        <f>'3.XT-C kh'!P18</f>
        <v>0</v>
      </c>
      <c r="F181" s="161">
        <f>'3.XT-C kh'!X18</f>
        <v>0</v>
      </c>
      <c r="G181" s="161">
        <f>'3.XT-C kh'!H54</f>
        <v>0</v>
      </c>
      <c r="H181" s="161">
        <f>'3.XT-C kh'!P54</f>
        <v>0</v>
      </c>
      <c r="I181" s="214">
        <f>'3.XT-C kh'!X54</f>
        <v>0</v>
      </c>
    </row>
    <row r="182" spans="1:9" ht="21.75" hidden="1" customHeight="1">
      <c r="A182" s="159">
        <v>8</v>
      </c>
      <c r="B182" s="1990" t="s">
        <v>39</v>
      </c>
      <c r="C182" s="1991"/>
      <c r="D182" s="213">
        <f>'3.XT-C kh'!H19</f>
        <v>0</v>
      </c>
      <c r="E182" s="161">
        <f>'3.XT-C kh'!P19</f>
        <v>0</v>
      </c>
      <c r="F182" s="161">
        <f>'3.XT-C kh'!X19</f>
        <v>0</v>
      </c>
      <c r="G182" s="161">
        <f>'3.XT-C kh'!H55</f>
        <v>0</v>
      </c>
      <c r="H182" s="161">
        <f>'3.XT-C kh'!P55</f>
        <v>0</v>
      </c>
      <c r="I182" s="214">
        <f>'3.XT-C kh'!X55</f>
        <v>0</v>
      </c>
    </row>
    <row r="183" spans="1:9" ht="21.75" hidden="1" customHeight="1">
      <c r="A183" s="159">
        <v>9</v>
      </c>
      <c r="B183" s="1993" t="s">
        <v>86</v>
      </c>
      <c r="C183" s="1994"/>
      <c r="D183" s="213">
        <f>'3.XT-C kh'!H20</f>
        <v>0</v>
      </c>
      <c r="E183" s="161">
        <f>'3.XT-C kh'!P20</f>
        <v>0</v>
      </c>
      <c r="F183" s="161">
        <f>'3.XT-C kh'!X20</f>
        <v>0</v>
      </c>
      <c r="G183" s="161">
        <f>'3.XT-C kh'!H56</f>
        <v>0</v>
      </c>
      <c r="H183" s="161">
        <f>'3.XT-C kh'!P56</f>
        <v>0</v>
      </c>
      <c r="I183" s="214">
        <f>'3.XT-C kh'!X56</f>
        <v>0</v>
      </c>
    </row>
    <row r="184" spans="1:9" ht="21.75" hidden="1" customHeight="1">
      <c r="A184" s="159">
        <v>10</v>
      </c>
      <c r="B184" s="1993" t="s">
        <v>120</v>
      </c>
      <c r="C184" s="1994" t="s">
        <v>120</v>
      </c>
      <c r="D184" s="213">
        <f>'3.XT-C kh'!H21</f>
        <v>0</v>
      </c>
      <c r="E184" s="161">
        <f>'3.XT-C kh'!P21</f>
        <v>0</v>
      </c>
      <c r="F184" s="161">
        <f>'3.XT-C kh'!X21</f>
        <v>0</v>
      </c>
      <c r="G184" s="161">
        <f>'3.XT-C kh'!H57</f>
        <v>0</v>
      </c>
      <c r="H184" s="161">
        <f>'3.XT-C kh'!P57</f>
        <v>0</v>
      </c>
      <c r="I184" s="214">
        <f>'3.XT-C kh'!X57</f>
        <v>0</v>
      </c>
    </row>
    <row r="185" spans="1:9" ht="21.75" hidden="1" customHeight="1">
      <c r="A185" s="174"/>
      <c r="B185" s="175" t="s">
        <v>117</v>
      </c>
      <c r="C185" s="182"/>
      <c r="D185" s="215" t="s">
        <v>175</v>
      </c>
      <c r="E185" s="170"/>
      <c r="F185" s="170"/>
      <c r="G185" s="170"/>
      <c r="H185" s="170"/>
      <c r="I185" s="216"/>
    </row>
    <row r="186" spans="1:9" ht="21.75" hidden="1" customHeight="1">
      <c r="A186" s="176" t="s">
        <v>7</v>
      </c>
      <c r="B186" s="177" t="s">
        <v>64</v>
      </c>
      <c r="C186" s="178"/>
      <c r="D186" s="217">
        <v>0.25</v>
      </c>
      <c r="E186" s="173">
        <v>0.41666666666666669</v>
      </c>
      <c r="F186" s="173">
        <v>0.58333333333333337</v>
      </c>
      <c r="G186" s="173">
        <v>0.75</v>
      </c>
      <c r="H186" s="173">
        <v>0.91666666666666663</v>
      </c>
      <c r="I186" s="218">
        <v>8.3333333333333329E-2</v>
      </c>
    </row>
    <row r="187" spans="1:9" ht="21.75" hidden="1" customHeight="1">
      <c r="A187" s="159">
        <v>1</v>
      </c>
      <c r="B187" s="2010" t="s">
        <v>36</v>
      </c>
      <c r="C187" s="2011"/>
      <c r="D187" s="213">
        <f>'3.XT-C kh'!H24</f>
        <v>0</v>
      </c>
      <c r="E187" s="161">
        <f>'3.XT-C kh'!P24</f>
        <v>0</v>
      </c>
      <c r="F187" s="161">
        <f>'3.XT-C kh'!X24</f>
        <v>0</v>
      </c>
      <c r="G187" s="161">
        <f>'3.XT-C kh'!H60</f>
        <v>0</v>
      </c>
      <c r="H187" s="161">
        <f>'3.XT-C kh'!P60</f>
        <v>0</v>
      </c>
      <c r="I187" s="214">
        <f>'3.XT-C kh'!X60</f>
        <v>0</v>
      </c>
    </row>
    <row r="188" spans="1:9" ht="21.75" hidden="1" customHeight="1">
      <c r="A188" s="159">
        <v>2</v>
      </c>
      <c r="B188" s="2010" t="s">
        <v>37</v>
      </c>
      <c r="C188" s="2011"/>
      <c r="D188" s="213">
        <f>'3.XT-C kh'!H25</f>
        <v>0</v>
      </c>
      <c r="E188" s="161">
        <f>'3.XT-C kh'!P25</f>
        <v>0</v>
      </c>
      <c r="F188" s="161">
        <f>'3.XT-C kh'!X25</f>
        <v>0</v>
      </c>
      <c r="G188" s="161">
        <f>'3.XT-C kh'!H61</f>
        <v>0</v>
      </c>
      <c r="H188" s="161">
        <f>'3.XT-C kh'!P61</f>
        <v>0</v>
      </c>
      <c r="I188" s="214">
        <f>'3.XT-C kh'!X61</f>
        <v>0</v>
      </c>
    </row>
    <row r="189" spans="1:9" ht="21.75" hidden="1" customHeight="1">
      <c r="A189" s="159">
        <v>3</v>
      </c>
      <c r="B189" s="2010" t="s">
        <v>29</v>
      </c>
      <c r="C189" s="2011"/>
      <c r="D189" s="213">
        <f>'3.XT-C kh'!H26</f>
        <v>0</v>
      </c>
      <c r="E189" s="161">
        <f>'3.XT-C kh'!P26</f>
        <v>0</v>
      </c>
      <c r="F189" s="161">
        <f>'3.XT-C kh'!X26</f>
        <v>0</v>
      </c>
      <c r="G189" s="161">
        <f>'3.XT-C kh'!H62</f>
        <v>0</v>
      </c>
      <c r="H189" s="161">
        <f>'3.XT-C kh'!P62</f>
        <v>0</v>
      </c>
      <c r="I189" s="214">
        <f>'3.XT-C kh'!X62</f>
        <v>0</v>
      </c>
    </row>
    <row r="190" spans="1:9" ht="21.75" hidden="1" customHeight="1">
      <c r="A190" s="159">
        <v>4</v>
      </c>
      <c r="B190" s="2010" t="s">
        <v>30</v>
      </c>
      <c r="C190" s="2011"/>
      <c r="D190" s="213">
        <f>'3.XT-C kh'!H27</f>
        <v>0</v>
      </c>
      <c r="E190" s="161">
        <f>'3.XT-C kh'!P27</f>
        <v>0</v>
      </c>
      <c r="F190" s="161">
        <f>'3.XT-C kh'!X27</f>
        <v>0</v>
      </c>
      <c r="G190" s="161">
        <f>'3.XT-C kh'!H63</f>
        <v>0</v>
      </c>
      <c r="H190" s="161">
        <f>'3.XT-C kh'!P63</f>
        <v>0</v>
      </c>
      <c r="I190" s="214">
        <f>'3.XT-C kh'!X63</f>
        <v>0</v>
      </c>
    </row>
    <row r="191" spans="1:9" ht="21.75" hidden="1" customHeight="1">
      <c r="A191" s="159">
        <v>5</v>
      </c>
      <c r="B191" s="2010" t="s">
        <v>31</v>
      </c>
      <c r="C191" s="2011"/>
      <c r="D191" s="213">
        <f>'3.XT-C kh'!H28</f>
        <v>0</v>
      </c>
      <c r="E191" s="161">
        <f>'3.XT-C kh'!P28</f>
        <v>0</v>
      </c>
      <c r="F191" s="161">
        <f>'3.XT-C kh'!X28</f>
        <v>0</v>
      </c>
      <c r="G191" s="161">
        <f>'3.XT-C kh'!H64</f>
        <v>0</v>
      </c>
      <c r="H191" s="161">
        <f>'3.XT-C kh'!P64</f>
        <v>0</v>
      </c>
      <c r="I191" s="214">
        <f>'3.XT-C kh'!X64</f>
        <v>0</v>
      </c>
    </row>
    <row r="192" spans="1:9" ht="21.75" hidden="1" customHeight="1">
      <c r="A192" s="159">
        <v>6</v>
      </c>
      <c r="B192" s="2010" t="s">
        <v>32</v>
      </c>
      <c r="C192" s="2011"/>
      <c r="D192" s="213">
        <f>'3.XT-C kh'!H29</f>
        <v>0</v>
      </c>
      <c r="E192" s="161">
        <f>'3.XT-C kh'!P29</f>
        <v>0</v>
      </c>
      <c r="F192" s="161">
        <f>'3.XT-C kh'!X29</f>
        <v>0</v>
      </c>
      <c r="G192" s="161">
        <f>'3.XT-C kh'!H65</f>
        <v>0</v>
      </c>
      <c r="H192" s="161">
        <f>'3.XT-C kh'!P65</f>
        <v>0</v>
      </c>
      <c r="I192" s="214">
        <f>'3.XT-C kh'!X65</f>
        <v>0</v>
      </c>
    </row>
    <row r="193" spans="1:9" ht="21.75" hidden="1" customHeight="1">
      <c r="A193" s="159">
        <v>7</v>
      </c>
      <c r="B193" s="2010" t="s">
        <v>33</v>
      </c>
      <c r="C193" s="2011"/>
      <c r="D193" s="213">
        <f>'3.XT-C kh'!H30</f>
        <v>0</v>
      </c>
      <c r="E193" s="161">
        <f>'3.XT-C kh'!P30</f>
        <v>0</v>
      </c>
      <c r="F193" s="161">
        <f>'3.XT-C kh'!X30</f>
        <v>0</v>
      </c>
      <c r="G193" s="161">
        <f>'3.XT-C kh'!H66</f>
        <v>0</v>
      </c>
      <c r="H193" s="161">
        <f>'3.XT-C kh'!P66</f>
        <v>0</v>
      </c>
      <c r="I193" s="214">
        <f>'3.XT-C kh'!X66</f>
        <v>0</v>
      </c>
    </row>
    <row r="194" spans="1:9" ht="21.75" hidden="1" customHeight="1">
      <c r="A194" s="159">
        <v>8</v>
      </c>
      <c r="B194" s="2010" t="s">
        <v>34</v>
      </c>
      <c r="C194" s="2011"/>
      <c r="D194" s="213">
        <f>'3.XT-C kh'!J31</f>
        <v>0</v>
      </c>
      <c r="E194" s="161">
        <f>'3.XT-C kh'!R31</f>
        <v>0</v>
      </c>
      <c r="F194" s="161">
        <f>'3.XT-C kh'!Z31</f>
        <v>0</v>
      </c>
      <c r="G194" s="161">
        <f>'3.XT-C kh'!J67</f>
        <v>0</v>
      </c>
      <c r="H194" s="161">
        <f>'3.XT-C kh'!R67</f>
        <v>0</v>
      </c>
      <c r="I194" s="214">
        <f>'3.XT-C kh'!Z67</f>
        <v>0</v>
      </c>
    </row>
    <row r="195" spans="1:9" ht="21.75" hidden="1" customHeight="1">
      <c r="A195" s="174"/>
      <c r="B195" s="175" t="s">
        <v>118</v>
      </c>
      <c r="C195" s="182"/>
      <c r="D195" s="215" t="s">
        <v>176</v>
      </c>
      <c r="E195" s="170"/>
      <c r="F195" s="170"/>
      <c r="G195" s="170"/>
      <c r="H195" s="170"/>
      <c r="I195" s="216"/>
    </row>
    <row r="196" spans="1:9" ht="21.75" hidden="1" customHeight="1">
      <c r="A196" s="176" t="s">
        <v>7</v>
      </c>
      <c r="B196" s="177" t="s">
        <v>100</v>
      </c>
      <c r="C196" s="178"/>
      <c r="D196" s="217">
        <v>0.25</v>
      </c>
      <c r="E196" s="173">
        <v>0.41666666666666669</v>
      </c>
      <c r="F196" s="173">
        <v>0.58333333333333337</v>
      </c>
      <c r="G196" s="173">
        <v>0.75</v>
      </c>
      <c r="H196" s="173">
        <v>0.91666666666666663</v>
      </c>
      <c r="I196" s="218">
        <v>8.3333333333333329E-2</v>
      </c>
    </row>
    <row r="197" spans="1:9" ht="21.75" hidden="1" customHeight="1">
      <c r="A197" s="159">
        <v>1</v>
      </c>
      <c r="B197" s="2148" t="s">
        <v>123</v>
      </c>
      <c r="C197" s="2149"/>
      <c r="D197" s="213">
        <f>'3.XT-C kh'!H34</f>
        <v>0</v>
      </c>
      <c r="E197" s="161">
        <f>'3.XT-C kh'!P34</f>
        <v>0</v>
      </c>
      <c r="F197" s="161">
        <f>'3.XT-C kh'!X34</f>
        <v>0</v>
      </c>
      <c r="G197" s="161">
        <f>'3.XT-C kh'!H70</f>
        <v>0</v>
      </c>
      <c r="H197" s="161">
        <f>'3.XT-C kh'!P70</f>
        <v>0</v>
      </c>
      <c r="I197" s="214">
        <f>'3.XT-C kh'!X70</f>
        <v>0</v>
      </c>
    </row>
    <row r="198" spans="1:9" ht="21.75" hidden="1" customHeight="1">
      <c r="A198" s="159">
        <v>2</v>
      </c>
      <c r="B198" s="2148" t="s">
        <v>122</v>
      </c>
      <c r="C198" s="2149"/>
      <c r="D198" s="213">
        <f>'3.XT-C kh'!H35</f>
        <v>0</v>
      </c>
      <c r="E198" s="161">
        <f>'3.XT-C kh'!P35</f>
        <v>0</v>
      </c>
      <c r="F198" s="161">
        <f>'3.XT-C kh'!X35</f>
        <v>0</v>
      </c>
      <c r="G198" s="161">
        <f>'3.XT-C kh'!H71</f>
        <v>0</v>
      </c>
      <c r="H198" s="161">
        <f>'3.XT-C kh'!P71</f>
        <v>0</v>
      </c>
      <c r="I198" s="214">
        <f>'3.XT-C kh'!X71</f>
        <v>0</v>
      </c>
    </row>
    <row r="199" spans="1:9" ht="21.75" hidden="1" customHeight="1">
      <c r="A199" s="167"/>
      <c r="B199" s="167"/>
      <c r="C199" s="167"/>
      <c r="D199" s="215" t="s">
        <v>174</v>
      </c>
      <c r="E199" s="170"/>
      <c r="F199" s="170"/>
      <c r="G199" s="170"/>
      <c r="H199" s="170"/>
      <c r="I199" s="216"/>
    </row>
    <row r="200" spans="1:9" ht="21.75" hidden="1" customHeight="1">
      <c r="A200" s="167"/>
      <c r="B200" s="167"/>
      <c r="C200" s="167"/>
      <c r="D200" s="219">
        <v>0.25</v>
      </c>
      <c r="E200" s="165">
        <v>0.41666666666666669</v>
      </c>
      <c r="F200" s="165">
        <v>0.58333333333333337</v>
      </c>
      <c r="G200" s="165">
        <v>0.75</v>
      </c>
      <c r="H200" s="165">
        <v>0.91666666666666663</v>
      </c>
      <c r="I200" s="220">
        <v>8.3333333333333329E-2</v>
      </c>
    </row>
    <row r="201" spans="1:9" ht="21.75" hidden="1" customHeight="1">
      <c r="A201" s="2027">
        <v>1</v>
      </c>
      <c r="B201" s="2040" t="s">
        <v>156</v>
      </c>
      <c r="C201" s="155" t="s">
        <v>108</v>
      </c>
      <c r="D201" s="226">
        <f>'3.XT-C kh'!J6</f>
        <v>775.85</v>
      </c>
      <c r="E201" s="183">
        <f>'3.XT-C kh'!R6</f>
        <v>775.85</v>
      </c>
      <c r="F201" s="183">
        <f>'3.XT-C kh'!Z6</f>
        <v>775.85</v>
      </c>
      <c r="G201" s="183">
        <f>'3.XT-C kh'!J42</f>
        <v>775.85</v>
      </c>
      <c r="H201" s="183">
        <f>'3.XT-C kh'!R42</f>
        <v>775.85</v>
      </c>
      <c r="I201" s="227">
        <f>'3.XT-C kh'!Z42</f>
        <v>775.85</v>
      </c>
    </row>
    <row r="202" spans="1:9" ht="21.75" hidden="1" customHeight="1">
      <c r="A202" s="2039"/>
      <c r="B202" s="2042"/>
      <c r="C202" s="156" t="s">
        <v>109</v>
      </c>
      <c r="D202" s="221">
        <f>'3.XT-C kh'!J7</f>
        <v>263.78900000000004</v>
      </c>
      <c r="E202" s="168">
        <f>'3.XT-C kh'!R7</f>
        <v>263.78900000000004</v>
      </c>
      <c r="F202" s="168">
        <f>'3.XT-C kh'!Z7</f>
        <v>263.78900000000004</v>
      </c>
      <c r="G202" s="168">
        <f>'3.XT-C kh'!J43</f>
        <v>263.78900000000004</v>
      </c>
      <c r="H202" s="168">
        <f>'3.XT-C kh'!R43</f>
        <v>263.78900000000004</v>
      </c>
      <c r="I202" s="222">
        <f>'3.XT-C kh'!Z43</f>
        <v>263.78900000000004</v>
      </c>
    </row>
    <row r="203" spans="1:9" ht="21.75" hidden="1" customHeight="1">
      <c r="A203" s="2028"/>
      <c r="B203" s="2142"/>
      <c r="C203" s="156" t="s">
        <v>111</v>
      </c>
      <c r="D203" s="221" t="e">
        <f>'3.XT-C kh'!#REF!</f>
        <v>#REF!</v>
      </c>
      <c r="E203" s="168" t="e">
        <f>'3.XT-C kh'!#REF!</f>
        <v>#REF!</v>
      </c>
      <c r="F203" s="168" t="e">
        <f>'3.XT-C kh'!#REF!</f>
        <v>#REF!</v>
      </c>
      <c r="G203" s="168" t="e">
        <f>'3.XT-C kh'!#REF!</f>
        <v>#REF!</v>
      </c>
      <c r="H203" s="168" t="e">
        <f>'3.XT-C kh'!#REF!</f>
        <v>#REF!</v>
      </c>
      <c r="I203" s="222" t="e">
        <f>'3.XT-C kh'!#REF!</f>
        <v>#REF!</v>
      </c>
    </row>
    <row r="204" spans="1:9" ht="21.75" hidden="1" customHeight="1">
      <c r="A204" s="2027">
        <v>2</v>
      </c>
      <c r="B204" s="2040" t="s">
        <v>157</v>
      </c>
      <c r="C204" s="155" t="s">
        <v>108</v>
      </c>
      <c r="D204" s="221">
        <f>'3.XT-C kh'!J8</f>
        <v>573.75</v>
      </c>
      <c r="E204" s="168">
        <f>'3.XT-C kh'!R8</f>
        <v>573.75</v>
      </c>
      <c r="F204" s="168">
        <f>'3.XT-C kh'!Z8</f>
        <v>573.75</v>
      </c>
      <c r="G204" s="168">
        <f>'3.XT-C kh'!J44</f>
        <v>573.75</v>
      </c>
      <c r="H204" s="168">
        <f>'3.XT-C kh'!R44</f>
        <v>573.75</v>
      </c>
      <c r="I204" s="222">
        <f>'3.XT-C kh'!Z44</f>
        <v>573.75</v>
      </c>
    </row>
    <row r="205" spans="1:9" ht="21.75" hidden="1" customHeight="1">
      <c r="A205" s="2039"/>
      <c r="B205" s="2042"/>
      <c r="C205" s="156" t="s">
        <v>109</v>
      </c>
      <c r="D205" s="221">
        <f>'3.XT-C kh'!J9</f>
        <v>195.07499999999999</v>
      </c>
      <c r="E205" s="168">
        <f>'3.XT-C kh'!R9</f>
        <v>195.07499999999999</v>
      </c>
      <c r="F205" s="168">
        <f>'3.XT-C kh'!Z9</f>
        <v>195.07499999999999</v>
      </c>
      <c r="G205" s="168">
        <f>'3.XT-C kh'!J45</f>
        <v>195.07499999999999</v>
      </c>
      <c r="H205" s="168">
        <f>'3.XT-C kh'!R45</f>
        <v>195.07499999999999</v>
      </c>
      <c r="I205" s="222">
        <f>'3.XT-C kh'!Z45</f>
        <v>195.07499999999999</v>
      </c>
    </row>
    <row r="206" spans="1:9" ht="21.75" hidden="1" customHeight="1">
      <c r="A206" s="2028"/>
      <c r="B206" s="2142"/>
      <c r="C206" s="156" t="s">
        <v>111</v>
      </c>
      <c r="D206" s="221" t="e">
        <f>'3.XT-C kh'!#REF!</f>
        <v>#REF!</v>
      </c>
      <c r="E206" s="168" t="e">
        <f>'3.XT-C kh'!#REF!</f>
        <v>#REF!</v>
      </c>
      <c r="F206" s="168" t="e">
        <f>'3.XT-C kh'!#REF!</f>
        <v>#REF!</v>
      </c>
      <c r="G206" s="168" t="e">
        <f>'3.XT-C kh'!#REF!</f>
        <v>#REF!</v>
      </c>
      <c r="H206" s="168" t="e">
        <f>'3.XT-C kh'!#REF!</f>
        <v>#REF!</v>
      </c>
      <c r="I206" s="222" t="e">
        <f>'3.XT-C kh'!#REF!</f>
        <v>#REF!</v>
      </c>
    </row>
    <row r="207" spans="1:9" ht="21.75" hidden="1" customHeight="1">
      <c r="A207" s="2027">
        <v>3</v>
      </c>
      <c r="B207" s="2035" t="s">
        <v>158</v>
      </c>
      <c r="C207" s="155" t="s">
        <v>108</v>
      </c>
      <c r="D207" s="221">
        <f>'3.XT-C kh'!J10</f>
        <v>492</v>
      </c>
      <c r="E207" s="168">
        <f>'3.XT-C kh'!R10</f>
        <v>492</v>
      </c>
      <c r="F207" s="168">
        <f>'3.XT-C kh'!Z10</f>
        <v>492</v>
      </c>
      <c r="G207" s="168">
        <f>'3.XT-C kh'!J46</f>
        <v>492</v>
      </c>
      <c r="H207" s="168">
        <f>'3.XT-C kh'!R46</f>
        <v>492</v>
      </c>
      <c r="I207" s="222">
        <f>'3.XT-C kh'!Z46</f>
        <v>492</v>
      </c>
    </row>
    <row r="208" spans="1:9" ht="21.75" hidden="1" customHeight="1">
      <c r="A208" s="2028"/>
      <c r="B208" s="2036"/>
      <c r="C208" s="156" t="s">
        <v>112</v>
      </c>
      <c r="D208" s="221">
        <f>'3.XT-C kh'!J11</f>
        <v>157.44</v>
      </c>
      <c r="E208" s="168">
        <f>'3.XT-C kh'!R11</f>
        <v>157.44</v>
      </c>
      <c r="F208" s="168">
        <f>'3.XT-C kh'!Z11</f>
        <v>157.44</v>
      </c>
      <c r="G208" s="168">
        <f>'3.XT-C kh'!J47</f>
        <v>157.44</v>
      </c>
      <c r="H208" s="168">
        <f>'3.XT-C kh'!R47</f>
        <v>157.44</v>
      </c>
      <c r="I208" s="222">
        <f>'3.XT-C kh'!Z47</f>
        <v>157.44</v>
      </c>
    </row>
    <row r="209" spans="1:11" ht="21.75" hidden="1" customHeight="1">
      <c r="A209" s="2027">
        <v>4</v>
      </c>
      <c r="B209" s="2035" t="s">
        <v>159</v>
      </c>
      <c r="C209" s="155" t="s">
        <v>108</v>
      </c>
      <c r="D209" s="221">
        <f>'3.XT-C kh'!J12</f>
        <v>520.08000000000004</v>
      </c>
      <c r="E209" s="168">
        <f>'3.XT-C kh'!R12</f>
        <v>520.08000000000004</v>
      </c>
      <c r="F209" s="168">
        <f>'3.XT-C kh'!Z12</f>
        <v>520.08000000000004</v>
      </c>
      <c r="G209" s="168">
        <f>'3.XT-C kh'!J48</f>
        <v>520.08000000000004</v>
      </c>
      <c r="H209" s="168">
        <f>'3.XT-C kh'!R48</f>
        <v>520.08000000000004</v>
      </c>
      <c r="I209" s="222">
        <f>'3.XT-C kh'!Z48</f>
        <v>520.08000000000004</v>
      </c>
    </row>
    <row r="210" spans="1:11" ht="21.75" hidden="1" customHeight="1">
      <c r="A210" s="2028"/>
      <c r="B210" s="2036"/>
      <c r="C210" s="156" t="s">
        <v>112</v>
      </c>
      <c r="D210" s="221">
        <f>'3.XT-C kh'!J13</f>
        <v>166.4256</v>
      </c>
      <c r="E210" s="168">
        <f>'3.XT-C kh'!R13</f>
        <v>166.4256</v>
      </c>
      <c r="F210" s="168">
        <f>'3.XT-C kh'!Z13</f>
        <v>166.4256</v>
      </c>
      <c r="G210" s="168">
        <f>'3.XT-C kh'!J49</f>
        <v>166.4256</v>
      </c>
      <c r="H210" s="168">
        <f>'3.XT-C kh'!R49</f>
        <v>166.4256</v>
      </c>
      <c r="I210" s="222">
        <f>'3.XT-C kh'!Z49</f>
        <v>166.4256</v>
      </c>
    </row>
    <row r="211" spans="1:11" ht="21.75" hidden="1" customHeight="1">
      <c r="A211" s="2027">
        <v>5</v>
      </c>
      <c r="B211" s="2090" t="s">
        <v>121</v>
      </c>
      <c r="C211" s="157"/>
      <c r="D211" s="221">
        <f>'3.XT-C kh'!J14</f>
        <v>7429.24</v>
      </c>
      <c r="E211" s="168">
        <f>'3.XT-C kh'!R14</f>
        <v>7429.24</v>
      </c>
      <c r="F211" s="168">
        <f>'3.XT-C kh'!Z14</f>
        <v>7429.24</v>
      </c>
      <c r="G211" s="168">
        <f>'3.XT-C kh'!J50</f>
        <v>7429.24</v>
      </c>
      <c r="H211" s="168">
        <f>'3.XT-C kh'!R50</f>
        <v>7429.24</v>
      </c>
      <c r="I211" s="222">
        <f>'3.XT-C kh'!Z50</f>
        <v>7429.24</v>
      </c>
    </row>
    <row r="212" spans="1:11" ht="21.75" hidden="1" customHeight="1">
      <c r="A212" s="2028"/>
      <c r="B212" s="2091"/>
      <c r="C212" s="157"/>
      <c r="D212" s="221">
        <f>'3.XT-C kh'!J15</f>
        <v>371.46199999999999</v>
      </c>
      <c r="E212" s="168">
        <f>'3.XT-C kh'!R15</f>
        <v>371.46199999999999</v>
      </c>
      <c r="F212" s="168">
        <f>'3.XT-C kh'!Z15</f>
        <v>371.46199999999999</v>
      </c>
      <c r="G212" s="168">
        <f>'3.XT-C kh'!J51</f>
        <v>371.46199999999999</v>
      </c>
      <c r="H212" s="168">
        <f>'3.XT-C kh'!R51</f>
        <v>371.46199999999999</v>
      </c>
      <c r="I212" s="222">
        <f>'3.XT-C kh'!Z51</f>
        <v>371.46199999999999</v>
      </c>
    </row>
    <row r="213" spans="1:11" ht="21.75" hidden="1" customHeight="1">
      <c r="A213" s="2027">
        <v>6</v>
      </c>
      <c r="B213" s="2084" t="s">
        <v>40</v>
      </c>
      <c r="C213" s="2085"/>
      <c r="D213" s="221">
        <f>'3.XT-C kh'!J16</f>
        <v>236.74896000000001</v>
      </c>
      <c r="E213" s="168">
        <f>'3.XT-C kh'!R16</f>
        <v>236.74896000000001</v>
      </c>
      <c r="F213" s="168">
        <f>'3.XT-C kh'!Z16</f>
        <v>236.74896000000001</v>
      </c>
      <c r="G213" s="168">
        <f>'3.XT-C kh'!J52</f>
        <v>236.74896000000001</v>
      </c>
      <c r="H213" s="168">
        <f>'3.XT-C kh'!R52</f>
        <v>236.74896000000001</v>
      </c>
      <c r="I213" s="222">
        <f>'3.XT-C kh'!Z52</f>
        <v>236.74896000000001</v>
      </c>
    </row>
    <row r="214" spans="1:11" ht="21.75" hidden="1" customHeight="1">
      <c r="A214" s="2028"/>
      <c r="B214" s="2086"/>
      <c r="C214" s="2087"/>
      <c r="D214" s="221">
        <f>'3.XT-C kh'!J17</f>
        <v>0</v>
      </c>
      <c r="E214" s="168">
        <f>'3.XT-C kh'!R17</f>
        <v>0</v>
      </c>
      <c r="F214" s="168">
        <f>'3.XT-C kh'!Z17</f>
        <v>0</v>
      </c>
      <c r="G214" s="168">
        <f>'3.XT-C kh'!J53</f>
        <v>0</v>
      </c>
      <c r="H214" s="168">
        <f>'3.XT-C kh'!R53</f>
        <v>0</v>
      </c>
      <c r="I214" s="222">
        <f>'3.XT-C kh'!Z53</f>
        <v>0</v>
      </c>
    </row>
    <row r="215" spans="1:11" ht="21.75" hidden="1" customHeight="1">
      <c r="A215" s="159">
        <v>7</v>
      </c>
      <c r="B215" s="1990" t="s">
        <v>38</v>
      </c>
      <c r="C215" s="1991"/>
      <c r="D215" s="221">
        <f>'3.XT-C kh'!J18</f>
        <v>1163.5961538461538</v>
      </c>
      <c r="E215" s="168">
        <f>'3.XT-C kh'!R18</f>
        <v>1163.5961538461538</v>
      </c>
      <c r="F215" s="168">
        <f>'3.XT-C kh'!Z18</f>
        <v>1163.5961538461538</v>
      </c>
      <c r="G215" s="168">
        <f>'3.XT-C kh'!J54</f>
        <v>1163.5961538461538</v>
      </c>
      <c r="H215" s="168">
        <f>'3.XT-C kh'!R54</f>
        <v>1163.5961538461538</v>
      </c>
      <c r="I215" s="222">
        <f>'3.XT-C kh'!Z54</f>
        <v>1163.5961538461538</v>
      </c>
    </row>
    <row r="216" spans="1:11" ht="21.75" hidden="1" customHeight="1">
      <c r="A216" s="159">
        <v>8</v>
      </c>
      <c r="B216" s="1990" t="s">
        <v>39</v>
      </c>
      <c r="C216" s="1991"/>
      <c r="D216" s="221">
        <f>'3.XT-C kh'!J19</f>
        <v>1818.8653846153845</v>
      </c>
      <c r="E216" s="168">
        <f>'3.XT-C kh'!R19</f>
        <v>1818.8653846153845</v>
      </c>
      <c r="F216" s="168">
        <f>'3.XT-C kh'!Z19</f>
        <v>1818.8653846153845</v>
      </c>
      <c r="G216" s="168">
        <f>'3.XT-C kh'!J55</f>
        <v>1818.8653846153845</v>
      </c>
      <c r="H216" s="168">
        <f>'3.XT-C kh'!R55</f>
        <v>1818.8653846153845</v>
      </c>
      <c r="I216" s="222">
        <f>'3.XT-C kh'!Z55</f>
        <v>1818.8653846153845</v>
      </c>
    </row>
    <row r="217" spans="1:11" ht="21.75" hidden="1" customHeight="1">
      <c r="A217" s="159">
        <v>9</v>
      </c>
      <c r="B217" s="1993" t="s">
        <v>86</v>
      </c>
      <c r="C217" s="1994"/>
      <c r="D217" s="221">
        <f>'3.XT-C kh'!J20</f>
        <v>334.55172413793105</v>
      </c>
      <c r="E217" s="168">
        <f>'3.XT-C kh'!R20</f>
        <v>334.55172413793105</v>
      </c>
      <c r="F217" s="168">
        <f>'3.XT-C kh'!Z20</f>
        <v>334.55172413793105</v>
      </c>
      <c r="G217" s="168">
        <f>'3.XT-C kh'!J56</f>
        <v>334.55172413793105</v>
      </c>
      <c r="H217" s="168">
        <f>'3.XT-C kh'!R56</f>
        <v>334.55172413793105</v>
      </c>
      <c r="I217" s="222">
        <f>'3.XT-C kh'!Z56</f>
        <v>334.55172413793105</v>
      </c>
    </row>
    <row r="218" spans="1:11" ht="21.75" hidden="1" customHeight="1">
      <c r="A218" s="159">
        <v>10</v>
      </c>
      <c r="B218" s="1993" t="s">
        <v>120</v>
      </c>
      <c r="C218" s="1994" t="s">
        <v>120</v>
      </c>
      <c r="D218" s="223">
        <f>'3.XT-C kh'!J21</f>
        <v>28.080000000000002</v>
      </c>
      <c r="E218" s="172">
        <f>'3.XT-C kh'!R21</f>
        <v>28.080000000000002</v>
      </c>
      <c r="F218" s="172">
        <f>'3.XT-C kh'!Z21</f>
        <v>28.080000000000002</v>
      </c>
      <c r="G218" s="172">
        <f>'3.XT-C kh'!J57</f>
        <v>28.080000000000002</v>
      </c>
      <c r="H218" s="172">
        <f>'3.XT-C kh'!R57</f>
        <v>28.080000000000002</v>
      </c>
      <c r="I218" s="224">
        <f>'3.XT-C kh'!Z57</f>
        <v>15.600000000000001</v>
      </c>
    </row>
    <row r="219" spans="1:11" ht="21.75" customHeight="1" thickBot="1">
      <c r="D219" s="228"/>
      <c r="E219" s="229"/>
      <c r="F219" s="229"/>
      <c r="G219" s="229"/>
      <c r="H219" s="229"/>
      <c r="I219" s="230"/>
    </row>
    <row r="221" spans="1:11" ht="21.75" customHeight="1">
      <c r="K221" s="377" t="s">
        <v>401</v>
      </c>
    </row>
  </sheetData>
  <mergeCells count="128">
    <mergeCell ref="B217:C217"/>
    <mergeCell ref="B218:C218"/>
    <mergeCell ref="A211:A212"/>
    <mergeCell ref="B211:B212"/>
    <mergeCell ref="A213:A214"/>
    <mergeCell ref="B213:C214"/>
    <mergeCell ref="B215:C215"/>
    <mergeCell ref="B216:C216"/>
    <mergeCell ref="A204:A206"/>
    <mergeCell ref="B204:B206"/>
    <mergeCell ref="A207:A208"/>
    <mergeCell ref="B207:B208"/>
    <mergeCell ref="A209:A210"/>
    <mergeCell ref="B209:B210"/>
    <mergeCell ref="B198:C198"/>
    <mergeCell ref="A201:A203"/>
    <mergeCell ref="B201:B203"/>
    <mergeCell ref="B197:C197"/>
    <mergeCell ref="B194:C194"/>
    <mergeCell ref="B193:C193"/>
    <mergeCell ref="B192:C192"/>
    <mergeCell ref="B191:C191"/>
    <mergeCell ref="B190:C190"/>
    <mergeCell ref="B189:C189"/>
    <mergeCell ref="B188:C188"/>
    <mergeCell ref="B187:C187"/>
    <mergeCell ref="B184:C184"/>
    <mergeCell ref="A179:A180"/>
    <mergeCell ref="B179:C180"/>
    <mergeCell ref="B181:C181"/>
    <mergeCell ref="B182:C182"/>
    <mergeCell ref="B183:C183"/>
    <mergeCell ref="A175:A176"/>
    <mergeCell ref="B175:B176"/>
    <mergeCell ref="A177:A178"/>
    <mergeCell ref="B177:B17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A149:A151"/>
    <mergeCell ref="B149:B151"/>
    <mergeCell ref="A152:A153"/>
    <mergeCell ref="B152:B153"/>
    <mergeCell ref="A154:A155"/>
    <mergeCell ref="B154:B155"/>
    <mergeCell ref="B139:C139"/>
    <mergeCell ref="B142:C142"/>
    <mergeCell ref="B143:C143"/>
    <mergeCell ref="A146:A148"/>
    <mergeCell ref="B146:B148"/>
    <mergeCell ref="B133:C133"/>
    <mergeCell ref="B134:C134"/>
    <mergeCell ref="B135:C135"/>
    <mergeCell ref="B136:C136"/>
    <mergeCell ref="B137:C137"/>
    <mergeCell ref="B138:C138"/>
    <mergeCell ref="B127:C127"/>
    <mergeCell ref="B128:C128"/>
    <mergeCell ref="B129:C129"/>
    <mergeCell ref="B132:C13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B33:C33"/>
    <mergeCell ref="B30:C30"/>
    <mergeCell ref="B28:C28"/>
    <mergeCell ref="B26:C26"/>
    <mergeCell ref="B24:C24"/>
    <mergeCell ref="B20:C20"/>
    <mergeCell ref="A21:C21"/>
    <mergeCell ref="B22:C22"/>
    <mergeCell ref="B34:C34"/>
    <mergeCell ref="A31:C31"/>
    <mergeCell ref="B32:C32"/>
    <mergeCell ref="B29:C29"/>
    <mergeCell ref="B27:C27"/>
    <mergeCell ref="B25:C25"/>
    <mergeCell ref="B23:C23"/>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s>
  <phoneticPr fontId="6" type="noConversion"/>
  <pageMargins left="0.7" right="0.7" top="0.75" bottom="0.75" header="0.3" footer="0.3"/>
  <pageSetup paperSize="9" orientation="portrait" verticalDpi="0" r:id="rId1"/>
  <drawing r:id="rId2"/>
</worksheet>
</file>

<file path=xl/worksheets/sheet24.xml><?xml version="1.0" encoding="utf-8"?>
<worksheet xmlns="http://schemas.openxmlformats.org/spreadsheetml/2006/main" xmlns:r="http://schemas.openxmlformats.org/officeDocument/2006/relationships">
  <sheetPr codeName="Sheet15">
    <tabColor rgb="FFFF0000"/>
  </sheetPr>
  <dimension ref="A1:I219"/>
  <sheetViews>
    <sheetView workbookViewId="0"/>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236" t="str">
        <f>'1. XL-1E kh'!G3</f>
        <v>2022/12/03</v>
      </c>
    </row>
    <row r="2" spans="1:9" ht="26.25" customHeight="1"/>
    <row r="3" spans="1:9" ht="36" customHeight="1">
      <c r="A3" s="184"/>
      <c r="B3" s="293" t="s">
        <v>236</v>
      </c>
      <c r="C3" s="185"/>
      <c r="D3" s="169" t="s">
        <v>173</v>
      </c>
      <c r="E3" s="170"/>
      <c r="F3" s="170"/>
      <c r="G3" s="170"/>
      <c r="H3" s="170"/>
      <c r="I3" s="171"/>
    </row>
    <row r="4" spans="1:9" ht="21.75" customHeight="1" thickBot="1">
      <c r="A4" s="205"/>
      <c r="B4" s="185"/>
      <c r="C4" s="206"/>
      <c r="D4" s="180">
        <v>0.25</v>
      </c>
      <c r="E4" s="180">
        <v>0.41666666666666669</v>
      </c>
      <c r="F4" s="180">
        <v>0.58333333333333337</v>
      </c>
      <c r="G4" s="180">
        <v>0.75</v>
      </c>
      <c r="H4" s="180">
        <v>0.91666666666666663</v>
      </c>
      <c r="I4" s="181">
        <v>8.3333333333333329E-2</v>
      </c>
    </row>
    <row r="5" spans="1:9" ht="27" customHeight="1">
      <c r="A5" s="2120">
        <v>1</v>
      </c>
      <c r="B5" s="2122" t="s">
        <v>148</v>
      </c>
      <c r="C5" s="204" t="s">
        <v>108</v>
      </c>
      <c r="D5" s="208">
        <f>'1. XL-1E TT'!H6</f>
        <v>30</v>
      </c>
      <c r="E5" s="209">
        <f>'1. XL-1E TT'!L6</f>
        <v>29.6</v>
      </c>
      <c r="F5" s="209">
        <f>'1. XL-1E TT'!P6</f>
        <v>29.6</v>
      </c>
      <c r="G5" s="209">
        <f>'1. XL-1E TT'!H46</f>
        <v>30</v>
      </c>
      <c r="H5" s="209">
        <f>'1. XL-1E TT'!L46</f>
        <v>0</v>
      </c>
      <c r="I5" s="210">
        <f>'1. XL-1E TT'!P46</f>
        <v>0</v>
      </c>
    </row>
    <row r="6" spans="1:9" ht="21.75" hidden="1" customHeight="1" thickBot="1">
      <c r="A6" s="2121"/>
      <c r="B6" s="2123"/>
      <c r="C6" s="207" t="s">
        <v>145</v>
      </c>
      <c r="D6" s="208">
        <f>'1. XL-1E TT'!H8</f>
        <v>0</v>
      </c>
      <c r="E6" s="209">
        <f>'1. XL-1E TT'!L8</f>
        <v>0</v>
      </c>
      <c r="F6" s="209">
        <f>'1. XL-1E TT'!P8</f>
        <v>0</v>
      </c>
      <c r="G6" s="209">
        <f>'1. XL-1E TT'!H48</f>
        <v>0</v>
      </c>
      <c r="H6" s="209">
        <f>'1. XL-1E TT'!L48</f>
        <v>0</v>
      </c>
      <c r="I6" s="210">
        <f>'1. XL-1E TT'!P48</f>
        <v>0</v>
      </c>
    </row>
    <row r="7" spans="1:9" ht="21.75" hidden="1" customHeight="1" thickBot="1">
      <c r="A7" s="2064">
        <v>2</v>
      </c>
      <c r="B7" s="2124" t="s">
        <v>163</v>
      </c>
      <c r="C7" s="187" t="s">
        <v>108</v>
      </c>
      <c r="D7" s="208">
        <f>'1. XL-1E TT'!H9</f>
        <v>30.8</v>
      </c>
      <c r="E7" s="209">
        <f>'1. XL-1E TT'!L9</f>
        <v>30</v>
      </c>
      <c r="F7" s="209">
        <f>'1. XL-1E TT'!P9</f>
        <v>30.8</v>
      </c>
      <c r="G7" s="209">
        <f>'1. XL-1E TT'!H49</f>
        <v>31.6</v>
      </c>
      <c r="H7" s="209">
        <f>'1. XL-1E TT'!L49</f>
        <v>0</v>
      </c>
      <c r="I7" s="210">
        <f>'1. XL-1E TT'!P49</f>
        <v>0</v>
      </c>
    </row>
    <row r="8" spans="1:9" ht="21.75" hidden="1" customHeight="1" thickBot="1">
      <c r="A8" s="2063"/>
      <c r="B8" s="2125"/>
      <c r="C8" s="164" t="s">
        <v>145</v>
      </c>
      <c r="D8" s="208">
        <f>'1. XL-1E TT'!H11</f>
        <v>0</v>
      </c>
      <c r="E8" s="209">
        <f>'1. XL-1E TT'!L11</f>
        <v>0</v>
      </c>
      <c r="F8" s="209">
        <f>'1. XL-1E TT'!P11</f>
        <v>0</v>
      </c>
      <c r="G8" s="209">
        <f>'1. XL-1E TT'!H51</f>
        <v>0</v>
      </c>
      <c r="H8" s="209">
        <f>'1. XL-1E TT'!L51</f>
        <v>0</v>
      </c>
      <c r="I8" s="210">
        <f>'1. XL-1E TT'!P51</f>
        <v>0</v>
      </c>
    </row>
    <row r="9" spans="1:9" ht="21.75" hidden="1" customHeight="1" thickBot="1">
      <c r="A9" s="2062">
        <v>3</v>
      </c>
      <c r="B9" s="2129" t="s">
        <v>161</v>
      </c>
      <c r="C9" s="163" t="s">
        <v>108</v>
      </c>
      <c r="D9" s="208">
        <f>'1. XL-1E TT'!H12</f>
        <v>65.599999999999994</v>
      </c>
      <c r="E9" s="209">
        <f>'1. XL-1E TT'!L12</f>
        <v>65.2</v>
      </c>
      <c r="F9" s="209">
        <f>'1. XL-1E TT'!P12</f>
        <v>66.8</v>
      </c>
      <c r="G9" s="209">
        <f>'1. XL-1E TT'!H52</f>
        <v>72.8</v>
      </c>
      <c r="H9" s="209">
        <f>'1. XL-1E TT'!L52</f>
        <v>0</v>
      </c>
      <c r="I9" s="210">
        <f>'1. XL-1E TT'!P52</f>
        <v>0</v>
      </c>
    </row>
    <row r="10" spans="1:9" ht="21.75" hidden="1" customHeight="1" thickBot="1">
      <c r="A10" s="2063"/>
      <c r="B10" s="2125"/>
      <c r="C10" s="164" t="s">
        <v>145</v>
      </c>
      <c r="D10" s="208">
        <f>'1. XL-1E TT'!H13</f>
        <v>0</v>
      </c>
      <c r="E10" s="209">
        <f>'1. XL-1E TT'!L13</f>
        <v>0</v>
      </c>
      <c r="F10" s="209">
        <f>'1. XL-1E TT'!P13</f>
        <v>0</v>
      </c>
      <c r="G10" s="209">
        <f>'1. XL-1E TT'!H53</f>
        <v>0</v>
      </c>
      <c r="H10" s="209">
        <f>'1. XL-1E TT'!L53</f>
        <v>0</v>
      </c>
      <c r="I10" s="210">
        <f>'1. XL-1E TT'!P53</f>
        <v>0</v>
      </c>
    </row>
    <row r="11" spans="1:9" ht="21.75" hidden="1" customHeight="1" thickBot="1">
      <c r="A11" s="2062">
        <v>4</v>
      </c>
      <c r="B11" s="2129" t="s">
        <v>162</v>
      </c>
      <c r="C11" s="163" t="s">
        <v>108</v>
      </c>
      <c r="D11" s="208">
        <f>'1. XL-1E TT'!H14</f>
        <v>72.8</v>
      </c>
      <c r="E11" s="209">
        <f>'1. XL-1E TT'!L14</f>
        <v>71.2</v>
      </c>
      <c r="F11" s="209">
        <f>'1. XL-1E TT'!P14</f>
        <v>71.599999999999994</v>
      </c>
      <c r="G11" s="209">
        <f>'1. XL-1E TT'!H54</f>
        <v>70.400000000000006</v>
      </c>
      <c r="H11" s="209">
        <f>'1. XL-1E TT'!L54</f>
        <v>0</v>
      </c>
      <c r="I11" s="210">
        <f>'1. XL-1E TT'!P54</f>
        <v>0</v>
      </c>
    </row>
    <row r="12" spans="1:9" ht="21.75" hidden="1" customHeight="1" thickBot="1">
      <c r="A12" s="2063"/>
      <c r="B12" s="2125"/>
      <c r="C12" s="164" t="s">
        <v>145</v>
      </c>
      <c r="D12" s="208">
        <f>'1. XL-1E TT'!H15</f>
        <v>0</v>
      </c>
      <c r="E12" s="209">
        <f>'1. XL-1E TT'!L15</f>
        <v>0</v>
      </c>
      <c r="F12" s="209">
        <f>'1. XL-1E TT'!P15</f>
        <v>0</v>
      </c>
      <c r="G12" s="209">
        <f>'1. XL-1E TT'!H55</f>
        <v>0</v>
      </c>
      <c r="H12" s="209">
        <f>'1. XL-1E TT'!L55</f>
        <v>0</v>
      </c>
      <c r="I12" s="210">
        <f>'1. XL-1E TT'!P55</f>
        <v>0</v>
      </c>
    </row>
    <row r="13" spans="1:9" ht="21.75" hidden="1" customHeight="1" thickBot="1">
      <c r="A13" s="2062">
        <v>5</v>
      </c>
      <c r="B13" s="1970" t="s">
        <v>103</v>
      </c>
      <c r="C13" s="268" t="s">
        <v>102</v>
      </c>
      <c r="D13" s="208">
        <f>'1. XL-1E TT'!H16</f>
        <v>140</v>
      </c>
      <c r="E13" s="209">
        <f>'1. XL-1E TT'!L16</f>
        <v>139.19999999999999</v>
      </c>
      <c r="F13" s="209">
        <f>'1. XL-1E TT'!P16</f>
        <v>140.80000000000001</v>
      </c>
      <c r="G13" s="209">
        <f>'1. XL-1E TT'!H56</f>
        <v>140.80000000000001</v>
      </c>
      <c r="H13" s="209">
        <f>'1. XL-1E TT'!L56</f>
        <v>0</v>
      </c>
      <c r="I13" s="210">
        <f>'1. XL-1E TT'!P56</f>
        <v>0</v>
      </c>
    </row>
    <row r="14" spans="1:9" ht="21.75" hidden="1" customHeight="1" thickBot="1">
      <c r="A14" s="2063"/>
      <c r="B14" s="1971"/>
      <c r="C14" s="268" t="s">
        <v>60</v>
      </c>
      <c r="D14" s="208">
        <f>'1. XL-1E TT'!H17</f>
        <v>10.01</v>
      </c>
      <c r="E14" s="209">
        <f>'1. XL-1E TT'!L17</f>
        <v>10.01</v>
      </c>
      <c r="F14" s="209">
        <f>'1. XL-1E TT'!P17</f>
        <v>9.75</v>
      </c>
      <c r="G14" s="209">
        <f>'1. XL-1E TT'!H57</f>
        <v>9.879999999999999</v>
      </c>
      <c r="H14" s="209">
        <f>'1. XL-1E TT'!L57</f>
        <v>0</v>
      </c>
      <c r="I14" s="210">
        <f>'1. XL-1E TT'!P57</f>
        <v>0</v>
      </c>
    </row>
    <row r="15" spans="1:9" ht="21.75" hidden="1" customHeight="1" thickBot="1">
      <c r="A15" s="2062">
        <v>6</v>
      </c>
      <c r="B15" s="2126" t="s">
        <v>104</v>
      </c>
      <c r="C15" s="1948"/>
      <c r="D15" s="208">
        <f>'1. XL-1E TT'!H18</f>
        <v>13.669064748201439</v>
      </c>
      <c r="E15" s="209">
        <f>'1. XL-1E TT'!L18</f>
        <v>14.388489208633093</v>
      </c>
      <c r="F15" s="209">
        <f>'1. XL-1E TT'!P18</f>
        <v>15.25179856115108</v>
      </c>
      <c r="G15" s="209">
        <f>'1. XL-1E TT'!H58</f>
        <v>11.654676258992804</v>
      </c>
      <c r="H15" s="209">
        <f>'1. XL-1E TT'!L58</f>
        <v>0</v>
      </c>
      <c r="I15" s="210">
        <f>'1. XL-1E TT'!P58</f>
        <v>0</v>
      </c>
    </row>
    <row r="16" spans="1:9" ht="21.75" hidden="1" customHeight="1" thickBot="1">
      <c r="A16" s="2063"/>
      <c r="B16" s="2127"/>
      <c r="C16" s="1920"/>
      <c r="D16" s="208">
        <f>'1. XL-1E TT'!H19</f>
        <v>1.76</v>
      </c>
      <c r="E16" s="209">
        <f>'1. XL-1E TT'!L19</f>
        <v>1.75</v>
      </c>
      <c r="F16" s="209">
        <f>'1. XL-1E TT'!P19</f>
        <v>1.89</v>
      </c>
      <c r="G16" s="209">
        <f>'1. XL-1E TT'!H59</f>
        <v>1.78</v>
      </c>
      <c r="H16" s="209">
        <f>'1. XL-1E TT'!L59</f>
        <v>0</v>
      </c>
      <c r="I16" s="210">
        <f>'1. XL-1E TT'!P59</f>
        <v>0</v>
      </c>
    </row>
    <row r="17" spans="1:9" ht="21.75" hidden="1" customHeight="1" thickBot="1">
      <c r="A17" s="129">
        <v>7</v>
      </c>
      <c r="B17" s="1887" t="s">
        <v>61</v>
      </c>
      <c r="C17" s="2128"/>
      <c r="D17" s="208">
        <f>'1. XL-1E TT'!H20</f>
        <v>0.49046874999999995</v>
      </c>
      <c r="E17" s="209">
        <f>'1. XL-1E TT'!L20</f>
        <v>0.45624999999999999</v>
      </c>
      <c r="F17" s="209">
        <f>'1. XL-1E TT'!P20</f>
        <v>0.46765624999999994</v>
      </c>
      <c r="G17" s="209">
        <f>'1. XL-1E TT'!H60</f>
        <v>0.45624999999999999</v>
      </c>
      <c r="H17" s="209">
        <f>'1. XL-1E TT'!L60</f>
        <v>0</v>
      </c>
      <c r="I17" s="210">
        <f>'1. XL-1E TT'!P60</f>
        <v>0</v>
      </c>
    </row>
    <row r="18" spans="1:9" ht="21.75" hidden="1" customHeight="1" thickBot="1">
      <c r="A18" s="129">
        <v>8</v>
      </c>
      <c r="B18" s="1887" t="s">
        <v>62</v>
      </c>
      <c r="C18" s="2128"/>
      <c r="D18" s="208">
        <f>'1. XL-1E TT'!H21</f>
        <v>0.26234374999999999</v>
      </c>
      <c r="E18" s="209">
        <f>'1. XL-1E TT'!L21</f>
        <v>0.28515625</v>
      </c>
      <c r="F18" s="209">
        <f>'1. XL-1E TT'!P21</f>
        <v>0.29656250000000001</v>
      </c>
      <c r="G18" s="209">
        <f>'1. XL-1E TT'!H61</f>
        <v>0.25093750000000004</v>
      </c>
      <c r="H18" s="209">
        <f>'1. XL-1E TT'!L61</f>
        <v>0</v>
      </c>
      <c r="I18" s="210">
        <f>'1. XL-1E TT'!P61</f>
        <v>0</v>
      </c>
    </row>
    <row r="19" spans="1:9" ht="21.75" hidden="1" customHeight="1" thickBot="1">
      <c r="A19" s="129">
        <v>9</v>
      </c>
      <c r="B19" s="1887" t="s">
        <v>63</v>
      </c>
      <c r="C19" s="2128"/>
      <c r="D19" s="208">
        <f>'1. XL-1E TT'!H22</f>
        <v>0.1140625</v>
      </c>
      <c r="E19" s="209">
        <f>'1. XL-1E TT'!L22</f>
        <v>0.10493749999999999</v>
      </c>
      <c r="F19" s="209">
        <f>'1. XL-1E TT'!P22</f>
        <v>9.3531249999999982E-2</v>
      </c>
      <c r="G19" s="209">
        <f>'1. XL-1E TT'!H62</f>
        <v>0.10265625</v>
      </c>
      <c r="H19" s="209">
        <f>'1. XL-1E TT'!L62</f>
        <v>0</v>
      </c>
      <c r="I19" s="210">
        <f>'1. XL-1E TT'!P62</f>
        <v>0</v>
      </c>
    </row>
    <row r="20" spans="1:9" ht="21.75" hidden="1" customHeight="1">
      <c r="A20" s="129">
        <v>10</v>
      </c>
      <c r="B20" s="1887" t="s">
        <v>105</v>
      </c>
      <c r="C20" s="2128"/>
      <c r="D20" s="208">
        <f>'1. XL-1E TT'!H23</f>
        <v>1.1341800000000003E-2</v>
      </c>
      <c r="E20" s="209">
        <f>'1. XL-1E TT'!L23</f>
        <v>1.0081600000000001E-2</v>
      </c>
      <c r="F20" s="209">
        <f>'1. XL-1E TT'!P23</f>
        <v>1.1341800000000003E-2</v>
      </c>
      <c r="G20" s="209">
        <f>'1. XL-1E TT'!H63</f>
        <v>1.2602E-2</v>
      </c>
      <c r="H20" s="209">
        <f>'1. XL-1E TT'!L63</f>
        <v>0</v>
      </c>
      <c r="I20" s="210">
        <f>'1. XL-1E TT'!P63</f>
        <v>0</v>
      </c>
    </row>
    <row r="21" spans="1:9" ht="21.75" hidden="1" customHeight="1">
      <c r="A21" s="2130" t="s">
        <v>76</v>
      </c>
      <c r="B21" s="2130"/>
      <c r="C21" s="2131"/>
      <c r="D21" s="215" t="s">
        <v>175</v>
      </c>
      <c r="E21" s="170"/>
      <c r="F21" s="170"/>
      <c r="G21" s="170"/>
      <c r="H21" s="170"/>
      <c r="I21" s="216"/>
    </row>
    <row r="22" spans="1:9" ht="21.75" hidden="1" customHeight="1">
      <c r="A22" s="166" t="s">
        <v>7</v>
      </c>
      <c r="B22" s="2131" t="s">
        <v>64</v>
      </c>
      <c r="C22" s="2132"/>
      <c r="D22" s="217">
        <v>0.25</v>
      </c>
      <c r="E22" s="173">
        <v>0.41666666666666669</v>
      </c>
      <c r="F22" s="173">
        <v>0.58333333333333337</v>
      </c>
      <c r="G22" s="173">
        <v>0.75</v>
      </c>
      <c r="H22" s="173">
        <v>0.91666666666666663</v>
      </c>
      <c r="I22" s="218">
        <v>8.3333333333333329E-2</v>
      </c>
    </row>
    <row r="23" spans="1:9" ht="21.75" hidden="1" customHeight="1">
      <c r="A23" s="129">
        <v>1</v>
      </c>
      <c r="B23" s="1899" t="s">
        <v>68</v>
      </c>
      <c r="C23" s="1900"/>
      <c r="D23" s="213">
        <f>'1. XL-1E TT'!H28</f>
        <v>69</v>
      </c>
      <c r="E23" s="161">
        <f>'1. XL-1E TT'!L28</f>
        <v>66</v>
      </c>
      <c r="F23" s="161">
        <f>'1. XL-1E TT'!P28</f>
        <v>66</v>
      </c>
      <c r="G23" s="161">
        <f>'1. XL-1E TT'!H68</f>
        <v>0</v>
      </c>
      <c r="H23" s="161">
        <f>'1. XL-1E TT'!L68</f>
        <v>0</v>
      </c>
      <c r="I23" s="214">
        <f>'1. XL-1E TT'!P68</f>
        <v>0</v>
      </c>
    </row>
    <row r="24" spans="1:9" ht="21.75" hidden="1" customHeight="1">
      <c r="A24" s="129">
        <v>2</v>
      </c>
      <c r="B24" s="1899" t="s">
        <v>69</v>
      </c>
      <c r="C24" s="1900" t="s">
        <v>69</v>
      </c>
      <c r="D24" s="213">
        <f>'1. XL-1E TT'!H29</f>
        <v>71</v>
      </c>
      <c r="E24" s="161">
        <f>'1. XL-1E TT'!L29</f>
        <v>71</v>
      </c>
      <c r="F24" s="161">
        <f>'1. XL-1E TT'!P29</f>
        <v>71</v>
      </c>
      <c r="G24" s="161">
        <f>'1. XL-1E TT'!H69</f>
        <v>0</v>
      </c>
      <c r="H24" s="161">
        <f>'1. XL-1E TT'!L69</f>
        <v>0</v>
      </c>
      <c r="I24" s="214">
        <f>'1. XL-1E TT'!P69</f>
        <v>0</v>
      </c>
    </row>
    <row r="25" spans="1:9" ht="21.75" hidden="1" customHeight="1">
      <c r="A25" s="129">
        <v>3</v>
      </c>
      <c r="B25" s="1899" t="s">
        <v>71</v>
      </c>
      <c r="C25" s="1900" t="s">
        <v>71</v>
      </c>
      <c r="D25" s="213">
        <f>'1. XL-1E TT'!H30</f>
        <v>58</v>
      </c>
      <c r="E25" s="161">
        <f>'1. XL-1E TT'!L30</f>
        <v>58</v>
      </c>
      <c r="F25" s="161">
        <f>'1. XL-1E TT'!P30</f>
        <v>58</v>
      </c>
      <c r="G25" s="161">
        <f>'1. XL-1E TT'!H70</f>
        <v>0</v>
      </c>
      <c r="H25" s="161">
        <f>'1. XL-1E TT'!L70</f>
        <v>0</v>
      </c>
      <c r="I25" s="214">
        <f>'1. XL-1E TT'!P70</f>
        <v>0</v>
      </c>
    </row>
    <row r="26" spans="1:9" ht="21.75" hidden="1" customHeight="1">
      <c r="A26" s="129">
        <v>4</v>
      </c>
      <c r="B26" s="1899" t="s">
        <v>70</v>
      </c>
      <c r="C26" s="1900" t="s">
        <v>70</v>
      </c>
      <c r="D26" s="213">
        <f>'1. XL-1E TT'!H31</f>
        <v>55</v>
      </c>
      <c r="E26" s="161">
        <f>'1. XL-1E TT'!L31</f>
        <v>56</v>
      </c>
      <c r="F26" s="161">
        <f>'1. XL-1E TT'!P31</f>
        <v>56</v>
      </c>
      <c r="G26" s="161">
        <f>'1. XL-1E TT'!H71</f>
        <v>0</v>
      </c>
      <c r="H26" s="161">
        <f>'1. XL-1E TT'!L71</f>
        <v>0</v>
      </c>
      <c r="I26" s="214">
        <f>'1. XL-1E TT'!P71</f>
        <v>0</v>
      </c>
    </row>
    <row r="27" spans="1:9" ht="21.75" hidden="1" customHeight="1">
      <c r="A27" s="129">
        <v>5</v>
      </c>
      <c r="B27" s="1899" t="s">
        <v>72</v>
      </c>
      <c r="C27" s="1900" t="s">
        <v>72</v>
      </c>
      <c r="D27" s="213">
        <f>'1. XL-1E TT'!H32</f>
        <v>32</v>
      </c>
      <c r="E27" s="161">
        <f>'1. XL-1E TT'!L32</f>
        <v>33</v>
      </c>
      <c r="F27" s="161">
        <f>'1. XL-1E TT'!P32</f>
        <v>34</v>
      </c>
      <c r="G27" s="161">
        <f>'1. XL-1E TT'!H72</f>
        <v>0</v>
      </c>
      <c r="H27" s="161">
        <f>'1. XL-1E TT'!L72</f>
        <v>0</v>
      </c>
      <c r="I27" s="214">
        <f>'1. XL-1E TT'!P72</f>
        <v>0</v>
      </c>
    </row>
    <row r="28" spans="1:9" ht="21.75" hidden="1" customHeight="1">
      <c r="A28" s="129">
        <v>6</v>
      </c>
      <c r="B28" s="1899" t="s">
        <v>91</v>
      </c>
      <c r="C28" s="1900" t="s">
        <v>91</v>
      </c>
      <c r="D28" s="213">
        <f>'1. XL-1E TT'!H33</f>
        <v>42</v>
      </c>
      <c r="E28" s="161">
        <f>'1. XL-1E TT'!L33</f>
        <v>42</v>
      </c>
      <c r="F28" s="161">
        <f>'1. XL-1E TT'!P33</f>
        <v>42</v>
      </c>
      <c r="G28" s="161">
        <f>'1. XL-1E TT'!H73</f>
        <v>0</v>
      </c>
      <c r="H28" s="161">
        <f>'1. XL-1E TT'!L73</f>
        <v>0</v>
      </c>
      <c r="I28" s="214">
        <f>'1. XL-1E TT'!P73</f>
        <v>0</v>
      </c>
    </row>
    <row r="29" spans="1:9" ht="21.75" hidden="1" customHeight="1">
      <c r="A29" s="129">
        <v>7</v>
      </c>
      <c r="B29" s="1899" t="s">
        <v>73</v>
      </c>
      <c r="C29" s="1900" t="s">
        <v>73</v>
      </c>
      <c r="D29" s="213">
        <f>'1. XL-1E TT'!H34</f>
        <v>57</v>
      </c>
      <c r="E29" s="161">
        <f>'1. XL-1E TT'!L34</f>
        <v>58</v>
      </c>
      <c r="F29" s="161">
        <f>'1. XL-1E TT'!P34</f>
        <v>58</v>
      </c>
      <c r="G29" s="161">
        <f>'1. XL-1E TT'!H74</f>
        <v>0</v>
      </c>
      <c r="H29" s="161">
        <f>'1. XL-1E TT'!L74</f>
        <v>0</v>
      </c>
      <c r="I29" s="214">
        <f>'1. XL-1E TT'!P74</f>
        <v>0</v>
      </c>
    </row>
    <row r="30" spans="1:9" ht="21.75" hidden="1" customHeight="1">
      <c r="A30" s="129">
        <v>8</v>
      </c>
      <c r="B30" s="1899" t="s">
        <v>74</v>
      </c>
      <c r="C30" s="1900" t="s">
        <v>74</v>
      </c>
      <c r="D30" s="213">
        <f>'1. XL-1E TT'!J35</f>
        <v>73</v>
      </c>
      <c r="E30" s="161">
        <f>'1. XL-1E TT'!N35</f>
        <v>74</v>
      </c>
      <c r="F30" s="161">
        <f>'1. XL-1E TT'!R35</f>
        <v>70</v>
      </c>
      <c r="G30" s="161">
        <f>'1. XL-1E TT'!J75</f>
        <v>0</v>
      </c>
      <c r="H30" s="161">
        <f>'1. XL-1E TT'!N75</f>
        <v>0</v>
      </c>
      <c r="I30" s="214">
        <f>'1. XL-1E TT'!R75</f>
        <v>0</v>
      </c>
    </row>
    <row r="31" spans="1:9" ht="21.75" hidden="1" customHeight="1">
      <c r="A31" s="2130" t="s">
        <v>78</v>
      </c>
      <c r="B31" s="2130"/>
      <c r="C31" s="2131"/>
      <c r="D31" s="215" t="s">
        <v>176</v>
      </c>
      <c r="E31" s="170"/>
      <c r="F31" s="170"/>
      <c r="G31" s="170"/>
      <c r="H31" s="170"/>
      <c r="I31" s="216"/>
    </row>
    <row r="32" spans="1:9" ht="21.75" hidden="1" customHeight="1">
      <c r="A32" s="166" t="s">
        <v>7</v>
      </c>
      <c r="B32" s="2131" t="s">
        <v>100</v>
      </c>
      <c r="C32" s="2132"/>
      <c r="D32" s="219">
        <v>0.25</v>
      </c>
      <c r="E32" s="165">
        <v>0.41666666666666669</v>
      </c>
      <c r="F32" s="165">
        <v>0.58333333333333337</v>
      </c>
      <c r="G32" s="165">
        <v>0.75</v>
      </c>
      <c r="H32" s="165">
        <v>0.91666666666666663</v>
      </c>
      <c r="I32" s="220">
        <v>8.3333333333333329E-2</v>
      </c>
    </row>
    <row r="33" spans="1:9" ht="21.75" hidden="1" customHeight="1">
      <c r="A33" s="129">
        <v>1</v>
      </c>
      <c r="B33" s="1887" t="s">
        <v>106</v>
      </c>
      <c r="C33" s="1933"/>
      <c r="D33" s="213">
        <f>'1. XL-1E TT'!H38</f>
        <v>350</v>
      </c>
      <c r="E33" s="161">
        <f>'1. XL-1E TT'!L38</f>
        <v>345</v>
      </c>
      <c r="F33" s="161">
        <f>'1. XL-1E TT'!P38</f>
        <v>330</v>
      </c>
      <c r="G33" s="161">
        <f>'1. XL-1E TT'!H78</f>
        <v>0</v>
      </c>
      <c r="H33" s="161">
        <f>'1. XL-1E TT'!L78</f>
        <v>0</v>
      </c>
      <c r="I33" s="214">
        <f>'1. XL-1E TT'!P78</f>
        <v>0</v>
      </c>
    </row>
    <row r="34" spans="1:9" ht="21.75" hidden="1" customHeight="1">
      <c r="A34" s="129">
        <v>2</v>
      </c>
      <c r="B34" s="1887" t="s">
        <v>107</v>
      </c>
      <c r="C34" s="1933"/>
      <c r="D34" s="213">
        <f>'1. XL-1E TT'!H39</f>
        <v>44</v>
      </c>
      <c r="E34" s="161">
        <f>'1. XL-1E TT'!L39</f>
        <v>42</v>
      </c>
      <c r="F34" s="161">
        <f>'1. XL-1E TT'!P39</f>
        <v>42</v>
      </c>
      <c r="G34" s="161">
        <f>'1. XL-1E TT'!H79</f>
        <v>40</v>
      </c>
      <c r="H34" s="161">
        <f>'1. XL-1E TT'!L79</f>
        <v>0</v>
      </c>
      <c r="I34" s="214">
        <f>'1. XL-1E TT'!P79</f>
        <v>42</v>
      </c>
    </row>
    <row r="35" spans="1:9" ht="21.75" hidden="1" customHeight="1">
      <c r="A35" s="167"/>
      <c r="B35" s="167"/>
      <c r="C35" s="167"/>
      <c r="D35" s="215" t="s">
        <v>174</v>
      </c>
      <c r="E35" s="170"/>
      <c r="F35" s="170"/>
      <c r="G35" s="170"/>
      <c r="H35" s="170"/>
      <c r="I35" s="216"/>
    </row>
    <row r="36" spans="1:9" ht="21.75" hidden="1" customHeight="1">
      <c r="A36" s="167"/>
      <c r="B36" s="167"/>
      <c r="C36" s="167"/>
      <c r="D36" s="219">
        <v>0.25</v>
      </c>
      <c r="E36" s="165">
        <v>0.41666666666666669</v>
      </c>
      <c r="F36" s="165">
        <v>0.58333333333333337</v>
      </c>
      <c r="G36" s="165">
        <v>0.75</v>
      </c>
      <c r="H36" s="165">
        <v>0.91666666666666663</v>
      </c>
      <c r="I36" s="220">
        <v>8.3333333333333329E-2</v>
      </c>
    </row>
    <row r="37" spans="1:9" ht="21.75" hidden="1" customHeight="1">
      <c r="A37" s="2062">
        <v>1</v>
      </c>
      <c r="B37" s="2129" t="s">
        <v>148</v>
      </c>
      <c r="C37" s="163" t="s">
        <v>108</v>
      </c>
      <c r="D37" s="221">
        <f>'1. XL-1E TT'!J6</f>
        <v>0</v>
      </c>
      <c r="E37" s="168">
        <f>'1. XL-1E TT'!N6</f>
        <v>1.0771999999999962</v>
      </c>
      <c r="F37" s="168">
        <f>'1. XL-1E TT'!R6</f>
        <v>1.0771999999999962</v>
      </c>
      <c r="G37" s="168">
        <f>'1. XL-1E TT'!J46</f>
        <v>0</v>
      </c>
      <c r="H37" s="168">
        <f>'1. XL-1E TT'!N46</f>
        <v>0</v>
      </c>
      <c r="I37" s="222">
        <f>'1. XL-1E TT'!R46</f>
        <v>0</v>
      </c>
    </row>
    <row r="38" spans="1:9" ht="21.75" hidden="1" customHeight="1">
      <c r="A38" s="2063"/>
      <c r="B38" s="2125"/>
      <c r="C38" s="164" t="s">
        <v>145</v>
      </c>
      <c r="D38" s="221">
        <f>'1. XL-1E TT'!J8</f>
        <v>0</v>
      </c>
      <c r="E38" s="168">
        <f>'1. XL-1E TT'!N8</f>
        <v>0.36193919999999874</v>
      </c>
      <c r="F38" s="168">
        <f>'1. XL-1E TT'!R8</f>
        <v>0.36193919999999874</v>
      </c>
      <c r="G38" s="168">
        <f>'1. XL-1E TT'!J48</f>
        <v>0</v>
      </c>
      <c r="H38" s="168">
        <f>'1. XL-1E TT'!N48</f>
        <v>0</v>
      </c>
      <c r="I38" s="222">
        <f>'1. XL-1E TT'!R48</f>
        <v>0</v>
      </c>
    </row>
    <row r="39" spans="1:9" ht="21.75" hidden="1" customHeight="1">
      <c r="A39" s="2062">
        <v>2</v>
      </c>
      <c r="B39" s="2129" t="s">
        <v>163</v>
      </c>
      <c r="C39" s="163" t="s">
        <v>108</v>
      </c>
      <c r="D39" s="221">
        <f>'1. XL-1E TT'!J9</f>
        <v>0</v>
      </c>
      <c r="E39" s="168">
        <f>'1. XL-1E TT'!N9</f>
        <v>0</v>
      </c>
      <c r="F39" s="168">
        <f>'1. XL-1E TT'!R9</f>
        <v>0</v>
      </c>
      <c r="G39" s="168">
        <f>'1. XL-1E TT'!J49</f>
        <v>0</v>
      </c>
      <c r="H39" s="168">
        <f>'1. XL-1E TT'!N49</f>
        <v>0</v>
      </c>
      <c r="I39" s="222">
        <f>'1. XL-1E TT'!R49</f>
        <v>0</v>
      </c>
    </row>
    <row r="40" spans="1:9" ht="21.75" hidden="1" customHeight="1">
      <c r="A40" s="2063"/>
      <c r="B40" s="2125"/>
      <c r="C40" s="164" t="s">
        <v>145</v>
      </c>
      <c r="D40" s="221">
        <f>'1. XL-1E TT'!J11</f>
        <v>0</v>
      </c>
      <c r="E40" s="168">
        <f>'1. XL-1E TT'!N11</f>
        <v>0</v>
      </c>
      <c r="F40" s="168">
        <f>'1. XL-1E TT'!R11</f>
        <v>0</v>
      </c>
      <c r="G40" s="168">
        <f>'1. XL-1E TT'!J51</f>
        <v>0</v>
      </c>
      <c r="H40" s="168">
        <f>'1. XL-1E TT'!N51</f>
        <v>0</v>
      </c>
      <c r="I40" s="222">
        <f>'1. XL-1E TT'!R51</f>
        <v>0</v>
      </c>
    </row>
    <row r="41" spans="1:9" ht="21.75" hidden="1" customHeight="1">
      <c r="A41" s="2062">
        <v>3</v>
      </c>
      <c r="B41" s="2129" t="s">
        <v>161</v>
      </c>
      <c r="C41" s="163" t="s">
        <v>108</v>
      </c>
      <c r="D41" s="221">
        <f>'1. XL-1E TT'!J12</f>
        <v>5.0864000000000065</v>
      </c>
      <c r="E41" s="168">
        <f>'1. XL-1E TT'!N12</f>
        <v>5.5487999999999964</v>
      </c>
      <c r="F41" s="168">
        <f>'1. XL-1E TT'!R12</f>
        <v>3.6992000000000034</v>
      </c>
      <c r="G41" s="168">
        <f>'1. XL-1E TT'!J52</f>
        <v>0</v>
      </c>
      <c r="H41" s="168">
        <f>'1. XL-1E TT'!N52</f>
        <v>0</v>
      </c>
      <c r="I41" s="222">
        <f>'1. XL-1E TT'!R52</f>
        <v>0</v>
      </c>
    </row>
    <row r="42" spans="1:9" ht="21.75" hidden="1" customHeight="1">
      <c r="A42" s="2063"/>
      <c r="B42" s="2125"/>
      <c r="C42" s="164" t="s">
        <v>145</v>
      </c>
      <c r="D42" s="221">
        <f>'1. XL-1E TT'!J13</f>
        <v>1.5259200000000019</v>
      </c>
      <c r="E42" s="168">
        <f>'1. XL-1E TT'!N13</f>
        <v>1.6646399999999988</v>
      </c>
      <c r="F42" s="168">
        <f>'1. XL-1E TT'!R13</f>
        <v>1.109760000000001</v>
      </c>
      <c r="G42" s="168">
        <f>'1. XL-1E TT'!J53</f>
        <v>0</v>
      </c>
      <c r="H42" s="168">
        <f>'1. XL-1E TT'!N53</f>
        <v>0</v>
      </c>
      <c r="I42" s="222">
        <f>'1. XL-1E TT'!R53</f>
        <v>0</v>
      </c>
    </row>
    <row r="43" spans="1:9" ht="21.75" hidden="1" customHeight="1">
      <c r="A43" s="2062">
        <v>4</v>
      </c>
      <c r="B43" s="2129" t="s">
        <v>162</v>
      </c>
      <c r="C43" s="163" t="s">
        <v>108</v>
      </c>
      <c r="D43" s="221">
        <f>'1. XL-1E TT'!J14</f>
        <v>0</v>
      </c>
      <c r="E43" s="168">
        <f>'1. XL-1E TT'!N14</f>
        <v>0</v>
      </c>
      <c r="F43" s="168">
        <f>'1. XL-1E TT'!R14</f>
        <v>0</v>
      </c>
      <c r="G43" s="168">
        <f>'1. XL-1E TT'!J54</f>
        <v>0</v>
      </c>
      <c r="H43" s="168">
        <f>'1. XL-1E TT'!N54</f>
        <v>0</v>
      </c>
      <c r="I43" s="222">
        <f>'1. XL-1E TT'!R54</f>
        <v>0</v>
      </c>
    </row>
    <row r="44" spans="1:9" ht="21.75" hidden="1" customHeight="1">
      <c r="A44" s="2063"/>
      <c r="B44" s="2125"/>
      <c r="C44" s="164" t="s">
        <v>145</v>
      </c>
      <c r="D44" s="221">
        <f>'1. XL-1E TT'!J15</f>
        <v>0</v>
      </c>
      <c r="E44" s="168">
        <f>'1. XL-1E TT'!N15</f>
        <v>0</v>
      </c>
      <c r="F44" s="168">
        <f>'1. XL-1E TT'!R15</f>
        <v>0</v>
      </c>
      <c r="G44" s="168">
        <f>'1. XL-1E TT'!J55</f>
        <v>0</v>
      </c>
      <c r="H44" s="168">
        <f>'1. XL-1E TT'!N55</f>
        <v>0</v>
      </c>
      <c r="I44" s="222">
        <f>'1. XL-1E TT'!R55</f>
        <v>0</v>
      </c>
    </row>
    <row r="45" spans="1:9" ht="21.75" hidden="1" customHeight="1">
      <c r="A45" s="2062">
        <v>5</v>
      </c>
      <c r="B45" s="1970" t="s">
        <v>103</v>
      </c>
      <c r="C45" s="268" t="s">
        <v>102</v>
      </c>
      <c r="D45" s="221">
        <f>'1. XL-1E TT'!J16</f>
        <v>0</v>
      </c>
      <c r="E45" s="168">
        <f>'1. XL-1E TT'!N16</f>
        <v>15.960800000000226</v>
      </c>
      <c r="F45" s="168">
        <f>'1. XL-1E TT'!R16</f>
        <v>0</v>
      </c>
      <c r="G45" s="168">
        <f>'1. XL-1E TT'!J56</f>
        <v>0</v>
      </c>
      <c r="H45" s="168">
        <f>'1. XL-1E TT'!N56</f>
        <v>0</v>
      </c>
      <c r="I45" s="222">
        <f>'1. XL-1E TT'!R56</f>
        <v>0</v>
      </c>
    </row>
    <row r="46" spans="1:9" ht="21.75" hidden="1" customHeight="1">
      <c r="A46" s="2063"/>
      <c r="B46" s="1971"/>
      <c r="C46" s="268" t="s">
        <v>60</v>
      </c>
      <c r="D46" s="221">
        <f>'1. XL-1E TT'!J17</f>
        <v>0</v>
      </c>
      <c r="E46" s="168">
        <f>'1. XL-1E TT'!N17</f>
        <v>0</v>
      </c>
      <c r="F46" s="168">
        <f>'1. XL-1E TT'!R17</f>
        <v>0</v>
      </c>
      <c r="G46" s="168">
        <f>'1. XL-1E TT'!J57</f>
        <v>0</v>
      </c>
      <c r="H46" s="168">
        <f>'1. XL-1E TT'!N57</f>
        <v>0</v>
      </c>
      <c r="I46" s="222">
        <f>'1. XL-1E TT'!R57</f>
        <v>0</v>
      </c>
    </row>
    <row r="47" spans="1:9" ht="21.75" hidden="1" customHeight="1">
      <c r="A47" s="2062">
        <v>6</v>
      </c>
      <c r="B47" s="2126" t="s">
        <v>104</v>
      </c>
      <c r="C47" s="1948"/>
      <c r="D47" s="221">
        <f>'1. XL-1E TT'!J18</f>
        <v>1.902877697841725</v>
      </c>
      <c r="E47" s="168">
        <f>'1. XL-1E TT'!N18</f>
        <v>0</v>
      </c>
      <c r="F47" s="168">
        <f>'1. XL-1E TT'!R18</f>
        <v>0</v>
      </c>
      <c r="G47" s="168">
        <f>'1. XL-1E TT'!J58</f>
        <v>13.485611510791376</v>
      </c>
      <c r="H47" s="168">
        <f>'1. XL-1E TT'!N58</f>
        <v>0</v>
      </c>
      <c r="I47" s="222">
        <f>'1. XL-1E TT'!R58</f>
        <v>0</v>
      </c>
    </row>
    <row r="48" spans="1:9" ht="21.75" hidden="1" customHeight="1">
      <c r="A48" s="2063"/>
      <c r="B48" s="2127"/>
      <c r="C48" s="1920"/>
      <c r="D48" s="221">
        <f>'1. XL-1E TT'!J19</f>
        <v>0</v>
      </c>
      <c r="E48" s="168">
        <f>'1. XL-1E TT'!N19</f>
        <v>0</v>
      </c>
      <c r="F48" s="168">
        <f>'1. XL-1E TT'!R19</f>
        <v>0</v>
      </c>
      <c r="G48" s="168">
        <f>'1. XL-1E TT'!J59</f>
        <v>0</v>
      </c>
      <c r="H48" s="168">
        <f>'1. XL-1E TT'!N59</f>
        <v>0</v>
      </c>
      <c r="I48" s="222">
        <f>'1. XL-1E TT'!R59</f>
        <v>0</v>
      </c>
    </row>
    <row r="49" spans="1:9" ht="21.75" hidden="1" customHeight="1">
      <c r="A49" s="129">
        <v>7</v>
      </c>
      <c r="B49" s="1887" t="s">
        <v>61</v>
      </c>
      <c r="C49" s="2128"/>
      <c r="D49" s="221">
        <f>'1. XL-1E TT'!J20</f>
        <v>0</v>
      </c>
      <c r="E49" s="168">
        <f>'1. XL-1E TT'!N20</f>
        <v>0</v>
      </c>
      <c r="F49" s="168">
        <f>'1. XL-1E TT'!R20</f>
        <v>0</v>
      </c>
      <c r="G49" s="168">
        <f>'1. XL-1E TT'!J60</f>
        <v>0</v>
      </c>
      <c r="H49" s="168">
        <f>'1. XL-1E TT'!N60</f>
        <v>0</v>
      </c>
      <c r="I49" s="222">
        <f>'1. XL-1E TT'!R60</f>
        <v>0</v>
      </c>
    </row>
    <row r="50" spans="1:9" ht="21.75" hidden="1" customHeight="1">
      <c r="A50" s="129">
        <v>8</v>
      </c>
      <c r="B50" s="1887" t="s">
        <v>62</v>
      </c>
      <c r="C50" s="2128"/>
      <c r="D50" s="221">
        <f>'1. XL-1E TT'!J21</f>
        <v>0</v>
      </c>
      <c r="E50" s="168">
        <f>'1. XL-1E TT'!N21</f>
        <v>0</v>
      </c>
      <c r="F50" s="168">
        <f>'1. XL-1E TT'!R21</f>
        <v>0</v>
      </c>
      <c r="G50" s="168">
        <f>'1. XL-1E TT'!J61</f>
        <v>0</v>
      </c>
      <c r="H50" s="168">
        <f>'1. XL-1E TT'!N61</f>
        <v>0</v>
      </c>
      <c r="I50" s="222">
        <f>'1. XL-1E TT'!R61</f>
        <v>0</v>
      </c>
    </row>
    <row r="51" spans="1:9" ht="21.75" hidden="1" customHeight="1">
      <c r="A51" s="129">
        <v>9</v>
      </c>
      <c r="B51" s="1887" t="s">
        <v>63</v>
      </c>
      <c r="C51" s="2128"/>
      <c r="D51" s="221">
        <f>'1. XL-1E TT'!J22</f>
        <v>0</v>
      </c>
      <c r="E51" s="168">
        <f>'1. XL-1E TT'!N22</f>
        <v>0</v>
      </c>
      <c r="F51" s="168">
        <f>'1. XL-1E TT'!R22</f>
        <v>3.7195312500000135</v>
      </c>
      <c r="G51" s="168">
        <f>'1. XL-1E TT'!J62</f>
        <v>0</v>
      </c>
      <c r="H51" s="168">
        <f>'1. XL-1E TT'!N62</f>
        <v>0</v>
      </c>
      <c r="I51" s="222">
        <f>'1. XL-1E TT'!R62</f>
        <v>0</v>
      </c>
    </row>
    <row r="52" spans="1:9" ht="21.75" hidden="1" customHeight="1">
      <c r="A52" s="129">
        <v>10</v>
      </c>
      <c r="B52" s="1887" t="s">
        <v>105</v>
      </c>
      <c r="C52" s="2128"/>
      <c r="D52" s="221">
        <f>'1. XL-1E TT'!J23</f>
        <v>0</v>
      </c>
      <c r="E52" s="168">
        <f>'1. XL-1E TT'!N23</f>
        <v>0</v>
      </c>
      <c r="F52" s="168">
        <f>'1. XL-1E TT'!R23</f>
        <v>0</v>
      </c>
      <c r="G52" s="168">
        <f>'1. XL-1E TT'!J63</f>
        <v>0</v>
      </c>
      <c r="H52" s="168">
        <f>'1. XL-1E TT'!N63</f>
        <v>0</v>
      </c>
      <c r="I52" s="222">
        <f>'1. XL-1E TT'!R63</f>
        <v>0</v>
      </c>
    </row>
    <row r="53" spans="1:9" ht="21.75" hidden="1" customHeight="1">
      <c r="D53" s="213"/>
      <c r="E53" s="161"/>
      <c r="F53" s="161"/>
      <c r="G53" s="161"/>
      <c r="H53" s="161"/>
      <c r="I53" s="214"/>
    </row>
    <row r="54" spans="1:9" ht="21.75" hidden="1" customHeight="1">
      <c r="A54" s="201"/>
      <c r="B54" s="186" t="s">
        <v>235</v>
      </c>
      <c r="C54" s="197"/>
      <c r="D54" s="225"/>
      <c r="E54" s="198"/>
      <c r="F54" s="161"/>
      <c r="G54" s="161"/>
      <c r="H54" s="161"/>
      <c r="I54" s="214"/>
    </row>
    <row r="55" spans="1:9" ht="21.75" hidden="1" customHeight="1">
      <c r="A55" s="191" t="s">
        <v>7</v>
      </c>
      <c r="B55" s="179"/>
      <c r="C55" s="179"/>
      <c r="D55" s="215" t="s">
        <v>173</v>
      </c>
      <c r="E55" s="170"/>
      <c r="F55" s="170"/>
      <c r="G55" s="170"/>
      <c r="H55" s="170"/>
      <c r="I55" s="216"/>
    </row>
    <row r="56" spans="1:9" ht="21.75" hidden="1" customHeight="1">
      <c r="A56" s="192"/>
      <c r="B56" s="188"/>
      <c r="C56" s="188"/>
      <c r="D56" s="219">
        <v>0.25</v>
      </c>
      <c r="E56" s="165">
        <v>0.41666666666666669</v>
      </c>
      <c r="F56" s="165">
        <v>0.58333333333333337</v>
      </c>
      <c r="G56" s="165">
        <v>0.75</v>
      </c>
      <c r="H56" s="165">
        <v>0.91666666666666663</v>
      </c>
      <c r="I56" s="220">
        <v>8.3333333333333329E-2</v>
      </c>
    </row>
    <row r="57" spans="1:9" ht="21.75" hidden="1" customHeight="1">
      <c r="A57" s="280">
        <v>1</v>
      </c>
      <c r="B57" s="267" t="s">
        <v>148</v>
      </c>
      <c r="C57" s="283" t="s">
        <v>108</v>
      </c>
      <c r="D57" s="211">
        <f>'2. XL-1F TT '!H6</f>
        <v>72.039000000000001</v>
      </c>
      <c r="E57" s="162">
        <f>'2. XL-1F TT '!L6</f>
        <v>70.741</v>
      </c>
      <c r="F57" s="162">
        <f>'2. XL-1F TT '!P6</f>
        <v>73.337000000000003</v>
      </c>
      <c r="G57" s="162">
        <f>'2. XL-1F TT '!H44</f>
        <v>72.039000000000001</v>
      </c>
      <c r="H57" s="162">
        <f>'2. XL-1F TT '!L44</f>
        <v>0</v>
      </c>
      <c r="I57" s="212">
        <f>'2. XL-1F TT '!P44</f>
        <v>71.39</v>
      </c>
    </row>
    <row r="58" spans="1:9" ht="21.75" hidden="1" customHeight="1">
      <c r="A58" s="251"/>
      <c r="B58" s="256"/>
      <c r="C58" s="266" t="s">
        <v>109</v>
      </c>
      <c r="D58" s="211">
        <f>'2. XL-1F TT '!H7</f>
        <v>0</v>
      </c>
      <c r="E58" s="162">
        <f>'2. XL-1F TT '!L7</f>
        <v>0</v>
      </c>
      <c r="F58" s="162">
        <f>'2. XL-1F TT '!P7</f>
        <v>0</v>
      </c>
      <c r="G58" s="162">
        <f>'2. XL-1F TT '!H45</f>
        <v>0</v>
      </c>
      <c r="H58" s="162">
        <f>'2. XL-1F TT '!L45</f>
        <v>0</v>
      </c>
      <c r="I58" s="212">
        <f>'2. XL-1F TT '!P45</f>
        <v>0</v>
      </c>
    </row>
    <row r="59" spans="1:9" ht="21.75" hidden="1" customHeight="1">
      <c r="A59" s="252"/>
      <c r="B59" s="257"/>
      <c r="C59" s="259" t="s">
        <v>111</v>
      </c>
      <c r="D59" s="211" t="e">
        <f>'2. XL-1F TT '!#REF!</f>
        <v>#REF!</v>
      </c>
      <c r="E59" s="162" t="e">
        <f>'2. XL-1F TT '!#REF!</f>
        <v>#REF!</v>
      </c>
      <c r="F59" s="162" t="e">
        <f>'2. XL-1F TT '!#REF!</f>
        <v>#REF!</v>
      </c>
      <c r="G59" s="162" t="e">
        <f>'2. XL-1F TT '!#REF!</f>
        <v>#REF!</v>
      </c>
      <c r="H59" s="162" t="e">
        <f>'2. XL-1F TT '!#REF!</f>
        <v>#REF!</v>
      </c>
      <c r="I59" s="212" t="e">
        <f>'2. XL-1F TT '!#REF!</f>
        <v>#REF!</v>
      </c>
    </row>
    <row r="60" spans="1:9" ht="21.75" hidden="1" customHeight="1">
      <c r="A60" s="250">
        <v>2</v>
      </c>
      <c r="B60" s="255" t="s">
        <v>149</v>
      </c>
      <c r="C60" s="258" t="s">
        <v>108</v>
      </c>
      <c r="D60" s="211">
        <f>'2. XL-1F TT '!H8</f>
        <v>79.177999999999997</v>
      </c>
      <c r="E60" s="162">
        <f>'2. XL-1F TT '!L8</f>
        <v>79.177999999999997</v>
      </c>
      <c r="F60" s="162">
        <f>'2. XL-1F TT '!P8</f>
        <v>79.827000000000012</v>
      </c>
      <c r="G60" s="162">
        <f>'2. XL-1F TT '!H46</f>
        <v>81.125</v>
      </c>
      <c r="H60" s="162">
        <f>'2. XL-1F TT '!L46</f>
        <v>0</v>
      </c>
      <c r="I60" s="212">
        <f>'2. XL-1F TT '!P46</f>
        <v>80.475999999999999</v>
      </c>
    </row>
    <row r="61" spans="1:9" ht="21.75" hidden="1" customHeight="1">
      <c r="A61" s="251"/>
      <c r="B61" s="256"/>
      <c r="C61" s="259" t="s">
        <v>109</v>
      </c>
      <c r="D61" s="211">
        <f>'2. XL-1F TT '!H9</f>
        <v>0</v>
      </c>
      <c r="E61" s="162">
        <f>'2. XL-1F TT '!L9</f>
        <v>0</v>
      </c>
      <c r="F61" s="162">
        <f>'2. XL-1F TT '!P9</f>
        <v>0</v>
      </c>
      <c r="G61" s="162">
        <f>'2. XL-1F TT '!H47</f>
        <v>0</v>
      </c>
      <c r="H61" s="162">
        <f>'2. XL-1F TT '!L47</f>
        <v>0</v>
      </c>
      <c r="I61" s="212">
        <f>'2. XL-1F TT '!P47</f>
        <v>0</v>
      </c>
    </row>
    <row r="62" spans="1:9" ht="21.75" hidden="1" customHeight="1">
      <c r="A62" s="252"/>
      <c r="B62" s="257"/>
      <c r="C62" s="259" t="s">
        <v>111</v>
      </c>
      <c r="D62" s="211" t="e">
        <f>'2. XL-1F TT '!#REF!</f>
        <v>#REF!</v>
      </c>
      <c r="E62" s="162" t="e">
        <f>'2. XL-1F TT '!#REF!</f>
        <v>#REF!</v>
      </c>
      <c r="F62" s="162" t="e">
        <f>'2. XL-1F TT '!#REF!</f>
        <v>#REF!</v>
      </c>
      <c r="G62" s="162" t="e">
        <f>'2. XL-1F TT '!#REF!</f>
        <v>#REF!</v>
      </c>
      <c r="H62" s="162" t="e">
        <f>'2. XL-1F TT '!#REF!</f>
        <v>#REF!</v>
      </c>
      <c r="I62" s="212" t="e">
        <f>'2. XL-1F TT '!#REF!</f>
        <v>#REF!</v>
      </c>
    </row>
    <row r="63" spans="1:9" ht="21.75" hidden="1" customHeight="1">
      <c r="A63" s="250">
        <v>3</v>
      </c>
      <c r="B63" s="261" t="s">
        <v>150</v>
      </c>
      <c r="C63" s="258" t="s">
        <v>108</v>
      </c>
      <c r="D63" s="211">
        <f>'2. XL-1F TT '!H10</f>
        <v>51.744</v>
      </c>
      <c r="E63" s="162">
        <f>'2. XL-1F TT '!L10</f>
        <v>53.591999999999999</v>
      </c>
      <c r="F63" s="162">
        <f>'2. XL-1F TT '!P10</f>
        <v>55.902000000000001</v>
      </c>
      <c r="G63" s="162">
        <f>'2. XL-1F TT '!H48</f>
        <v>62.370000000000005</v>
      </c>
      <c r="H63" s="162">
        <f>'2. XL-1F TT '!L48</f>
        <v>0</v>
      </c>
      <c r="I63" s="212">
        <f>'2. XL-1F TT '!P48</f>
        <v>60.983999999999995</v>
      </c>
    </row>
    <row r="64" spans="1:9" ht="21.75" hidden="1" customHeight="1">
      <c r="A64" s="252"/>
      <c r="B64" s="262"/>
      <c r="C64" s="259" t="s">
        <v>112</v>
      </c>
      <c r="D64" s="211">
        <f>'2. XL-1F TT '!H11</f>
        <v>0</v>
      </c>
      <c r="E64" s="162">
        <f>'2. XL-1F TT '!L11</f>
        <v>0</v>
      </c>
      <c r="F64" s="162">
        <f>'2. XL-1F TT '!P11</f>
        <v>0</v>
      </c>
      <c r="G64" s="162">
        <f>'2. XL-1F TT '!H49</f>
        <v>0</v>
      </c>
      <c r="H64" s="162">
        <f>'2. XL-1F TT '!L49</f>
        <v>0</v>
      </c>
      <c r="I64" s="212">
        <f>'2. XL-1F TT '!P49</f>
        <v>0</v>
      </c>
    </row>
    <row r="65" spans="1:9" ht="21.75" hidden="1" customHeight="1">
      <c r="A65" s="250">
        <v>4</v>
      </c>
      <c r="B65" s="261" t="s">
        <v>151</v>
      </c>
      <c r="C65" s="258" t="s">
        <v>108</v>
      </c>
      <c r="D65" s="211">
        <f>'2. XL-1F TT '!H12</f>
        <v>75.768000000000001</v>
      </c>
      <c r="E65" s="162">
        <f>'2. XL-1F TT '!L12</f>
        <v>42.503999999999998</v>
      </c>
      <c r="F65" s="162">
        <f>'2. XL-1F TT '!P12</f>
        <v>54.053999999999995</v>
      </c>
      <c r="G65" s="162">
        <f>'2. XL-1F TT '!H50</f>
        <v>58.211999999999996</v>
      </c>
      <c r="H65" s="162">
        <f>'2. XL-1F TT '!L50</f>
        <v>0</v>
      </c>
      <c r="I65" s="212">
        <f>'2. XL-1F TT '!P50</f>
        <v>57.75</v>
      </c>
    </row>
    <row r="66" spans="1:9" ht="21.75" hidden="1" customHeight="1">
      <c r="A66" s="252"/>
      <c r="B66" s="262"/>
      <c r="C66" s="259" t="s">
        <v>112</v>
      </c>
      <c r="D66" s="211">
        <f>'2. XL-1F TT '!H13</f>
        <v>0</v>
      </c>
      <c r="E66" s="162">
        <f>'2. XL-1F TT '!L13</f>
        <v>0</v>
      </c>
      <c r="F66" s="162">
        <f>'2. XL-1F TT '!P13</f>
        <v>0</v>
      </c>
      <c r="G66" s="162">
        <f>'2. XL-1F TT '!H51</f>
        <v>0</v>
      </c>
      <c r="H66" s="162">
        <f>'2. XL-1F TT '!L51</f>
        <v>0</v>
      </c>
      <c r="I66" s="212">
        <f>'2. XL-1F TT '!P51</f>
        <v>0</v>
      </c>
    </row>
    <row r="67" spans="1:9" ht="21.75" hidden="1" customHeight="1">
      <c r="A67" s="253">
        <v>5</v>
      </c>
      <c r="B67" s="259" t="s">
        <v>82</v>
      </c>
      <c r="C67" s="260"/>
      <c r="D67" s="211">
        <f>'2. XL-1F TT '!H14</f>
        <v>140</v>
      </c>
      <c r="E67" s="162">
        <f>'2. XL-1F TT '!L14</f>
        <v>140</v>
      </c>
      <c r="F67" s="162">
        <f>'2. XL-1F TT '!P14</f>
        <v>140</v>
      </c>
      <c r="G67" s="162">
        <f>'2. XL-1F TT '!H52</f>
        <v>140</v>
      </c>
      <c r="H67" s="162">
        <f>'2. XL-1F TT '!L52</f>
        <v>0</v>
      </c>
      <c r="I67" s="212">
        <f>'2. XL-1F TT '!P52</f>
        <v>140</v>
      </c>
    </row>
    <row r="68" spans="1:9" ht="21.75" hidden="1" customHeight="1">
      <c r="A68" s="253">
        <v>6</v>
      </c>
      <c r="B68" s="259" t="s">
        <v>60</v>
      </c>
      <c r="C68" s="260"/>
      <c r="D68" s="211">
        <f>'2. XL-1F TT '!H15</f>
        <v>8.19</v>
      </c>
      <c r="E68" s="162">
        <f>'2. XL-1F TT '!L15</f>
        <v>8.19</v>
      </c>
      <c r="F68" s="162">
        <f>'2. XL-1F TT '!P15</f>
        <v>8.125</v>
      </c>
      <c r="G68" s="162">
        <f>'2. XL-1F TT '!H53</f>
        <v>8.4500000000000011</v>
      </c>
      <c r="H68" s="162">
        <f>'2. XL-1F TT '!L53</f>
        <v>0</v>
      </c>
      <c r="I68" s="212">
        <f>'2. XL-1F TT '!P53</f>
        <v>8.4500000000000011</v>
      </c>
    </row>
    <row r="69" spans="1:9" ht="21.75" hidden="1" customHeight="1">
      <c r="A69" s="263">
        <v>7</v>
      </c>
      <c r="B69" s="255" t="s">
        <v>114</v>
      </c>
      <c r="C69" s="265"/>
      <c r="D69" s="211">
        <f>'2. XL-1F TT '!H16</f>
        <v>5.8178400000000003</v>
      </c>
      <c r="E69" s="162">
        <f>'2. XL-1F TT '!L16</f>
        <v>5.7331000000000003</v>
      </c>
      <c r="F69" s="162">
        <f>'2. XL-1F TT '!P16</f>
        <v>5.2670300000000001</v>
      </c>
      <c r="G69" s="162">
        <f>'2. XL-1F TT '!H54</f>
        <v>4.1230399999999996</v>
      </c>
      <c r="H69" s="162">
        <f>'2. XL-1F TT '!L54</f>
        <v>-1.0461</v>
      </c>
      <c r="I69" s="212">
        <f>'2. XL-1F TT '!P54</f>
        <v>4.5467399999999998</v>
      </c>
    </row>
    <row r="70" spans="1:9" ht="21.75" hidden="1" customHeight="1">
      <c r="A70" s="264"/>
      <c r="B70" s="266"/>
      <c r="C70" s="267"/>
      <c r="D70" s="211">
        <f>'2. XL-1F TT '!H17</f>
        <v>2.35</v>
      </c>
      <c r="E70" s="162">
        <f>'2. XL-1F TT '!L17</f>
        <v>2.3199999999999998</v>
      </c>
      <c r="F70" s="162">
        <f>'2. XL-1F TT '!P17</f>
        <v>2.4300000000000002</v>
      </c>
      <c r="G70" s="162">
        <f>'2. XL-1F TT '!H55</f>
        <v>2.4</v>
      </c>
      <c r="H70" s="162">
        <f>'2. XL-1F TT '!L55</f>
        <v>0</v>
      </c>
      <c r="I70" s="212">
        <f>'2. XL-1F TT '!P55</f>
        <v>2.35</v>
      </c>
    </row>
    <row r="71" spans="1:9" ht="21.75" hidden="1" customHeight="1">
      <c r="A71" s="253">
        <v>8</v>
      </c>
      <c r="B71" s="259" t="s">
        <v>61</v>
      </c>
      <c r="C71" s="260"/>
      <c r="D71" s="211">
        <f>'2. XL-1F TT '!H18</f>
        <v>0.47906250000000006</v>
      </c>
      <c r="E71" s="162">
        <f>'2. XL-1F TT '!L18</f>
        <v>0.50187500000000007</v>
      </c>
      <c r="F71" s="162">
        <f>'2. XL-1F TT '!P18</f>
        <v>0.50187500000000007</v>
      </c>
      <c r="G71" s="162">
        <f>'2. XL-1F TT '!H56</f>
        <v>0.46765624999999994</v>
      </c>
      <c r="H71" s="162">
        <f>'2. XL-1F TT '!L56</f>
        <v>0</v>
      </c>
      <c r="I71" s="212">
        <f>'2. XL-1F TT '!P56</f>
        <v>0.45624999999999999</v>
      </c>
    </row>
    <row r="72" spans="1:9" ht="21.75" hidden="1" customHeight="1">
      <c r="A72" s="253">
        <v>9</v>
      </c>
      <c r="B72" s="259" t="s">
        <v>62</v>
      </c>
      <c r="C72" s="260"/>
      <c r="D72" s="211">
        <f>'2. XL-1F TT '!H19</f>
        <v>0.25093750000000004</v>
      </c>
      <c r="E72" s="162">
        <f>'2. XL-1F TT '!L19</f>
        <v>0.25093750000000004</v>
      </c>
      <c r="F72" s="162">
        <f>'2. XL-1F TT '!P19</f>
        <v>0.25093750000000004</v>
      </c>
      <c r="G72" s="162">
        <f>'2. XL-1F TT '!H57</f>
        <v>0.26234374999999999</v>
      </c>
      <c r="H72" s="162">
        <f>'2. XL-1F TT '!L57</f>
        <v>0</v>
      </c>
      <c r="I72" s="212">
        <f>'2. XL-1F TT '!P57</f>
        <v>0.25093750000000004</v>
      </c>
    </row>
    <row r="73" spans="1:9" ht="21.75" hidden="1" customHeight="1">
      <c r="A73" s="253">
        <v>11</v>
      </c>
      <c r="B73" s="259" t="s">
        <v>116</v>
      </c>
      <c r="C73" s="260"/>
      <c r="D73" s="211">
        <f>'2. XL-1F TT '!H20</f>
        <v>0.10721875</v>
      </c>
      <c r="E73" s="162">
        <f>'2. XL-1F TT '!L20</f>
        <v>0.13915624999999998</v>
      </c>
      <c r="F73" s="162">
        <f>'2. XL-1F TT '!P20</f>
        <v>0.12774999999999997</v>
      </c>
      <c r="G73" s="162">
        <f>'2. XL-1F TT '!H58</f>
        <v>0.12090624999999999</v>
      </c>
      <c r="H73" s="162">
        <f>'2. XL-1F TT '!L58</f>
        <v>0</v>
      </c>
      <c r="I73" s="212">
        <f>'2. XL-1F TT '!P58</f>
        <v>0.1140625</v>
      </c>
    </row>
    <row r="74" spans="1:9" ht="21.75" hidden="1" customHeight="1">
      <c r="A74" s="253">
        <v>12</v>
      </c>
      <c r="B74" s="259" t="s">
        <v>115</v>
      </c>
      <c r="C74" s="260"/>
      <c r="D74" s="211">
        <f>'2. XL-1F TT '!H21</f>
        <v>1.1341800000000003E-2</v>
      </c>
      <c r="E74" s="162">
        <f>'2. XL-1F TT '!L21</f>
        <v>1.2602E-2</v>
      </c>
      <c r="F74" s="162">
        <f>'2. XL-1F TT '!P21</f>
        <v>1.1341800000000003E-2</v>
      </c>
      <c r="G74" s="162">
        <f>'2. XL-1F TT '!H59</f>
        <v>1.1341800000000003E-2</v>
      </c>
      <c r="H74" s="162">
        <f>'2. XL-1F TT '!L59</f>
        <v>0</v>
      </c>
      <c r="I74" s="212">
        <f>'2. XL-1F TT '!P59</f>
        <v>1.209792E-2</v>
      </c>
    </row>
    <row r="75" spans="1:9" ht="21.75" hidden="1" customHeight="1">
      <c r="A75" s="174"/>
      <c r="B75" s="175" t="s">
        <v>117</v>
      </c>
      <c r="C75" s="182"/>
      <c r="D75" s="215" t="s">
        <v>175</v>
      </c>
      <c r="E75" s="170"/>
      <c r="F75" s="170"/>
      <c r="G75" s="170"/>
      <c r="H75" s="170"/>
      <c r="I75" s="216"/>
    </row>
    <row r="76" spans="1:9" ht="21.75" hidden="1" customHeight="1">
      <c r="A76" s="176" t="s">
        <v>7</v>
      </c>
      <c r="B76" s="177" t="s">
        <v>64</v>
      </c>
      <c r="C76" s="178"/>
      <c r="D76" s="217">
        <v>0.25</v>
      </c>
      <c r="E76" s="173">
        <v>0.41666666666666669</v>
      </c>
      <c r="F76" s="173">
        <v>0.58333333333333337</v>
      </c>
      <c r="G76" s="173">
        <v>0.75</v>
      </c>
      <c r="H76" s="173">
        <v>0.91666666666666663</v>
      </c>
      <c r="I76" s="218">
        <v>8.3333333333333329E-2</v>
      </c>
    </row>
    <row r="77" spans="1:9" ht="21.75" hidden="1" customHeight="1">
      <c r="A77" s="254">
        <v>1</v>
      </c>
      <c r="B77" s="271" t="s">
        <v>68</v>
      </c>
      <c r="C77" s="272"/>
      <c r="D77" s="213">
        <f>'2. XL-1F TT '!H26</f>
        <v>63</v>
      </c>
      <c r="E77" s="161">
        <f>'2. XL-1F TT '!L26</f>
        <v>64</v>
      </c>
      <c r="F77" s="161">
        <f>'2. XL-1F TT '!P26</f>
        <v>64</v>
      </c>
      <c r="G77" s="161">
        <f>'2. XL-1F TT '!H64</f>
        <v>67</v>
      </c>
      <c r="H77" s="161">
        <f>'2. XL-1F TT '!L64</f>
        <v>0</v>
      </c>
      <c r="I77" s="214">
        <f>'2. XL-1F TT '!P64</f>
        <v>67</v>
      </c>
    </row>
    <row r="78" spans="1:9" ht="21.75" hidden="1" customHeight="1">
      <c r="A78" s="254">
        <v>2</v>
      </c>
      <c r="B78" s="271" t="s">
        <v>69</v>
      </c>
      <c r="C78" s="272" t="s">
        <v>69</v>
      </c>
      <c r="D78" s="213">
        <f>'2. XL-1F TT '!H27</f>
        <v>62</v>
      </c>
      <c r="E78" s="161">
        <f>'2. XL-1F TT '!L27</f>
        <v>63</v>
      </c>
      <c r="F78" s="161">
        <f>'2. XL-1F TT '!P27</f>
        <v>62</v>
      </c>
      <c r="G78" s="161">
        <f>'2. XL-1F TT '!H65</f>
        <v>65</v>
      </c>
      <c r="H78" s="161">
        <f>'2. XL-1F TT '!L65</f>
        <v>0</v>
      </c>
      <c r="I78" s="214">
        <f>'2. XL-1F TT '!P65</f>
        <v>66</v>
      </c>
    </row>
    <row r="79" spans="1:9" ht="21.75" hidden="1" customHeight="1">
      <c r="A79" s="254">
        <v>3</v>
      </c>
      <c r="B79" s="271" t="s">
        <v>71</v>
      </c>
      <c r="C79" s="272" t="s">
        <v>71</v>
      </c>
      <c r="D79" s="213">
        <f>'2. XL-1F TT '!H28</f>
        <v>55</v>
      </c>
      <c r="E79" s="161">
        <f>'2. XL-1F TT '!L28</f>
        <v>60</v>
      </c>
      <c r="F79" s="161">
        <f>'2. XL-1F TT '!P28</f>
        <v>60</v>
      </c>
      <c r="G79" s="161">
        <f>'2. XL-1F TT '!H66</f>
        <v>61</v>
      </c>
      <c r="H79" s="161">
        <f>'2. XL-1F TT '!L66</f>
        <v>0</v>
      </c>
      <c r="I79" s="214">
        <f>'2. XL-1F TT '!P66</f>
        <v>59</v>
      </c>
    </row>
    <row r="80" spans="1:9" ht="21.75" hidden="1" customHeight="1">
      <c r="A80" s="254">
        <v>4</v>
      </c>
      <c r="B80" s="271" t="s">
        <v>70</v>
      </c>
      <c r="C80" s="272" t="s">
        <v>70</v>
      </c>
      <c r="D80" s="213">
        <f>'2. XL-1F TT '!H29</f>
        <v>54</v>
      </c>
      <c r="E80" s="161">
        <f>'2. XL-1F TT '!L29</f>
        <v>51</v>
      </c>
      <c r="F80" s="161">
        <f>'2. XL-1F TT '!P29</f>
        <v>51</v>
      </c>
      <c r="G80" s="161">
        <f>'2. XL-1F TT '!H67</f>
        <v>52</v>
      </c>
      <c r="H80" s="161">
        <f>'2. XL-1F TT '!L67</f>
        <v>0</v>
      </c>
      <c r="I80" s="214">
        <f>'2. XL-1F TT '!P67</f>
        <v>54</v>
      </c>
    </row>
    <row r="81" spans="1:9" ht="21.75" hidden="1" customHeight="1">
      <c r="A81" s="254">
        <v>5</v>
      </c>
      <c r="B81" s="271" t="s">
        <v>72</v>
      </c>
      <c r="C81" s="272" t="s">
        <v>72</v>
      </c>
      <c r="D81" s="213">
        <f>'2. XL-1F TT '!H30</f>
        <v>26</v>
      </c>
      <c r="E81" s="161">
        <f>'2. XL-1F TT '!L30</f>
        <v>28</v>
      </c>
      <c r="F81" s="161">
        <f>'2. XL-1F TT '!P30</f>
        <v>28</v>
      </c>
      <c r="G81" s="161">
        <f>'2. XL-1F TT '!H68</f>
        <v>27</v>
      </c>
      <c r="H81" s="161">
        <f>'2. XL-1F TT '!L68</f>
        <v>0</v>
      </c>
      <c r="I81" s="214">
        <f>'2. XL-1F TT '!P68</f>
        <v>27</v>
      </c>
    </row>
    <row r="82" spans="1:9" ht="21.75" hidden="1" customHeight="1">
      <c r="A82" s="254">
        <v>6</v>
      </c>
      <c r="B82" s="271" t="s">
        <v>95</v>
      </c>
      <c r="C82" s="272" t="s">
        <v>95</v>
      </c>
      <c r="D82" s="213">
        <f>'2. XL-1F TT '!H31</f>
        <v>36</v>
      </c>
      <c r="E82" s="161">
        <f>'2. XL-1F TT '!L31</f>
        <v>37</v>
      </c>
      <c r="F82" s="161">
        <f>'2. XL-1F TT '!P31</f>
        <v>37</v>
      </c>
      <c r="G82" s="161">
        <f>'2. XL-1F TT '!H69</f>
        <v>36</v>
      </c>
      <c r="H82" s="161">
        <f>'2. XL-1F TT '!L69</f>
        <v>0</v>
      </c>
      <c r="I82" s="214">
        <f>'2. XL-1F TT '!P69</f>
        <v>36</v>
      </c>
    </row>
    <row r="83" spans="1:9" ht="21.75" hidden="1" customHeight="1">
      <c r="A83" s="254">
        <v>7</v>
      </c>
      <c r="B83" s="271" t="s">
        <v>73</v>
      </c>
      <c r="C83" s="272" t="s">
        <v>73</v>
      </c>
      <c r="D83" s="213">
        <f>'2. XL-1F TT '!H32</f>
        <v>62</v>
      </c>
      <c r="E83" s="161">
        <f>'2. XL-1F TT '!L32</f>
        <v>58</v>
      </c>
      <c r="F83" s="161">
        <f>'2. XL-1F TT '!P32</f>
        <v>58</v>
      </c>
      <c r="G83" s="161">
        <f>'2. XL-1F TT '!H70</f>
        <v>55</v>
      </c>
      <c r="H83" s="161">
        <f>'2. XL-1F TT '!L70</f>
        <v>0</v>
      </c>
      <c r="I83" s="214">
        <f>'2. XL-1F TT '!P70</f>
        <v>57</v>
      </c>
    </row>
    <row r="84" spans="1:9" ht="21.75" hidden="1" customHeight="1">
      <c r="A84" s="254">
        <v>8</v>
      </c>
      <c r="B84" s="269" t="s">
        <v>74</v>
      </c>
      <c r="C84" s="270" t="s">
        <v>74</v>
      </c>
      <c r="D84" s="213">
        <f>'2. XL-1F TT '!J33</f>
        <v>73</v>
      </c>
      <c r="E84" s="161">
        <f>'2. XL-1F TT '!N33</f>
        <v>71</v>
      </c>
      <c r="F84" s="161">
        <f>'2. XL-1F TT '!R33</f>
        <v>71</v>
      </c>
      <c r="G84" s="161">
        <f>'2. XL-1F TT '!J71</f>
        <v>73</v>
      </c>
      <c r="H84" s="161">
        <f>'2. XL-1F TT '!N71</f>
        <v>0</v>
      </c>
      <c r="I84" s="214">
        <f>'2. XL-1F TT '!R71</f>
        <v>71</v>
      </c>
    </row>
    <row r="85" spans="1:9" ht="21.75" hidden="1" customHeight="1">
      <c r="A85" s="174"/>
      <c r="B85" s="175" t="s">
        <v>118</v>
      </c>
      <c r="C85" s="182"/>
      <c r="D85" s="215" t="s">
        <v>176</v>
      </c>
      <c r="E85" s="170"/>
      <c r="F85" s="170"/>
      <c r="G85" s="170"/>
      <c r="H85" s="170"/>
      <c r="I85" s="216"/>
    </row>
    <row r="86" spans="1:9" ht="21.75" hidden="1" customHeight="1">
      <c r="A86" s="176" t="s">
        <v>7</v>
      </c>
      <c r="B86" s="177" t="s">
        <v>100</v>
      </c>
      <c r="C86" s="178"/>
      <c r="D86" s="217">
        <v>0.25</v>
      </c>
      <c r="E86" s="173">
        <v>0.41666666666666669</v>
      </c>
      <c r="F86" s="173">
        <v>0.58333333333333337</v>
      </c>
      <c r="G86" s="173">
        <v>0.75</v>
      </c>
      <c r="H86" s="173">
        <v>0.91666666666666663</v>
      </c>
      <c r="I86" s="218">
        <v>8.3333333333333329E-2</v>
      </c>
    </row>
    <row r="87" spans="1:9" ht="21.75" hidden="1" customHeight="1">
      <c r="A87" s="253">
        <v>1</v>
      </c>
      <c r="B87" s="259" t="s">
        <v>54</v>
      </c>
      <c r="C87" s="260"/>
      <c r="D87" s="213">
        <f>'2. XL-1F TT '!H36</f>
        <v>200</v>
      </c>
      <c r="E87" s="161">
        <f>'2. XL-1F TT '!L36</f>
        <v>195</v>
      </c>
      <c r="F87" s="161">
        <f>'2. XL-1F TT '!P36</f>
        <v>190</v>
      </c>
      <c r="G87" s="161">
        <f>'2. XL-1F TT '!H74</f>
        <v>195</v>
      </c>
      <c r="H87" s="161">
        <f>'2. XL-1F TT '!L74</f>
        <v>0</v>
      </c>
      <c r="I87" s="214">
        <f>'2. XL-1F TT '!P74</f>
        <v>190</v>
      </c>
    </row>
    <row r="88" spans="1:9" ht="21.75" hidden="1" customHeight="1">
      <c r="A88" s="253">
        <v>2</v>
      </c>
      <c r="B88" s="259" t="s">
        <v>94</v>
      </c>
      <c r="C88" s="260"/>
      <c r="D88" s="213">
        <f>'2. XL-1F TT '!H37</f>
        <v>43</v>
      </c>
      <c r="E88" s="161">
        <f>'2. XL-1F TT '!L37</f>
        <v>42</v>
      </c>
      <c r="F88" s="161">
        <f>'2. XL-1F TT '!P37</f>
        <v>43</v>
      </c>
      <c r="G88" s="161">
        <f>'2. XL-1F TT '!H75</f>
        <v>42</v>
      </c>
      <c r="H88" s="161">
        <f>'2. XL-1F TT '!L75</f>
        <v>0</v>
      </c>
      <c r="I88" s="214">
        <f>'2. XL-1F TT '!P75</f>
        <v>39</v>
      </c>
    </row>
    <row r="89" spans="1:9" ht="21.75" hidden="1" customHeight="1">
      <c r="A89" s="167"/>
      <c r="B89" s="167"/>
      <c r="C89" s="167"/>
      <c r="D89" s="215" t="s">
        <v>174</v>
      </c>
      <c r="E89" s="170"/>
      <c r="F89" s="170"/>
      <c r="G89" s="170"/>
      <c r="H89" s="170"/>
      <c r="I89" s="216"/>
    </row>
    <row r="90" spans="1:9" ht="21.75" hidden="1" customHeight="1">
      <c r="A90" s="167"/>
      <c r="B90" s="167"/>
      <c r="C90" s="167"/>
      <c r="D90" s="219">
        <v>0.25</v>
      </c>
      <c r="E90" s="165">
        <v>0.41666666666666669</v>
      </c>
      <c r="F90" s="165">
        <v>0.58333333333333337</v>
      </c>
      <c r="G90" s="165">
        <v>0.75</v>
      </c>
      <c r="H90" s="165">
        <v>0.91666666666666663</v>
      </c>
      <c r="I90" s="220">
        <v>8.3333333333333329E-2</v>
      </c>
    </row>
    <row r="91" spans="1:9" ht="21.75" hidden="1" customHeight="1">
      <c r="A91" s="250">
        <v>1</v>
      </c>
      <c r="B91" s="255" t="s">
        <v>148</v>
      </c>
      <c r="C91" s="258" t="s">
        <v>108</v>
      </c>
      <c r="D91" s="221">
        <f>'2. XL-1F TT '!J6</f>
        <v>0</v>
      </c>
      <c r="E91" s="168">
        <f>'2. XL-1F TT '!N6</f>
        <v>0</v>
      </c>
      <c r="F91" s="168">
        <f>'2. XL-1F TT '!R6</f>
        <v>0</v>
      </c>
      <c r="G91" s="168">
        <f>'2. XL-1F TT '!J44</f>
        <v>0</v>
      </c>
      <c r="H91" s="168">
        <f>'2. XL-1F TT '!N44</f>
        <v>188.51</v>
      </c>
      <c r="I91" s="222">
        <f>'2. XL-1F TT '!R44</f>
        <v>0</v>
      </c>
    </row>
    <row r="92" spans="1:9" ht="21.75" hidden="1" customHeight="1">
      <c r="A92" s="251"/>
      <c r="B92" s="256"/>
      <c r="C92" s="259" t="s">
        <v>109</v>
      </c>
      <c r="D92" s="221">
        <f>'2. XL-1F TT '!J7</f>
        <v>0</v>
      </c>
      <c r="E92" s="168">
        <f>'2. XL-1F TT '!N7</f>
        <v>0</v>
      </c>
      <c r="F92" s="168">
        <f>'2. XL-1F TT '!R7</f>
        <v>0</v>
      </c>
      <c r="G92" s="168">
        <f>'2. XL-1F TT '!J45</f>
        <v>0</v>
      </c>
      <c r="H92" s="168">
        <f>'2. XL-1F TT '!N45</f>
        <v>56.552999999999997</v>
      </c>
      <c r="I92" s="222">
        <f>'2. XL-1F TT '!R45</f>
        <v>0</v>
      </c>
    </row>
    <row r="93" spans="1:9" ht="21.75" hidden="1" customHeight="1">
      <c r="A93" s="252"/>
      <c r="B93" s="257"/>
      <c r="C93" s="259" t="s">
        <v>111</v>
      </c>
      <c r="D93" s="221" t="e">
        <f>'2. XL-1F TT '!#REF!</f>
        <v>#REF!</v>
      </c>
      <c r="E93" s="168" t="e">
        <f>'2. XL-1F TT '!#REF!</f>
        <v>#REF!</v>
      </c>
      <c r="F93" s="168" t="e">
        <f>'2. XL-1F TT '!#REF!</f>
        <v>#REF!</v>
      </c>
      <c r="G93" s="168" t="e">
        <f>'2. XL-1F TT '!#REF!</f>
        <v>#REF!</v>
      </c>
      <c r="H93" s="168" t="e">
        <f>'2. XL-1F TT '!#REF!</f>
        <v>#REF!</v>
      </c>
      <c r="I93" s="222" t="e">
        <f>'2. XL-1F TT '!#REF!</f>
        <v>#REF!</v>
      </c>
    </row>
    <row r="94" spans="1:9" ht="21.75" hidden="1" customHeight="1">
      <c r="A94" s="250">
        <v>2</v>
      </c>
      <c r="B94" s="255" t="s">
        <v>149</v>
      </c>
      <c r="C94" s="258" t="s">
        <v>108</v>
      </c>
      <c r="D94" s="221">
        <f>'2. XL-1F TT '!J8</f>
        <v>0</v>
      </c>
      <c r="E94" s="168">
        <f>'2. XL-1F TT '!N8</f>
        <v>0</v>
      </c>
      <c r="F94" s="168">
        <f>'2. XL-1F TT '!R8</f>
        <v>0</v>
      </c>
      <c r="G94" s="168">
        <f>'2. XL-1F TT '!J46</f>
        <v>0</v>
      </c>
      <c r="H94" s="168">
        <f>'2. XL-1F TT '!N46</f>
        <v>231.35</v>
      </c>
      <c r="I94" s="222">
        <f>'2. XL-1F TT '!R46</f>
        <v>0</v>
      </c>
    </row>
    <row r="95" spans="1:9" ht="21.75" hidden="1" customHeight="1">
      <c r="A95" s="251"/>
      <c r="B95" s="256"/>
      <c r="C95" s="259" t="s">
        <v>109</v>
      </c>
      <c r="D95" s="221">
        <f>'2. XL-1F TT '!J9</f>
        <v>0</v>
      </c>
      <c r="E95" s="168">
        <f>'2. XL-1F TT '!N9</f>
        <v>0</v>
      </c>
      <c r="F95" s="168">
        <f>'2. XL-1F TT '!R9</f>
        <v>0</v>
      </c>
      <c r="G95" s="168">
        <f>'2. XL-1F TT '!J47</f>
        <v>0</v>
      </c>
      <c r="H95" s="168">
        <f>'2. XL-1F TT '!N47</f>
        <v>69.405000000000001</v>
      </c>
      <c r="I95" s="222">
        <f>'2. XL-1F TT '!R47</f>
        <v>0</v>
      </c>
    </row>
    <row r="96" spans="1:9" ht="21.75" hidden="1" customHeight="1">
      <c r="A96" s="252"/>
      <c r="B96" s="257"/>
      <c r="C96" s="259" t="s">
        <v>111</v>
      </c>
      <c r="D96" s="221" t="e">
        <f>'2. XL-1F TT '!#REF!</f>
        <v>#REF!</v>
      </c>
      <c r="E96" s="168" t="e">
        <f>'2. XL-1F TT '!#REF!</f>
        <v>#REF!</v>
      </c>
      <c r="F96" s="168" t="e">
        <f>'2. XL-1F TT '!#REF!</f>
        <v>#REF!</v>
      </c>
      <c r="G96" s="168" t="e">
        <f>'2. XL-1F TT '!#REF!</f>
        <v>#REF!</v>
      </c>
      <c r="H96" s="168" t="e">
        <f>'2. XL-1F TT '!#REF!</f>
        <v>#REF!</v>
      </c>
      <c r="I96" s="222" t="e">
        <f>'2. XL-1F TT '!#REF!</f>
        <v>#REF!</v>
      </c>
    </row>
    <row r="97" spans="1:9" ht="21.75" hidden="1" customHeight="1">
      <c r="A97" s="250">
        <v>3</v>
      </c>
      <c r="B97" s="261" t="s">
        <v>150</v>
      </c>
      <c r="C97" s="258" t="s">
        <v>108</v>
      </c>
      <c r="D97" s="221">
        <f>'2. XL-1F TT '!J10</f>
        <v>9.5439360000000004</v>
      </c>
      <c r="E97" s="168">
        <f>'2. XL-1F TT '!N10</f>
        <v>7.4076480000000009</v>
      </c>
      <c r="F97" s="168">
        <f>'2. XL-1F TT '!R10</f>
        <v>4.7372879999999986</v>
      </c>
      <c r="G97" s="168">
        <f>'2. XL-1F TT '!J48</f>
        <v>0</v>
      </c>
      <c r="H97" s="168">
        <f>'2. XL-1F TT '!N48</f>
        <v>69.36</v>
      </c>
      <c r="I97" s="222">
        <f>'2. XL-1F TT '!R48</f>
        <v>0</v>
      </c>
    </row>
    <row r="98" spans="1:9" ht="21.75" hidden="1" customHeight="1">
      <c r="A98" s="252"/>
      <c r="B98" s="262"/>
      <c r="C98" s="259" t="s">
        <v>112</v>
      </c>
      <c r="D98" s="221">
        <f>'2. XL-1F TT '!J11</f>
        <v>2.6723020800000001</v>
      </c>
      <c r="E98" s="168">
        <f>'2. XL-1F TT '!N11</f>
        <v>2.0741414400000004</v>
      </c>
      <c r="F98" s="168">
        <f>'2. XL-1F TT '!R11</f>
        <v>1.3264406399999995</v>
      </c>
      <c r="G98" s="168">
        <f>'2. XL-1F TT '!J49</f>
        <v>0</v>
      </c>
      <c r="H98" s="168">
        <f>'2. XL-1F TT '!N49</f>
        <v>19.4208</v>
      </c>
      <c r="I98" s="222">
        <f>'2. XL-1F TT '!R49</f>
        <v>0</v>
      </c>
    </row>
    <row r="99" spans="1:9" ht="21.75" hidden="1" customHeight="1">
      <c r="A99" s="250">
        <v>4</v>
      </c>
      <c r="B99" s="261" t="s">
        <v>151</v>
      </c>
      <c r="C99" s="258" t="s">
        <v>108</v>
      </c>
      <c r="D99" s="221">
        <f>'2. XL-1F TT '!J12</f>
        <v>0</v>
      </c>
      <c r="E99" s="168">
        <f>'2. XL-1F TT '!N12</f>
        <v>25.526664000000004</v>
      </c>
      <c r="F99" s="168">
        <f>'2. XL-1F TT '!R12</f>
        <v>8.6752140000000075</v>
      </c>
      <c r="G99" s="168">
        <f>'2. XL-1F TT '!J50</f>
        <v>2.6086920000000053</v>
      </c>
      <c r="H99" s="168">
        <f>'2. XL-1F TT '!N50</f>
        <v>87.54</v>
      </c>
      <c r="I99" s="222">
        <f>'2. XL-1F TT '!R50</f>
        <v>3.2827500000000001</v>
      </c>
    </row>
    <row r="100" spans="1:9" ht="21.75" hidden="1" customHeight="1">
      <c r="A100" s="252"/>
      <c r="B100" s="262"/>
      <c r="C100" s="259" t="s">
        <v>112</v>
      </c>
      <c r="D100" s="221">
        <f>'2. XL-1F TT '!J13</f>
        <v>0</v>
      </c>
      <c r="E100" s="168">
        <f>'2. XL-1F TT '!N13</f>
        <v>7.147465920000001</v>
      </c>
      <c r="F100" s="168">
        <f>'2. XL-1F TT '!R13</f>
        <v>2.429059920000002</v>
      </c>
      <c r="G100" s="168">
        <f>'2. XL-1F TT '!J51</f>
        <v>0.73043376000000149</v>
      </c>
      <c r="H100" s="168">
        <f>'2. XL-1F TT '!N51</f>
        <v>24.511200000000002</v>
      </c>
      <c r="I100" s="222">
        <f>'2. XL-1F TT '!R51</f>
        <v>0.91917000000000004</v>
      </c>
    </row>
    <row r="101" spans="1:9" ht="21.75" hidden="1" customHeight="1">
      <c r="A101" s="253">
        <v>5</v>
      </c>
      <c r="B101" s="259" t="s">
        <v>82</v>
      </c>
      <c r="C101" s="260"/>
      <c r="D101" s="221">
        <f>'2. XL-1F TT '!J14</f>
        <v>0</v>
      </c>
      <c r="E101" s="168">
        <f>'2. XL-1F TT '!N14</f>
        <v>0</v>
      </c>
      <c r="F101" s="168">
        <f>'2. XL-1F TT '!R14</f>
        <v>0</v>
      </c>
      <c r="G101" s="168">
        <f>'2. XL-1F TT '!J52</f>
        <v>0</v>
      </c>
      <c r="H101" s="168">
        <f>'2. XL-1F TT '!N52</f>
        <v>2793.14</v>
      </c>
      <c r="I101" s="222">
        <f>'2. XL-1F TT '!R52</f>
        <v>0</v>
      </c>
    </row>
    <row r="102" spans="1:9" ht="21.75" hidden="1" customHeight="1">
      <c r="A102" s="253">
        <v>6</v>
      </c>
      <c r="B102" s="259" t="s">
        <v>60</v>
      </c>
      <c r="C102" s="260"/>
      <c r="D102" s="221">
        <f>'2. XL-1F TT '!J15</f>
        <v>36.11131000000001</v>
      </c>
      <c r="E102" s="168">
        <f>'2. XL-1F TT '!N15</f>
        <v>36.11131000000001</v>
      </c>
      <c r="F102" s="168">
        <f>'2. XL-1F TT '!R15</f>
        <v>37.408124999999998</v>
      </c>
      <c r="G102" s="168">
        <f>'2. XL-1F TT '!J53</f>
        <v>30.924049999999976</v>
      </c>
      <c r="H102" s="168">
        <f>'2. XL-1F TT '!N53</f>
        <v>199.51</v>
      </c>
      <c r="I102" s="222">
        <f>'2. XL-1F TT '!R53</f>
        <v>30.924049999999976</v>
      </c>
    </row>
    <row r="103" spans="1:9" ht="21.75" hidden="1" customHeight="1">
      <c r="A103" s="263">
        <v>7</v>
      </c>
      <c r="B103" s="255" t="s">
        <v>114</v>
      </c>
      <c r="C103" s="265"/>
      <c r="D103" s="221">
        <f>'2. XL-1F TT '!J16</f>
        <v>12.547419999999997</v>
      </c>
      <c r="E103" s="168">
        <f>'2. XL-1F TT '!N16</f>
        <v>13.034674999999998</v>
      </c>
      <c r="F103" s="168">
        <f>'2. XL-1F TT '!R16</f>
        <v>15.714577500000001</v>
      </c>
      <c r="G103" s="168">
        <f>'2. XL-1F TT '!J54</f>
        <v>22.292520000000003</v>
      </c>
      <c r="H103" s="168">
        <f>'2. XL-1F TT '!N54</f>
        <v>52.015074999999996</v>
      </c>
      <c r="I103" s="222">
        <f>'2. XL-1F TT '!R54</f>
        <v>19.856245000000001</v>
      </c>
    </row>
    <row r="104" spans="1:9" ht="21.75" hidden="1" customHeight="1">
      <c r="A104" s="264"/>
      <c r="B104" s="266"/>
      <c r="C104" s="267"/>
      <c r="D104" s="221">
        <f>'2. XL-1F TT '!J17</f>
        <v>0</v>
      </c>
      <c r="E104" s="168">
        <f>'2. XL-1F TT '!N17</f>
        <v>0</v>
      </c>
      <c r="F104" s="168">
        <f>'2. XL-1F TT '!R17</f>
        <v>0</v>
      </c>
      <c r="G104" s="168">
        <f>'2. XL-1F TT '!J55</f>
        <v>0</v>
      </c>
      <c r="H104" s="168">
        <f>'2. XL-1F TT '!N55</f>
        <v>0</v>
      </c>
      <c r="I104" s="222">
        <f>'2. XL-1F TT '!R55</f>
        <v>0</v>
      </c>
    </row>
    <row r="105" spans="1:9" ht="21.75" hidden="1" customHeight="1">
      <c r="A105" s="253">
        <v>8</v>
      </c>
      <c r="B105" s="259" t="s">
        <v>61</v>
      </c>
      <c r="C105" s="260"/>
      <c r="D105" s="221">
        <f>'2. XL-1F TT '!J18</f>
        <v>0</v>
      </c>
      <c r="E105" s="168">
        <f>'2. XL-1F TT '!N18</f>
        <v>0</v>
      </c>
      <c r="F105" s="168">
        <f>'2. XL-1F TT '!R18</f>
        <v>0</v>
      </c>
      <c r="G105" s="168">
        <f>'2. XL-1F TT '!J56</f>
        <v>0</v>
      </c>
      <c r="H105" s="168">
        <f>'2. XL-1F TT '!N56</f>
        <v>954.9</v>
      </c>
      <c r="I105" s="222">
        <f>'2. XL-1F TT '!R56</f>
        <v>0</v>
      </c>
    </row>
    <row r="106" spans="1:9" ht="21.75" hidden="1" customHeight="1">
      <c r="A106" s="253">
        <v>9</v>
      </c>
      <c r="B106" s="259" t="s">
        <v>62</v>
      </c>
      <c r="C106" s="260"/>
      <c r="D106" s="221">
        <f>'2. XL-1F TT '!J19</f>
        <v>0</v>
      </c>
      <c r="E106" s="168">
        <f>'2. XL-1F TT '!N19</f>
        <v>0</v>
      </c>
      <c r="F106" s="168">
        <f>'2. XL-1F TT '!R19</f>
        <v>0</v>
      </c>
      <c r="G106" s="168">
        <f>'2. XL-1F TT '!J57</f>
        <v>0</v>
      </c>
      <c r="H106" s="168">
        <f>'2. XL-1F TT '!N57</f>
        <v>134.64000000000001</v>
      </c>
      <c r="I106" s="222">
        <f>'2. XL-1F TT '!R57</f>
        <v>0</v>
      </c>
    </row>
    <row r="107" spans="1:9" ht="21.75" hidden="1" customHeight="1">
      <c r="A107" s="253">
        <v>11</v>
      </c>
      <c r="B107" s="259" t="s">
        <v>116</v>
      </c>
      <c r="C107" s="260"/>
      <c r="D107" s="221">
        <f>'2. XL-1F TT '!J20</f>
        <v>0</v>
      </c>
      <c r="E107" s="168">
        <f>'2. XL-1F TT '!N20</f>
        <v>0</v>
      </c>
      <c r="F107" s="168">
        <f>'2. XL-1F TT '!R20</f>
        <v>0</v>
      </c>
      <c r="G107" s="168">
        <f>'2. XL-1F TT '!J58</f>
        <v>0</v>
      </c>
      <c r="H107" s="168">
        <f>'2. XL-1F TT '!N58</f>
        <v>57.5</v>
      </c>
      <c r="I107" s="222">
        <f>'2. XL-1F TT '!R58</f>
        <v>0</v>
      </c>
    </row>
    <row r="108" spans="1:9" ht="21.75" hidden="1" customHeight="1">
      <c r="A108" s="253">
        <v>12</v>
      </c>
      <c r="B108" s="259" t="s">
        <v>115</v>
      </c>
      <c r="C108" s="260"/>
      <c r="D108" s="221">
        <f>'2. XL-1F TT '!J21</f>
        <v>0</v>
      </c>
      <c r="E108" s="168">
        <f>'2. XL-1F TT '!N21</f>
        <v>0</v>
      </c>
      <c r="F108" s="168">
        <f>'2. XL-1F TT '!R21</f>
        <v>0</v>
      </c>
      <c r="G108" s="168">
        <f>'2. XL-1F TT '!J59</f>
        <v>0</v>
      </c>
      <c r="H108" s="168">
        <f>'2. XL-1F TT '!N59</f>
        <v>8.1538461538461533</v>
      </c>
      <c r="I108" s="222">
        <f>'2. XL-1F TT '!R59</f>
        <v>0</v>
      </c>
    </row>
    <row r="109" spans="1:9" ht="21.75" hidden="1" customHeight="1">
      <c r="D109" s="213"/>
      <c r="E109" s="161"/>
      <c r="F109" s="161"/>
      <c r="G109" s="161"/>
      <c r="H109" s="161"/>
      <c r="I109" s="214"/>
    </row>
    <row r="110" spans="1:9" ht="39" hidden="1" customHeight="1">
      <c r="A110" s="196"/>
      <c r="B110" s="194" t="s">
        <v>230</v>
      </c>
      <c r="C110" s="197"/>
      <c r="D110" s="225"/>
      <c r="E110" s="198"/>
      <c r="F110" s="161"/>
      <c r="G110" s="161"/>
      <c r="H110" s="161"/>
      <c r="I110" s="214"/>
    </row>
    <row r="111" spans="1:9" ht="21.75" hidden="1" customHeight="1">
      <c r="A111" s="191" t="s">
        <v>7</v>
      </c>
      <c r="B111" s="179"/>
      <c r="C111" s="179"/>
      <c r="D111" s="215" t="s">
        <v>173</v>
      </c>
      <c r="E111" s="170"/>
      <c r="F111" s="170"/>
      <c r="G111" s="170"/>
      <c r="H111" s="170"/>
      <c r="I111" s="216"/>
    </row>
    <row r="112" spans="1:9" ht="21.75" hidden="1" customHeight="1">
      <c r="A112" s="192"/>
      <c r="B112" s="188"/>
      <c r="C112" s="188"/>
      <c r="D112" s="219">
        <v>0.25</v>
      </c>
      <c r="E112" s="165">
        <v>0.41666666666666669</v>
      </c>
      <c r="F112" s="165">
        <v>0.58333333333333337</v>
      </c>
      <c r="G112" s="165">
        <v>0.75</v>
      </c>
      <c r="H112" s="165">
        <v>0.91666666666666663</v>
      </c>
      <c r="I112" s="220">
        <v>8.3333333333333329E-2</v>
      </c>
    </row>
    <row r="113" spans="1:9" ht="21.75" hidden="1" customHeight="1">
      <c r="A113" s="2133">
        <v>1</v>
      </c>
      <c r="B113" s="2135" t="s">
        <v>148</v>
      </c>
      <c r="C113" s="282" t="s">
        <v>108</v>
      </c>
      <c r="D113" s="213" t="e">
        <f>#REF!</f>
        <v>#REF!</v>
      </c>
      <c r="E113" s="161" t="e">
        <f>#REF!</f>
        <v>#REF!</v>
      </c>
      <c r="F113" s="161" t="e">
        <f>#REF!</f>
        <v>#REF!</v>
      </c>
      <c r="G113" s="161" t="e">
        <f>#REF!</f>
        <v>#REF!</v>
      </c>
      <c r="H113" s="161" t="e">
        <f>#REF!</f>
        <v>#REF!</v>
      </c>
      <c r="I113" s="214" t="e">
        <f>#REF!</f>
        <v>#REF!</v>
      </c>
    </row>
    <row r="114" spans="1:9" ht="21.75" hidden="1" customHeight="1">
      <c r="A114" s="2133"/>
      <c r="B114" s="2136"/>
      <c r="C114" s="281" t="s">
        <v>109</v>
      </c>
      <c r="D114" s="213" t="e">
        <f>#REF!</f>
        <v>#REF!</v>
      </c>
      <c r="E114" s="161" t="e">
        <f>#REF!</f>
        <v>#REF!</v>
      </c>
      <c r="F114" s="161" t="e">
        <f>#REF!</f>
        <v>#REF!</v>
      </c>
      <c r="G114" s="161" t="e">
        <f>#REF!</f>
        <v>#REF!</v>
      </c>
      <c r="H114" s="161" t="e">
        <f>#REF!</f>
        <v>#REF!</v>
      </c>
      <c r="I114" s="214" t="e">
        <f>#REF!</f>
        <v>#REF!</v>
      </c>
    </row>
    <row r="115" spans="1:9" ht="21.75" hidden="1" customHeight="1">
      <c r="A115" s="2134"/>
      <c r="B115" s="2137"/>
      <c r="C115" s="267" t="s">
        <v>111</v>
      </c>
      <c r="D115" s="213" t="e">
        <f>#REF!</f>
        <v>#REF!</v>
      </c>
      <c r="E115" s="161" t="e">
        <f>#REF!</f>
        <v>#REF!</v>
      </c>
      <c r="F115" s="161" t="e">
        <f>#REF!</f>
        <v>#REF!</v>
      </c>
      <c r="G115" s="161" t="e">
        <f>#REF!</f>
        <v>#REF!</v>
      </c>
      <c r="H115" s="161" t="e">
        <f>#REF!</f>
        <v>#REF!</v>
      </c>
      <c r="I115" s="214" t="e">
        <f>#REF!</f>
        <v>#REF!</v>
      </c>
    </row>
    <row r="116" spans="1:9" ht="21.75" hidden="1" customHeight="1">
      <c r="A116" s="2076">
        <v>2</v>
      </c>
      <c r="B116" s="2138" t="s">
        <v>149</v>
      </c>
      <c r="C116" s="257" t="s">
        <v>108</v>
      </c>
      <c r="D116" s="213" t="e">
        <f>#REF!</f>
        <v>#REF!</v>
      </c>
      <c r="E116" s="161" t="e">
        <f>#REF!</f>
        <v>#REF!</v>
      </c>
      <c r="F116" s="161" t="e">
        <f>#REF!</f>
        <v>#REF!</v>
      </c>
      <c r="G116" s="161" t="e">
        <f>#REF!</f>
        <v>#REF!</v>
      </c>
      <c r="H116" s="161" t="e">
        <f>#REF!</f>
        <v>#REF!</v>
      </c>
      <c r="I116" s="214" t="e">
        <f>#REF!</f>
        <v>#REF!</v>
      </c>
    </row>
    <row r="117" spans="1:9" ht="21.75" hidden="1" customHeight="1">
      <c r="A117" s="2076"/>
      <c r="B117" s="2066"/>
      <c r="C117" s="259" t="s">
        <v>109</v>
      </c>
      <c r="D117" s="213" t="e">
        <f>#REF!</f>
        <v>#REF!</v>
      </c>
      <c r="E117" s="161" t="e">
        <f>#REF!</f>
        <v>#REF!</v>
      </c>
      <c r="F117" s="161" t="e">
        <f>#REF!</f>
        <v>#REF!</v>
      </c>
      <c r="G117" s="161" t="e">
        <f>#REF!</f>
        <v>#REF!</v>
      </c>
      <c r="H117" s="161" t="e">
        <f>#REF!</f>
        <v>#REF!</v>
      </c>
      <c r="I117" s="214" t="e">
        <f>#REF!</f>
        <v>#REF!</v>
      </c>
    </row>
    <row r="118" spans="1:9" ht="21.75" hidden="1" customHeight="1">
      <c r="A118" s="2061"/>
      <c r="B118" s="2068"/>
      <c r="C118" s="259" t="s">
        <v>111</v>
      </c>
      <c r="D118" s="213" t="e">
        <f>#REF!</f>
        <v>#REF!</v>
      </c>
      <c r="E118" s="161" t="e">
        <f>#REF!</f>
        <v>#REF!</v>
      </c>
      <c r="F118" s="161" t="e">
        <f>#REF!</f>
        <v>#REF!</v>
      </c>
      <c r="G118" s="161" t="e">
        <f>#REF!</f>
        <v>#REF!</v>
      </c>
      <c r="H118" s="161" t="e">
        <f>#REF!</f>
        <v>#REF!</v>
      </c>
      <c r="I118" s="214" t="e">
        <f>#REF!</f>
        <v>#REF!</v>
      </c>
    </row>
    <row r="119" spans="1:9" ht="21.75" hidden="1" customHeight="1">
      <c r="A119" s="2060">
        <v>3</v>
      </c>
      <c r="B119" s="2035" t="s">
        <v>150</v>
      </c>
      <c r="C119" s="258" t="s">
        <v>108</v>
      </c>
      <c r="D119" s="213" t="e">
        <f>#REF!</f>
        <v>#REF!</v>
      </c>
      <c r="E119" s="161" t="e">
        <f>#REF!</f>
        <v>#REF!</v>
      </c>
      <c r="F119" s="161" t="e">
        <f>#REF!</f>
        <v>#REF!</v>
      </c>
      <c r="G119" s="161" t="e">
        <f>#REF!</f>
        <v>#REF!</v>
      </c>
      <c r="H119" s="161" t="e">
        <f>#REF!</f>
        <v>#REF!</v>
      </c>
      <c r="I119" s="214" t="e">
        <f>#REF!</f>
        <v>#REF!</v>
      </c>
    </row>
    <row r="120" spans="1:9" ht="21.75" hidden="1" customHeight="1">
      <c r="A120" s="2061"/>
      <c r="B120" s="2036"/>
      <c r="C120" s="259" t="s">
        <v>112</v>
      </c>
      <c r="D120" s="213" t="e">
        <f>#REF!</f>
        <v>#REF!</v>
      </c>
      <c r="E120" s="161" t="e">
        <f>#REF!</f>
        <v>#REF!</v>
      </c>
      <c r="F120" s="161" t="e">
        <f>#REF!</f>
        <v>#REF!</v>
      </c>
      <c r="G120" s="161" t="e">
        <f>#REF!</f>
        <v>#REF!</v>
      </c>
      <c r="H120" s="161" t="e">
        <f>#REF!</f>
        <v>#REF!</v>
      </c>
      <c r="I120" s="214" t="e">
        <f>#REF!</f>
        <v>#REF!</v>
      </c>
    </row>
    <row r="121" spans="1:9" ht="21.75" hidden="1" customHeight="1">
      <c r="A121" s="2060">
        <v>4</v>
      </c>
      <c r="B121" s="2035" t="s">
        <v>151</v>
      </c>
      <c r="C121" s="258" t="s">
        <v>108</v>
      </c>
      <c r="D121" s="213" t="e">
        <f>#REF!</f>
        <v>#REF!</v>
      </c>
      <c r="E121" s="161" t="e">
        <f>#REF!</f>
        <v>#REF!</v>
      </c>
      <c r="F121" s="161" t="e">
        <f>#REF!</f>
        <v>#REF!</v>
      </c>
      <c r="G121" s="161" t="e">
        <f>#REF!</f>
        <v>#REF!</v>
      </c>
      <c r="H121" s="161" t="e">
        <f>#REF!</f>
        <v>#REF!</v>
      </c>
      <c r="I121" s="214" t="e">
        <f>#REF!</f>
        <v>#REF!</v>
      </c>
    </row>
    <row r="122" spans="1:9" ht="21.75" hidden="1" customHeight="1">
      <c r="A122" s="2061"/>
      <c r="B122" s="2036"/>
      <c r="C122" s="259" t="s">
        <v>112</v>
      </c>
      <c r="D122" s="213" t="e">
        <f>#REF!</f>
        <v>#REF!</v>
      </c>
      <c r="E122" s="161" t="e">
        <f>#REF!</f>
        <v>#REF!</v>
      </c>
      <c r="F122" s="161" t="e">
        <f>#REF!</f>
        <v>#REF!</v>
      </c>
      <c r="G122" s="161" t="e">
        <f>#REF!</f>
        <v>#REF!</v>
      </c>
      <c r="H122" s="161" t="e">
        <f>#REF!</f>
        <v>#REF!</v>
      </c>
      <c r="I122" s="214" t="e">
        <f>#REF!</f>
        <v>#REF!</v>
      </c>
    </row>
    <row r="123" spans="1:9" ht="21.75" hidden="1" customHeight="1">
      <c r="A123" s="253">
        <v>5</v>
      </c>
      <c r="B123" s="2037" t="s">
        <v>82</v>
      </c>
      <c r="C123" s="2059"/>
      <c r="D123" s="213" t="e">
        <f>#REF!</f>
        <v>#REF!</v>
      </c>
      <c r="E123" s="161" t="e">
        <f>#REF!</f>
        <v>#REF!</v>
      </c>
      <c r="F123" s="161" t="e">
        <f>#REF!</f>
        <v>#REF!</v>
      </c>
      <c r="G123" s="161" t="e">
        <f>#REF!</f>
        <v>#REF!</v>
      </c>
      <c r="H123" s="161" t="e">
        <f>#REF!</f>
        <v>#REF!</v>
      </c>
      <c r="I123" s="214" t="e">
        <f>#REF!</f>
        <v>#REF!</v>
      </c>
    </row>
    <row r="124" spans="1:9" ht="21.75" hidden="1" customHeight="1">
      <c r="A124" s="253">
        <v>6</v>
      </c>
      <c r="B124" s="2037" t="s">
        <v>60</v>
      </c>
      <c r="C124" s="2059"/>
      <c r="D124" s="213" t="e">
        <f>#REF!</f>
        <v>#REF!</v>
      </c>
      <c r="E124" s="161" t="e">
        <f>#REF!</f>
        <v>#REF!</v>
      </c>
      <c r="F124" s="161" t="e">
        <f>#REF!</f>
        <v>#REF!</v>
      </c>
      <c r="G124" s="161" t="e">
        <f>#REF!</f>
        <v>#REF!</v>
      </c>
      <c r="H124" s="161" t="e">
        <f>#REF!</f>
        <v>#REF!</v>
      </c>
      <c r="I124" s="214" t="e">
        <f>#REF!</f>
        <v>#REF!</v>
      </c>
    </row>
    <row r="125" spans="1:9" ht="21.75" hidden="1" customHeight="1">
      <c r="A125" s="2139">
        <v>7</v>
      </c>
      <c r="B125" s="2049" t="s">
        <v>167</v>
      </c>
      <c r="C125" s="2050"/>
      <c r="D125" s="213" t="e">
        <f>#REF!</f>
        <v>#REF!</v>
      </c>
      <c r="E125" s="161" t="e">
        <f>#REF!</f>
        <v>#REF!</v>
      </c>
      <c r="F125" s="161" t="e">
        <f>#REF!</f>
        <v>#REF!</v>
      </c>
      <c r="G125" s="161" t="e">
        <f>#REF!</f>
        <v>#REF!</v>
      </c>
      <c r="H125" s="161" t="e">
        <f>#REF!</f>
        <v>#REF!</v>
      </c>
      <c r="I125" s="214" t="e">
        <f>#REF!</f>
        <v>#REF!</v>
      </c>
    </row>
    <row r="126" spans="1:9" ht="21.75" hidden="1" customHeight="1">
      <c r="A126" s="2140"/>
      <c r="B126" s="2052"/>
      <c r="C126" s="2053"/>
      <c r="D126" s="213" t="e">
        <f>#REF!</f>
        <v>#REF!</v>
      </c>
      <c r="E126" s="161" t="e">
        <f>#REF!</f>
        <v>#REF!</v>
      </c>
      <c r="F126" s="161" t="e">
        <f>#REF!</f>
        <v>#REF!</v>
      </c>
      <c r="G126" s="161" t="e">
        <f>#REF!</f>
        <v>#REF!</v>
      </c>
      <c r="H126" s="161" t="e">
        <f>#REF!</f>
        <v>#REF!</v>
      </c>
      <c r="I126" s="214" t="e">
        <f>#REF!</f>
        <v>#REF!</v>
      </c>
    </row>
    <row r="127" spans="1:9" ht="21.75" hidden="1" customHeight="1">
      <c r="A127" s="253">
        <v>8</v>
      </c>
      <c r="B127" s="2037" t="s">
        <v>61</v>
      </c>
      <c r="C127" s="2059"/>
      <c r="D127" s="213" t="e">
        <f>#REF!</f>
        <v>#REF!</v>
      </c>
      <c r="E127" s="161" t="e">
        <f>#REF!</f>
        <v>#REF!</v>
      </c>
      <c r="F127" s="161" t="e">
        <f>#REF!</f>
        <v>#REF!</v>
      </c>
      <c r="G127" s="161" t="e">
        <f>#REF!</f>
        <v>#REF!</v>
      </c>
      <c r="H127" s="161" t="e">
        <f>#REF!</f>
        <v>#REF!</v>
      </c>
      <c r="I127" s="214" t="e">
        <f>#REF!</f>
        <v>#REF!</v>
      </c>
    </row>
    <row r="128" spans="1:9" ht="21.75" hidden="1" customHeight="1">
      <c r="A128" s="253">
        <v>9</v>
      </c>
      <c r="B128" s="2037" t="s">
        <v>62</v>
      </c>
      <c r="C128" s="2059"/>
      <c r="D128" s="213" t="e">
        <f>#REF!</f>
        <v>#REF!</v>
      </c>
      <c r="E128" s="161" t="e">
        <f>#REF!</f>
        <v>#REF!</v>
      </c>
      <c r="F128" s="161" t="e">
        <f>#REF!</f>
        <v>#REF!</v>
      </c>
      <c r="G128" s="161" t="e">
        <f>#REF!</f>
        <v>#REF!</v>
      </c>
      <c r="H128" s="161" t="e">
        <f>#REF!</f>
        <v>#REF!</v>
      </c>
      <c r="I128" s="214" t="e">
        <f>#REF!</f>
        <v>#REF!</v>
      </c>
    </row>
    <row r="129" spans="1:9" ht="21.75" hidden="1" customHeight="1">
      <c r="A129" s="253">
        <v>10</v>
      </c>
      <c r="B129" s="2037" t="s">
        <v>115</v>
      </c>
      <c r="C129" s="2059"/>
      <c r="D129" s="213" t="e">
        <f>#REF!</f>
        <v>#REF!</v>
      </c>
      <c r="E129" s="161" t="e">
        <f>#REF!</f>
        <v>#REF!</v>
      </c>
      <c r="F129" s="161" t="e">
        <f>#REF!</f>
        <v>#REF!</v>
      </c>
      <c r="G129" s="161" t="e">
        <f>#REF!</f>
        <v>#REF!</v>
      </c>
      <c r="H129" s="161" t="e">
        <f>#REF!</f>
        <v>#REF!</v>
      </c>
      <c r="I129" s="214" t="e">
        <f>#REF!</f>
        <v>#REF!</v>
      </c>
    </row>
    <row r="130" spans="1:9" ht="21.75" hidden="1" customHeight="1">
      <c r="A130" s="174"/>
      <c r="B130" s="175" t="s">
        <v>117</v>
      </c>
      <c r="C130" s="182"/>
      <c r="D130" s="215" t="s">
        <v>175</v>
      </c>
      <c r="E130" s="170"/>
      <c r="F130" s="170"/>
      <c r="G130" s="170"/>
      <c r="H130" s="170"/>
      <c r="I130" s="216"/>
    </row>
    <row r="131" spans="1:9" ht="21.75" hidden="1" customHeight="1">
      <c r="A131" s="176" t="s">
        <v>7</v>
      </c>
      <c r="B131" s="177" t="s">
        <v>64</v>
      </c>
      <c r="C131" s="178"/>
      <c r="D131" s="217">
        <v>0.25</v>
      </c>
      <c r="E131" s="173">
        <v>0.41666666666666669</v>
      </c>
      <c r="F131" s="173">
        <v>0.58333333333333337</v>
      </c>
      <c r="G131" s="173">
        <v>0.75</v>
      </c>
      <c r="H131" s="173">
        <v>0.91666666666666663</v>
      </c>
      <c r="I131" s="218">
        <v>8.3333333333333329E-2</v>
      </c>
    </row>
    <row r="132" spans="1:9" ht="21.75" hidden="1" customHeight="1">
      <c r="A132" s="254">
        <v>1</v>
      </c>
      <c r="B132" s="1896" t="s">
        <v>68</v>
      </c>
      <c r="C132" s="1897"/>
      <c r="D132" s="213" t="e">
        <f>#REF!</f>
        <v>#REF!</v>
      </c>
      <c r="E132" s="161" t="e">
        <f>#REF!</f>
        <v>#REF!</v>
      </c>
      <c r="F132" s="161" t="e">
        <f>#REF!</f>
        <v>#REF!</v>
      </c>
      <c r="G132" s="161" t="e">
        <f>#REF!</f>
        <v>#REF!</v>
      </c>
      <c r="H132" s="161" t="e">
        <f>#REF!</f>
        <v>#REF!</v>
      </c>
      <c r="I132" s="214" t="e">
        <f>#REF!</f>
        <v>#REF!</v>
      </c>
    </row>
    <row r="133" spans="1:9" ht="21.75" hidden="1" customHeight="1">
      <c r="A133" s="254">
        <v>2</v>
      </c>
      <c r="B133" s="1896" t="s">
        <v>69</v>
      </c>
      <c r="C133" s="1897" t="s">
        <v>69</v>
      </c>
      <c r="D133" s="213" t="e">
        <f>#REF!</f>
        <v>#REF!</v>
      </c>
      <c r="E133" s="161" t="e">
        <f>#REF!</f>
        <v>#REF!</v>
      </c>
      <c r="F133" s="161" t="e">
        <f>#REF!</f>
        <v>#REF!</v>
      </c>
      <c r="G133" s="161" t="e">
        <f>#REF!</f>
        <v>#REF!</v>
      </c>
      <c r="H133" s="161" t="e">
        <f>#REF!</f>
        <v>#REF!</v>
      </c>
      <c r="I133" s="214" t="e">
        <f>#REF!</f>
        <v>#REF!</v>
      </c>
    </row>
    <row r="134" spans="1:9" ht="21.75" hidden="1" customHeight="1">
      <c r="A134" s="254">
        <v>3</v>
      </c>
      <c r="B134" s="1896" t="s">
        <v>71</v>
      </c>
      <c r="C134" s="1897" t="s">
        <v>71</v>
      </c>
      <c r="D134" s="213" t="e">
        <f>#REF!</f>
        <v>#REF!</v>
      </c>
      <c r="E134" s="161" t="e">
        <f>#REF!</f>
        <v>#REF!</v>
      </c>
      <c r="F134" s="161" t="e">
        <f>#REF!</f>
        <v>#REF!</v>
      </c>
      <c r="G134" s="161" t="e">
        <f>#REF!</f>
        <v>#REF!</v>
      </c>
      <c r="H134" s="161" t="e">
        <f>#REF!</f>
        <v>#REF!</v>
      </c>
      <c r="I134" s="214" t="e">
        <f>#REF!</f>
        <v>#REF!</v>
      </c>
    </row>
    <row r="135" spans="1:9" ht="21.75" hidden="1" customHeight="1">
      <c r="A135" s="254">
        <v>4</v>
      </c>
      <c r="B135" s="1896" t="s">
        <v>70</v>
      </c>
      <c r="C135" s="1897" t="s">
        <v>70</v>
      </c>
      <c r="D135" s="213" t="e">
        <f>#REF!</f>
        <v>#REF!</v>
      </c>
      <c r="E135" s="161" t="e">
        <f>#REF!</f>
        <v>#REF!</v>
      </c>
      <c r="F135" s="161" t="e">
        <f>#REF!</f>
        <v>#REF!</v>
      </c>
      <c r="G135" s="161" t="e">
        <f>#REF!</f>
        <v>#REF!</v>
      </c>
      <c r="H135" s="161" t="e">
        <f>#REF!</f>
        <v>#REF!</v>
      </c>
      <c r="I135" s="214" t="e">
        <f>#REF!</f>
        <v>#REF!</v>
      </c>
    </row>
    <row r="136" spans="1:9" ht="21.75" hidden="1" customHeight="1">
      <c r="A136" s="254">
        <v>5</v>
      </c>
      <c r="B136" s="1896" t="s">
        <v>72</v>
      </c>
      <c r="C136" s="1897" t="s">
        <v>72</v>
      </c>
      <c r="D136" s="213" t="e">
        <f>#REF!</f>
        <v>#REF!</v>
      </c>
      <c r="E136" s="161" t="e">
        <f>#REF!</f>
        <v>#REF!</v>
      </c>
      <c r="F136" s="161" t="e">
        <f>#REF!</f>
        <v>#REF!</v>
      </c>
      <c r="G136" s="161" t="e">
        <f>#REF!</f>
        <v>#REF!</v>
      </c>
      <c r="H136" s="161" t="e">
        <f>#REF!</f>
        <v>#REF!</v>
      </c>
      <c r="I136" s="214" t="e">
        <f>#REF!</f>
        <v>#REF!</v>
      </c>
    </row>
    <row r="137" spans="1:9" ht="21.75" hidden="1" customHeight="1">
      <c r="A137" s="254">
        <v>6</v>
      </c>
      <c r="B137" s="1896" t="s">
        <v>95</v>
      </c>
      <c r="C137" s="1897" t="s">
        <v>95</v>
      </c>
      <c r="D137" s="213" t="e">
        <f>#REF!</f>
        <v>#REF!</v>
      </c>
      <c r="E137" s="161" t="e">
        <f>#REF!</f>
        <v>#REF!</v>
      </c>
      <c r="F137" s="161" t="e">
        <f>#REF!</f>
        <v>#REF!</v>
      </c>
      <c r="G137" s="161" t="e">
        <f>#REF!</f>
        <v>#REF!</v>
      </c>
      <c r="H137" s="161" t="e">
        <f>#REF!</f>
        <v>#REF!</v>
      </c>
      <c r="I137" s="214" t="e">
        <f>#REF!</f>
        <v>#REF!</v>
      </c>
    </row>
    <row r="138" spans="1:9" ht="21.75" hidden="1" customHeight="1">
      <c r="A138" s="254">
        <v>7</v>
      </c>
      <c r="B138" s="1896" t="s">
        <v>73</v>
      </c>
      <c r="C138" s="1897" t="s">
        <v>73</v>
      </c>
      <c r="D138" s="213" t="e">
        <f>#REF!</f>
        <v>#REF!</v>
      </c>
      <c r="E138" s="161" t="e">
        <f>#REF!</f>
        <v>#REF!</v>
      </c>
      <c r="F138" s="161" t="e">
        <f>#REF!</f>
        <v>#REF!</v>
      </c>
      <c r="G138" s="161" t="e">
        <f>#REF!</f>
        <v>#REF!</v>
      </c>
      <c r="H138" s="161" t="e">
        <f>#REF!</f>
        <v>#REF!</v>
      </c>
      <c r="I138" s="214" t="e">
        <f>#REF!</f>
        <v>#REF!</v>
      </c>
    </row>
    <row r="139" spans="1:9" ht="21.75" hidden="1" customHeight="1">
      <c r="A139" s="254">
        <v>8</v>
      </c>
      <c r="B139" s="1896" t="s">
        <v>74</v>
      </c>
      <c r="C139" s="1897" t="s">
        <v>74</v>
      </c>
      <c r="D139" s="213" t="e">
        <f>#REF!</f>
        <v>#REF!</v>
      </c>
      <c r="E139" s="161" t="e">
        <f>#REF!</f>
        <v>#REF!</v>
      </c>
      <c r="F139" s="161" t="e">
        <f>#REF!</f>
        <v>#REF!</v>
      </c>
      <c r="G139" s="161" t="e">
        <f>#REF!</f>
        <v>#REF!</v>
      </c>
      <c r="H139" s="161" t="e">
        <f>#REF!</f>
        <v>#REF!</v>
      </c>
      <c r="I139" s="214" t="e">
        <f>#REF!</f>
        <v>#REF!</v>
      </c>
    </row>
    <row r="140" spans="1:9" ht="21.75" hidden="1" customHeight="1">
      <c r="A140" s="174"/>
      <c r="B140" s="175" t="s">
        <v>118</v>
      </c>
      <c r="C140" s="182"/>
      <c r="D140" s="215" t="s">
        <v>176</v>
      </c>
      <c r="E140" s="170"/>
      <c r="F140" s="170"/>
      <c r="G140" s="170"/>
      <c r="H140" s="170"/>
      <c r="I140" s="216"/>
    </row>
    <row r="141" spans="1:9" ht="21.75" hidden="1" customHeight="1">
      <c r="A141" s="176" t="s">
        <v>7</v>
      </c>
      <c r="B141" s="177" t="s">
        <v>100</v>
      </c>
      <c r="C141" s="178"/>
      <c r="D141" s="217">
        <v>0.25</v>
      </c>
      <c r="E141" s="173">
        <v>0.41666666666666669</v>
      </c>
      <c r="F141" s="173">
        <v>0.58333333333333337</v>
      </c>
      <c r="G141" s="173">
        <v>0.75</v>
      </c>
      <c r="H141" s="173">
        <v>0.91666666666666663</v>
      </c>
      <c r="I141" s="218">
        <v>8.3333333333333329E-2</v>
      </c>
    </row>
    <row r="142" spans="1:9" ht="21.75" hidden="1" customHeight="1">
      <c r="A142" s="253">
        <v>1</v>
      </c>
      <c r="B142" s="2037" t="s">
        <v>54</v>
      </c>
      <c r="C142" s="2059"/>
      <c r="D142" s="213" t="e">
        <f>#REF!</f>
        <v>#REF!</v>
      </c>
      <c r="E142" s="161" t="e">
        <f>#REF!</f>
        <v>#REF!</v>
      </c>
      <c r="F142" s="161" t="e">
        <f>#REF!</f>
        <v>#REF!</v>
      </c>
      <c r="G142" s="161" t="e">
        <f>#REF!</f>
        <v>#REF!</v>
      </c>
      <c r="H142" s="161" t="e">
        <f>#REF!</f>
        <v>#REF!</v>
      </c>
      <c r="I142" s="214" t="e">
        <f>#REF!</f>
        <v>#REF!</v>
      </c>
    </row>
    <row r="143" spans="1:9" ht="21.75" hidden="1" customHeight="1">
      <c r="A143" s="253">
        <v>2</v>
      </c>
      <c r="B143" s="2037" t="s">
        <v>94</v>
      </c>
      <c r="C143" s="2059"/>
      <c r="D143" s="213" t="e">
        <f>#REF!</f>
        <v>#REF!</v>
      </c>
      <c r="E143" s="161" t="e">
        <f>#REF!</f>
        <v>#REF!</v>
      </c>
      <c r="F143" s="161" t="e">
        <f>#REF!</f>
        <v>#REF!</v>
      </c>
      <c r="G143" s="161" t="e">
        <f>#REF!</f>
        <v>#REF!</v>
      </c>
      <c r="H143" s="161" t="e">
        <f>#REF!</f>
        <v>#REF!</v>
      </c>
      <c r="I143" s="214" t="e">
        <f>#REF!</f>
        <v>#REF!</v>
      </c>
    </row>
    <row r="144" spans="1:9" ht="21.75" hidden="1" customHeight="1">
      <c r="A144" s="167"/>
      <c r="B144" s="167"/>
      <c r="C144" s="167"/>
      <c r="D144" s="215" t="s">
        <v>174</v>
      </c>
      <c r="E144" s="170"/>
      <c r="F144" s="170"/>
      <c r="G144" s="170"/>
      <c r="H144" s="170"/>
      <c r="I144" s="216"/>
    </row>
    <row r="145" spans="1:9" ht="21.75" hidden="1" customHeight="1">
      <c r="A145" s="167"/>
      <c r="B145" s="167"/>
      <c r="C145" s="167"/>
      <c r="D145" s="219">
        <v>0.25</v>
      </c>
      <c r="E145" s="165">
        <v>0.41666666666666669</v>
      </c>
      <c r="F145" s="165">
        <v>0.58333333333333337</v>
      </c>
      <c r="G145" s="165">
        <v>0.75</v>
      </c>
      <c r="H145" s="165">
        <v>0.91666666666666663</v>
      </c>
      <c r="I145" s="220">
        <v>8.3333333333333329E-2</v>
      </c>
    </row>
    <row r="146" spans="1:9" ht="21.75" hidden="1" customHeight="1">
      <c r="A146" s="2060">
        <v>1</v>
      </c>
      <c r="B146" s="2049" t="s">
        <v>148</v>
      </c>
      <c r="C146" s="258" t="s">
        <v>108</v>
      </c>
      <c r="D146" s="226" t="e">
        <f>#REF!</f>
        <v>#REF!</v>
      </c>
      <c r="E146" s="183" t="e">
        <f>#REF!</f>
        <v>#REF!</v>
      </c>
      <c r="F146" s="183" t="e">
        <f>#REF!</f>
        <v>#REF!</v>
      </c>
      <c r="G146" s="183" t="e">
        <f>#REF!</f>
        <v>#REF!</v>
      </c>
      <c r="H146" s="183" t="e">
        <f>#REF!</f>
        <v>#REF!</v>
      </c>
      <c r="I146" s="227" t="e">
        <f>#REF!</f>
        <v>#REF!</v>
      </c>
    </row>
    <row r="147" spans="1:9" ht="21.75" hidden="1" customHeight="1">
      <c r="A147" s="2076"/>
      <c r="B147" s="2066"/>
      <c r="C147" s="259" t="s">
        <v>109</v>
      </c>
      <c r="D147" s="226" t="e">
        <f>#REF!</f>
        <v>#REF!</v>
      </c>
      <c r="E147" s="183" t="e">
        <f>#REF!</f>
        <v>#REF!</v>
      </c>
      <c r="F147" s="183" t="e">
        <f>#REF!</f>
        <v>#REF!</v>
      </c>
      <c r="G147" s="183" t="e">
        <f>#REF!</f>
        <v>#REF!</v>
      </c>
      <c r="H147" s="183" t="e">
        <f>#REF!</f>
        <v>#REF!</v>
      </c>
      <c r="I147" s="227" t="e">
        <f>#REF!</f>
        <v>#REF!</v>
      </c>
    </row>
    <row r="148" spans="1:9" ht="21.75" hidden="1" customHeight="1">
      <c r="A148" s="2061"/>
      <c r="B148" s="2068"/>
      <c r="C148" s="259" t="s">
        <v>111</v>
      </c>
      <c r="D148" s="226" t="e">
        <f>#REF!</f>
        <v>#REF!</v>
      </c>
      <c r="E148" s="183" t="e">
        <f>#REF!</f>
        <v>#REF!</v>
      </c>
      <c r="F148" s="183" t="e">
        <f>#REF!</f>
        <v>#REF!</v>
      </c>
      <c r="G148" s="183" t="e">
        <f>#REF!</f>
        <v>#REF!</v>
      </c>
      <c r="H148" s="183" t="e">
        <f>#REF!</f>
        <v>#REF!</v>
      </c>
      <c r="I148" s="227" t="e">
        <f>#REF!</f>
        <v>#REF!</v>
      </c>
    </row>
    <row r="149" spans="1:9" ht="21.75" hidden="1" customHeight="1">
      <c r="A149" s="2060">
        <v>2</v>
      </c>
      <c r="B149" s="2049" t="s">
        <v>149</v>
      </c>
      <c r="C149" s="258" t="s">
        <v>108</v>
      </c>
      <c r="D149" s="226" t="e">
        <f>#REF!</f>
        <v>#REF!</v>
      </c>
      <c r="E149" s="183" t="e">
        <f>#REF!</f>
        <v>#REF!</v>
      </c>
      <c r="F149" s="183" t="e">
        <f>#REF!</f>
        <v>#REF!</v>
      </c>
      <c r="G149" s="183" t="e">
        <f>#REF!</f>
        <v>#REF!</v>
      </c>
      <c r="H149" s="183" t="e">
        <f>#REF!</f>
        <v>#REF!</v>
      </c>
      <c r="I149" s="227" t="e">
        <f>#REF!</f>
        <v>#REF!</v>
      </c>
    </row>
    <row r="150" spans="1:9" ht="21.75" hidden="1" customHeight="1">
      <c r="A150" s="2076"/>
      <c r="B150" s="2066"/>
      <c r="C150" s="259" t="s">
        <v>109</v>
      </c>
      <c r="D150" s="226" t="e">
        <f>#REF!</f>
        <v>#REF!</v>
      </c>
      <c r="E150" s="183" t="e">
        <f>#REF!</f>
        <v>#REF!</v>
      </c>
      <c r="F150" s="183" t="e">
        <f>#REF!</f>
        <v>#REF!</v>
      </c>
      <c r="G150" s="183" t="e">
        <f>#REF!</f>
        <v>#REF!</v>
      </c>
      <c r="H150" s="183" t="e">
        <f>#REF!</f>
        <v>#REF!</v>
      </c>
      <c r="I150" s="227" t="e">
        <f>#REF!</f>
        <v>#REF!</v>
      </c>
    </row>
    <row r="151" spans="1:9" ht="21.75" hidden="1" customHeight="1">
      <c r="A151" s="2061"/>
      <c r="B151" s="2068"/>
      <c r="C151" s="259" t="s">
        <v>111</v>
      </c>
      <c r="D151" s="226" t="e">
        <f>#REF!</f>
        <v>#REF!</v>
      </c>
      <c r="E151" s="183" t="e">
        <f>#REF!</f>
        <v>#REF!</v>
      </c>
      <c r="F151" s="183" t="e">
        <f>#REF!</f>
        <v>#REF!</v>
      </c>
      <c r="G151" s="183" t="e">
        <f>#REF!</f>
        <v>#REF!</v>
      </c>
      <c r="H151" s="183" t="e">
        <f>#REF!</f>
        <v>#REF!</v>
      </c>
      <c r="I151" s="227" t="e">
        <f>#REF!</f>
        <v>#REF!</v>
      </c>
    </row>
    <row r="152" spans="1:9" ht="21.75" hidden="1" customHeight="1">
      <c r="A152" s="2060">
        <v>3</v>
      </c>
      <c r="B152" s="2035" t="s">
        <v>150</v>
      </c>
      <c r="C152" s="258" t="s">
        <v>108</v>
      </c>
      <c r="D152" s="226" t="e">
        <f>#REF!</f>
        <v>#REF!</v>
      </c>
      <c r="E152" s="183" t="e">
        <f>#REF!</f>
        <v>#REF!</v>
      </c>
      <c r="F152" s="183" t="e">
        <f>#REF!</f>
        <v>#REF!</v>
      </c>
      <c r="G152" s="183" t="e">
        <f>#REF!</f>
        <v>#REF!</v>
      </c>
      <c r="H152" s="183" t="e">
        <f>#REF!</f>
        <v>#REF!</v>
      </c>
      <c r="I152" s="227" t="e">
        <f>#REF!</f>
        <v>#REF!</v>
      </c>
    </row>
    <row r="153" spans="1:9" ht="21.75" hidden="1" customHeight="1">
      <c r="A153" s="2061"/>
      <c r="B153" s="2036"/>
      <c r="C153" s="259" t="s">
        <v>112</v>
      </c>
      <c r="D153" s="226" t="e">
        <f>#REF!</f>
        <v>#REF!</v>
      </c>
      <c r="E153" s="183" t="e">
        <f>#REF!</f>
        <v>#REF!</v>
      </c>
      <c r="F153" s="183" t="e">
        <f>#REF!</f>
        <v>#REF!</v>
      </c>
      <c r="G153" s="183" t="e">
        <f>#REF!</f>
        <v>#REF!</v>
      </c>
      <c r="H153" s="183" t="e">
        <f>#REF!</f>
        <v>#REF!</v>
      </c>
      <c r="I153" s="227" t="e">
        <f>#REF!</f>
        <v>#REF!</v>
      </c>
    </row>
    <row r="154" spans="1:9" ht="21.75" hidden="1" customHeight="1">
      <c r="A154" s="2060">
        <v>4</v>
      </c>
      <c r="B154" s="2035" t="s">
        <v>151</v>
      </c>
      <c r="C154" s="258" t="s">
        <v>108</v>
      </c>
      <c r="D154" s="226" t="e">
        <f>#REF!</f>
        <v>#REF!</v>
      </c>
      <c r="E154" s="183" t="e">
        <f>#REF!</f>
        <v>#REF!</v>
      </c>
      <c r="F154" s="183" t="e">
        <f>#REF!</f>
        <v>#REF!</v>
      </c>
      <c r="G154" s="183" t="e">
        <f>#REF!</f>
        <v>#REF!</v>
      </c>
      <c r="H154" s="183" t="e">
        <f>#REF!</f>
        <v>#REF!</v>
      </c>
      <c r="I154" s="227" t="e">
        <f>#REF!</f>
        <v>#REF!</v>
      </c>
    </row>
    <row r="155" spans="1:9" ht="21.75" hidden="1" customHeight="1">
      <c r="A155" s="2061"/>
      <c r="B155" s="2036"/>
      <c r="C155" s="259" t="s">
        <v>112</v>
      </c>
      <c r="D155" s="226" t="e">
        <f>#REF!</f>
        <v>#REF!</v>
      </c>
      <c r="E155" s="183" t="e">
        <f>#REF!</f>
        <v>#REF!</v>
      </c>
      <c r="F155" s="183" t="e">
        <f>#REF!</f>
        <v>#REF!</v>
      </c>
      <c r="G155" s="183" t="e">
        <f>#REF!</f>
        <v>#REF!</v>
      </c>
      <c r="H155" s="183" t="e">
        <f>#REF!</f>
        <v>#REF!</v>
      </c>
      <c r="I155" s="227" t="e">
        <f>#REF!</f>
        <v>#REF!</v>
      </c>
    </row>
    <row r="156" spans="1:9" ht="21.75" hidden="1" customHeight="1">
      <c r="A156" s="253">
        <v>5</v>
      </c>
      <c r="B156" s="2037" t="s">
        <v>82</v>
      </c>
      <c r="C156" s="2059"/>
      <c r="D156" s="226" t="e">
        <f>#REF!</f>
        <v>#REF!</v>
      </c>
      <c r="E156" s="183" t="e">
        <f>#REF!</f>
        <v>#REF!</v>
      </c>
      <c r="F156" s="183" t="e">
        <f>#REF!</f>
        <v>#REF!</v>
      </c>
      <c r="G156" s="183" t="e">
        <f>#REF!</f>
        <v>#REF!</v>
      </c>
      <c r="H156" s="183" t="e">
        <f>#REF!</f>
        <v>#REF!</v>
      </c>
      <c r="I156" s="227" t="e">
        <f>#REF!</f>
        <v>#REF!</v>
      </c>
    </row>
    <row r="157" spans="1:9" ht="21.75" hidden="1" customHeight="1">
      <c r="A157" s="253">
        <v>6</v>
      </c>
      <c r="B157" s="2037" t="s">
        <v>60</v>
      </c>
      <c r="C157" s="2059"/>
      <c r="D157" s="226" t="e">
        <f>#REF!</f>
        <v>#REF!</v>
      </c>
      <c r="E157" s="183" t="e">
        <f>#REF!</f>
        <v>#REF!</v>
      </c>
      <c r="F157" s="183" t="e">
        <f>#REF!</f>
        <v>#REF!</v>
      </c>
      <c r="G157" s="183" t="e">
        <f>#REF!</f>
        <v>#REF!</v>
      </c>
      <c r="H157" s="183" t="e">
        <f>#REF!</f>
        <v>#REF!</v>
      </c>
      <c r="I157" s="227" t="e">
        <f>#REF!</f>
        <v>#REF!</v>
      </c>
    </row>
    <row r="158" spans="1:9" ht="21.75" hidden="1" customHeight="1">
      <c r="A158" s="2139">
        <v>7</v>
      </c>
      <c r="B158" s="2049" t="s">
        <v>167</v>
      </c>
      <c r="C158" s="2050"/>
      <c r="D158" s="226" t="e">
        <f>#REF!</f>
        <v>#REF!</v>
      </c>
      <c r="E158" s="183" t="e">
        <f>#REF!</f>
        <v>#REF!</v>
      </c>
      <c r="F158" s="183" t="e">
        <f>#REF!</f>
        <v>#REF!</v>
      </c>
      <c r="G158" s="183" t="e">
        <f>#REF!</f>
        <v>#REF!</v>
      </c>
      <c r="H158" s="183" t="e">
        <f>#REF!</f>
        <v>#REF!</v>
      </c>
      <c r="I158" s="227" t="e">
        <f>#REF!</f>
        <v>#REF!</v>
      </c>
    </row>
    <row r="159" spans="1:9" ht="21.75" hidden="1" customHeight="1">
      <c r="A159" s="2140"/>
      <c r="B159" s="2052"/>
      <c r="C159" s="2053"/>
      <c r="D159" s="226" t="e">
        <f>#REF!</f>
        <v>#REF!</v>
      </c>
      <c r="E159" s="183" t="e">
        <f>#REF!</f>
        <v>#REF!</v>
      </c>
      <c r="F159" s="183" t="e">
        <f>#REF!</f>
        <v>#REF!</v>
      </c>
      <c r="G159" s="183" t="e">
        <f>#REF!</f>
        <v>#REF!</v>
      </c>
      <c r="H159" s="183" t="e">
        <f>#REF!</f>
        <v>#REF!</v>
      </c>
      <c r="I159" s="227" t="e">
        <f>#REF!</f>
        <v>#REF!</v>
      </c>
    </row>
    <row r="160" spans="1:9" ht="21.75" hidden="1" customHeight="1">
      <c r="A160" s="253">
        <v>8</v>
      </c>
      <c r="B160" s="2037" t="s">
        <v>61</v>
      </c>
      <c r="C160" s="2059"/>
      <c r="D160" s="226" t="e">
        <f>#REF!</f>
        <v>#REF!</v>
      </c>
      <c r="E160" s="183" t="e">
        <f>#REF!</f>
        <v>#REF!</v>
      </c>
      <c r="F160" s="183" t="e">
        <f>#REF!</f>
        <v>#REF!</v>
      </c>
      <c r="G160" s="183" t="e">
        <f>#REF!</f>
        <v>#REF!</v>
      </c>
      <c r="H160" s="183" t="e">
        <f>#REF!</f>
        <v>#REF!</v>
      </c>
      <c r="I160" s="227" t="e">
        <f>#REF!</f>
        <v>#REF!</v>
      </c>
    </row>
    <row r="161" spans="1:9" ht="21.75" hidden="1" customHeight="1">
      <c r="A161" s="253">
        <v>9</v>
      </c>
      <c r="B161" s="2037" t="s">
        <v>62</v>
      </c>
      <c r="C161" s="2059"/>
      <c r="D161" s="226" t="e">
        <f>#REF!</f>
        <v>#REF!</v>
      </c>
      <c r="E161" s="183" t="e">
        <f>#REF!</f>
        <v>#REF!</v>
      </c>
      <c r="F161" s="183" t="e">
        <f>#REF!</f>
        <v>#REF!</v>
      </c>
      <c r="G161" s="183" t="e">
        <f>#REF!</f>
        <v>#REF!</v>
      </c>
      <c r="H161" s="183" t="e">
        <f>#REF!</f>
        <v>#REF!</v>
      </c>
      <c r="I161" s="227" t="e">
        <f>#REF!</f>
        <v>#REF!</v>
      </c>
    </row>
    <row r="162" spans="1:9" ht="21.75" hidden="1" customHeight="1">
      <c r="A162" s="253">
        <v>10</v>
      </c>
      <c r="B162" s="2037" t="s">
        <v>115</v>
      </c>
      <c r="C162" s="2059"/>
      <c r="D162" s="226" t="e">
        <f>#REF!</f>
        <v>#REF!</v>
      </c>
      <c r="E162" s="183" t="e">
        <f>#REF!</f>
        <v>#REF!</v>
      </c>
      <c r="F162" s="183" t="e">
        <f>#REF!</f>
        <v>#REF!</v>
      </c>
      <c r="G162" s="183" t="e">
        <f>#REF!</f>
        <v>#REF!</v>
      </c>
      <c r="H162" s="183" t="e">
        <f>#REF!</f>
        <v>#REF!</v>
      </c>
      <c r="I162" s="227" t="e">
        <f>#REF!</f>
        <v>#REF!</v>
      </c>
    </row>
    <row r="163" spans="1:9" ht="21.75" hidden="1" customHeight="1">
      <c r="D163" s="213"/>
      <c r="E163" s="161"/>
      <c r="F163" s="161"/>
      <c r="G163" s="161"/>
      <c r="H163" s="161"/>
      <c r="I163" s="214"/>
    </row>
    <row r="164" spans="1:9" s="161" customFormat="1" ht="32.25" hidden="1" customHeight="1">
      <c r="A164" s="193"/>
      <c r="B164" s="194" t="s">
        <v>144</v>
      </c>
      <c r="C164" s="195"/>
      <c r="D164" s="213"/>
      <c r="I164" s="214"/>
    </row>
    <row r="165" spans="1:9" ht="21.75" hidden="1" customHeight="1">
      <c r="A165" s="191" t="s">
        <v>7</v>
      </c>
      <c r="B165" s="179"/>
      <c r="C165" s="179"/>
      <c r="D165" s="215" t="s">
        <v>173</v>
      </c>
      <c r="E165" s="170"/>
      <c r="F165" s="170"/>
      <c r="G165" s="170"/>
      <c r="H165" s="170"/>
      <c r="I165" s="216"/>
    </row>
    <row r="166" spans="1:9" ht="21.75" hidden="1" customHeight="1">
      <c r="A166" s="192"/>
      <c r="B166" s="188"/>
      <c r="C166" s="188"/>
      <c r="D166" s="219">
        <v>0.25</v>
      </c>
      <c r="E166" s="165">
        <v>0.41666666666666669</v>
      </c>
      <c r="F166" s="165">
        <v>0.58333333333333337</v>
      </c>
      <c r="G166" s="165">
        <v>0.75</v>
      </c>
      <c r="H166" s="165">
        <v>0.91666666666666663</v>
      </c>
      <c r="I166" s="220">
        <v>8.3333333333333329E-2</v>
      </c>
    </row>
    <row r="167" spans="1:9" ht="21.75" hidden="1" customHeight="1">
      <c r="A167" s="2143">
        <v>1</v>
      </c>
      <c r="B167" s="2145" t="s">
        <v>156</v>
      </c>
      <c r="C167" s="279" t="s">
        <v>108</v>
      </c>
      <c r="D167" s="213">
        <f>'3.XT-C TT'!H6</f>
        <v>0</v>
      </c>
      <c r="E167" s="161">
        <f>'3.XT-C TT'!L6</f>
        <v>0</v>
      </c>
      <c r="F167" s="161">
        <f>'3.XT-C TT'!P6</f>
        <v>0</v>
      </c>
      <c r="G167" s="161">
        <f>'3.XT-C TT'!H48</f>
        <v>0</v>
      </c>
      <c r="H167" s="161">
        <f>'3.XT-C TT'!L48</f>
        <v>0</v>
      </c>
      <c r="I167" s="214">
        <f>'3.XT-C TT'!P48</f>
        <v>0</v>
      </c>
    </row>
    <row r="168" spans="1:9" ht="21.75" hidden="1" customHeight="1">
      <c r="A168" s="2143"/>
      <c r="B168" s="2146"/>
      <c r="C168" s="278" t="s">
        <v>109</v>
      </c>
      <c r="D168" s="213">
        <f>'3.XT-C TT'!H7</f>
        <v>0</v>
      </c>
      <c r="E168" s="161">
        <f>'3.XT-C TT'!L7</f>
        <v>0</v>
      </c>
      <c r="F168" s="161">
        <f>'3.XT-C TT'!P7</f>
        <v>0</v>
      </c>
      <c r="G168" s="161">
        <f>'3.XT-C TT'!H49</f>
        <v>0</v>
      </c>
      <c r="H168" s="161">
        <f>'3.XT-C TT'!L49</f>
        <v>0</v>
      </c>
      <c r="I168" s="214">
        <f>'3.XT-C TT'!P49</f>
        <v>0</v>
      </c>
    </row>
    <row r="169" spans="1:9" ht="21.75" hidden="1" customHeight="1">
      <c r="A169" s="2144"/>
      <c r="B169" s="2147"/>
      <c r="C169" s="160" t="s">
        <v>111</v>
      </c>
      <c r="D169" s="213" t="e">
        <f>'3.XT-C TT'!#REF!</f>
        <v>#REF!</v>
      </c>
      <c r="E169" s="161" t="e">
        <f>'3.XT-C TT'!#REF!</f>
        <v>#REF!</v>
      </c>
      <c r="F169" s="161" t="e">
        <f>'3.XT-C TT'!#REF!</f>
        <v>#REF!</v>
      </c>
      <c r="G169" s="161" t="e">
        <f>'3.XT-C TT'!#REF!</f>
        <v>#REF!</v>
      </c>
      <c r="H169" s="161" t="e">
        <f>'3.XT-C TT'!#REF!</f>
        <v>#REF!</v>
      </c>
      <c r="I169" s="214" t="e">
        <f>'3.XT-C TT'!#REF!</f>
        <v>#REF!</v>
      </c>
    </row>
    <row r="170" spans="1:9" ht="21.75" hidden="1" customHeight="1">
      <c r="A170" s="2039">
        <v>2</v>
      </c>
      <c r="B170" s="2141" t="s">
        <v>157</v>
      </c>
      <c r="C170" s="276" t="s">
        <v>108</v>
      </c>
      <c r="D170" s="213">
        <f>'3.XT-C TT'!H8</f>
        <v>0</v>
      </c>
      <c r="E170" s="161">
        <f>'3.XT-C TT'!L8</f>
        <v>0</v>
      </c>
      <c r="F170" s="161">
        <f>'3.XT-C TT'!P8</f>
        <v>0</v>
      </c>
      <c r="G170" s="161">
        <f>'3.XT-C TT'!H50</f>
        <v>0</v>
      </c>
      <c r="H170" s="161">
        <f>'3.XT-C TT'!L50</f>
        <v>0</v>
      </c>
      <c r="I170" s="214">
        <f>'3.XT-C TT'!P50</f>
        <v>0</v>
      </c>
    </row>
    <row r="171" spans="1:9" ht="21.75" hidden="1" customHeight="1">
      <c r="A171" s="2039"/>
      <c r="B171" s="2042"/>
      <c r="C171" s="274" t="s">
        <v>109</v>
      </c>
      <c r="D171" s="213">
        <f>'3.XT-C TT'!H9</f>
        <v>0</v>
      </c>
      <c r="E171" s="161">
        <f>'3.XT-C TT'!L9</f>
        <v>0</v>
      </c>
      <c r="F171" s="161">
        <f>'3.XT-C TT'!P9</f>
        <v>0</v>
      </c>
      <c r="G171" s="161">
        <f>'3.XT-C TT'!H51</f>
        <v>0</v>
      </c>
      <c r="H171" s="161">
        <f>'3.XT-C TT'!L51</f>
        <v>0</v>
      </c>
      <c r="I171" s="214">
        <f>'3.XT-C TT'!P51</f>
        <v>0</v>
      </c>
    </row>
    <row r="172" spans="1:9" ht="21.75" hidden="1" customHeight="1">
      <c r="A172" s="2028"/>
      <c r="B172" s="2142"/>
      <c r="C172" s="274" t="s">
        <v>111</v>
      </c>
      <c r="D172" s="213" t="e">
        <f>'3.XT-C TT'!#REF!</f>
        <v>#REF!</v>
      </c>
      <c r="E172" s="161" t="e">
        <f>'3.XT-C TT'!#REF!</f>
        <v>#REF!</v>
      </c>
      <c r="F172" s="161" t="e">
        <f>'3.XT-C TT'!#REF!</f>
        <v>#REF!</v>
      </c>
      <c r="G172" s="161" t="e">
        <f>'3.XT-C TT'!#REF!</f>
        <v>#REF!</v>
      </c>
      <c r="H172" s="161" t="e">
        <f>'3.XT-C TT'!#REF!</f>
        <v>#REF!</v>
      </c>
      <c r="I172" s="214" t="e">
        <f>'3.XT-C TT'!#REF!</f>
        <v>#REF!</v>
      </c>
    </row>
    <row r="173" spans="1:9" ht="21.75" hidden="1" customHeight="1">
      <c r="A173" s="2027">
        <v>3</v>
      </c>
      <c r="B173" s="2035" t="s">
        <v>158</v>
      </c>
      <c r="C173" s="273" t="s">
        <v>108</v>
      </c>
      <c r="D173" s="213">
        <f>'3.XT-C TT'!H10</f>
        <v>0</v>
      </c>
      <c r="E173" s="161">
        <f>'3.XT-C TT'!L10</f>
        <v>0</v>
      </c>
      <c r="F173" s="161">
        <f>'3.XT-C TT'!P10</f>
        <v>0</v>
      </c>
      <c r="G173" s="161">
        <f>'3.XT-C TT'!H52</f>
        <v>0</v>
      </c>
      <c r="H173" s="161">
        <f>'3.XT-C TT'!L52</f>
        <v>0</v>
      </c>
      <c r="I173" s="214">
        <f>'3.XT-C TT'!P52</f>
        <v>0</v>
      </c>
    </row>
    <row r="174" spans="1:9" ht="21.75" hidden="1" customHeight="1">
      <c r="A174" s="2028"/>
      <c r="B174" s="2036"/>
      <c r="C174" s="274" t="s">
        <v>112</v>
      </c>
      <c r="D174" s="213">
        <f>'3.XT-C TT'!H11</f>
        <v>0</v>
      </c>
      <c r="E174" s="161">
        <f>'3.XT-C TT'!L11</f>
        <v>0</v>
      </c>
      <c r="F174" s="161">
        <f>'3.XT-C TT'!P11</f>
        <v>0</v>
      </c>
      <c r="G174" s="161">
        <f>'3.XT-C TT'!H53</f>
        <v>0</v>
      </c>
      <c r="H174" s="161">
        <f>'3.XT-C TT'!L53</f>
        <v>0</v>
      </c>
      <c r="I174" s="214">
        <f>'3.XT-C TT'!P53</f>
        <v>0</v>
      </c>
    </row>
    <row r="175" spans="1:9" ht="21.75" hidden="1" customHeight="1">
      <c r="A175" s="2027">
        <v>4</v>
      </c>
      <c r="B175" s="2035" t="s">
        <v>159</v>
      </c>
      <c r="C175" s="273" t="s">
        <v>108</v>
      </c>
      <c r="D175" s="213">
        <f>'3.XT-C TT'!H12</f>
        <v>0</v>
      </c>
      <c r="E175" s="161">
        <f>'3.XT-C TT'!L12</f>
        <v>0</v>
      </c>
      <c r="F175" s="161">
        <f>'3.XT-C TT'!P12</f>
        <v>0</v>
      </c>
      <c r="G175" s="161">
        <f>'3.XT-C TT'!H54</f>
        <v>0</v>
      </c>
      <c r="H175" s="161">
        <f>'3.XT-C TT'!L54</f>
        <v>0</v>
      </c>
      <c r="I175" s="214">
        <f>'3.XT-C TT'!P54</f>
        <v>0</v>
      </c>
    </row>
    <row r="176" spans="1:9" ht="21.75" hidden="1" customHeight="1">
      <c r="A176" s="2028"/>
      <c r="B176" s="2036"/>
      <c r="C176" s="274" t="s">
        <v>112</v>
      </c>
      <c r="D176" s="213">
        <f>'3.XT-C TT'!H13</f>
        <v>0</v>
      </c>
      <c r="E176" s="161">
        <f>'3.XT-C TT'!L13</f>
        <v>0</v>
      </c>
      <c r="F176" s="161">
        <f>'3.XT-C TT'!P13</f>
        <v>0</v>
      </c>
      <c r="G176" s="161">
        <f>'3.XT-C TT'!H55</f>
        <v>0</v>
      </c>
      <c r="H176" s="161">
        <f>'3.XT-C TT'!L55</f>
        <v>0</v>
      </c>
      <c r="I176" s="214">
        <f>'3.XT-C TT'!P55</f>
        <v>0</v>
      </c>
    </row>
    <row r="177" spans="1:9" ht="21.75" hidden="1" customHeight="1">
      <c r="A177" s="2027">
        <v>5</v>
      </c>
      <c r="B177" s="2090" t="s">
        <v>121</v>
      </c>
      <c r="C177" s="275"/>
      <c r="D177" s="213">
        <f>'3.XT-C TT'!H14</f>
        <v>0</v>
      </c>
      <c r="E177" s="161">
        <f>'3.XT-C TT'!L14</f>
        <v>0</v>
      </c>
      <c r="F177" s="161">
        <f>'3.XT-C TT'!P14</f>
        <v>0</v>
      </c>
      <c r="G177" s="161">
        <f>'3.XT-C TT'!H56</f>
        <v>0</v>
      </c>
      <c r="H177" s="161">
        <f>'3.XT-C TT'!L56</f>
        <v>0</v>
      </c>
      <c r="I177" s="214">
        <f>'3.XT-C TT'!P56</f>
        <v>0</v>
      </c>
    </row>
    <row r="178" spans="1:9" ht="21.75" hidden="1" customHeight="1">
      <c r="A178" s="2028"/>
      <c r="B178" s="2091"/>
      <c r="C178" s="275"/>
      <c r="D178" s="213">
        <f>'3.XT-C TT'!H15</f>
        <v>0</v>
      </c>
      <c r="E178" s="161">
        <f>'3.XT-C TT'!L15</f>
        <v>0</v>
      </c>
      <c r="F178" s="161">
        <f>'3.XT-C TT'!P15</f>
        <v>0</v>
      </c>
      <c r="G178" s="161">
        <f>'3.XT-C TT'!H57</f>
        <v>0</v>
      </c>
      <c r="H178" s="161">
        <f>'3.XT-C TT'!L57</f>
        <v>0</v>
      </c>
      <c r="I178" s="214">
        <f>'3.XT-C TT'!P57</f>
        <v>0</v>
      </c>
    </row>
    <row r="179" spans="1:9" ht="21.75" hidden="1" customHeight="1">
      <c r="A179" s="2027">
        <v>6</v>
      </c>
      <c r="B179" s="2084" t="s">
        <v>40</v>
      </c>
      <c r="C179" s="2085"/>
      <c r="D179" s="213">
        <f>'3.XT-C TT'!H16</f>
        <v>-1.0461</v>
      </c>
      <c r="E179" s="161">
        <f>'3.XT-C TT'!L16</f>
        <v>-1.0461</v>
      </c>
      <c r="F179" s="161">
        <f>'3.XT-C TT'!P16</f>
        <v>-1.0461</v>
      </c>
      <c r="G179" s="161">
        <f>'3.XT-C TT'!H58</f>
        <v>-1.0461</v>
      </c>
      <c r="H179" s="161">
        <f>'3.XT-C TT'!L58</f>
        <v>-1.0461</v>
      </c>
      <c r="I179" s="214">
        <f>'3.XT-C TT'!P58</f>
        <v>-1.0461</v>
      </c>
    </row>
    <row r="180" spans="1:9" ht="21.75" hidden="1" customHeight="1">
      <c r="A180" s="2028"/>
      <c r="B180" s="2086"/>
      <c r="C180" s="2087"/>
      <c r="D180" s="213">
        <f>'3.XT-C TT'!H17</f>
        <v>0</v>
      </c>
      <c r="E180" s="161">
        <f>'3.XT-C TT'!L17</f>
        <v>0</v>
      </c>
      <c r="F180" s="161">
        <f>'3.XT-C TT'!P17</f>
        <v>0</v>
      </c>
      <c r="G180" s="161">
        <f>'3.XT-C TT'!H59</f>
        <v>0</v>
      </c>
      <c r="H180" s="161">
        <f>'3.XT-C TT'!L59</f>
        <v>0</v>
      </c>
      <c r="I180" s="214">
        <f>'3.XT-C TT'!P59</f>
        <v>0</v>
      </c>
    </row>
    <row r="181" spans="1:9" ht="21.75" hidden="1" customHeight="1">
      <c r="A181" s="277">
        <v>7</v>
      </c>
      <c r="B181" s="1990" t="s">
        <v>38</v>
      </c>
      <c r="C181" s="1991"/>
      <c r="D181" s="213">
        <f>'3.XT-C TT'!H18</f>
        <v>0</v>
      </c>
      <c r="E181" s="161">
        <f>'3.XT-C TT'!L18</f>
        <v>0</v>
      </c>
      <c r="F181" s="161">
        <f>'3.XT-C TT'!P18</f>
        <v>0</v>
      </c>
      <c r="G181" s="161">
        <f>'3.XT-C TT'!H60</f>
        <v>0</v>
      </c>
      <c r="H181" s="161">
        <f>'3.XT-C TT'!L60</f>
        <v>0</v>
      </c>
      <c r="I181" s="214">
        <f>'3.XT-C TT'!P60</f>
        <v>0</v>
      </c>
    </row>
    <row r="182" spans="1:9" ht="21.75" hidden="1" customHeight="1">
      <c r="A182" s="277">
        <v>8</v>
      </c>
      <c r="B182" s="1990" t="s">
        <v>39</v>
      </c>
      <c r="C182" s="1991"/>
      <c r="D182" s="213">
        <f>'3.XT-C TT'!H19</f>
        <v>0</v>
      </c>
      <c r="E182" s="161">
        <f>'3.XT-C TT'!L19</f>
        <v>0</v>
      </c>
      <c r="F182" s="161">
        <f>'3.XT-C TT'!P19</f>
        <v>0</v>
      </c>
      <c r="G182" s="161">
        <f>'3.XT-C TT'!H61</f>
        <v>0</v>
      </c>
      <c r="H182" s="161">
        <f>'3.XT-C TT'!L61</f>
        <v>0</v>
      </c>
      <c r="I182" s="214">
        <f>'3.XT-C TT'!P61</f>
        <v>0</v>
      </c>
    </row>
    <row r="183" spans="1:9" ht="21.75" hidden="1" customHeight="1">
      <c r="A183" s="277">
        <v>9</v>
      </c>
      <c r="B183" s="1993" t="s">
        <v>86</v>
      </c>
      <c r="C183" s="1994"/>
      <c r="D183" s="213">
        <f>'3.XT-C TT'!H20</f>
        <v>0</v>
      </c>
      <c r="E183" s="161">
        <f>'3.XT-C TT'!L20</f>
        <v>0</v>
      </c>
      <c r="F183" s="161">
        <f>'3.XT-C TT'!P20</f>
        <v>0</v>
      </c>
      <c r="G183" s="161">
        <f>'3.XT-C TT'!H62</f>
        <v>0</v>
      </c>
      <c r="H183" s="161">
        <f>'3.XT-C TT'!L62</f>
        <v>0</v>
      </c>
      <c r="I183" s="214">
        <f>'3.XT-C TT'!P62</f>
        <v>0</v>
      </c>
    </row>
    <row r="184" spans="1:9" ht="21.75" hidden="1" customHeight="1">
      <c r="A184" s="277">
        <v>10</v>
      </c>
      <c r="B184" s="1993" t="s">
        <v>120</v>
      </c>
      <c r="C184" s="1994" t="s">
        <v>120</v>
      </c>
      <c r="D184" s="213">
        <f>'3.XT-C TT'!H21</f>
        <v>0</v>
      </c>
      <c r="E184" s="161">
        <f>'3.XT-C TT'!L21</f>
        <v>0</v>
      </c>
      <c r="F184" s="161">
        <f>'3.XT-C TT'!P21</f>
        <v>0</v>
      </c>
      <c r="G184" s="161">
        <f>'3.XT-C TT'!H63</f>
        <v>0</v>
      </c>
      <c r="H184" s="161">
        <f>'3.XT-C TT'!L63</f>
        <v>0</v>
      </c>
      <c r="I184" s="214">
        <f>'3.XT-C TT'!P63</f>
        <v>0</v>
      </c>
    </row>
    <row r="185" spans="1:9" ht="21.75" hidden="1" customHeight="1">
      <c r="A185" s="174"/>
      <c r="B185" s="175" t="s">
        <v>117</v>
      </c>
      <c r="C185" s="182"/>
      <c r="D185" s="215" t="s">
        <v>175</v>
      </c>
      <c r="E185" s="170"/>
      <c r="F185" s="170"/>
      <c r="G185" s="170"/>
      <c r="H185" s="170"/>
      <c r="I185" s="216"/>
    </row>
    <row r="186" spans="1:9" ht="21.75" hidden="1" customHeight="1">
      <c r="A186" s="176" t="s">
        <v>7</v>
      </c>
      <c r="B186" s="177" t="s">
        <v>64</v>
      </c>
      <c r="C186" s="178"/>
      <c r="D186" s="217">
        <v>0.25</v>
      </c>
      <c r="E186" s="173">
        <v>0.41666666666666669</v>
      </c>
      <c r="F186" s="173">
        <v>0.58333333333333337</v>
      </c>
      <c r="G186" s="173">
        <v>0.75</v>
      </c>
      <c r="H186" s="173">
        <v>0.91666666666666663</v>
      </c>
      <c r="I186" s="218">
        <v>8.3333333333333329E-2</v>
      </c>
    </row>
    <row r="187" spans="1:9" ht="21.75" hidden="1" customHeight="1">
      <c r="A187" s="277">
        <v>1</v>
      </c>
      <c r="B187" s="2010" t="s">
        <v>36</v>
      </c>
      <c r="C187" s="2011"/>
      <c r="D187" s="213">
        <f>'3.XT-C TT'!H28</f>
        <v>0</v>
      </c>
      <c r="E187" s="161">
        <f>'3.XT-C TT'!L28</f>
        <v>0</v>
      </c>
      <c r="F187" s="161">
        <f>'3.XT-C TT'!P28</f>
        <v>0</v>
      </c>
      <c r="G187" s="161">
        <f>'3.XT-C TT'!H70</f>
        <v>0</v>
      </c>
      <c r="H187" s="161">
        <f>'3.XT-C TT'!L70</f>
        <v>0</v>
      </c>
      <c r="I187" s="214">
        <f>'3.XT-C TT'!P70</f>
        <v>0</v>
      </c>
    </row>
    <row r="188" spans="1:9" ht="21.75" hidden="1" customHeight="1">
      <c r="A188" s="277">
        <v>2</v>
      </c>
      <c r="B188" s="2010" t="s">
        <v>37</v>
      </c>
      <c r="C188" s="2011"/>
      <c r="D188" s="213">
        <f>'3.XT-C TT'!H29</f>
        <v>0</v>
      </c>
      <c r="E188" s="161">
        <f>'3.XT-C TT'!L29</f>
        <v>0</v>
      </c>
      <c r="F188" s="161">
        <f>'3.XT-C TT'!P29</f>
        <v>0</v>
      </c>
      <c r="G188" s="161">
        <f>'3.XT-C TT'!H71</f>
        <v>0</v>
      </c>
      <c r="H188" s="161">
        <f>'3.XT-C TT'!L71</f>
        <v>0</v>
      </c>
      <c r="I188" s="214">
        <f>'3.XT-C TT'!P71</f>
        <v>0</v>
      </c>
    </row>
    <row r="189" spans="1:9" ht="21.75" hidden="1" customHeight="1">
      <c r="A189" s="277">
        <v>3</v>
      </c>
      <c r="B189" s="2010" t="s">
        <v>29</v>
      </c>
      <c r="C189" s="2011"/>
      <c r="D189" s="213">
        <f>'3.XT-C TT'!H30</f>
        <v>0</v>
      </c>
      <c r="E189" s="161">
        <f>'3.XT-C TT'!L30</f>
        <v>0</v>
      </c>
      <c r="F189" s="161">
        <f>'3.XT-C TT'!P30</f>
        <v>0</v>
      </c>
      <c r="G189" s="161">
        <f>'3.XT-C TT'!H72</f>
        <v>0</v>
      </c>
      <c r="H189" s="161">
        <f>'3.XT-C TT'!L72</f>
        <v>0</v>
      </c>
      <c r="I189" s="214">
        <f>'3.XT-C TT'!P72</f>
        <v>0</v>
      </c>
    </row>
    <row r="190" spans="1:9" ht="21.75" hidden="1" customHeight="1">
      <c r="A190" s="277">
        <v>4</v>
      </c>
      <c r="B190" s="2010" t="s">
        <v>30</v>
      </c>
      <c r="C190" s="2011"/>
      <c r="D190" s="213">
        <f>'3.XT-C TT'!H31</f>
        <v>0</v>
      </c>
      <c r="E190" s="161">
        <f>'3.XT-C TT'!L31</f>
        <v>0</v>
      </c>
      <c r="F190" s="161">
        <f>'3.XT-C TT'!P31</f>
        <v>0</v>
      </c>
      <c r="G190" s="161">
        <f>'3.XT-C TT'!H73</f>
        <v>0</v>
      </c>
      <c r="H190" s="161">
        <f>'3.XT-C TT'!L73</f>
        <v>0</v>
      </c>
      <c r="I190" s="214">
        <f>'3.XT-C TT'!P73</f>
        <v>0</v>
      </c>
    </row>
    <row r="191" spans="1:9" ht="21.75" hidden="1" customHeight="1">
      <c r="A191" s="277">
        <v>5</v>
      </c>
      <c r="B191" s="2010" t="s">
        <v>31</v>
      </c>
      <c r="C191" s="2011"/>
      <c r="D191" s="213">
        <f>'3.XT-C TT'!H32</f>
        <v>0</v>
      </c>
      <c r="E191" s="161">
        <f>'3.XT-C TT'!L32</f>
        <v>0</v>
      </c>
      <c r="F191" s="161">
        <f>'3.XT-C TT'!P32</f>
        <v>0</v>
      </c>
      <c r="G191" s="161">
        <f>'3.XT-C TT'!H74</f>
        <v>0</v>
      </c>
      <c r="H191" s="161">
        <f>'3.XT-C TT'!L74</f>
        <v>0</v>
      </c>
      <c r="I191" s="214">
        <f>'3.XT-C TT'!P74</f>
        <v>0</v>
      </c>
    </row>
    <row r="192" spans="1:9" ht="21.75" hidden="1" customHeight="1">
      <c r="A192" s="277">
        <v>6</v>
      </c>
      <c r="B192" s="2010" t="s">
        <v>32</v>
      </c>
      <c r="C192" s="2011"/>
      <c r="D192" s="213">
        <f>'3.XT-C TT'!H33</f>
        <v>0</v>
      </c>
      <c r="E192" s="161">
        <f>'3.XT-C TT'!L33</f>
        <v>0</v>
      </c>
      <c r="F192" s="161">
        <f>'3.XT-C TT'!P33</f>
        <v>0</v>
      </c>
      <c r="G192" s="161">
        <f>'3.XT-C TT'!H75</f>
        <v>0</v>
      </c>
      <c r="H192" s="161">
        <f>'3.XT-C TT'!L75</f>
        <v>0</v>
      </c>
      <c r="I192" s="214">
        <f>'3.XT-C TT'!P75</f>
        <v>0</v>
      </c>
    </row>
    <row r="193" spans="1:9" ht="21.75" hidden="1" customHeight="1">
      <c r="A193" s="277">
        <v>7</v>
      </c>
      <c r="B193" s="2010" t="s">
        <v>33</v>
      </c>
      <c r="C193" s="2011"/>
      <c r="D193" s="213">
        <f>'3.XT-C TT'!H34</f>
        <v>0</v>
      </c>
      <c r="E193" s="161">
        <f>'3.XT-C TT'!L34</f>
        <v>0</v>
      </c>
      <c r="F193" s="161">
        <f>'3.XT-C TT'!P34</f>
        <v>0</v>
      </c>
      <c r="G193" s="161">
        <f>'3.XT-C TT'!H76</f>
        <v>0</v>
      </c>
      <c r="H193" s="161">
        <f>'3.XT-C TT'!L76</f>
        <v>0</v>
      </c>
      <c r="I193" s="214">
        <f>'3.XT-C TT'!P76</f>
        <v>0</v>
      </c>
    </row>
    <row r="194" spans="1:9" ht="21.75" hidden="1" customHeight="1">
      <c r="A194" s="277">
        <v>8</v>
      </c>
      <c r="B194" s="2010" t="s">
        <v>34</v>
      </c>
      <c r="C194" s="2011"/>
      <c r="D194" s="213">
        <f>'3.XT-C TT'!J35</f>
        <v>0</v>
      </c>
      <c r="E194" s="161">
        <f>'3.XT-C TT'!N35</f>
        <v>0</v>
      </c>
      <c r="F194" s="161">
        <f>'3.XT-C TT'!R35</f>
        <v>0</v>
      </c>
      <c r="G194" s="161">
        <f>'3.XT-C TT'!J77</f>
        <v>0</v>
      </c>
      <c r="H194" s="161">
        <f>'3.XT-C TT'!N77</f>
        <v>0</v>
      </c>
      <c r="I194" s="214">
        <f>'3.XT-C TT'!R77</f>
        <v>0</v>
      </c>
    </row>
    <row r="195" spans="1:9" ht="21.75" hidden="1" customHeight="1">
      <c r="A195" s="174"/>
      <c r="B195" s="175" t="s">
        <v>118</v>
      </c>
      <c r="C195" s="182"/>
      <c r="D195" s="215" t="s">
        <v>176</v>
      </c>
      <c r="E195" s="170"/>
      <c r="F195" s="170"/>
      <c r="G195" s="170"/>
      <c r="H195" s="170"/>
      <c r="I195" s="216"/>
    </row>
    <row r="196" spans="1:9" ht="21.75" hidden="1" customHeight="1">
      <c r="A196" s="176" t="s">
        <v>7</v>
      </c>
      <c r="B196" s="177" t="s">
        <v>100</v>
      </c>
      <c r="C196" s="178"/>
      <c r="D196" s="217">
        <v>0.25</v>
      </c>
      <c r="E196" s="173">
        <v>0.41666666666666669</v>
      </c>
      <c r="F196" s="173">
        <v>0.58333333333333337</v>
      </c>
      <c r="G196" s="173">
        <v>0.75</v>
      </c>
      <c r="H196" s="173">
        <v>0.91666666666666663</v>
      </c>
      <c r="I196" s="218">
        <v>8.3333333333333329E-2</v>
      </c>
    </row>
    <row r="197" spans="1:9" ht="21.75" hidden="1" customHeight="1">
      <c r="A197" s="277">
        <v>1</v>
      </c>
      <c r="B197" s="2148" t="s">
        <v>123</v>
      </c>
      <c r="C197" s="2149"/>
      <c r="D197" s="213">
        <f>'3.XT-C TT'!H40</f>
        <v>0</v>
      </c>
      <c r="E197" s="161">
        <f>'3.XT-C TT'!L40</f>
        <v>0</v>
      </c>
      <c r="F197" s="161">
        <f>'3.XT-C TT'!P40</f>
        <v>0</v>
      </c>
      <c r="G197" s="161">
        <f>'3.XT-C TT'!H82</f>
        <v>0</v>
      </c>
      <c r="H197" s="161">
        <f>'3.XT-C TT'!L82</f>
        <v>0</v>
      </c>
      <c r="I197" s="214">
        <f>'3.XT-C TT'!P82</f>
        <v>0</v>
      </c>
    </row>
    <row r="198" spans="1:9" ht="21.75" hidden="1" customHeight="1">
      <c r="A198" s="277">
        <v>2</v>
      </c>
      <c r="B198" s="2148" t="s">
        <v>122</v>
      </c>
      <c r="C198" s="2149"/>
      <c r="D198" s="213">
        <f>'3.XT-C TT'!H41</f>
        <v>0</v>
      </c>
      <c r="E198" s="161">
        <f>'3.XT-C TT'!L41</f>
        <v>0</v>
      </c>
      <c r="F198" s="161">
        <f>'3.XT-C TT'!P41</f>
        <v>0</v>
      </c>
      <c r="G198" s="161">
        <f>'3.XT-C TT'!H83</f>
        <v>0</v>
      </c>
      <c r="H198" s="161">
        <f>'3.XT-C TT'!L83</f>
        <v>0</v>
      </c>
      <c r="I198" s="214">
        <f>'3.XT-C TT'!P83</f>
        <v>0</v>
      </c>
    </row>
    <row r="199" spans="1:9" ht="21.75" hidden="1" customHeight="1">
      <c r="A199" s="167"/>
      <c r="B199" s="167"/>
      <c r="C199" s="167"/>
      <c r="D199" s="215" t="s">
        <v>174</v>
      </c>
      <c r="E199" s="170"/>
      <c r="F199" s="170"/>
      <c r="G199" s="170"/>
      <c r="H199" s="170"/>
      <c r="I199" s="216"/>
    </row>
    <row r="200" spans="1:9" ht="21.75" hidden="1" customHeight="1">
      <c r="A200" s="167"/>
      <c r="B200" s="167"/>
      <c r="C200" s="167"/>
      <c r="D200" s="219">
        <v>0.25</v>
      </c>
      <c r="E200" s="165">
        <v>0.41666666666666669</v>
      </c>
      <c r="F200" s="165">
        <v>0.58333333333333337</v>
      </c>
      <c r="G200" s="165">
        <v>0.75</v>
      </c>
      <c r="H200" s="165">
        <v>0.91666666666666663</v>
      </c>
      <c r="I200" s="220">
        <v>8.3333333333333329E-2</v>
      </c>
    </row>
    <row r="201" spans="1:9" ht="21.75" hidden="1" customHeight="1">
      <c r="A201" s="2027">
        <v>1</v>
      </c>
      <c r="B201" s="2040" t="s">
        <v>156</v>
      </c>
      <c r="C201" s="273" t="s">
        <v>108</v>
      </c>
      <c r="D201" s="226">
        <f>'3.XT-C TT'!J6</f>
        <v>775.85</v>
      </c>
      <c r="E201" s="183">
        <f>'3.XT-C TT'!N6</f>
        <v>775.85</v>
      </c>
      <c r="F201" s="183">
        <f>'3.XT-C TT'!R6</f>
        <v>775.85</v>
      </c>
      <c r="G201" s="183">
        <f>'3.XT-C TT'!J48</f>
        <v>775.85</v>
      </c>
      <c r="H201" s="183">
        <f>'3.XT-C TT'!N48</f>
        <v>775.85</v>
      </c>
      <c r="I201" s="227">
        <f>'3.XT-C TT'!R48</f>
        <v>775.85</v>
      </c>
    </row>
    <row r="202" spans="1:9" ht="21.75" hidden="1" customHeight="1">
      <c r="A202" s="2039"/>
      <c r="B202" s="2042"/>
      <c r="C202" s="274" t="s">
        <v>109</v>
      </c>
      <c r="D202" s="226">
        <f>'3.XT-C TT'!J7</f>
        <v>263.78900000000004</v>
      </c>
      <c r="E202" s="183">
        <f>'3.XT-C TT'!N7</f>
        <v>263.78900000000004</v>
      </c>
      <c r="F202" s="183">
        <f>'3.XT-C TT'!R7</f>
        <v>263.78900000000004</v>
      </c>
      <c r="G202" s="183">
        <f>'3.XT-C TT'!J49</f>
        <v>263.78900000000004</v>
      </c>
      <c r="H202" s="183">
        <f>'3.XT-C TT'!N49</f>
        <v>263.78900000000004</v>
      </c>
      <c r="I202" s="227">
        <f>'3.XT-C TT'!R49</f>
        <v>263.78900000000004</v>
      </c>
    </row>
    <row r="203" spans="1:9" ht="21.75" hidden="1" customHeight="1">
      <c r="A203" s="2028"/>
      <c r="B203" s="2142"/>
      <c r="C203" s="274" t="s">
        <v>111</v>
      </c>
      <c r="D203" s="226" t="e">
        <f>'3.XT-C TT'!#REF!</f>
        <v>#REF!</v>
      </c>
      <c r="E203" s="183" t="e">
        <f>'3.XT-C TT'!#REF!</f>
        <v>#REF!</v>
      </c>
      <c r="F203" s="183" t="e">
        <f>'3.XT-C TT'!#REF!</f>
        <v>#REF!</v>
      </c>
      <c r="G203" s="183" t="e">
        <f>'3.XT-C TT'!#REF!</f>
        <v>#REF!</v>
      </c>
      <c r="H203" s="183" t="e">
        <f>'3.XT-C TT'!#REF!</f>
        <v>#REF!</v>
      </c>
      <c r="I203" s="227" t="e">
        <f>'3.XT-C TT'!#REF!</f>
        <v>#REF!</v>
      </c>
    </row>
    <row r="204" spans="1:9" ht="21.75" hidden="1" customHeight="1">
      <c r="A204" s="2027">
        <v>2</v>
      </c>
      <c r="B204" s="2040" t="s">
        <v>157</v>
      </c>
      <c r="C204" s="273" t="s">
        <v>108</v>
      </c>
      <c r="D204" s="226">
        <f>'3.XT-C TT'!J8</f>
        <v>573.75</v>
      </c>
      <c r="E204" s="183">
        <f>'3.XT-C TT'!N8</f>
        <v>573.75</v>
      </c>
      <c r="F204" s="183">
        <f>'3.XT-C TT'!R8</f>
        <v>573.75</v>
      </c>
      <c r="G204" s="183">
        <f>'3.XT-C TT'!J50</f>
        <v>573.75</v>
      </c>
      <c r="H204" s="183">
        <f>'3.XT-C TT'!N50</f>
        <v>573.75</v>
      </c>
      <c r="I204" s="227">
        <f>'3.XT-C TT'!R50</f>
        <v>573.75</v>
      </c>
    </row>
    <row r="205" spans="1:9" ht="21.75" hidden="1" customHeight="1">
      <c r="A205" s="2039"/>
      <c r="B205" s="2042"/>
      <c r="C205" s="274" t="s">
        <v>109</v>
      </c>
      <c r="D205" s="226">
        <f>'3.XT-C TT'!J9</f>
        <v>195.07499999999999</v>
      </c>
      <c r="E205" s="183">
        <f>'3.XT-C TT'!N9</f>
        <v>195.07499999999999</v>
      </c>
      <c r="F205" s="183">
        <f>'3.XT-C TT'!R9</f>
        <v>195.07499999999999</v>
      </c>
      <c r="G205" s="183">
        <f>'3.XT-C TT'!J51</f>
        <v>195.07499999999999</v>
      </c>
      <c r="H205" s="183">
        <f>'3.XT-C TT'!N51</f>
        <v>195.07499999999999</v>
      </c>
      <c r="I205" s="227">
        <f>'3.XT-C TT'!R51</f>
        <v>195.07499999999999</v>
      </c>
    </row>
    <row r="206" spans="1:9" ht="21.75" hidden="1" customHeight="1">
      <c r="A206" s="2028"/>
      <c r="B206" s="2142"/>
      <c r="C206" s="274" t="s">
        <v>111</v>
      </c>
      <c r="D206" s="226" t="e">
        <f>'3.XT-C TT'!#REF!</f>
        <v>#REF!</v>
      </c>
      <c r="E206" s="183" t="e">
        <f>'3.XT-C TT'!#REF!</f>
        <v>#REF!</v>
      </c>
      <c r="F206" s="183" t="e">
        <f>'3.XT-C TT'!#REF!</f>
        <v>#REF!</v>
      </c>
      <c r="G206" s="183" t="e">
        <f>'3.XT-C TT'!#REF!</f>
        <v>#REF!</v>
      </c>
      <c r="H206" s="183" t="e">
        <f>'3.XT-C TT'!#REF!</f>
        <v>#REF!</v>
      </c>
      <c r="I206" s="227" t="e">
        <f>'3.XT-C TT'!#REF!</f>
        <v>#REF!</v>
      </c>
    </row>
    <row r="207" spans="1:9" ht="21.75" hidden="1" customHeight="1">
      <c r="A207" s="2027">
        <v>3</v>
      </c>
      <c r="B207" s="2035" t="s">
        <v>158</v>
      </c>
      <c r="C207" s="273" t="s">
        <v>108</v>
      </c>
      <c r="D207" s="226">
        <f>'3.XT-C TT'!J10</f>
        <v>492</v>
      </c>
      <c r="E207" s="183">
        <f>'3.XT-C TT'!N10</f>
        <v>492</v>
      </c>
      <c r="F207" s="183">
        <f>'3.XT-C TT'!R10</f>
        <v>492</v>
      </c>
      <c r="G207" s="183">
        <f>'3.XT-C TT'!J52</f>
        <v>492</v>
      </c>
      <c r="H207" s="183">
        <f>'3.XT-C TT'!N52</f>
        <v>492</v>
      </c>
      <c r="I207" s="227">
        <f>'3.XT-C TT'!R52</f>
        <v>492</v>
      </c>
    </row>
    <row r="208" spans="1:9" ht="21.75" hidden="1" customHeight="1">
      <c r="A208" s="2028"/>
      <c r="B208" s="2036"/>
      <c r="C208" s="274" t="s">
        <v>112</v>
      </c>
      <c r="D208" s="226">
        <f>'3.XT-C TT'!J11</f>
        <v>157.44</v>
      </c>
      <c r="E208" s="183">
        <f>'3.XT-C TT'!N11</f>
        <v>157.44</v>
      </c>
      <c r="F208" s="183">
        <f>'3.XT-C TT'!R11</f>
        <v>157.44</v>
      </c>
      <c r="G208" s="183">
        <f>'3.XT-C TT'!J53</f>
        <v>157.44</v>
      </c>
      <c r="H208" s="183">
        <f>'3.XT-C TT'!N53</f>
        <v>157.44</v>
      </c>
      <c r="I208" s="227">
        <f>'3.XT-C TT'!R53</f>
        <v>157.44</v>
      </c>
    </row>
    <row r="209" spans="1:9" ht="21.75" hidden="1" customHeight="1">
      <c r="A209" s="2027">
        <v>4</v>
      </c>
      <c r="B209" s="2035" t="s">
        <v>159</v>
      </c>
      <c r="C209" s="273" t="s">
        <v>108</v>
      </c>
      <c r="D209" s="226">
        <f>'3.XT-C TT'!J12</f>
        <v>520.08000000000004</v>
      </c>
      <c r="E209" s="183">
        <f>'3.XT-C TT'!N12</f>
        <v>520.08000000000004</v>
      </c>
      <c r="F209" s="183">
        <f>'3.XT-C TT'!R12</f>
        <v>520.08000000000004</v>
      </c>
      <c r="G209" s="183">
        <f>'3.XT-C TT'!J54</f>
        <v>520.08000000000004</v>
      </c>
      <c r="H209" s="183">
        <f>'3.XT-C TT'!N54</f>
        <v>520.08000000000004</v>
      </c>
      <c r="I209" s="227">
        <f>'3.XT-C TT'!R54</f>
        <v>520.08000000000004</v>
      </c>
    </row>
    <row r="210" spans="1:9" ht="21.75" hidden="1" customHeight="1">
      <c r="A210" s="2028"/>
      <c r="B210" s="2036"/>
      <c r="C210" s="274" t="s">
        <v>112</v>
      </c>
      <c r="D210" s="226">
        <f>'3.XT-C TT'!J13</f>
        <v>166.4256</v>
      </c>
      <c r="E210" s="183">
        <f>'3.XT-C TT'!N13</f>
        <v>166.4256</v>
      </c>
      <c r="F210" s="183">
        <f>'3.XT-C TT'!R13</f>
        <v>166.4256</v>
      </c>
      <c r="G210" s="183">
        <f>'3.XT-C TT'!J55</f>
        <v>166.4256</v>
      </c>
      <c r="H210" s="183">
        <f>'3.XT-C TT'!N55</f>
        <v>166.4256</v>
      </c>
      <c r="I210" s="227">
        <f>'3.XT-C TT'!R55</f>
        <v>166.4256</v>
      </c>
    </row>
    <row r="211" spans="1:9" ht="21.75" hidden="1" customHeight="1">
      <c r="A211" s="2027">
        <v>5</v>
      </c>
      <c r="B211" s="2090" t="s">
        <v>121</v>
      </c>
      <c r="C211" s="275"/>
      <c r="D211" s="226">
        <f>'3.XT-C TT'!J14</f>
        <v>7429.24</v>
      </c>
      <c r="E211" s="183">
        <f>'3.XT-C TT'!N14</f>
        <v>7429.24</v>
      </c>
      <c r="F211" s="183">
        <f>'3.XT-C TT'!R14</f>
        <v>7429.24</v>
      </c>
      <c r="G211" s="183">
        <f>'3.XT-C TT'!J56</f>
        <v>7429.24</v>
      </c>
      <c r="H211" s="183">
        <f>'3.XT-C TT'!N56</f>
        <v>7429.24</v>
      </c>
      <c r="I211" s="227">
        <f>'3.XT-C TT'!R56</f>
        <v>7429.24</v>
      </c>
    </row>
    <row r="212" spans="1:9" ht="21.75" hidden="1" customHeight="1">
      <c r="A212" s="2028"/>
      <c r="B212" s="2091"/>
      <c r="C212" s="275"/>
      <c r="D212" s="226">
        <f>'3.XT-C TT'!J15</f>
        <v>371.46199999999999</v>
      </c>
      <c r="E212" s="183">
        <f>'3.XT-C TT'!N15</f>
        <v>371.46199999999999</v>
      </c>
      <c r="F212" s="183">
        <f>'3.XT-C TT'!R15</f>
        <v>371.46199999999999</v>
      </c>
      <c r="G212" s="183">
        <f>'3.XT-C TT'!J57</f>
        <v>371.46199999999999</v>
      </c>
      <c r="H212" s="183">
        <f>'3.XT-C TT'!N57</f>
        <v>371.46199999999999</v>
      </c>
      <c r="I212" s="227">
        <f>'3.XT-C TT'!R57</f>
        <v>371.46199999999999</v>
      </c>
    </row>
    <row r="213" spans="1:9" ht="21.75" hidden="1" customHeight="1">
      <c r="A213" s="2027">
        <v>6</v>
      </c>
      <c r="B213" s="2084" t="s">
        <v>40</v>
      </c>
      <c r="C213" s="2085"/>
      <c r="D213" s="226">
        <f>'3.XT-C TT'!J16</f>
        <v>236.74896000000001</v>
      </c>
      <c r="E213" s="183">
        <f>'3.XT-C TT'!N16</f>
        <v>236.74896000000001</v>
      </c>
      <c r="F213" s="183">
        <f>'3.XT-C TT'!R16</f>
        <v>236.74896000000001</v>
      </c>
      <c r="G213" s="183">
        <f>'3.XT-C TT'!J58</f>
        <v>236.74896000000001</v>
      </c>
      <c r="H213" s="183">
        <f>'3.XT-C TT'!N58</f>
        <v>236.74896000000001</v>
      </c>
      <c r="I213" s="227">
        <f>'3.XT-C TT'!R58</f>
        <v>236.74896000000001</v>
      </c>
    </row>
    <row r="214" spans="1:9" ht="21.75" hidden="1" customHeight="1">
      <c r="A214" s="2028"/>
      <c r="B214" s="2086"/>
      <c r="C214" s="2087"/>
      <c r="D214" s="226">
        <f>'3.XT-C TT'!J17</f>
        <v>0</v>
      </c>
      <c r="E214" s="183">
        <f>'3.XT-C TT'!N17</f>
        <v>0</v>
      </c>
      <c r="F214" s="183">
        <f>'3.XT-C TT'!R17</f>
        <v>0</v>
      </c>
      <c r="G214" s="183">
        <f>'3.XT-C TT'!J59</f>
        <v>0</v>
      </c>
      <c r="H214" s="183">
        <f>'3.XT-C TT'!N59</f>
        <v>0</v>
      </c>
      <c r="I214" s="227">
        <f>'3.XT-C TT'!R59</f>
        <v>0</v>
      </c>
    </row>
    <row r="215" spans="1:9" ht="21.75" hidden="1" customHeight="1">
      <c r="A215" s="277">
        <v>7</v>
      </c>
      <c r="B215" s="1990" t="s">
        <v>38</v>
      </c>
      <c r="C215" s="1991"/>
      <c r="D215" s="226">
        <f>'3.XT-C TT'!J18</f>
        <v>3025.35</v>
      </c>
      <c r="E215" s="183">
        <f>'3.XT-C TT'!N18</f>
        <v>3025.35</v>
      </c>
      <c r="F215" s="183">
        <f>'3.XT-C TT'!R18</f>
        <v>3025.35</v>
      </c>
      <c r="G215" s="183">
        <f>'3.XT-C TT'!J60</f>
        <v>3025.35</v>
      </c>
      <c r="H215" s="183">
        <f>'3.XT-C TT'!N60</f>
        <v>3025.35</v>
      </c>
      <c r="I215" s="227">
        <f>'3.XT-C TT'!R60</f>
        <v>3025.35</v>
      </c>
    </row>
    <row r="216" spans="1:9" ht="21.75" hidden="1" customHeight="1">
      <c r="A216" s="277">
        <v>8</v>
      </c>
      <c r="B216" s="1990" t="s">
        <v>39</v>
      </c>
      <c r="C216" s="1991"/>
      <c r="D216" s="226">
        <f>'3.XT-C TT'!J19</f>
        <v>4729.05</v>
      </c>
      <c r="E216" s="183">
        <f>'3.XT-C TT'!N19</f>
        <v>4729.05</v>
      </c>
      <c r="F216" s="183">
        <f>'3.XT-C TT'!R19</f>
        <v>4729.05</v>
      </c>
      <c r="G216" s="183">
        <f>'3.XT-C TT'!J61</f>
        <v>4729.05</v>
      </c>
      <c r="H216" s="183">
        <f>'3.XT-C TT'!N61</f>
        <v>4729.05</v>
      </c>
      <c r="I216" s="227">
        <f>'3.XT-C TT'!R61</f>
        <v>4729.05</v>
      </c>
    </row>
    <row r="217" spans="1:9" ht="21.75" hidden="1" customHeight="1">
      <c r="A217" s="277">
        <v>9</v>
      </c>
      <c r="B217" s="1993" t="s">
        <v>86</v>
      </c>
      <c r="C217" s="1994"/>
      <c r="D217" s="226">
        <f>'3.XT-C TT'!J20</f>
        <v>970.19999999999993</v>
      </c>
      <c r="E217" s="183">
        <f>'3.XT-C TT'!N20</f>
        <v>970.19999999999993</v>
      </c>
      <c r="F217" s="183">
        <f>'3.XT-C TT'!R20</f>
        <v>970.19999999999993</v>
      </c>
      <c r="G217" s="183">
        <f>'3.XT-C TT'!J62</f>
        <v>970.19999999999993</v>
      </c>
      <c r="H217" s="183">
        <f>'3.XT-C TT'!N62</f>
        <v>970.19999999999993</v>
      </c>
      <c r="I217" s="227">
        <f>'3.XT-C TT'!R62</f>
        <v>970.19999999999993</v>
      </c>
    </row>
    <row r="218" spans="1:9" ht="21.75" hidden="1" customHeight="1">
      <c r="A218" s="277">
        <v>10</v>
      </c>
      <c r="B218" s="1993" t="s">
        <v>120</v>
      </c>
      <c r="C218" s="1994" t="s">
        <v>120</v>
      </c>
      <c r="D218" s="226">
        <f>'3.XT-C TT'!J21</f>
        <v>28.080000000000002</v>
      </c>
      <c r="E218" s="183">
        <f>'3.XT-C TT'!N21</f>
        <v>28.080000000000002</v>
      </c>
      <c r="F218" s="183">
        <f>'3.XT-C TT'!R21</f>
        <v>28.080000000000002</v>
      </c>
      <c r="G218" s="183">
        <f>'3.XT-C TT'!J63</f>
        <v>28.080000000000002</v>
      </c>
      <c r="H218" s="183">
        <f>'3.XT-C TT'!N63</f>
        <v>28.080000000000002</v>
      </c>
      <c r="I218" s="227">
        <f>'3.XT-C TT'!R63</f>
        <v>28.080000000000002</v>
      </c>
    </row>
    <row r="219" spans="1:9" ht="21.75" customHeight="1" thickBot="1">
      <c r="D219" s="228"/>
      <c r="E219" s="229"/>
      <c r="F219" s="229"/>
      <c r="G219" s="229"/>
      <c r="H219" s="229"/>
      <c r="I219" s="230"/>
    </row>
  </sheetData>
  <mergeCells count="128">
    <mergeCell ref="A213:A214"/>
    <mergeCell ref="B213:C214"/>
    <mergeCell ref="B215:C215"/>
    <mergeCell ref="B216:C216"/>
    <mergeCell ref="B217:C217"/>
    <mergeCell ref="B218:C218"/>
    <mergeCell ref="A207:A208"/>
    <mergeCell ref="B207:B208"/>
    <mergeCell ref="A209:A210"/>
    <mergeCell ref="B209:B210"/>
    <mergeCell ref="A211:A212"/>
    <mergeCell ref="B211:B212"/>
    <mergeCell ref="B197:C197"/>
    <mergeCell ref="B198:C198"/>
    <mergeCell ref="A201:A203"/>
    <mergeCell ref="B201:B203"/>
    <mergeCell ref="A204:A206"/>
    <mergeCell ref="B204:B206"/>
    <mergeCell ref="B189:C189"/>
    <mergeCell ref="B190:C190"/>
    <mergeCell ref="B191:C191"/>
    <mergeCell ref="B192:C192"/>
    <mergeCell ref="B193:C193"/>
    <mergeCell ref="B194:C194"/>
    <mergeCell ref="B181:C181"/>
    <mergeCell ref="B182:C182"/>
    <mergeCell ref="B183:C183"/>
    <mergeCell ref="B184:C184"/>
    <mergeCell ref="B187:C187"/>
    <mergeCell ref="B188:C188"/>
    <mergeCell ref="A175:A176"/>
    <mergeCell ref="B175:B176"/>
    <mergeCell ref="A177:A178"/>
    <mergeCell ref="B177:B178"/>
    <mergeCell ref="A179:A180"/>
    <mergeCell ref="B179:C180"/>
    <mergeCell ref="B162:C162"/>
    <mergeCell ref="A167:A169"/>
    <mergeCell ref="B167:B169"/>
    <mergeCell ref="A170:A172"/>
    <mergeCell ref="B170:B172"/>
    <mergeCell ref="A173:A174"/>
    <mergeCell ref="B173:B174"/>
    <mergeCell ref="B156:C156"/>
    <mergeCell ref="B157:C157"/>
    <mergeCell ref="A158:A159"/>
    <mergeCell ref="B158:C159"/>
    <mergeCell ref="B160:C160"/>
    <mergeCell ref="B161:C161"/>
    <mergeCell ref="A149:A151"/>
    <mergeCell ref="B149:B151"/>
    <mergeCell ref="A152:A153"/>
    <mergeCell ref="B152:B153"/>
    <mergeCell ref="A154:A155"/>
    <mergeCell ref="B154:B155"/>
    <mergeCell ref="B137:C137"/>
    <mergeCell ref="B138:C138"/>
    <mergeCell ref="B139:C139"/>
    <mergeCell ref="B142:C142"/>
    <mergeCell ref="B143:C143"/>
    <mergeCell ref="A146:A148"/>
    <mergeCell ref="B146:B148"/>
    <mergeCell ref="B129:C129"/>
    <mergeCell ref="B132:C132"/>
    <mergeCell ref="B133:C133"/>
    <mergeCell ref="B134:C134"/>
    <mergeCell ref="B135:C135"/>
    <mergeCell ref="B136:C136"/>
    <mergeCell ref="B123:C123"/>
    <mergeCell ref="B124:C124"/>
    <mergeCell ref="A125:A126"/>
    <mergeCell ref="B125:C126"/>
    <mergeCell ref="B127:C127"/>
    <mergeCell ref="B128:C128"/>
    <mergeCell ref="A116:A118"/>
    <mergeCell ref="B116:B118"/>
    <mergeCell ref="A119:A120"/>
    <mergeCell ref="B119:B120"/>
    <mergeCell ref="A121:A122"/>
    <mergeCell ref="B121:B122"/>
    <mergeCell ref="B49:C49"/>
    <mergeCell ref="B50:C50"/>
    <mergeCell ref="B51:C51"/>
    <mergeCell ref="B52:C52"/>
    <mergeCell ref="A113:A115"/>
    <mergeCell ref="B113:B115"/>
    <mergeCell ref="A43:A44"/>
    <mergeCell ref="B43:B44"/>
    <mergeCell ref="A45:A46"/>
    <mergeCell ref="B45:B46"/>
    <mergeCell ref="A47:A48"/>
    <mergeCell ref="B47:C48"/>
    <mergeCell ref="A37:A38"/>
    <mergeCell ref="B37:B38"/>
    <mergeCell ref="A39:A40"/>
    <mergeCell ref="B39:B40"/>
    <mergeCell ref="A41:A42"/>
    <mergeCell ref="B41:B42"/>
    <mergeCell ref="B29:C29"/>
    <mergeCell ref="B30:C30"/>
    <mergeCell ref="A31:C31"/>
    <mergeCell ref="B32:C32"/>
    <mergeCell ref="B33:C33"/>
    <mergeCell ref="B34:C34"/>
    <mergeCell ref="B23:C23"/>
    <mergeCell ref="B24:C24"/>
    <mergeCell ref="B25:C25"/>
    <mergeCell ref="B26:C26"/>
    <mergeCell ref="B27:C27"/>
    <mergeCell ref="B28:C28"/>
    <mergeCell ref="B20:C20"/>
    <mergeCell ref="A21:C21"/>
    <mergeCell ref="B22:C22"/>
    <mergeCell ref="A11:A12"/>
    <mergeCell ref="B11:B12"/>
    <mergeCell ref="A13:A14"/>
    <mergeCell ref="B13:B14"/>
    <mergeCell ref="A15:A16"/>
    <mergeCell ref="B15:C16"/>
    <mergeCell ref="A5:A6"/>
    <mergeCell ref="B5:B6"/>
    <mergeCell ref="A7:A8"/>
    <mergeCell ref="B7:B8"/>
    <mergeCell ref="A9:A10"/>
    <mergeCell ref="B9:B10"/>
    <mergeCell ref="B17:C17"/>
    <mergeCell ref="B18:C18"/>
    <mergeCell ref="B19:C19"/>
  </mergeCells>
  <phoneticPr fontId="6" type="noConversion"/>
  <pageMargins left="0.7" right="0.7" top="0.75" bottom="0.75" header="0.3" footer="0.3"/>
  <pageSetup paperSize="9" orientation="portrait" verticalDpi="0" r:id="rId1"/>
  <drawing r:id="rId2"/>
</worksheet>
</file>

<file path=xl/worksheets/sheet25.xml><?xml version="1.0" encoding="utf-8"?>
<worksheet xmlns="http://schemas.openxmlformats.org/spreadsheetml/2006/main" xmlns:r="http://schemas.openxmlformats.org/officeDocument/2006/relationships">
  <sheetPr codeName="Sheet18">
    <tabColor rgb="FF7030A0"/>
  </sheetPr>
  <dimension ref="A1:O33"/>
  <sheetViews>
    <sheetView zoomScale="70" zoomScaleNormal="70" workbookViewId="0">
      <selection activeCell="I14" sqref="I14:L20"/>
    </sheetView>
  </sheetViews>
  <sheetFormatPr defaultRowHeight="28.5" customHeight="1"/>
  <cols>
    <col min="1" max="1" width="6.375" style="389" customWidth="1"/>
    <col min="2" max="2" width="15.375" style="389" customWidth="1"/>
    <col min="3" max="3" width="16.5" style="389" customWidth="1"/>
    <col min="4" max="4" width="15.375" style="389" customWidth="1"/>
    <col min="5" max="5" width="12.125" style="389" customWidth="1"/>
    <col min="6" max="6" width="15.375" style="389" customWidth="1"/>
    <col min="7" max="7" width="4.875" style="389" customWidth="1"/>
    <col min="8" max="8" width="6.75" style="440" customWidth="1"/>
    <col min="9" max="9" width="14.625" style="440" customWidth="1"/>
    <col min="10" max="10" width="14.125" style="440" customWidth="1"/>
    <col min="11" max="11" width="16.5" style="440" customWidth="1"/>
    <col min="12" max="12" width="11.875" style="440" customWidth="1"/>
    <col min="13" max="13" width="9.875" style="440" customWidth="1"/>
    <col min="14" max="16384" width="9" style="389"/>
  </cols>
  <sheetData>
    <row r="1" spans="1:14" ht="28.5" customHeight="1">
      <c r="A1" s="388" t="s">
        <v>402</v>
      </c>
      <c r="H1" s="390" t="s">
        <v>403</v>
      </c>
      <c r="I1" s="391"/>
      <c r="J1" s="391"/>
      <c r="K1" s="391"/>
      <c r="L1" s="391"/>
      <c r="M1" s="391"/>
      <c r="N1" s="391"/>
    </row>
    <row r="2" spans="1:14" ht="28.5" customHeight="1">
      <c r="A2" s="392"/>
      <c r="B2" s="393" t="s">
        <v>404</v>
      </c>
      <c r="C2" s="394"/>
      <c r="D2" s="394"/>
      <c r="E2" s="394"/>
      <c r="F2" s="394"/>
      <c r="H2" s="391"/>
      <c r="I2" s="395"/>
      <c r="J2" s="391"/>
      <c r="K2" s="391"/>
      <c r="L2" s="391"/>
      <c r="M2" s="391"/>
      <c r="N2" s="391"/>
    </row>
    <row r="3" spans="1:14" s="399" customFormat="1" ht="33" customHeight="1">
      <c r="A3" s="396" t="s">
        <v>405</v>
      </c>
      <c r="B3" s="397" t="s">
        <v>406</v>
      </c>
      <c r="C3" s="397" t="s">
        <v>407</v>
      </c>
      <c r="D3" s="397" t="s">
        <v>408</v>
      </c>
      <c r="E3" s="397" t="s">
        <v>409</v>
      </c>
      <c r="F3" s="398" t="s">
        <v>3</v>
      </c>
      <c r="H3" s="400" t="s">
        <v>405</v>
      </c>
      <c r="I3" s="401" t="s">
        <v>406</v>
      </c>
      <c r="J3" s="401" t="s">
        <v>407</v>
      </c>
      <c r="K3" s="401" t="s">
        <v>408</v>
      </c>
      <c r="L3" s="401" t="s">
        <v>409</v>
      </c>
      <c r="M3" s="52" t="s">
        <v>3</v>
      </c>
      <c r="N3" s="402"/>
    </row>
    <row r="4" spans="1:14" ht="25.5" customHeight="1">
      <c r="A4" s="403">
        <v>1</v>
      </c>
      <c r="B4" s="404">
        <v>0.14280000000000001</v>
      </c>
      <c r="C4" s="404">
        <v>1.2029000000000001</v>
      </c>
      <c r="D4" s="404">
        <v>0.2374</v>
      </c>
      <c r="E4" s="403">
        <f>D4-B4</f>
        <v>9.459999999999999E-2</v>
      </c>
      <c r="F4" s="405">
        <f>E4/C4</f>
        <v>7.8643278743037642E-2</v>
      </c>
      <c r="H4" s="406">
        <v>1</v>
      </c>
      <c r="I4" s="407">
        <v>0.1134</v>
      </c>
      <c r="J4" s="407">
        <v>1.2077</v>
      </c>
      <c r="K4" s="407">
        <v>0.1961</v>
      </c>
      <c r="L4" s="406">
        <f>K4-I4</f>
        <v>8.2699999999999996E-2</v>
      </c>
      <c r="M4" s="408">
        <f>L4/J4</f>
        <v>6.8477270845408625E-2</v>
      </c>
      <c r="N4" s="391"/>
    </row>
    <row r="5" spans="1:14" ht="25.5" customHeight="1">
      <c r="A5" s="403">
        <v>2</v>
      </c>
      <c r="B5" s="404"/>
      <c r="C5" s="404"/>
      <c r="D5" s="404"/>
      <c r="E5" s="403">
        <f>D5-B5</f>
        <v>0</v>
      </c>
      <c r="F5" s="405"/>
      <c r="H5" s="406">
        <v>2</v>
      </c>
      <c r="I5" s="407"/>
      <c r="J5" s="407"/>
      <c r="K5" s="407"/>
      <c r="L5" s="406">
        <f>K5-I5</f>
        <v>0</v>
      </c>
      <c r="M5" s="408"/>
      <c r="N5" s="391"/>
    </row>
    <row r="6" spans="1:14" ht="28.5" customHeight="1">
      <c r="A6" s="409"/>
      <c r="B6" s="409"/>
      <c r="C6" s="409"/>
      <c r="D6" s="409"/>
      <c r="E6" s="409"/>
      <c r="F6" s="410">
        <f>AVERAGE(F4:F5)</f>
        <v>7.8643278743037642E-2</v>
      </c>
      <c r="H6" s="411"/>
      <c r="I6" s="411"/>
      <c r="J6" s="411"/>
      <c r="K6" s="411"/>
      <c r="L6" s="411"/>
      <c r="M6" s="412">
        <f>AVERAGE(M4:M5)</f>
        <v>6.8477270845408625E-2</v>
      </c>
      <c r="N6" s="391"/>
    </row>
    <row r="7" spans="1:14" s="416" customFormat="1" ht="28.5" customHeight="1">
      <c r="A7" s="413"/>
      <c r="B7" s="414" t="s">
        <v>410</v>
      </c>
      <c r="C7" s="413"/>
      <c r="D7" s="413"/>
      <c r="E7" s="413"/>
      <c r="F7" s="415"/>
      <c r="H7" s="390" t="s">
        <v>411</v>
      </c>
      <c r="I7" s="395"/>
      <c r="J7" s="417"/>
      <c r="K7" s="417"/>
      <c r="L7" s="417"/>
      <c r="M7" s="418"/>
      <c r="N7" s="419"/>
    </row>
    <row r="8" spans="1:14" ht="36" customHeight="1">
      <c r="A8" s="420" t="s">
        <v>405</v>
      </c>
      <c r="B8" s="421" t="s">
        <v>406</v>
      </c>
      <c r="C8" s="421" t="s">
        <v>407</v>
      </c>
      <c r="D8" s="421" t="s">
        <v>408</v>
      </c>
      <c r="E8" s="421" t="s">
        <v>409</v>
      </c>
      <c r="F8" s="321" t="s">
        <v>3</v>
      </c>
      <c r="H8" s="400" t="s">
        <v>405</v>
      </c>
      <c r="I8" s="401" t="s">
        <v>406</v>
      </c>
      <c r="J8" s="401" t="s">
        <v>407</v>
      </c>
      <c r="K8" s="401" t="s">
        <v>408</v>
      </c>
      <c r="L8" s="401" t="s">
        <v>409</v>
      </c>
      <c r="M8" s="52" t="s">
        <v>3</v>
      </c>
      <c r="N8" s="391"/>
    </row>
    <row r="9" spans="1:14" ht="25.5" customHeight="1">
      <c r="A9" s="422">
        <v>1</v>
      </c>
      <c r="B9" s="423"/>
      <c r="C9" s="423"/>
      <c r="D9" s="423"/>
      <c r="E9" s="422">
        <f>D9-B9</f>
        <v>0</v>
      </c>
      <c r="F9" s="424" t="e">
        <f>E9/C9</f>
        <v>#DIV/0!</v>
      </c>
      <c r="H9" s="406">
        <v>1</v>
      </c>
      <c r="I9" s="407">
        <v>0.11700000000000001</v>
      </c>
      <c r="J9" s="407">
        <v>1.2043999999999999</v>
      </c>
      <c r="K9" s="407">
        <v>0.1268</v>
      </c>
      <c r="L9" s="406">
        <f>K9-I9</f>
        <v>9.7999999999999893E-3</v>
      </c>
      <c r="M9" s="408">
        <f>L9/J9</f>
        <v>8.1368316174028482E-3</v>
      </c>
      <c r="N9" s="391"/>
    </row>
    <row r="10" spans="1:14" ht="25.5" customHeight="1">
      <c r="A10" s="422">
        <v>2</v>
      </c>
      <c r="B10" s="423"/>
      <c r="C10" s="423"/>
      <c r="D10" s="423"/>
      <c r="E10" s="422">
        <f>D10-B10</f>
        <v>0</v>
      </c>
      <c r="F10" s="424"/>
      <c r="H10" s="406">
        <v>2</v>
      </c>
      <c r="I10" s="407"/>
      <c r="J10" s="407"/>
      <c r="K10" s="407"/>
      <c r="L10" s="406">
        <f>K10-I10</f>
        <v>0</v>
      </c>
      <c r="M10" s="408"/>
      <c r="N10" s="391"/>
    </row>
    <row r="11" spans="1:14" ht="28.5" customHeight="1">
      <c r="A11" s="425"/>
      <c r="B11" s="425"/>
      <c r="C11" s="425"/>
      <c r="D11" s="425"/>
      <c r="E11" s="425"/>
      <c r="F11" s="426" t="e">
        <f>AVERAGE(F9:F10)</f>
        <v>#DIV/0!</v>
      </c>
      <c r="H11" s="411"/>
      <c r="I11" s="411"/>
      <c r="J11" s="411"/>
      <c r="K11" s="411"/>
      <c r="L11" s="411"/>
      <c r="M11" s="418">
        <f>AVERAGE(M9:M10)</f>
        <v>8.1368316174028482E-3</v>
      </c>
      <c r="N11" s="427">
        <f>IF(M11&lt;0,0,M11)</f>
        <v>8.1368316174028482E-3</v>
      </c>
    </row>
    <row r="12" spans="1:14" ht="28.5" customHeight="1">
      <c r="A12" s="388" t="s">
        <v>412</v>
      </c>
      <c r="H12" s="391"/>
      <c r="I12" s="391"/>
      <c r="J12" s="391"/>
      <c r="K12" s="391"/>
      <c r="L12" s="391"/>
      <c r="M12" s="391"/>
      <c r="N12" s="391"/>
    </row>
    <row r="13" spans="1:14" ht="28.5" customHeight="1">
      <c r="A13" s="394"/>
      <c r="B13" s="393" t="s">
        <v>413</v>
      </c>
      <c r="C13" s="394"/>
      <c r="D13" s="394"/>
      <c r="E13" s="394"/>
      <c r="F13" s="394"/>
      <c r="H13" s="389"/>
      <c r="I13" s="389"/>
      <c r="J13" s="389"/>
      <c r="K13" s="389"/>
      <c r="L13" s="389"/>
      <c r="M13" s="389"/>
    </row>
    <row r="14" spans="1:14" ht="33.75" customHeight="1">
      <c r="A14" s="396" t="s">
        <v>405</v>
      </c>
      <c r="B14" s="397" t="s">
        <v>406</v>
      </c>
      <c r="C14" s="397" t="s">
        <v>414</v>
      </c>
      <c r="D14" s="397" t="s">
        <v>408</v>
      </c>
      <c r="E14" s="397" t="s">
        <v>409</v>
      </c>
      <c r="F14" s="398" t="s">
        <v>3</v>
      </c>
      <c r="H14" s="389"/>
      <c r="I14" s="428" t="str">
        <f>'1.xi den'!G3</f>
        <v>2022/12/03</v>
      </c>
      <c r="J14" s="429"/>
      <c r="K14" s="429"/>
      <c r="L14" s="430"/>
      <c r="M14" s="389"/>
    </row>
    <row r="15" spans="1:14" ht="28.5" customHeight="1">
      <c r="A15" s="403">
        <v>1</v>
      </c>
      <c r="B15" s="404">
        <v>25.842500000000001</v>
      </c>
      <c r="C15" s="404">
        <v>2.5142000000000002</v>
      </c>
      <c r="D15" s="404">
        <v>25.855599999999999</v>
      </c>
      <c r="E15" s="403">
        <f>D15-B15</f>
        <v>1.3099999999997891E-2</v>
      </c>
      <c r="F15" s="405">
        <f>E15/C15</f>
        <v>5.2104049001662116E-3</v>
      </c>
      <c r="H15" s="389"/>
      <c r="I15" s="2152" t="s">
        <v>415</v>
      </c>
      <c r="J15" s="2153"/>
      <c r="K15" s="431" t="s">
        <v>416</v>
      </c>
      <c r="L15" s="432">
        <f>IFERROR(IF(F6&lt;0,"",F6),"")</f>
        <v>7.8643278743037642E-2</v>
      </c>
      <c r="M15" s="389"/>
    </row>
    <row r="16" spans="1:14" ht="28.5" customHeight="1">
      <c r="A16" s="403">
        <v>2</v>
      </c>
      <c r="B16" s="404">
        <v>25.334299999999999</v>
      </c>
      <c r="C16" s="404">
        <v>2.5034000000000001</v>
      </c>
      <c r="D16" s="404">
        <v>25.346599999999999</v>
      </c>
      <c r="E16" s="403">
        <f>D16-B16</f>
        <v>1.2299999999999756E-2</v>
      </c>
      <c r="F16" s="405">
        <f>E16/C16</f>
        <v>4.9133178876726675E-3</v>
      </c>
      <c r="H16" s="389"/>
      <c r="I16" s="2152" t="s">
        <v>417</v>
      </c>
      <c r="J16" s="2153"/>
      <c r="K16" s="431" t="s">
        <v>418</v>
      </c>
      <c r="L16" s="432">
        <f>IFERROR(IF(F19&lt;0,"",F19),"")</f>
        <v>8.6380074844838339E-2</v>
      </c>
      <c r="M16" s="389"/>
    </row>
    <row r="17" spans="1:15" ht="28.5" hidden="1" customHeight="1">
      <c r="A17" s="403">
        <v>3</v>
      </c>
      <c r="B17" s="404"/>
      <c r="C17" s="404"/>
      <c r="D17" s="404"/>
      <c r="E17" s="403">
        <f>D17-B17</f>
        <v>0</v>
      </c>
      <c r="F17" s="405"/>
      <c r="H17" s="389"/>
      <c r="I17" s="2154" t="s">
        <v>419</v>
      </c>
      <c r="J17" s="2155"/>
      <c r="K17" s="433" t="s">
        <v>416</v>
      </c>
      <c r="L17" s="434" t="str">
        <f>IFERROR(IF(F11&lt;0,"",F11),"")</f>
        <v/>
      </c>
      <c r="M17" s="389"/>
    </row>
    <row r="18" spans="1:15" ht="28.5" hidden="1" customHeight="1">
      <c r="A18" s="435"/>
      <c r="B18" s="435"/>
      <c r="C18" s="435"/>
      <c r="D18" s="435"/>
      <c r="E18" s="435"/>
      <c r="F18" s="436">
        <f>AVERAGE(F15:F17)/0.8095</f>
        <v>6.2530715181216053E-3</v>
      </c>
      <c r="H18" s="389"/>
      <c r="I18" s="2154" t="s">
        <v>420</v>
      </c>
      <c r="J18" s="2155"/>
      <c r="K18" s="433" t="s">
        <v>418</v>
      </c>
      <c r="L18" s="434" t="str">
        <f>IFERROR(IF(F26&lt;0,"",F26),"")</f>
        <v/>
      </c>
      <c r="M18" s="389"/>
    </row>
    <row r="19" spans="1:15" ht="28.5" customHeight="1">
      <c r="A19" s="409"/>
      <c r="B19" s="437"/>
      <c r="C19" s="437"/>
      <c r="D19" s="437"/>
      <c r="E19" s="409"/>
      <c r="F19" s="410">
        <f>F18/(F6-F18)</f>
        <v>8.6380074844838339E-2</v>
      </c>
      <c r="H19" s="389"/>
      <c r="I19" s="2150" t="s">
        <v>421</v>
      </c>
      <c r="J19" s="2151"/>
      <c r="K19" s="438" t="s">
        <v>422</v>
      </c>
      <c r="L19" s="439">
        <f>IFERROR(M6,"")</f>
        <v>6.8477270845408625E-2</v>
      </c>
      <c r="M19" s="389"/>
    </row>
    <row r="20" spans="1:15" ht="28.5" customHeight="1">
      <c r="A20" s="440"/>
      <c r="B20" s="441" t="s">
        <v>423</v>
      </c>
      <c r="C20" s="442"/>
      <c r="D20" s="442"/>
      <c r="E20" s="440"/>
      <c r="F20" s="440"/>
      <c r="I20" s="2150" t="s">
        <v>424</v>
      </c>
      <c r="J20" s="2151"/>
      <c r="K20" s="438" t="s">
        <v>425</v>
      </c>
      <c r="L20" s="439">
        <f>IFERROR(N11,"")</f>
        <v>8.1368316174028482E-3</v>
      </c>
    </row>
    <row r="21" spans="1:15" ht="36.75" customHeight="1">
      <c r="A21" s="420" t="s">
        <v>405</v>
      </c>
      <c r="B21" s="421" t="s">
        <v>406</v>
      </c>
      <c r="C21" s="421" t="s">
        <v>414</v>
      </c>
      <c r="D21" s="443" t="s">
        <v>408</v>
      </c>
      <c r="E21" s="421" t="s">
        <v>409</v>
      </c>
      <c r="F21" s="321" t="s">
        <v>3</v>
      </c>
    </row>
    <row r="22" spans="1:15" ht="24" customHeight="1">
      <c r="A22" s="422">
        <v>1</v>
      </c>
      <c r="B22" s="423"/>
      <c r="C22" s="423"/>
      <c r="D22" s="423"/>
      <c r="E22" s="422">
        <f>D22-B22</f>
        <v>0</v>
      </c>
      <c r="F22" s="424" t="e">
        <f>E22/C22</f>
        <v>#DIV/0!</v>
      </c>
    </row>
    <row r="23" spans="1:15" ht="24" customHeight="1">
      <c r="A23" s="422">
        <v>2</v>
      </c>
      <c r="B23" s="423"/>
      <c r="C23" s="423"/>
      <c r="D23" s="423"/>
      <c r="E23" s="422">
        <f>D23-B23</f>
        <v>0</v>
      </c>
      <c r="F23" s="424" t="e">
        <f>E23/C23</f>
        <v>#DIV/0!</v>
      </c>
    </row>
    <row r="24" spans="1:15" ht="24" customHeight="1">
      <c r="A24" s="422">
        <v>3</v>
      </c>
      <c r="B24" s="423"/>
      <c r="C24" s="423"/>
      <c r="D24" s="423"/>
      <c r="E24" s="422">
        <f>D24-B24</f>
        <v>0</v>
      </c>
      <c r="F24" s="424"/>
    </row>
    <row r="25" spans="1:15" ht="26.25" customHeight="1">
      <c r="A25" s="444"/>
      <c r="B25" s="444"/>
      <c r="C25" s="444"/>
      <c r="D25" s="444"/>
      <c r="E25" s="444"/>
      <c r="F25" s="445" t="e">
        <f>AVERAGE(F22:F24)/0.8095</f>
        <v>#DIV/0!</v>
      </c>
    </row>
    <row r="26" spans="1:15" ht="28.5" customHeight="1">
      <c r="A26" s="425"/>
      <c r="B26" s="425"/>
      <c r="C26" s="425"/>
      <c r="D26" s="425"/>
      <c r="E26" s="425"/>
      <c r="F26" s="426" t="e">
        <f>F25/(F11-F25)</f>
        <v>#DIV/0!</v>
      </c>
      <c r="O26" s="425"/>
    </row>
    <row r="27" spans="1:15" ht="28.5" customHeight="1">
      <c r="A27" s="446"/>
    </row>
    <row r="31" spans="1:15" ht="28.5" customHeight="1">
      <c r="G31" s="440"/>
    </row>
    <row r="32" spans="1:15" ht="28.5" customHeight="1">
      <c r="G32" s="440"/>
    </row>
    <row r="33" spans="7:7" ht="28.5" customHeight="1">
      <c r="G33" s="440"/>
    </row>
  </sheetData>
  <sheetProtection sheet="1" objects="1" scenarios="1" formatCells="0" formatColumns="0" formatRows="0" insertColumns="0" insertRows="0" insertHyperlinks="0" deleteColumns="0" deleteRows="0" selectLockedCells="1" sort="0" autoFilter="0" pivotTables="0"/>
  <mergeCells count="6">
    <mergeCell ref="I20:J20"/>
    <mergeCell ref="I15:J15"/>
    <mergeCell ref="I16:J16"/>
    <mergeCell ref="I17:J17"/>
    <mergeCell ref="I18:J18"/>
    <mergeCell ref="I19:J19"/>
  </mergeCells>
  <phoneticPr fontId="6" type="noConversion"/>
  <pageMargins left="0.7" right="0.7" top="0.75" bottom="0.75" header="0.3" footer="0.3"/>
  <pageSetup paperSize="9" scale="85" orientation="landscape" verticalDpi="0" r:id="rId1"/>
  <drawing r:id="rId2"/>
</worksheet>
</file>

<file path=xl/worksheets/sheet26.xml><?xml version="1.0" encoding="utf-8"?>
<worksheet xmlns="http://schemas.openxmlformats.org/spreadsheetml/2006/main" xmlns:r="http://schemas.openxmlformats.org/officeDocument/2006/relationships">
  <sheetPr codeName="Sheet19">
    <tabColor rgb="FF7030A0"/>
  </sheetPr>
  <dimension ref="A1:H62"/>
  <sheetViews>
    <sheetView topLeftCell="A5" workbookViewId="0">
      <selection activeCell="D25" sqref="D25"/>
    </sheetView>
  </sheetViews>
  <sheetFormatPr defaultRowHeight="15" customHeight="1"/>
  <cols>
    <col min="1" max="1" width="31.875" style="1" customWidth="1"/>
    <col min="2" max="2" width="3.625" style="1" customWidth="1"/>
    <col min="3" max="3" width="6.25" style="1273" customWidth="1"/>
    <col min="4" max="8" width="6.25" style="1" customWidth="1"/>
    <col min="9" max="16384" width="9" style="1268"/>
  </cols>
  <sheetData>
    <row r="1" spans="1:8" ht="18" customHeight="1">
      <c r="A1" s="1261" t="s">
        <v>426</v>
      </c>
      <c r="B1" s="1261"/>
      <c r="C1" s="1266" t="s">
        <v>427</v>
      </c>
      <c r="D1" s="1267" t="s">
        <v>428</v>
      </c>
      <c r="E1" s="1267" t="s">
        <v>429</v>
      </c>
      <c r="F1" s="1267" t="s">
        <v>430</v>
      </c>
      <c r="G1" s="1267" t="s">
        <v>431</v>
      </c>
      <c r="H1" s="1267" t="s">
        <v>432</v>
      </c>
    </row>
    <row r="2" spans="1:8" ht="15" customHeight="1">
      <c r="A2" s="2157" t="s">
        <v>1124</v>
      </c>
      <c r="B2" s="2158"/>
      <c r="C2" s="447"/>
      <c r="D2" s="447"/>
      <c r="E2" s="447"/>
      <c r="F2" s="447"/>
      <c r="G2" s="447"/>
      <c r="H2" s="447"/>
    </row>
    <row r="3" spans="1:8" ht="15" hidden="1" customHeight="1">
      <c r="A3" s="2157" t="s">
        <v>433</v>
      </c>
      <c r="B3" s="2158"/>
      <c r="C3" s="448"/>
      <c r="D3" s="448"/>
      <c r="E3" s="448"/>
      <c r="F3" s="448"/>
      <c r="G3" s="448"/>
      <c r="H3" s="448"/>
    </row>
    <row r="4" spans="1:8" ht="15" customHeight="1">
      <c r="A4" s="449" t="s">
        <v>434</v>
      </c>
      <c r="B4" s="2159">
        <v>3</v>
      </c>
      <c r="C4" s="448"/>
      <c r="D4" s="448"/>
      <c r="E4" s="448"/>
      <c r="F4" s="448"/>
      <c r="G4" s="448"/>
      <c r="H4" s="448"/>
    </row>
    <row r="5" spans="1:8" ht="15" customHeight="1">
      <c r="A5" s="450" t="s">
        <v>435</v>
      </c>
      <c r="B5" s="2160"/>
      <c r="C5" s="448"/>
      <c r="D5" s="448"/>
      <c r="E5" s="448"/>
      <c r="F5" s="448"/>
      <c r="G5" s="448"/>
      <c r="H5" s="448"/>
    </row>
    <row r="6" spans="1:8" ht="15" customHeight="1">
      <c r="A6" s="451" t="s">
        <v>436</v>
      </c>
      <c r="B6" s="2161"/>
      <c r="C6" s="448"/>
      <c r="D6" s="448"/>
      <c r="E6" s="448"/>
      <c r="F6" s="448"/>
      <c r="G6" s="448"/>
      <c r="H6" s="448"/>
    </row>
    <row r="7" spans="1:8" ht="15" customHeight="1">
      <c r="A7" s="452" t="s">
        <v>434</v>
      </c>
      <c r="B7" s="2159">
        <v>4</v>
      </c>
      <c r="C7" s="448"/>
      <c r="D7" s="448"/>
      <c r="E7" s="448"/>
      <c r="F7" s="448"/>
      <c r="G7" s="448"/>
      <c r="H7" s="448"/>
    </row>
    <row r="8" spans="1:8" ht="15" customHeight="1">
      <c r="A8" s="453" t="s">
        <v>435</v>
      </c>
      <c r="B8" s="2160"/>
      <c r="C8" s="448"/>
      <c r="D8" s="448"/>
      <c r="E8" s="448"/>
      <c r="F8" s="448"/>
      <c r="G8" s="448"/>
      <c r="H8" s="448"/>
    </row>
    <row r="9" spans="1:8" ht="15" customHeight="1">
      <c r="A9" s="454" t="s">
        <v>436</v>
      </c>
      <c r="B9" s="2161"/>
      <c r="C9" s="448"/>
      <c r="D9" s="448"/>
      <c r="E9" s="448"/>
      <c r="F9" s="448"/>
      <c r="G9" s="448"/>
      <c r="H9" s="448"/>
    </row>
    <row r="10" spans="1:8" ht="15" customHeight="1">
      <c r="A10" s="2162" t="s">
        <v>437</v>
      </c>
      <c r="B10" s="2163"/>
      <c r="C10" s="448"/>
      <c r="D10" s="448"/>
      <c r="E10" s="448"/>
      <c r="F10" s="448"/>
      <c r="G10" s="448"/>
      <c r="H10" s="448"/>
    </row>
    <row r="11" spans="1:8" ht="15" customHeight="1">
      <c r="A11" s="2164" t="s">
        <v>1125</v>
      </c>
      <c r="B11" s="2165"/>
      <c r="C11" s="448"/>
      <c r="D11" s="448"/>
      <c r="E11" s="448"/>
      <c r="F11" s="448"/>
      <c r="G11" s="448"/>
      <c r="H11" s="448"/>
    </row>
    <row r="12" spans="1:8" ht="15" customHeight="1">
      <c r="A12" s="2166" t="s">
        <v>438</v>
      </c>
      <c r="B12" s="2166"/>
      <c r="C12" s="455">
        <f>B4</f>
        <v>3</v>
      </c>
      <c r="D12" s="455">
        <f>B4</f>
        <v>3</v>
      </c>
      <c r="E12" s="455">
        <f>B4</f>
        <v>3</v>
      </c>
      <c r="F12" s="456">
        <f>B4</f>
        <v>3</v>
      </c>
      <c r="G12" s="456">
        <f>B4</f>
        <v>3</v>
      </c>
      <c r="H12" s="456">
        <f>B4</f>
        <v>3</v>
      </c>
    </row>
    <row r="13" spans="1:8" ht="15" customHeight="1">
      <c r="A13" s="2166" t="s">
        <v>438</v>
      </c>
      <c r="B13" s="2166"/>
      <c r="C13" s="455">
        <f>B7</f>
        <v>4</v>
      </c>
      <c r="D13" s="455">
        <f>B7</f>
        <v>4</v>
      </c>
      <c r="E13" s="455">
        <f>B7</f>
        <v>4</v>
      </c>
      <c r="F13" s="456">
        <f>B7</f>
        <v>4</v>
      </c>
      <c r="G13" s="456">
        <f>B7</f>
        <v>4</v>
      </c>
      <c r="H13" s="456">
        <f>B7</f>
        <v>4</v>
      </c>
    </row>
    <row r="14" spans="1:8" ht="15" customHeight="1">
      <c r="A14" s="457"/>
      <c r="B14" s="457"/>
      <c r="C14" s="458"/>
      <c r="D14" s="459"/>
      <c r="E14" s="459"/>
      <c r="F14" s="459"/>
      <c r="G14" s="459"/>
      <c r="H14" s="459"/>
    </row>
    <row r="15" spans="1:8" ht="21" customHeight="1">
      <c r="A15" s="1262" t="s">
        <v>1126</v>
      </c>
      <c r="B15" s="1262"/>
      <c r="C15" s="1267" t="s">
        <v>427</v>
      </c>
      <c r="D15" s="1267" t="s">
        <v>428</v>
      </c>
      <c r="E15" s="1267" t="s">
        <v>429</v>
      </c>
      <c r="F15" s="1267" t="s">
        <v>430</v>
      </c>
      <c r="G15" s="1267" t="s">
        <v>431</v>
      </c>
      <c r="H15" s="1267" t="s">
        <v>432</v>
      </c>
    </row>
    <row r="16" spans="1:8" ht="15" customHeight="1">
      <c r="A16" s="2157" t="s">
        <v>1127</v>
      </c>
      <c r="B16" s="2158"/>
      <c r="C16" s="3">
        <v>3.9</v>
      </c>
      <c r="D16" s="460">
        <v>4.8</v>
      </c>
      <c r="E16" s="448"/>
      <c r="F16" s="448"/>
      <c r="G16" s="448"/>
      <c r="H16" s="448"/>
    </row>
    <row r="17" spans="1:8" ht="15" customHeight="1">
      <c r="A17" s="2157" t="s">
        <v>1124</v>
      </c>
      <c r="B17" s="2158"/>
      <c r="C17" s="3">
        <v>3.6</v>
      </c>
      <c r="D17" s="3">
        <v>3.1</v>
      </c>
      <c r="E17" s="3"/>
      <c r="F17" s="3"/>
      <c r="G17" s="3"/>
      <c r="H17" s="3"/>
    </row>
    <row r="18" spans="1:8" ht="15" customHeight="1">
      <c r="A18" s="2156" t="s">
        <v>439</v>
      </c>
      <c r="B18" s="2156"/>
      <c r="C18" s="461">
        <v>5.6</v>
      </c>
      <c r="D18" s="1237">
        <v>5.4</v>
      </c>
      <c r="E18" s="448"/>
      <c r="F18" s="448"/>
      <c r="G18" s="448"/>
      <c r="H18" s="448"/>
    </row>
    <row r="19" spans="1:8" ht="15" customHeight="1">
      <c r="A19" s="2156" t="s">
        <v>440</v>
      </c>
      <c r="B19" s="2156"/>
      <c r="C19" s="461">
        <v>6.8</v>
      </c>
      <c r="D19" s="1237">
        <v>5.8</v>
      </c>
      <c r="E19" s="448"/>
      <c r="F19" s="448"/>
      <c r="G19" s="448"/>
      <c r="H19" s="448"/>
    </row>
    <row r="20" spans="1:8" ht="15" customHeight="1">
      <c r="A20" s="2164" t="s">
        <v>441</v>
      </c>
      <c r="B20" s="2165"/>
      <c r="C20" s="3">
        <v>0.14000000000000001</v>
      </c>
      <c r="D20" s="1237">
        <v>0.4</v>
      </c>
      <c r="E20" s="448"/>
      <c r="F20" s="448"/>
      <c r="G20" s="448"/>
      <c r="H20" s="448"/>
    </row>
    <row r="21" spans="1:8" ht="15" customHeight="1">
      <c r="A21" s="2162" t="s">
        <v>437</v>
      </c>
      <c r="B21" s="2163"/>
      <c r="C21" s="3">
        <v>0.95</v>
      </c>
      <c r="D21" s="461">
        <v>0.9</v>
      </c>
      <c r="E21" s="461"/>
      <c r="F21" s="461"/>
      <c r="G21" s="461"/>
      <c r="H21" s="461"/>
    </row>
    <row r="22" spans="1:8" ht="15" customHeight="1">
      <c r="A22" s="2164" t="s">
        <v>1125</v>
      </c>
      <c r="B22" s="2165"/>
      <c r="C22" s="461">
        <v>9</v>
      </c>
      <c r="D22" s="1237">
        <v>9</v>
      </c>
      <c r="E22" s="448"/>
      <c r="F22" s="448"/>
      <c r="G22" s="448"/>
      <c r="H22" s="448"/>
    </row>
    <row r="24" spans="1:8" ht="15" customHeight="1">
      <c r="A24" s="1263" t="s">
        <v>1128</v>
      </c>
      <c r="B24" s="1264"/>
      <c r="C24" s="1266" t="s">
        <v>427</v>
      </c>
      <c r="D24" s="1267" t="s">
        <v>428</v>
      </c>
      <c r="E24" s="1267" t="s">
        <v>429</v>
      </c>
      <c r="F24" s="1267" t="s">
        <v>430</v>
      </c>
      <c r="G24" s="1267" t="s">
        <v>431</v>
      </c>
      <c r="H24" s="1267" t="s">
        <v>432</v>
      </c>
    </row>
    <row r="25" spans="1:8" ht="15" customHeight="1">
      <c r="A25" s="2157" t="s">
        <v>1127</v>
      </c>
      <c r="B25" s="2158"/>
      <c r="C25" s="460"/>
      <c r="D25" s="460"/>
      <c r="E25" s="460"/>
      <c r="F25" s="460"/>
      <c r="G25" s="460"/>
      <c r="H25" s="460"/>
    </row>
    <row r="26" spans="1:8" ht="16.5" customHeight="1">
      <c r="A26" s="2157" t="s">
        <v>1124</v>
      </c>
      <c r="B26" s="2158"/>
      <c r="C26" s="460"/>
      <c r="D26" s="460"/>
      <c r="E26" s="460"/>
      <c r="F26" s="460"/>
      <c r="G26" s="460"/>
      <c r="H26" s="460"/>
    </row>
    <row r="27" spans="1:8" ht="15" customHeight="1">
      <c r="A27" s="452" t="s">
        <v>434</v>
      </c>
      <c r="B27" s="2159"/>
      <c r="C27" s="460"/>
      <c r="D27" s="3"/>
      <c r="E27" s="3"/>
      <c r="F27" s="448"/>
      <c r="G27" s="3"/>
      <c r="H27" s="448"/>
    </row>
    <row r="28" spans="1:8" ht="15" customHeight="1">
      <c r="A28" s="453" t="s">
        <v>435</v>
      </c>
      <c r="B28" s="2160"/>
      <c r="C28" s="460"/>
      <c r="D28" s="3"/>
      <c r="E28" s="3"/>
      <c r="F28" s="448"/>
      <c r="G28" s="3"/>
      <c r="H28" s="448"/>
    </row>
    <row r="29" spans="1:8" ht="15" customHeight="1">
      <c r="A29" s="454" t="s">
        <v>436</v>
      </c>
      <c r="B29" s="2161"/>
      <c r="C29" s="460"/>
      <c r="D29" s="3"/>
      <c r="E29" s="3"/>
      <c r="F29" s="448"/>
      <c r="G29" s="3"/>
      <c r="H29" s="448"/>
    </row>
    <row r="30" spans="1:8" ht="15" hidden="1" customHeight="1">
      <c r="A30" s="452" t="s">
        <v>434</v>
      </c>
      <c r="B30" s="2159"/>
      <c r="C30" s="460"/>
      <c r="D30" s="1237"/>
      <c r="E30" s="448"/>
      <c r="F30" s="448"/>
      <c r="G30" s="448"/>
      <c r="H30" s="448"/>
    </row>
    <row r="31" spans="1:8" ht="15" hidden="1" customHeight="1">
      <c r="A31" s="453" t="s">
        <v>435</v>
      </c>
      <c r="B31" s="2160"/>
      <c r="C31" s="460"/>
      <c r="D31" s="1237"/>
      <c r="E31" s="448"/>
      <c r="F31" s="448"/>
      <c r="G31" s="448"/>
      <c r="H31" s="448"/>
    </row>
    <row r="32" spans="1:8" ht="15" hidden="1" customHeight="1">
      <c r="A32" s="454" t="s">
        <v>436</v>
      </c>
      <c r="B32" s="2161"/>
      <c r="C32" s="460"/>
      <c r="D32" s="1237"/>
      <c r="E32" s="448"/>
      <c r="F32" s="448"/>
      <c r="G32" s="448"/>
      <c r="H32" s="448"/>
    </row>
    <row r="33" spans="1:8" ht="15.75" customHeight="1">
      <c r="A33" s="2162" t="s">
        <v>437</v>
      </c>
      <c r="B33" s="2163"/>
      <c r="C33" s="460"/>
      <c r="D33" s="461"/>
      <c r="E33" s="461"/>
      <c r="F33" s="461"/>
      <c r="G33" s="461"/>
      <c r="H33" s="461"/>
    </row>
    <row r="34" spans="1:8" ht="15" customHeight="1">
      <c r="A34" s="2164" t="s">
        <v>1125</v>
      </c>
      <c r="B34" s="2165"/>
      <c r="C34" s="460"/>
      <c r="D34" s="1237"/>
      <c r="E34" s="448"/>
      <c r="F34" s="448"/>
      <c r="G34" s="448"/>
      <c r="H34" s="448"/>
    </row>
    <row r="35" spans="1:8" ht="15" customHeight="1">
      <c r="A35" s="2166" t="s">
        <v>438</v>
      </c>
      <c r="B35" s="2166"/>
      <c r="C35" s="455">
        <f>B27</f>
        <v>0</v>
      </c>
      <c r="D35" s="455">
        <f>B27</f>
        <v>0</v>
      </c>
      <c r="E35" s="455">
        <f>B27</f>
        <v>0</v>
      </c>
      <c r="F35" s="456">
        <f>B27</f>
        <v>0</v>
      </c>
      <c r="G35" s="456">
        <f>B27</f>
        <v>0</v>
      </c>
      <c r="H35" s="456">
        <f>B27</f>
        <v>0</v>
      </c>
    </row>
    <row r="36" spans="1:8" ht="15" customHeight="1">
      <c r="A36" s="2166" t="s">
        <v>438</v>
      </c>
      <c r="B36" s="2166"/>
      <c r="C36" s="455">
        <f>B30</f>
        <v>0</v>
      </c>
      <c r="D36" s="455">
        <f>B30</f>
        <v>0</v>
      </c>
      <c r="E36" s="455">
        <f>B30</f>
        <v>0</v>
      </c>
      <c r="F36" s="456">
        <f>B30</f>
        <v>0</v>
      </c>
      <c r="G36" s="456">
        <f>B30</f>
        <v>0</v>
      </c>
      <c r="H36" s="456">
        <f>B30</f>
        <v>0</v>
      </c>
    </row>
    <row r="38" spans="1:8" ht="15" customHeight="1">
      <c r="A38" s="1263" t="s">
        <v>444</v>
      </c>
      <c r="B38" s="1264"/>
      <c r="C38" s="1262" t="s">
        <v>445</v>
      </c>
      <c r="D38" s="1262" t="s">
        <v>446</v>
      </c>
      <c r="E38" s="1262"/>
      <c r="F38" s="1262"/>
      <c r="G38" s="1262"/>
      <c r="H38" s="1262"/>
    </row>
    <row r="39" spans="1:8" ht="15" customHeight="1">
      <c r="A39" s="2157" t="s">
        <v>447</v>
      </c>
      <c r="B39" s="2158"/>
      <c r="C39" s="460">
        <v>16.399999999999999</v>
      </c>
      <c r="D39" s="462">
        <v>16.3</v>
      </c>
      <c r="E39" s="1269"/>
      <c r="F39" s="463"/>
      <c r="G39" s="1269"/>
      <c r="H39" s="463"/>
    </row>
    <row r="40" spans="1:8" ht="15" customHeight="1">
      <c r="A40" s="2157" t="s">
        <v>448</v>
      </c>
      <c r="B40" s="2158"/>
      <c r="C40" s="460">
        <v>10.4</v>
      </c>
      <c r="D40" s="463">
        <v>10.3</v>
      </c>
      <c r="E40" s="1270"/>
      <c r="F40" s="463"/>
      <c r="G40" s="1270"/>
      <c r="H40" s="463"/>
    </row>
    <row r="41" spans="1:8" ht="15" customHeight="1">
      <c r="A41" s="2157" t="s">
        <v>449</v>
      </c>
      <c r="B41" s="2158"/>
      <c r="C41" s="460">
        <v>9</v>
      </c>
      <c r="D41" s="463">
        <v>8.9</v>
      </c>
      <c r="E41" s="1270"/>
      <c r="F41" s="463"/>
      <c r="G41" s="1270"/>
      <c r="H41" s="463"/>
    </row>
    <row r="42" spans="1:8" ht="15" customHeight="1">
      <c r="A42" s="2157" t="s">
        <v>450</v>
      </c>
      <c r="B42" s="2158"/>
      <c r="C42" s="460"/>
      <c r="D42" s="463"/>
      <c r="E42" s="1270"/>
      <c r="F42" s="463"/>
      <c r="G42" s="1270"/>
      <c r="H42" s="463"/>
    </row>
    <row r="43" spans="1:8" ht="15" customHeight="1">
      <c r="A43" s="2157" t="s">
        <v>451</v>
      </c>
      <c r="B43" s="2158"/>
      <c r="C43" s="460">
        <v>0.48</v>
      </c>
      <c r="D43" s="463">
        <v>0.5</v>
      </c>
      <c r="E43" s="1270"/>
      <c r="F43" s="463"/>
      <c r="G43" s="1270"/>
      <c r="H43" s="463"/>
    </row>
    <row r="44" spans="1:8" ht="15" customHeight="1">
      <c r="A44" s="2157" t="s">
        <v>452</v>
      </c>
      <c r="B44" s="2158"/>
      <c r="C44" s="460">
        <v>19.2</v>
      </c>
      <c r="D44" s="463">
        <v>20</v>
      </c>
      <c r="E44" s="1270"/>
      <c r="F44" s="463"/>
      <c r="G44" s="1270"/>
      <c r="H44" s="463"/>
    </row>
    <row r="45" spans="1:8" ht="15" customHeight="1">
      <c r="A45" s="2157" t="s">
        <v>453</v>
      </c>
      <c r="B45" s="2158"/>
      <c r="C45" s="460">
        <v>8.3000000000000007</v>
      </c>
      <c r="D45" s="463">
        <v>8</v>
      </c>
      <c r="E45" s="1270"/>
      <c r="F45" s="463"/>
      <c r="G45" s="1270"/>
      <c r="H45" s="463"/>
    </row>
    <row r="46" spans="1:8" ht="15" customHeight="1">
      <c r="A46" s="2157" t="s">
        <v>454</v>
      </c>
      <c r="B46" s="2158"/>
      <c r="C46" s="460">
        <v>8</v>
      </c>
      <c r="D46" s="463">
        <v>7.8</v>
      </c>
      <c r="E46" s="1270"/>
      <c r="F46" s="463"/>
      <c r="G46" s="1270"/>
      <c r="H46" s="463"/>
    </row>
    <row r="47" spans="1:8" ht="15" customHeight="1">
      <c r="A47" s="2157" t="s">
        <v>455</v>
      </c>
      <c r="B47" s="2158"/>
      <c r="C47" s="460">
        <v>5.5</v>
      </c>
      <c r="D47" s="448">
        <v>5.5</v>
      </c>
      <c r="E47" s="448"/>
      <c r="F47" s="448"/>
      <c r="G47" s="448"/>
      <c r="H47" s="448"/>
    </row>
    <row r="48" spans="1:8" ht="15" customHeight="1">
      <c r="A48" s="2157" t="s">
        <v>456</v>
      </c>
      <c r="B48" s="2158"/>
      <c r="C48" s="460"/>
      <c r="D48" s="448"/>
      <c r="E48" s="448"/>
      <c r="F48" s="448"/>
      <c r="G48" s="448"/>
      <c r="H48" s="448"/>
    </row>
    <row r="50" spans="1:8" ht="15" customHeight="1">
      <c r="A50" s="1263" t="s">
        <v>1129</v>
      </c>
      <c r="B50" s="1264"/>
      <c r="C50" s="1265">
        <v>0.33333333333333331</v>
      </c>
      <c r="D50" s="1265">
        <v>0.83333333333333337</v>
      </c>
      <c r="E50" s="1262"/>
      <c r="F50" s="1262"/>
      <c r="G50" s="1262"/>
      <c r="H50" s="1262"/>
    </row>
    <row r="51" spans="1:8" ht="15" customHeight="1">
      <c r="A51" s="2157" t="s">
        <v>1130</v>
      </c>
      <c r="B51" s="2158"/>
      <c r="C51" s="1605">
        <v>1.5</v>
      </c>
      <c r="D51" s="1605"/>
      <c r="E51" s="461"/>
      <c r="F51" s="461"/>
      <c r="G51" s="461"/>
      <c r="H51" s="461"/>
    </row>
    <row r="52" spans="1:8" ht="15" customHeight="1">
      <c r="A52" s="2157" t="s">
        <v>457</v>
      </c>
      <c r="B52" s="2158"/>
      <c r="C52" s="1605">
        <v>1.4</v>
      </c>
      <c r="D52" s="1605"/>
      <c r="E52" s="461"/>
      <c r="F52" s="461"/>
      <c r="G52" s="461"/>
      <c r="H52" s="461"/>
    </row>
    <row r="53" spans="1:8" ht="15" customHeight="1">
      <c r="A53" s="2157" t="s">
        <v>1131</v>
      </c>
      <c r="B53" s="2158"/>
      <c r="C53" s="1605">
        <v>3.6</v>
      </c>
      <c r="D53" s="1605"/>
      <c r="E53" s="461"/>
      <c r="F53" s="461"/>
      <c r="G53" s="461"/>
      <c r="H53" s="461"/>
    </row>
    <row r="54" spans="1:8" ht="15" customHeight="1">
      <c r="A54" s="2157" t="s">
        <v>458</v>
      </c>
      <c r="B54" s="2158"/>
      <c r="C54" s="1605">
        <v>11</v>
      </c>
      <c r="D54" s="1605"/>
      <c r="E54" s="461"/>
      <c r="F54" s="461"/>
      <c r="G54" s="461"/>
      <c r="H54" s="461"/>
    </row>
    <row r="55" spans="1:8" ht="15.75" customHeight="1">
      <c r="A55" s="2157" t="s">
        <v>459</v>
      </c>
      <c r="B55" s="2158"/>
      <c r="C55" s="1605">
        <v>6.8</v>
      </c>
      <c r="D55" s="1605"/>
      <c r="E55" s="461"/>
      <c r="F55" s="461"/>
      <c r="G55" s="461"/>
      <c r="H55" s="461"/>
    </row>
    <row r="56" spans="1:8" ht="15.75" customHeight="1">
      <c r="A56" s="2157" t="s">
        <v>460</v>
      </c>
      <c r="B56" s="2158"/>
      <c r="C56" s="1605">
        <v>12</v>
      </c>
      <c r="D56" s="1605"/>
      <c r="E56" s="461"/>
      <c r="F56" s="461"/>
      <c r="G56" s="461"/>
      <c r="H56" s="461"/>
    </row>
    <row r="57" spans="1:8" ht="15.75" customHeight="1">
      <c r="A57" s="2157" t="s">
        <v>461</v>
      </c>
      <c r="B57" s="2158"/>
      <c r="C57" s="1605">
        <v>8.5</v>
      </c>
      <c r="D57" s="1605"/>
      <c r="E57" s="461"/>
      <c r="F57" s="461"/>
      <c r="G57" s="461"/>
      <c r="H57" s="461"/>
    </row>
    <row r="58" spans="1:8" ht="15.75" customHeight="1">
      <c r="A58" s="2157" t="s">
        <v>462</v>
      </c>
      <c r="B58" s="2158"/>
      <c r="C58" s="1605">
        <v>11.7</v>
      </c>
      <c r="D58" s="1605"/>
      <c r="E58" s="461"/>
      <c r="F58" s="461"/>
      <c r="G58" s="461"/>
      <c r="H58" s="461"/>
    </row>
    <row r="59" spans="1:8" ht="15.75" customHeight="1">
      <c r="A59" s="2157" t="s">
        <v>463</v>
      </c>
      <c r="B59" s="2158"/>
      <c r="C59" s="1605">
        <v>8.1</v>
      </c>
      <c r="D59" s="1605"/>
      <c r="E59" s="461"/>
      <c r="F59" s="461"/>
      <c r="G59" s="461"/>
      <c r="H59" s="461"/>
    </row>
    <row r="60" spans="1:8" ht="15" customHeight="1">
      <c r="A60" s="2157" t="s">
        <v>1132</v>
      </c>
      <c r="B60" s="2158"/>
      <c r="C60" s="1605">
        <v>5.2</v>
      </c>
      <c r="D60" s="1605"/>
      <c r="E60" s="461"/>
      <c r="F60" s="461"/>
      <c r="G60" s="461"/>
      <c r="H60" s="461"/>
    </row>
    <row r="61" spans="1:8" ht="15" hidden="1" customHeight="1">
      <c r="A61" s="2" t="s">
        <v>1133</v>
      </c>
      <c r="B61" s="2"/>
      <c r="C61" s="1271"/>
      <c r="D61" s="1271"/>
      <c r="E61" s="461"/>
      <c r="F61" s="461"/>
      <c r="G61" s="461"/>
      <c r="H61" s="461"/>
    </row>
    <row r="62" spans="1:8" ht="15" customHeight="1">
      <c r="A62" s="849"/>
      <c r="B62" s="849"/>
      <c r="C62" s="1272"/>
      <c r="D62" s="1272"/>
      <c r="E62" s="62"/>
      <c r="F62" s="62"/>
      <c r="G62" s="62"/>
      <c r="H62" s="62"/>
    </row>
  </sheetData>
  <sheetProtection sheet="1" objects="1" scenarios="1" formatCells="0" formatColumns="0" formatRows="0" insertColumns="0" insertRows="0" insertHyperlinks="0" deleteColumns="0" deleteRows="0" selectLockedCells="1" sort="0" autoFilter="0" pivotTables="0"/>
  <mergeCells count="43">
    <mergeCell ref="A60:B60"/>
    <mergeCell ref="A54:B54"/>
    <mergeCell ref="A55:B55"/>
    <mergeCell ref="A56:B56"/>
    <mergeCell ref="A57:B57"/>
    <mergeCell ref="A58:B58"/>
    <mergeCell ref="A59:B59"/>
    <mergeCell ref="A53:B53"/>
    <mergeCell ref="A40:B40"/>
    <mergeCell ref="A41:B41"/>
    <mergeCell ref="A42:B42"/>
    <mergeCell ref="A43:B43"/>
    <mergeCell ref="A44:B44"/>
    <mergeCell ref="A45:B45"/>
    <mergeCell ref="A46:B46"/>
    <mergeCell ref="A47:B47"/>
    <mergeCell ref="A48:B48"/>
    <mergeCell ref="A51:B51"/>
    <mergeCell ref="A52:B52"/>
    <mergeCell ref="A39:B39"/>
    <mergeCell ref="A20:B20"/>
    <mergeCell ref="A21:B21"/>
    <mergeCell ref="A22:B22"/>
    <mergeCell ref="A25:B25"/>
    <mergeCell ref="A26:B26"/>
    <mergeCell ref="B27:B29"/>
    <mergeCell ref="B30:B32"/>
    <mergeCell ref="A33:B33"/>
    <mergeCell ref="A34:B34"/>
    <mergeCell ref="A35:B35"/>
    <mergeCell ref="A36:B36"/>
    <mergeCell ref="A19:B19"/>
    <mergeCell ref="A2:B2"/>
    <mergeCell ref="A3:B3"/>
    <mergeCell ref="B4:B6"/>
    <mergeCell ref="B7:B9"/>
    <mergeCell ref="A10:B10"/>
    <mergeCell ref="A11:B11"/>
    <mergeCell ref="A12:B12"/>
    <mergeCell ref="A13:B13"/>
    <mergeCell ref="A16:B16"/>
    <mergeCell ref="A17:B17"/>
    <mergeCell ref="A18:B18"/>
  </mergeCells>
  <phoneticPr fontId="6" type="noConversion"/>
  <pageMargins left="0.46" right="0.16" top="0.98" bottom="1" header="0.41" footer="0.5"/>
  <pageSetup paperSize="9" scale="88"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sheetPr codeName="Sheet20">
    <tabColor rgb="FFFFFF00"/>
  </sheetPr>
  <dimension ref="A1:AR115"/>
  <sheetViews>
    <sheetView topLeftCell="A23" zoomScale="55" zoomScaleNormal="55" workbookViewId="0">
      <selection activeCell="Q37" sqref="Q37"/>
    </sheetView>
  </sheetViews>
  <sheetFormatPr defaultRowHeight="15.75"/>
  <cols>
    <col min="1" max="1" width="20" style="308" customWidth="1"/>
    <col min="2" max="2" width="28.5" style="308" customWidth="1"/>
    <col min="3" max="3" width="7.625" style="308" customWidth="1"/>
    <col min="4" max="4" width="8.625" style="50" customWidth="1"/>
    <col min="5" max="5" width="20" style="308" customWidth="1"/>
    <col min="6" max="6" width="12" style="308" hidden="1" customWidth="1"/>
    <col min="7" max="7" width="8" style="308" hidden="1" customWidth="1"/>
    <col min="8" max="8" width="10" style="308" customWidth="1"/>
    <col min="9" max="9" width="6.375" style="308" hidden="1" customWidth="1"/>
    <col min="10" max="10" width="2.5" style="308" customWidth="1"/>
    <col min="11" max="11" width="7.875" style="308" customWidth="1"/>
    <col min="12" max="12" width="4.75" style="308" customWidth="1"/>
    <col min="13" max="13" width="6.25" style="308" hidden="1" customWidth="1"/>
    <col min="14" max="14" width="10.625" style="308" customWidth="1"/>
    <col min="15" max="15" width="11.25" style="308" hidden="1" customWidth="1"/>
    <col min="16" max="16" width="3" style="308" customWidth="1"/>
    <col min="17" max="17" width="8.75" style="308" customWidth="1"/>
    <col min="18" max="18" width="6.5" style="308" customWidth="1"/>
    <col min="19" max="19" width="9" style="308" hidden="1" customWidth="1"/>
    <col min="20" max="20" width="8.375" style="308" customWidth="1"/>
    <col min="21" max="21" width="9" style="308" hidden="1" customWidth="1"/>
    <col min="22" max="22" width="3.75" style="308" customWidth="1"/>
    <col min="23" max="23" width="8.125" style="308" customWidth="1"/>
    <col min="24" max="24" width="4" style="308" customWidth="1"/>
    <col min="25" max="25" width="9" style="308" hidden="1" customWidth="1"/>
    <col min="26" max="26" width="7.75" style="308" customWidth="1"/>
    <col min="27" max="27" width="9" style="308" hidden="1" customWidth="1"/>
    <col min="28" max="28" width="4" style="308" customWidth="1"/>
    <col min="29" max="29" width="7.875" style="308" customWidth="1"/>
    <col min="30" max="30" width="4.875" style="50" customWidth="1"/>
    <col min="31" max="31" width="9" style="308" hidden="1" customWidth="1"/>
    <col min="32" max="32" width="8.375" style="308" customWidth="1"/>
    <col min="33" max="33" width="9" style="308" hidden="1" customWidth="1"/>
    <col min="34" max="34" width="3.75" style="308" customWidth="1"/>
    <col min="35" max="35" width="8.125" style="308" customWidth="1"/>
    <col min="36" max="36" width="4" style="308" customWidth="1"/>
    <col min="37" max="37" width="9" style="308" hidden="1" customWidth="1"/>
    <col min="38" max="38" width="7.75" style="308" customWidth="1"/>
    <col min="39" max="39" width="9" style="308" hidden="1" customWidth="1"/>
    <col min="40" max="40" width="4" style="308" customWidth="1"/>
    <col min="41" max="41" width="7.875" style="308" customWidth="1"/>
    <col min="42" max="42" width="4.875" style="50" customWidth="1"/>
    <col min="43" max="43" width="15" style="308" hidden="1" customWidth="1"/>
    <col min="44" max="44" width="17" style="308" customWidth="1"/>
    <col min="45" max="16384" width="9" style="308"/>
  </cols>
  <sheetData>
    <row r="1" spans="1:44" ht="48.75" customHeight="1">
      <c r="A1" s="1458" t="s">
        <v>275</v>
      </c>
      <c r="B1" s="1459"/>
      <c r="C1" s="1459"/>
      <c r="D1" s="1459"/>
      <c r="E1" s="1459"/>
      <c r="F1" s="1459"/>
      <c r="G1" s="1459"/>
      <c r="H1" s="1459"/>
      <c r="I1" s="1459"/>
      <c r="J1" s="1459"/>
      <c r="K1" s="1459"/>
      <c r="L1" s="1459"/>
      <c r="M1" s="1459"/>
      <c r="N1" s="1459"/>
      <c r="O1" s="1459"/>
      <c r="P1" s="1459"/>
      <c r="Q1" s="1459"/>
      <c r="R1" s="1459"/>
      <c r="S1" s="1459"/>
      <c r="T1" s="1459"/>
      <c r="U1" s="1459"/>
      <c r="V1" s="1459"/>
      <c r="W1" s="1459"/>
      <c r="X1" s="1459"/>
      <c r="Y1" s="1459"/>
      <c r="Z1" s="1459"/>
      <c r="AA1" s="1459"/>
      <c r="AB1" s="1459"/>
      <c r="AC1" s="1459"/>
      <c r="AD1" s="1459"/>
      <c r="AF1" s="231"/>
      <c r="AH1" s="232" t="s">
        <v>191</v>
      </c>
      <c r="AI1" s="1460"/>
      <c r="AJ1" s="1460"/>
      <c r="AK1" s="1460"/>
      <c r="AL1" s="1460"/>
      <c r="AM1" s="1460"/>
      <c r="AN1" s="1460"/>
      <c r="AO1" s="1460"/>
      <c r="AP1" s="1460"/>
      <c r="AQ1" s="1460"/>
    </row>
    <row r="2" spans="1:44" ht="48.75" customHeight="1">
      <c r="A2" s="1458" t="s">
        <v>255</v>
      </c>
      <c r="B2" s="1459"/>
      <c r="C2" s="1459"/>
      <c r="D2" s="1459"/>
      <c r="E2" s="1459"/>
      <c r="F2" s="1459"/>
      <c r="G2" s="1459"/>
      <c r="H2" s="1459"/>
      <c r="I2" s="1459"/>
      <c r="J2" s="1459"/>
      <c r="K2" s="1459"/>
      <c r="L2" s="1459"/>
      <c r="M2" s="1459"/>
      <c r="N2" s="1459"/>
      <c r="O2" s="1459"/>
      <c r="P2" s="1459"/>
      <c r="Q2" s="1459"/>
      <c r="R2" s="1459"/>
      <c r="S2" s="1459"/>
      <c r="T2" s="1459"/>
      <c r="U2" s="1459"/>
      <c r="V2" s="1459"/>
      <c r="W2" s="1459"/>
      <c r="X2" s="1459"/>
      <c r="Y2" s="1459"/>
      <c r="Z2" s="1459"/>
      <c r="AA2" s="1459"/>
      <c r="AB2" s="1459"/>
      <c r="AC2" s="1459"/>
      <c r="AD2" s="1459"/>
      <c r="AF2" s="1461"/>
      <c r="AH2" s="232" t="s">
        <v>192</v>
      </c>
      <c r="AI2" s="1460"/>
      <c r="AJ2" s="1460"/>
      <c r="AK2" s="1460"/>
      <c r="AL2" s="1460"/>
      <c r="AM2" s="1460"/>
      <c r="AN2" s="1460"/>
      <c r="AO2" s="1460"/>
      <c r="AP2" s="1460"/>
      <c r="AQ2" s="1460"/>
    </row>
    <row r="3" spans="1:44" ht="41.25" customHeight="1">
      <c r="A3" s="100" t="s">
        <v>464</v>
      </c>
      <c r="B3" s="322"/>
      <c r="C3" s="101"/>
      <c r="D3" s="101"/>
      <c r="E3" s="313"/>
      <c r="F3" s="102" t="s">
        <v>75</v>
      </c>
      <c r="G3" s="103"/>
      <c r="H3" s="467" t="s">
        <v>75</v>
      </c>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R3" s="905" t="str">
        <f>MENU!$AC$9</f>
        <v>2022/12/03</v>
      </c>
    </row>
    <row r="4" spans="1:44" s="50" customFormat="1" ht="33" customHeight="1">
      <c r="A4" s="486"/>
      <c r="B4" s="2179" t="s">
        <v>79</v>
      </c>
      <c r="C4" s="2180"/>
      <c r="D4" s="2183" t="s">
        <v>137</v>
      </c>
      <c r="E4" s="2185" t="s">
        <v>67</v>
      </c>
      <c r="F4" s="1462"/>
      <c r="G4" s="105"/>
      <c r="H4" s="2178" t="s">
        <v>465</v>
      </c>
      <c r="I4" s="2178"/>
      <c r="J4" s="2178"/>
      <c r="K4" s="2178"/>
      <c r="L4" s="2178"/>
      <c r="M4" s="1463"/>
      <c r="N4" s="2187" t="s">
        <v>428</v>
      </c>
      <c r="O4" s="2187"/>
      <c r="P4" s="2187"/>
      <c r="Q4" s="2187"/>
      <c r="R4" s="2187"/>
      <c r="S4" s="1463"/>
      <c r="T4" s="2178" t="s">
        <v>429</v>
      </c>
      <c r="U4" s="2178"/>
      <c r="V4" s="2178"/>
      <c r="W4" s="2178"/>
      <c r="X4" s="2178"/>
      <c r="Y4" s="1463"/>
      <c r="Z4" s="2178" t="s">
        <v>430</v>
      </c>
      <c r="AA4" s="2178"/>
      <c r="AB4" s="2178"/>
      <c r="AC4" s="2178"/>
      <c r="AD4" s="2178"/>
      <c r="AE4" s="1463"/>
      <c r="AF4" s="2178" t="s">
        <v>431</v>
      </c>
      <c r="AG4" s="2178"/>
      <c r="AH4" s="2178"/>
      <c r="AI4" s="2178"/>
      <c r="AJ4" s="2178"/>
      <c r="AK4" s="1463"/>
      <c r="AL4" s="2178" t="s">
        <v>432</v>
      </c>
      <c r="AM4" s="2178"/>
      <c r="AN4" s="2178"/>
      <c r="AO4" s="2178"/>
      <c r="AP4" s="2178"/>
      <c r="AQ4" s="486"/>
    </row>
    <row r="5" spans="1:44" s="50" customFormat="1" ht="33" customHeight="1">
      <c r="A5" s="472" t="s">
        <v>276</v>
      </c>
      <c r="B5" s="2181"/>
      <c r="C5" s="2182"/>
      <c r="D5" s="2184"/>
      <c r="E5" s="2186"/>
      <c r="F5" s="1464" t="s">
        <v>466</v>
      </c>
      <c r="G5" s="21"/>
      <c r="H5" s="1433" t="s">
        <v>146</v>
      </c>
      <c r="I5" s="36" t="s">
        <v>1</v>
      </c>
      <c r="J5" s="332" t="s">
        <v>1</v>
      </c>
      <c r="K5" s="332"/>
      <c r="L5" s="333"/>
      <c r="M5" s="107"/>
      <c r="N5" s="1433" t="s">
        <v>146</v>
      </c>
      <c r="O5" s="36" t="s">
        <v>1</v>
      </c>
      <c r="P5" s="332" t="s">
        <v>1</v>
      </c>
      <c r="Q5" s="332"/>
      <c r="R5" s="333"/>
      <c r="S5" s="21"/>
      <c r="T5" s="1433" t="s">
        <v>146</v>
      </c>
      <c r="U5" s="36" t="s">
        <v>1</v>
      </c>
      <c r="V5" s="332" t="s">
        <v>1</v>
      </c>
      <c r="W5" s="332"/>
      <c r="X5" s="333"/>
      <c r="Y5" s="107"/>
      <c r="Z5" s="1433" t="s">
        <v>146</v>
      </c>
      <c r="AA5" s="36" t="s">
        <v>1</v>
      </c>
      <c r="AB5" s="332" t="s">
        <v>1</v>
      </c>
      <c r="AC5" s="332"/>
      <c r="AD5" s="333"/>
      <c r="AE5" s="107"/>
      <c r="AF5" s="1433" t="s">
        <v>146</v>
      </c>
      <c r="AG5" s="36" t="s">
        <v>1</v>
      </c>
      <c r="AH5" s="332" t="s">
        <v>1</v>
      </c>
      <c r="AI5" s="332"/>
      <c r="AJ5" s="333"/>
      <c r="AK5" s="107"/>
      <c r="AL5" s="1433" t="s">
        <v>146</v>
      </c>
      <c r="AM5" s="36" t="s">
        <v>1</v>
      </c>
      <c r="AN5" s="332" t="s">
        <v>1</v>
      </c>
      <c r="AO5" s="332"/>
      <c r="AP5" s="333"/>
      <c r="AQ5" s="472" t="s">
        <v>467</v>
      </c>
    </row>
    <row r="6" spans="1:44" ht="33.75" customHeight="1">
      <c r="A6" s="1439" t="s">
        <v>468</v>
      </c>
      <c r="B6" s="2080" t="s">
        <v>894</v>
      </c>
      <c r="C6" s="2082"/>
      <c r="D6" s="1210" t="s">
        <v>3</v>
      </c>
      <c r="E6" s="127" t="s">
        <v>470</v>
      </c>
      <c r="F6" s="1465">
        <v>12.5</v>
      </c>
      <c r="G6" s="1466">
        <f>R.HN!C2</f>
        <v>0</v>
      </c>
      <c r="H6" s="37">
        <f>(1*G6*36.5)/(1*10)</f>
        <v>0</v>
      </c>
      <c r="I6" s="37">
        <f>($F$6-H6)*748/32</f>
        <v>292.1875</v>
      </c>
      <c r="J6" s="45" t="s">
        <v>8</v>
      </c>
      <c r="K6" s="46">
        <f>IF(I6&lt;0,0,I6)</f>
        <v>292.1875</v>
      </c>
      <c r="L6" s="249" t="s">
        <v>10</v>
      </c>
      <c r="M6" s="285">
        <f>R.HN!D2</f>
        <v>0</v>
      </c>
      <c r="N6" s="37">
        <f>(1*M6*36.5)/(1*10)</f>
        <v>0</v>
      </c>
      <c r="O6" s="37">
        <f>($F$6-N6)*748/32</f>
        <v>292.1875</v>
      </c>
      <c r="P6" s="45" t="s">
        <v>8</v>
      </c>
      <c r="Q6" s="46">
        <f>IF(O6&lt;0,0,O6)</f>
        <v>292.1875</v>
      </c>
      <c r="R6" s="47" t="s">
        <v>10</v>
      </c>
      <c r="S6" s="110">
        <f>R.HN!E2</f>
        <v>0</v>
      </c>
      <c r="T6" s="37">
        <f>(1*S6*36.5)/(1*10)</f>
        <v>0</v>
      </c>
      <c r="U6" s="37">
        <f>($F$6-T6)*748/32</f>
        <v>292.1875</v>
      </c>
      <c r="V6" s="45" t="s">
        <v>8</v>
      </c>
      <c r="W6" s="46">
        <f>IF(U6&lt;0,0,U6)</f>
        <v>292.1875</v>
      </c>
      <c r="X6" s="47" t="s">
        <v>10</v>
      </c>
      <c r="Y6" s="110">
        <f>R.HN!F2</f>
        <v>0</v>
      </c>
      <c r="Z6" s="37">
        <f>(1*Y6*36.5)/(1*10)</f>
        <v>0</v>
      </c>
      <c r="AA6" s="37">
        <f>($F$6-Z6)*748/32</f>
        <v>292.1875</v>
      </c>
      <c r="AB6" s="45" t="s">
        <v>8</v>
      </c>
      <c r="AC6" s="46">
        <f>IF(AA6&lt;0,0,AA6)</f>
        <v>292.1875</v>
      </c>
      <c r="AD6" s="47" t="s">
        <v>10</v>
      </c>
      <c r="AE6" s="110">
        <f>R.HN!G2</f>
        <v>0</v>
      </c>
      <c r="AF6" s="37">
        <f>(1*AE6*36.5)/(1*10)</f>
        <v>0</v>
      </c>
      <c r="AG6" s="37">
        <f>($F$6-AF6)*748/32</f>
        <v>292.1875</v>
      </c>
      <c r="AH6" s="45" t="s">
        <v>8</v>
      </c>
      <c r="AI6" s="46">
        <f>IF(AG6&lt;0,0,AG6)</f>
        <v>292.1875</v>
      </c>
      <c r="AJ6" s="47" t="s">
        <v>10</v>
      </c>
      <c r="AK6" s="110">
        <f>R.HN!H2</f>
        <v>0</v>
      </c>
      <c r="AL6" s="37">
        <f>(1*AK6*36.5)/(1*10)</f>
        <v>0</v>
      </c>
      <c r="AM6" s="37">
        <f>($F$6-AL6)*748/32</f>
        <v>292.1875</v>
      </c>
      <c r="AN6" s="45" t="s">
        <v>8</v>
      </c>
      <c r="AO6" s="46">
        <f>IF(AM6&lt;0,0,AM6)</f>
        <v>292.1875</v>
      </c>
      <c r="AP6" s="47" t="s">
        <v>10</v>
      </c>
      <c r="AQ6" s="308" t="s">
        <v>471</v>
      </c>
    </row>
    <row r="7" spans="1:44" ht="33.75" customHeight="1">
      <c r="A7" s="1439" t="s">
        <v>472</v>
      </c>
      <c r="B7" s="2080" t="s">
        <v>895</v>
      </c>
      <c r="C7" s="2082"/>
      <c r="D7" s="1210" t="s">
        <v>3</v>
      </c>
      <c r="E7" s="127" t="s">
        <v>470</v>
      </c>
      <c r="F7" s="1465">
        <v>12.5</v>
      </c>
      <c r="G7" s="1466">
        <f>R.HN!C3</f>
        <v>0</v>
      </c>
      <c r="H7" s="37">
        <f>(1*G7*36.5)/(1*10)</f>
        <v>0</v>
      </c>
      <c r="I7" s="37">
        <f>($F$6-H7)*748/32</f>
        <v>292.1875</v>
      </c>
      <c r="J7" s="45" t="s">
        <v>8</v>
      </c>
      <c r="K7" s="46">
        <f>IF(I7&lt;0,0,I7)</f>
        <v>292.1875</v>
      </c>
      <c r="L7" s="249" t="s">
        <v>10</v>
      </c>
      <c r="M7" s="285">
        <f>R.HN!D3</f>
        <v>0</v>
      </c>
      <c r="N7" s="37">
        <f>(1*M7*36.5)/(1*10)</f>
        <v>0</v>
      </c>
      <c r="O7" s="37">
        <f>($F$6-N7)*748/32</f>
        <v>292.1875</v>
      </c>
      <c r="P7" s="45" t="s">
        <v>8</v>
      </c>
      <c r="Q7" s="46">
        <f>IF(O7&lt;0,0,O7)</f>
        <v>292.1875</v>
      </c>
      <c r="R7" s="47" t="s">
        <v>10</v>
      </c>
      <c r="S7" s="110">
        <f>R.HN!E3</f>
        <v>0</v>
      </c>
      <c r="T7" s="37">
        <f>(1*S7*36.5)/(1*10)</f>
        <v>0</v>
      </c>
      <c r="U7" s="37">
        <f>($F$6-T7)*748/32</f>
        <v>292.1875</v>
      </c>
      <c r="V7" s="45" t="s">
        <v>8</v>
      </c>
      <c r="W7" s="46">
        <f>IF(U7&lt;0,0,U7)</f>
        <v>292.1875</v>
      </c>
      <c r="X7" s="47" t="s">
        <v>10</v>
      </c>
      <c r="Y7" s="110">
        <f>R.HN!F3</f>
        <v>0</v>
      </c>
      <c r="Z7" s="37">
        <f>(1*Y7*36.5)/(1*10)</f>
        <v>0</v>
      </c>
      <c r="AA7" s="37">
        <f>($F$6-Z7)*748/32</f>
        <v>292.1875</v>
      </c>
      <c r="AB7" s="45" t="s">
        <v>8</v>
      </c>
      <c r="AC7" s="46">
        <f>IF(AA7&lt;0,0,AA7)</f>
        <v>292.1875</v>
      </c>
      <c r="AD7" s="47" t="s">
        <v>10</v>
      </c>
      <c r="AE7" s="110">
        <f>R.HN!G3</f>
        <v>0</v>
      </c>
      <c r="AF7" s="37">
        <f>(1*AE7*36.5)/(1*10)</f>
        <v>0</v>
      </c>
      <c r="AG7" s="37">
        <f>($F$6-AF7)*748/32</f>
        <v>292.1875</v>
      </c>
      <c r="AH7" s="45" t="s">
        <v>8</v>
      </c>
      <c r="AI7" s="46">
        <f>IF(AG7&lt;0,0,AG7)</f>
        <v>292.1875</v>
      </c>
      <c r="AJ7" s="47" t="s">
        <v>10</v>
      </c>
      <c r="AK7" s="110">
        <f>R.HN!H3</f>
        <v>0</v>
      </c>
      <c r="AL7" s="37">
        <f>(1*AK7*36.5)/(1*10)</f>
        <v>0</v>
      </c>
      <c r="AM7" s="37">
        <f>($F$6-AL7)*748/32</f>
        <v>292.1875</v>
      </c>
      <c r="AN7" s="45" t="s">
        <v>8</v>
      </c>
      <c r="AO7" s="46">
        <f>IF(AM7&lt;0,0,AM7)</f>
        <v>292.1875</v>
      </c>
      <c r="AP7" s="47" t="s">
        <v>10</v>
      </c>
      <c r="AQ7" s="308" t="s">
        <v>471</v>
      </c>
    </row>
    <row r="8" spans="1:44" ht="33.75" customHeight="1">
      <c r="A8" s="1439" t="s">
        <v>473</v>
      </c>
      <c r="B8" s="2167" t="s">
        <v>474</v>
      </c>
      <c r="C8" s="2170">
        <f>R.HN!B4</f>
        <v>3</v>
      </c>
      <c r="D8" s="2173" t="s">
        <v>475</v>
      </c>
      <c r="E8" s="127" t="s">
        <v>1162</v>
      </c>
      <c r="F8" s="1467">
        <v>50</v>
      </c>
      <c r="G8" s="1466">
        <f>R.HN!C4</f>
        <v>0</v>
      </c>
      <c r="H8" s="37">
        <f>G8*10</f>
        <v>0</v>
      </c>
      <c r="I8" s="37">
        <f>($F$8-H8)*2*694/1000</f>
        <v>69.400000000000006</v>
      </c>
      <c r="J8" s="45" t="s">
        <v>8</v>
      </c>
      <c r="K8" s="46">
        <f>IF(I8&lt;0,0,I8)</f>
        <v>69.400000000000006</v>
      </c>
      <c r="L8" s="249" t="s">
        <v>9</v>
      </c>
      <c r="M8" s="285">
        <f>R.HN!D4</f>
        <v>0</v>
      </c>
      <c r="N8" s="37">
        <f>M8*10</f>
        <v>0</v>
      </c>
      <c r="O8" s="37">
        <f>($F$8-N8)*2*694/1000</f>
        <v>69.400000000000006</v>
      </c>
      <c r="P8" s="45" t="s">
        <v>8</v>
      </c>
      <c r="Q8" s="46">
        <f>IF(O8&lt;0,0,O8)</f>
        <v>69.400000000000006</v>
      </c>
      <c r="R8" s="47" t="s">
        <v>9</v>
      </c>
      <c r="S8" s="110">
        <f>R.HN!E4</f>
        <v>0</v>
      </c>
      <c r="T8" s="37">
        <f>S8*10</f>
        <v>0</v>
      </c>
      <c r="U8" s="37">
        <f>($F$8-T8)*2*694/1000</f>
        <v>69.400000000000006</v>
      </c>
      <c r="V8" s="45" t="s">
        <v>8</v>
      </c>
      <c r="W8" s="46">
        <f>IF(U8&lt;0,0,U8)</f>
        <v>69.400000000000006</v>
      </c>
      <c r="X8" s="47" t="s">
        <v>9</v>
      </c>
      <c r="Y8" s="110">
        <f>R.HN!F4</f>
        <v>0</v>
      </c>
      <c r="Z8" s="37">
        <f>Y8*10</f>
        <v>0</v>
      </c>
      <c r="AA8" s="37">
        <f>($F$8-Z8)*2*694/1000</f>
        <v>69.400000000000006</v>
      </c>
      <c r="AB8" s="45" t="s">
        <v>8</v>
      </c>
      <c r="AC8" s="46">
        <f>IF(AA8&lt;0,0,AA8)</f>
        <v>69.400000000000006</v>
      </c>
      <c r="AD8" s="47" t="s">
        <v>9</v>
      </c>
      <c r="AE8" s="110">
        <f>R.HN!G4</f>
        <v>0</v>
      </c>
      <c r="AF8" s="37">
        <f>AE8*10</f>
        <v>0</v>
      </c>
      <c r="AG8" s="37">
        <f>($F$8-AF8)*2*694/1000</f>
        <v>69.400000000000006</v>
      </c>
      <c r="AH8" s="45" t="s">
        <v>8</v>
      </c>
      <c r="AI8" s="46">
        <f>IF(AG8&lt;0,0,AG8)</f>
        <v>69.400000000000006</v>
      </c>
      <c r="AJ8" s="47" t="s">
        <v>9</v>
      </c>
      <c r="AK8" s="110">
        <f>R.HN!H4</f>
        <v>0</v>
      </c>
      <c r="AL8" s="37">
        <f>AK8*10</f>
        <v>0</v>
      </c>
      <c r="AM8" s="37">
        <f>($F$8-AL8)*2*694/1000</f>
        <v>69.400000000000006</v>
      </c>
      <c r="AN8" s="45" t="s">
        <v>8</v>
      </c>
      <c r="AO8" s="46">
        <f>IF(AM8&lt;0,0,AM8)</f>
        <v>69.400000000000006</v>
      </c>
      <c r="AP8" s="47" t="s">
        <v>9</v>
      </c>
      <c r="AQ8" s="308" t="s">
        <v>471</v>
      </c>
    </row>
    <row r="9" spans="1:44" ht="33.75" customHeight="1">
      <c r="A9" s="1439" t="s">
        <v>476</v>
      </c>
      <c r="B9" s="2168"/>
      <c r="C9" s="2171"/>
      <c r="D9" s="2173"/>
      <c r="E9" s="127" t="s">
        <v>1163</v>
      </c>
      <c r="F9" s="1468">
        <v>6.5</v>
      </c>
      <c r="G9" s="1466">
        <f>R.HN!C5</f>
        <v>0</v>
      </c>
      <c r="H9" s="37">
        <f>IFERROR(H8/G9,0)</f>
        <v>0</v>
      </c>
      <c r="I9" s="37">
        <f>($F$9-H9)*694/1000</f>
        <v>4.5110000000000001</v>
      </c>
      <c r="J9" s="45"/>
      <c r="K9" s="46">
        <f>IF(I9&lt;0,0,I9)</f>
        <v>4.5110000000000001</v>
      </c>
      <c r="L9" s="249" t="s">
        <v>9</v>
      </c>
      <c r="M9" s="285">
        <f>R.HN!D5</f>
        <v>0</v>
      </c>
      <c r="N9" s="37">
        <f>IFERROR(N8/M9,0)</f>
        <v>0</v>
      </c>
      <c r="O9" s="37">
        <f>($F$9-N9)*694/1000</f>
        <v>4.5110000000000001</v>
      </c>
      <c r="P9" s="45"/>
      <c r="Q9" s="46">
        <f>IF(O9&lt;0,0,O9)</f>
        <v>4.5110000000000001</v>
      </c>
      <c r="R9" s="47" t="s">
        <v>9</v>
      </c>
      <c r="S9" s="110">
        <f>R.HN!E5</f>
        <v>0</v>
      </c>
      <c r="T9" s="37">
        <f>IFERROR(T8/S9,0)</f>
        <v>0</v>
      </c>
      <c r="U9" s="37">
        <f>($F$9-T9)*694/1000</f>
        <v>4.5110000000000001</v>
      </c>
      <c r="V9" s="45"/>
      <c r="W9" s="46">
        <f>IF(U9&lt;0,0,U9)</f>
        <v>4.5110000000000001</v>
      </c>
      <c r="X9" s="47" t="s">
        <v>9</v>
      </c>
      <c r="Y9" s="110">
        <f>R.HN!F5</f>
        <v>0</v>
      </c>
      <c r="Z9" s="37">
        <f>IFERROR(Z8/Y9,0)</f>
        <v>0</v>
      </c>
      <c r="AA9" s="37">
        <f>($F$9-Z9)*694/1000</f>
        <v>4.5110000000000001</v>
      </c>
      <c r="AB9" s="45"/>
      <c r="AC9" s="46">
        <f>IF(AA9&lt;0,0,AA9)</f>
        <v>4.5110000000000001</v>
      </c>
      <c r="AD9" s="47" t="s">
        <v>9</v>
      </c>
      <c r="AE9" s="110">
        <f>R.HN!G5</f>
        <v>0</v>
      </c>
      <c r="AF9" s="37">
        <f>IFERROR(AF8/AE9,0)</f>
        <v>0</v>
      </c>
      <c r="AG9" s="37">
        <f>($F$9-AF9)*694/1000</f>
        <v>4.5110000000000001</v>
      </c>
      <c r="AH9" s="45"/>
      <c r="AI9" s="46">
        <f>IF(AG9&lt;0,0,AG9)</f>
        <v>4.5110000000000001</v>
      </c>
      <c r="AJ9" s="47" t="s">
        <v>9</v>
      </c>
      <c r="AK9" s="110">
        <f>R.HN!H5</f>
        <v>0</v>
      </c>
      <c r="AL9" s="37">
        <f>IFERROR(AL8/AK9,0)</f>
        <v>0</v>
      </c>
      <c r="AM9" s="37">
        <f>($F$9-AL9)*694/1000</f>
        <v>4.5110000000000001</v>
      </c>
      <c r="AN9" s="45"/>
      <c r="AO9" s="46">
        <f>IF(AM9&lt;0,0,AM9)</f>
        <v>4.5110000000000001</v>
      </c>
      <c r="AP9" s="47" t="s">
        <v>9</v>
      </c>
      <c r="AQ9" s="308" t="s">
        <v>471</v>
      </c>
    </row>
    <row r="10" spans="1:44" ht="33.75" customHeight="1">
      <c r="A10" s="1439" t="s">
        <v>477</v>
      </c>
      <c r="B10" s="2169"/>
      <c r="C10" s="2172"/>
      <c r="D10" s="2173"/>
      <c r="E10" s="127" t="s">
        <v>1164</v>
      </c>
      <c r="F10" s="1465">
        <v>0.4</v>
      </c>
      <c r="G10" s="1466">
        <f>R.HN!C6</f>
        <v>0</v>
      </c>
      <c r="H10" s="1469">
        <f>G10</f>
        <v>0</v>
      </c>
      <c r="I10" s="37">
        <f>($F$10-H10)*5</f>
        <v>2</v>
      </c>
      <c r="J10" s="45"/>
      <c r="K10" s="48" t="s">
        <v>478</v>
      </c>
      <c r="L10" s="249" t="s">
        <v>9</v>
      </c>
      <c r="M10" s="285">
        <f>R.HN!D6</f>
        <v>0</v>
      </c>
      <c r="N10" s="1469">
        <f>M10</f>
        <v>0</v>
      </c>
      <c r="O10" s="37">
        <f>($F$10-N10)*5</f>
        <v>2</v>
      </c>
      <c r="P10" s="45"/>
      <c r="Q10" s="48" t="s">
        <v>478</v>
      </c>
      <c r="R10" s="47" t="s">
        <v>9</v>
      </c>
      <c r="S10" s="110">
        <f>R.HN!E6</f>
        <v>0</v>
      </c>
      <c r="T10" s="1469">
        <f>S10</f>
        <v>0</v>
      </c>
      <c r="U10" s="37">
        <f>($F$10-T10)*5</f>
        <v>2</v>
      </c>
      <c r="V10" s="45"/>
      <c r="W10" s="48" t="s">
        <v>478</v>
      </c>
      <c r="X10" s="47" t="s">
        <v>9</v>
      </c>
      <c r="Y10" s="110">
        <f>R.HN!F6</f>
        <v>0</v>
      </c>
      <c r="Z10" s="1469">
        <f>Y10</f>
        <v>0</v>
      </c>
      <c r="AA10" s="37">
        <f>($F$10-Z10)*5</f>
        <v>2</v>
      </c>
      <c r="AB10" s="45"/>
      <c r="AC10" s="48" t="s">
        <v>478</v>
      </c>
      <c r="AD10" s="47" t="s">
        <v>9</v>
      </c>
      <c r="AE10" s="110">
        <f>R.HN!G6</f>
        <v>0</v>
      </c>
      <c r="AF10" s="1469">
        <f>AE10</f>
        <v>0</v>
      </c>
      <c r="AG10" s="37">
        <f>($F$10-AF10)*5</f>
        <v>2</v>
      </c>
      <c r="AH10" s="45"/>
      <c r="AI10" s="48" t="s">
        <v>478</v>
      </c>
      <c r="AJ10" s="47" t="s">
        <v>9</v>
      </c>
      <c r="AK10" s="110">
        <f>R.HN!H6</f>
        <v>0</v>
      </c>
      <c r="AL10" s="1469">
        <f>AK10</f>
        <v>0</v>
      </c>
      <c r="AM10" s="37">
        <f>($F$10-AL10)*5</f>
        <v>2</v>
      </c>
      <c r="AN10" s="45"/>
      <c r="AO10" s="48" t="s">
        <v>478</v>
      </c>
      <c r="AP10" s="47" t="s">
        <v>9</v>
      </c>
      <c r="AQ10" s="308" t="s">
        <v>471</v>
      </c>
    </row>
    <row r="11" spans="1:44" ht="33.75" customHeight="1">
      <c r="A11" s="1439" t="s">
        <v>479</v>
      </c>
      <c r="B11" s="2167" t="s">
        <v>480</v>
      </c>
      <c r="C11" s="2170">
        <f>R.HN!B7</f>
        <v>4</v>
      </c>
      <c r="D11" s="2173" t="s">
        <v>475</v>
      </c>
      <c r="E11" s="127" t="s">
        <v>1162</v>
      </c>
      <c r="F11" s="1467">
        <v>50</v>
      </c>
      <c r="G11" s="1466">
        <f>R.HN!C7</f>
        <v>0</v>
      </c>
      <c r="H11" s="37">
        <f>G11*10</f>
        <v>0</v>
      </c>
      <c r="I11" s="37">
        <f>($F$8-H11)*2*694/1000</f>
        <v>69.400000000000006</v>
      </c>
      <c r="J11" s="45" t="s">
        <v>8</v>
      </c>
      <c r="K11" s="46">
        <f>IF(I11&lt;0,0,I11)</f>
        <v>69.400000000000006</v>
      </c>
      <c r="L11" s="249" t="s">
        <v>9</v>
      </c>
      <c r="M11" s="285">
        <f>R.HN!D7</f>
        <v>0</v>
      </c>
      <c r="N11" s="37">
        <f>M11*10</f>
        <v>0</v>
      </c>
      <c r="O11" s="37">
        <f>($F$8-N11)*2*694/1000</f>
        <v>69.400000000000006</v>
      </c>
      <c r="P11" s="45" t="s">
        <v>8</v>
      </c>
      <c r="Q11" s="46">
        <f>IF(O11&lt;0,0,O11)</f>
        <v>69.400000000000006</v>
      </c>
      <c r="R11" s="47" t="s">
        <v>9</v>
      </c>
      <c r="S11" s="110">
        <f>R.HN!E7</f>
        <v>0</v>
      </c>
      <c r="T11" s="37">
        <f>S11*10</f>
        <v>0</v>
      </c>
      <c r="U11" s="37">
        <f>($F$8-T11)*2*694/1000</f>
        <v>69.400000000000006</v>
      </c>
      <c r="V11" s="45" t="s">
        <v>8</v>
      </c>
      <c r="W11" s="46">
        <f>IF(U11&lt;0,0,U11)</f>
        <v>69.400000000000006</v>
      </c>
      <c r="X11" s="47" t="s">
        <v>9</v>
      </c>
      <c r="Y11" s="110">
        <f>R.HN!F7</f>
        <v>0</v>
      </c>
      <c r="Z11" s="37">
        <f>Y11*10</f>
        <v>0</v>
      </c>
      <c r="AA11" s="37">
        <f>($F$8-Z11)*2*694/1000</f>
        <v>69.400000000000006</v>
      </c>
      <c r="AB11" s="45" t="s">
        <v>8</v>
      </c>
      <c r="AC11" s="46">
        <f>IF(AA11&lt;0,0,AA11)</f>
        <v>69.400000000000006</v>
      </c>
      <c r="AD11" s="47" t="s">
        <v>9</v>
      </c>
      <c r="AE11" s="110">
        <f>R.HN!G7</f>
        <v>0</v>
      </c>
      <c r="AF11" s="37">
        <f>AE11*10</f>
        <v>0</v>
      </c>
      <c r="AG11" s="37">
        <f>($F$8-AF11)*2*694/1000</f>
        <v>69.400000000000006</v>
      </c>
      <c r="AH11" s="45" t="s">
        <v>8</v>
      </c>
      <c r="AI11" s="46">
        <f>IF(AG11&lt;0,0,AG11)</f>
        <v>69.400000000000006</v>
      </c>
      <c r="AJ11" s="47" t="s">
        <v>9</v>
      </c>
      <c r="AK11" s="110">
        <f>R.HN!H7</f>
        <v>0</v>
      </c>
      <c r="AL11" s="37">
        <f>AK11*10</f>
        <v>0</v>
      </c>
      <c r="AM11" s="37">
        <f>($F$8-AL11)*2*694/1000</f>
        <v>69.400000000000006</v>
      </c>
      <c r="AN11" s="45" t="s">
        <v>8</v>
      </c>
      <c r="AO11" s="46">
        <f>IF(AM11&lt;0,0,AM11)</f>
        <v>69.400000000000006</v>
      </c>
      <c r="AP11" s="47" t="s">
        <v>9</v>
      </c>
      <c r="AQ11" s="308" t="s">
        <v>471</v>
      </c>
    </row>
    <row r="12" spans="1:44" ht="33.75" customHeight="1">
      <c r="A12" s="1439" t="s">
        <v>481</v>
      </c>
      <c r="B12" s="2168"/>
      <c r="C12" s="2171"/>
      <c r="D12" s="2173"/>
      <c r="E12" s="127" t="s">
        <v>1163</v>
      </c>
      <c r="F12" s="1468">
        <v>6.5</v>
      </c>
      <c r="G12" s="1466">
        <f>R.HN!C8</f>
        <v>0</v>
      </c>
      <c r="H12" s="37">
        <f>IFERROR(H11/G12,0)</f>
        <v>0</v>
      </c>
      <c r="I12" s="37">
        <f>($F$9-H12)*694/1000</f>
        <v>4.5110000000000001</v>
      </c>
      <c r="J12" s="45"/>
      <c r="K12" s="46">
        <f>IF(I12&lt;0,0,I12)</f>
        <v>4.5110000000000001</v>
      </c>
      <c r="L12" s="249" t="s">
        <v>9</v>
      </c>
      <c r="M12" s="285">
        <f>R.HN!D8</f>
        <v>0</v>
      </c>
      <c r="N12" s="37">
        <f>IFERROR(N11/M12,0)</f>
        <v>0</v>
      </c>
      <c r="O12" s="37">
        <f>($F$9-N12)*694/1000</f>
        <v>4.5110000000000001</v>
      </c>
      <c r="P12" s="45"/>
      <c r="Q12" s="46">
        <f>IF(O12&lt;0,0,O12)</f>
        <v>4.5110000000000001</v>
      </c>
      <c r="R12" s="47" t="s">
        <v>9</v>
      </c>
      <c r="S12" s="110">
        <f>R.HN!E8</f>
        <v>0</v>
      </c>
      <c r="T12" s="37">
        <f>IFERROR(T11/S12,0)</f>
        <v>0</v>
      </c>
      <c r="U12" s="37">
        <f>($F$9-T12)*694/1000</f>
        <v>4.5110000000000001</v>
      </c>
      <c r="V12" s="45"/>
      <c r="W12" s="46">
        <f>IF(U12&lt;0,0,U12)</f>
        <v>4.5110000000000001</v>
      </c>
      <c r="X12" s="47" t="s">
        <v>9</v>
      </c>
      <c r="Y12" s="110">
        <f>R.HN!F8</f>
        <v>0</v>
      </c>
      <c r="Z12" s="37">
        <f>IFERROR(Z11/Y12,0)</f>
        <v>0</v>
      </c>
      <c r="AA12" s="37">
        <f>($F$9-Z12)*694/1000</f>
        <v>4.5110000000000001</v>
      </c>
      <c r="AB12" s="45"/>
      <c r="AC12" s="46">
        <f>IF(AA12&lt;0,0,AA12)</f>
        <v>4.5110000000000001</v>
      </c>
      <c r="AD12" s="47" t="s">
        <v>9</v>
      </c>
      <c r="AE12" s="110">
        <f>R.HN!G8</f>
        <v>0</v>
      </c>
      <c r="AF12" s="37">
        <f>IFERROR(AF11/AE12,0)</f>
        <v>0</v>
      </c>
      <c r="AG12" s="37">
        <f>($F$9-AF12)*694/1000</f>
        <v>4.5110000000000001</v>
      </c>
      <c r="AH12" s="45"/>
      <c r="AI12" s="46">
        <f>IF(AG12&lt;0,0,AG12)</f>
        <v>4.5110000000000001</v>
      </c>
      <c r="AJ12" s="47" t="s">
        <v>9</v>
      </c>
      <c r="AK12" s="110">
        <f>R.HN!H8</f>
        <v>0</v>
      </c>
      <c r="AL12" s="37">
        <f>IFERROR(AL11/AK12,0)</f>
        <v>0</v>
      </c>
      <c r="AM12" s="37">
        <f>($F$9-AL12)*694/1000</f>
        <v>4.5110000000000001</v>
      </c>
      <c r="AN12" s="45"/>
      <c r="AO12" s="46">
        <f>IF(AM12&lt;0,0,AM12)</f>
        <v>4.5110000000000001</v>
      </c>
      <c r="AP12" s="47" t="s">
        <v>9</v>
      </c>
      <c r="AQ12" s="308" t="s">
        <v>471</v>
      </c>
    </row>
    <row r="13" spans="1:44" ht="33.75" customHeight="1">
      <c r="A13" s="1439" t="s">
        <v>482</v>
      </c>
      <c r="B13" s="2169"/>
      <c r="C13" s="2172"/>
      <c r="D13" s="2173"/>
      <c r="E13" s="127" t="s">
        <v>1164</v>
      </c>
      <c r="F13" s="1465">
        <v>0.4</v>
      </c>
      <c r="G13" s="1466">
        <f>R.HN!C9</f>
        <v>0</v>
      </c>
      <c r="H13" s="1469">
        <f>G13</f>
        <v>0</v>
      </c>
      <c r="I13" s="37">
        <f>($F$10-H13)*5</f>
        <v>2</v>
      </c>
      <c r="J13" s="45"/>
      <c r="K13" s="48" t="s">
        <v>478</v>
      </c>
      <c r="L13" s="249" t="s">
        <v>9</v>
      </c>
      <c r="M13" s="285">
        <f>R.HN!D9</f>
        <v>0</v>
      </c>
      <c r="N13" s="1469">
        <f>M13</f>
        <v>0</v>
      </c>
      <c r="O13" s="37">
        <f>($F$10-N13)*5</f>
        <v>2</v>
      </c>
      <c r="P13" s="45"/>
      <c r="Q13" s="48" t="s">
        <v>478</v>
      </c>
      <c r="R13" s="47" t="s">
        <v>9</v>
      </c>
      <c r="S13" s="110">
        <f>R.HN!E9</f>
        <v>0</v>
      </c>
      <c r="T13" s="1469">
        <f>S13</f>
        <v>0</v>
      </c>
      <c r="U13" s="37">
        <f>($F$10-T13)*5</f>
        <v>2</v>
      </c>
      <c r="V13" s="45"/>
      <c r="W13" s="48" t="s">
        <v>478</v>
      </c>
      <c r="X13" s="47" t="s">
        <v>9</v>
      </c>
      <c r="Y13" s="110">
        <f>R.HN!F9</f>
        <v>0</v>
      </c>
      <c r="Z13" s="1469">
        <f>Y13</f>
        <v>0</v>
      </c>
      <c r="AA13" s="37">
        <f>($F$10-Z13)*5</f>
        <v>2</v>
      </c>
      <c r="AB13" s="45"/>
      <c r="AC13" s="48" t="s">
        <v>478</v>
      </c>
      <c r="AD13" s="47" t="s">
        <v>9</v>
      </c>
      <c r="AE13" s="110">
        <f>R.HN!G9</f>
        <v>0</v>
      </c>
      <c r="AF13" s="1469">
        <f>AE13</f>
        <v>0</v>
      </c>
      <c r="AG13" s="37">
        <f>($F$10-AF13)*5</f>
        <v>2</v>
      </c>
      <c r="AH13" s="45"/>
      <c r="AI13" s="48" t="s">
        <v>478</v>
      </c>
      <c r="AJ13" s="47" t="s">
        <v>9</v>
      </c>
      <c r="AK13" s="110">
        <f>R.HN!H9</f>
        <v>0</v>
      </c>
      <c r="AL13" s="1469">
        <f>AK13</f>
        <v>0</v>
      </c>
      <c r="AM13" s="37">
        <f>($F$10-AL13)*5</f>
        <v>2</v>
      </c>
      <c r="AN13" s="45"/>
      <c r="AO13" s="48" t="s">
        <v>478</v>
      </c>
      <c r="AP13" s="47" t="s">
        <v>9</v>
      </c>
      <c r="AQ13" s="308" t="s">
        <v>471</v>
      </c>
    </row>
    <row r="14" spans="1:44" ht="33.75" customHeight="1">
      <c r="A14" s="1439" t="s">
        <v>483</v>
      </c>
      <c r="B14" s="2174" t="s">
        <v>484</v>
      </c>
      <c r="C14" s="2175"/>
      <c r="D14" s="54" t="s">
        <v>475</v>
      </c>
      <c r="E14" s="127" t="s">
        <v>485</v>
      </c>
      <c r="F14" s="1468">
        <v>1</v>
      </c>
      <c r="G14" s="1466">
        <f>R.HN!C10</f>
        <v>0</v>
      </c>
      <c r="H14" s="37">
        <f>G14</f>
        <v>0</v>
      </c>
      <c r="I14" s="37">
        <f>($F$14-H14)*546/1000*8</f>
        <v>4.3680000000000003</v>
      </c>
      <c r="J14" s="45" t="s">
        <v>8</v>
      </c>
      <c r="K14" s="48">
        <f>IF(I14&lt;0,0,I14)</f>
        <v>4.3680000000000003</v>
      </c>
      <c r="L14" s="249" t="s">
        <v>9</v>
      </c>
      <c r="M14" s="285">
        <f>R.HN!D10</f>
        <v>0</v>
      </c>
      <c r="N14" s="37">
        <f>M14</f>
        <v>0</v>
      </c>
      <c r="O14" s="37">
        <f>($F$14-N14)*546/1000*8</f>
        <v>4.3680000000000003</v>
      </c>
      <c r="P14" s="45" t="s">
        <v>8</v>
      </c>
      <c r="Q14" s="48">
        <f>IF(O14&lt;0,0,O14)</f>
        <v>4.3680000000000003</v>
      </c>
      <c r="R14" s="47" t="s">
        <v>9</v>
      </c>
      <c r="S14" s="110">
        <f>R.HN!E10</f>
        <v>0</v>
      </c>
      <c r="T14" s="37">
        <f>S14</f>
        <v>0</v>
      </c>
      <c r="U14" s="37">
        <f>($F$14-T14)*546/1000*8</f>
        <v>4.3680000000000003</v>
      </c>
      <c r="V14" s="45" t="s">
        <v>8</v>
      </c>
      <c r="W14" s="48">
        <f>IF(U14&lt;0,0,U14)</f>
        <v>4.3680000000000003</v>
      </c>
      <c r="X14" s="47" t="s">
        <v>9</v>
      </c>
      <c r="Y14" s="110">
        <f>R.HN!F10</f>
        <v>0</v>
      </c>
      <c r="Z14" s="37">
        <f>Y14</f>
        <v>0</v>
      </c>
      <c r="AA14" s="37">
        <f>($F$14-Z14)*546/1000*8</f>
        <v>4.3680000000000003</v>
      </c>
      <c r="AB14" s="45" t="s">
        <v>8</v>
      </c>
      <c r="AC14" s="48">
        <f>IF(AA14&lt;0,0,AA14)</f>
        <v>4.3680000000000003</v>
      </c>
      <c r="AD14" s="47" t="s">
        <v>9</v>
      </c>
      <c r="AE14" s="110">
        <f>R.HN!G10</f>
        <v>0</v>
      </c>
      <c r="AF14" s="37">
        <f>AE14</f>
        <v>0</v>
      </c>
      <c r="AG14" s="37">
        <f>($F$14-AF14)*546/1000*8</f>
        <v>4.3680000000000003</v>
      </c>
      <c r="AH14" s="45" t="s">
        <v>8</v>
      </c>
      <c r="AI14" s="48">
        <f>IF(AG14&lt;0,0,AG14)</f>
        <v>4.3680000000000003</v>
      </c>
      <c r="AJ14" s="47" t="s">
        <v>9</v>
      </c>
      <c r="AK14" s="110">
        <f>R.HN!H10</f>
        <v>0</v>
      </c>
      <c r="AL14" s="37">
        <f>AK14</f>
        <v>0</v>
      </c>
      <c r="AM14" s="37">
        <f>($F$14-AL14)*546/1000*8</f>
        <v>4.3680000000000003</v>
      </c>
      <c r="AN14" s="45" t="s">
        <v>8</v>
      </c>
      <c r="AO14" s="48">
        <f>IF(AM14&lt;0,0,AM14)</f>
        <v>4.3680000000000003</v>
      </c>
      <c r="AP14" s="47" t="s">
        <v>9</v>
      </c>
      <c r="AQ14" s="308" t="s">
        <v>471</v>
      </c>
    </row>
    <row r="15" spans="1:44" ht="31.5" customHeight="1">
      <c r="A15" s="1439" t="s">
        <v>486</v>
      </c>
      <c r="B15" s="2176"/>
      <c r="C15" s="2177"/>
      <c r="D15" s="54" t="s">
        <v>5</v>
      </c>
      <c r="E15" s="127" t="s">
        <v>1296</v>
      </c>
      <c r="F15" s="1470">
        <v>9.5</v>
      </c>
      <c r="G15" s="1466">
        <f>R.HN!C11</f>
        <v>0</v>
      </c>
      <c r="H15" s="37">
        <f>G15</f>
        <v>0</v>
      </c>
      <c r="I15" s="37"/>
      <c r="J15" s="45"/>
      <c r="K15" s="46"/>
      <c r="L15" s="249"/>
      <c r="M15" s="285">
        <f>R.HN!D11</f>
        <v>0</v>
      </c>
      <c r="N15" s="37">
        <f>M15</f>
        <v>0</v>
      </c>
      <c r="O15" s="37"/>
      <c r="P15" s="45"/>
      <c r="Q15" s="46"/>
      <c r="R15" s="47"/>
      <c r="S15" s="110">
        <f>R.HN!E11</f>
        <v>0</v>
      </c>
      <c r="T15" s="37">
        <f>S15</f>
        <v>0</v>
      </c>
      <c r="U15" s="37"/>
      <c r="V15" s="45"/>
      <c r="W15" s="46"/>
      <c r="X15" s="47"/>
      <c r="Y15" s="110">
        <f>R.HN!F11</f>
        <v>0</v>
      </c>
      <c r="Z15" s="37">
        <f>Y15</f>
        <v>0</v>
      </c>
      <c r="AA15" s="37"/>
      <c r="AB15" s="45"/>
      <c r="AC15" s="46"/>
      <c r="AD15" s="47"/>
      <c r="AE15" s="110">
        <f>R.HN!G11</f>
        <v>0</v>
      </c>
      <c r="AF15" s="37">
        <f>AE15</f>
        <v>0</v>
      </c>
      <c r="AG15" s="37"/>
      <c r="AH15" s="45"/>
      <c r="AI15" s="46"/>
      <c r="AJ15" s="47"/>
      <c r="AK15" s="110">
        <f>R.HN!H11</f>
        <v>0</v>
      </c>
      <c r="AL15" s="37">
        <f>AK15</f>
        <v>0</v>
      </c>
      <c r="AM15" s="37"/>
      <c r="AN15" s="45"/>
      <c r="AO15" s="46"/>
      <c r="AP15" s="47"/>
      <c r="AQ15" s="308" t="s">
        <v>471</v>
      </c>
    </row>
    <row r="16" spans="1:44" ht="42.75" customHeight="1">
      <c r="A16" s="335" t="s">
        <v>76</v>
      </c>
      <c r="B16" s="336"/>
      <c r="C16" s="336"/>
      <c r="D16" s="336"/>
      <c r="E16" s="332"/>
      <c r="F16" s="336"/>
      <c r="G16" s="336"/>
      <c r="H16" s="336"/>
      <c r="I16" s="336"/>
      <c r="J16" s="336"/>
      <c r="K16" s="336"/>
      <c r="L16" s="336"/>
      <c r="M16" s="336"/>
      <c r="N16" s="337"/>
      <c r="O16" s="336"/>
      <c r="P16" s="336"/>
      <c r="Q16" s="336"/>
      <c r="R16" s="337"/>
      <c r="S16" s="336"/>
      <c r="T16" s="337"/>
      <c r="U16" s="336"/>
      <c r="V16" s="336"/>
      <c r="W16" s="336"/>
      <c r="X16" s="336"/>
      <c r="Y16" s="336"/>
      <c r="Z16" s="336"/>
      <c r="AA16" s="336"/>
      <c r="AB16" s="336"/>
      <c r="AC16" s="336"/>
      <c r="AD16" s="336"/>
      <c r="AE16" s="337"/>
      <c r="AF16" s="337"/>
      <c r="AG16" s="337"/>
      <c r="AH16" s="337"/>
      <c r="AI16" s="337"/>
      <c r="AJ16" s="337"/>
      <c r="AK16" s="337"/>
      <c r="AL16" s="337"/>
      <c r="AM16" s="337"/>
      <c r="AN16" s="337"/>
      <c r="AO16" s="337"/>
      <c r="AP16" s="1155"/>
    </row>
    <row r="17" spans="1:43" ht="50.25" customHeight="1">
      <c r="A17" s="1439" t="s">
        <v>276</v>
      </c>
      <c r="B17" s="1870" t="s">
        <v>64</v>
      </c>
      <c r="C17" s="1872"/>
      <c r="D17" s="327" t="s">
        <v>66</v>
      </c>
      <c r="E17" s="327" t="s">
        <v>67</v>
      </c>
      <c r="F17" s="1471"/>
      <c r="G17" s="1471"/>
      <c r="H17" s="329" t="s">
        <v>48</v>
      </c>
      <c r="I17" s="330"/>
      <c r="J17" s="330"/>
      <c r="K17" s="329" t="s">
        <v>65</v>
      </c>
      <c r="L17" s="346"/>
      <c r="M17" s="327"/>
      <c r="N17" s="329" t="s">
        <v>48</v>
      </c>
      <c r="O17" s="330"/>
      <c r="P17" s="330"/>
      <c r="Q17" s="329" t="s">
        <v>65</v>
      </c>
      <c r="R17" s="346"/>
      <c r="S17" s="113"/>
      <c r="T17" s="329" t="s">
        <v>48</v>
      </c>
      <c r="U17" s="330"/>
      <c r="V17" s="330"/>
      <c r="W17" s="329" t="s">
        <v>65</v>
      </c>
      <c r="X17" s="346"/>
      <c r="Y17" s="114"/>
      <c r="Z17" s="329" t="s">
        <v>48</v>
      </c>
      <c r="AA17" s="330"/>
      <c r="AB17" s="330"/>
      <c r="AC17" s="329" t="s">
        <v>65</v>
      </c>
      <c r="AD17" s="346"/>
      <c r="AE17" s="114"/>
      <c r="AF17" s="329" t="s">
        <v>48</v>
      </c>
      <c r="AG17" s="330"/>
      <c r="AH17" s="330"/>
      <c r="AI17" s="329" t="s">
        <v>65</v>
      </c>
      <c r="AJ17" s="346"/>
      <c r="AK17" s="114"/>
      <c r="AL17" s="329" t="s">
        <v>48</v>
      </c>
      <c r="AM17" s="330"/>
      <c r="AN17" s="330"/>
      <c r="AO17" s="329" t="s">
        <v>65</v>
      </c>
      <c r="AP17" s="346"/>
    </row>
    <row r="18" spans="1:43" ht="40.5" customHeight="1">
      <c r="A18" s="1439" t="s">
        <v>488</v>
      </c>
      <c r="B18" s="1870" t="s">
        <v>489</v>
      </c>
      <c r="C18" s="1872"/>
      <c r="D18" s="22" t="s">
        <v>113</v>
      </c>
      <c r="E18" s="127" t="s">
        <v>1297</v>
      </c>
      <c r="F18" s="118"/>
      <c r="G18" s="118"/>
      <c r="H18" s="1866"/>
      <c r="I18" s="1867"/>
      <c r="J18" s="1867"/>
      <c r="K18" s="1866"/>
      <c r="L18" s="1867"/>
      <c r="M18" s="114"/>
      <c r="N18" s="1866"/>
      <c r="O18" s="1867"/>
      <c r="P18" s="1867"/>
      <c r="Q18" s="1866"/>
      <c r="R18" s="1867"/>
      <c r="S18" s="114"/>
      <c r="T18" s="1866"/>
      <c r="U18" s="1867"/>
      <c r="V18" s="1867"/>
      <c r="W18" s="1866"/>
      <c r="X18" s="1867"/>
      <c r="Y18" s="114"/>
      <c r="Z18" s="1866"/>
      <c r="AA18" s="1867"/>
      <c r="AB18" s="1867"/>
      <c r="AC18" s="1866"/>
      <c r="AD18" s="1867"/>
      <c r="AE18" s="114"/>
      <c r="AF18" s="1866"/>
      <c r="AG18" s="1867"/>
      <c r="AH18" s="1867"/>
      <c r="AI18" s="1866"/>
      <c r="AJ18" s="1867"/>
      <c r="AK18" s="114"/>
      <c r="AL18" s="1866"/>
      <c r="AM18" s="1867"/>
      <c r="AN18" s="1867"/>
      <c r="AO18" s="1866"/>
      <c r="AP18" s="1867"/>
      <c r="AQ18" s="308" t="s">
        <v>471</v>
      </c>
    </row>
    <row r="19" spans="1:43" ht="40.5" customHeight="1">
      <c r="A19" s="1439" t="s">
        <v>490</v>
      </c>
      <c r="B19" s="1870" t="s">
        <v>491</v>
      </c>
      <c r="C19" s="1872"/>
      <c r="D19" s="22" t="s">
        <v>113</v>
      </c>
      <c r="E19" s="127" t="s">
        <v>1297</v>
      </c>
      <c r="F19" s="118"/>
      <c r="G19" s="118"/>
      <c r="H19" s="1866"/>
      <c r="I19" s="1867"/>
      <c r="J19" s="1867"/>
      <c r="K19" s="1866"/>
      <c r="L19" s="1867"/>
      <c r="M19" s="114"/>
      <c r="N19" s="1866"/>
      <c r="O19" s="1867"/>
      <c r="P19" s="1867"/>
      <c r="Q19" s="1866"/>
      <c r="R19" s="1867"/>
      <c r="S19" s="114"/>
      <c r="T19" s="1866"/>
      <c r="U19" s="1867"/>
      <c r="V19" s="1867"/>
      <c r="W19" s="1866"/>
      <c r="X19" s="1867"/>
      <c r="Y19" s="114"/>
      <c r="Z19" s="1866"/>
      <c r="AA19" s="1867"/>
      <c r="AB19" s="1867"/>
      <c r="AC19" s="1866"/>
      <c r="AD19" s="1867"/>
      <c r="AE19" s="114"/>
      <c r="AF19" s="1866"/>
      <c r="AG19" s="1867"/>
      <c r="AH19" s="1867"/>
      <c r="AI19" s="1866"/>
      <c r="AJ19" s="1867"/>
      <c r="AK19" s="114"/>
      <c r="AL19" s="1866"/>
      <c r="AM19" s="1867"/>
      <c r="AN19" s="1867"/>
      <c r="AO19" s="1866"/>
      <c r="AP19" s="1867"/>
      <c r="AQ19" s="308" t="s">
        <v>471</v>
      </c>
    </row>
    <row r="20" spans="1:43" ht="40.5" customHeight="1">
      <c r="A20" s="1439" t="s">
        <v>492</v>
      </c>
      <c r="B20" s="1870" t="s">
        <v>484</v>
      </c>
      <c r="C20" s="1872"/>
      <c r="D20" s="22" t="s">
        <v>113</v>
      </c>
      <c r="E20" s="127" t="s">
        <v>1298</v>
      </c>
      <c r="F20" s="118"/>
      <c r="G20" s="118"/>
      <c r="H20" s="1866"/>
      <c r="I20" s="1867"/>
      <c r="J20" s="1867"/>
      <c r="K20" s="1866"/>
      <c r="L20" s="1867"/>
      <c r="M20" s="114"/>
      <c r="N20" s="1866"/>
      <c r="O20" s="1867"/>
      <c r="P20" s="1867"/>
      <c r="Q20" s="1866"/>
      <c r="R20" s="1867"/>
      <c r="S20" s="114"/>
      <c r="T20" s="1866"/>
      <c r="U20" s="1867"/>
      <c r="V20" s="1867"/>
      <c r="W20" s="1866"/>
      <c r="X20" s="1867"/>
      <c r="Y20" s="114"/>
      <c r="Z20" s="1866"/>
      <c r="AA20" s="1867"/>
      <c r="AB20" s="1867"/>
      <c r="AC20" s="1866"/>
      <c r="AD20" s="1867"/>
      <c r="AE20" s="114"/>
      <c r="AF20" s="1866"/>
      <c r="AG20" s="1867"/>
      <c r="AH20" s="1867"/>
      <c r="AI20" s="1866"/>
      <c r="AJ20" s="1867"/>
      <c r="AK20" s="114"/>
      <c r="AL20" s="1866"/>
      <c r="AM20" s="1867"/>
      <c r="AN20" s="1867"/>
      <c r="AO20" s="1866"/>
      <c r="AP20" s="1867"/>
      <c r="AQ20" s="308" t="s">
        <v>471</v>
      </c>
    </row>
    <row r="21" spans="1:43" ht="35.25" customHeight="1">
      <c r="A21" s="1472"/>
      <c r="B21" s="1472"/>
      <c r="C21" s="1472"/>
      <c r="D21" s="1472"/>
      <c r="E21" s="1472"/>
      <c r="F21" s="1472"/>
      <c r="G21" s="1472"/>
      <c r="H21" s="1473"/>
      <c r="I21" s="1473"/>
      <c r="J21" s="1473"/>
      <c r="K21" s="1473"/>
      <c r="L21" s="1473"/>
      <c r="M21" s="1473"/>
      <c r="N21" s="1473"/>
      <c r="O21" s="1473"/>
      <c r="P21" s="1473"/>
      <c r="Q21" s="1473"/>
      <c r="R21" s="1473"/>
      <c r="S21" s="1473"/>
      <c r="T21" s="1473"/>
      <c r="U21" s="1473"/>
      <c r="V21" s="1473"/>
      <c r="W21" s="1473"/>
      <c r="X21" s="1473"/>
      <c r="Y21" s="1473"/>
      <c r="Z21" s="1473"/>
      <c r="AA21" s="1473"/>
      <c r="AB21" s="1473"/>
      <c r="AC21" s="1473"/>
      <c r="AD21" s="1473"/>
      <c r="AP21" s="308"/>
    </row>
    <row r="22" spans="1:43" ht="41.25" customHeight="1">
      <c r="A22" s="100" t="s">
        <v>981</v>
      </c>
      <c r="B22" s="322"/>
      <c r="C22" s="101"/>
      <c r="D22" s="101"/>
      <c r="E22" s="313"/>
      <c r="F22" s="102" t="s">
        <v>75</v>
      </c>
      <c r="G22" s="103"/>
      <c r="H22" s="467" t="s">
        <v>75</v>
      </c>
      <c r="I22" s="467"/>
      <c r="J22" s="467"/>
      <c r="K22" s="467"/>
      <c r="L22" s="467"/>
      <c r="M22" s="467"/>
      <c r="N22" s="467"/>
      <c r="O22" s="467"/>
      <c r="P22" s="467"/>
      <c r="Q22" s="467"/>
      <c r="R22" s="467"/>
      <c r="S22" s="467"/>
      <c r="T22" s="467"/>
      <c r="U22" s="467"/>
      <c r="V22" s="467"/>
      <c r="W22" s="467"/>
      <c r="X22" s="467"/>
      <c r="Y22" s="467"/>
      <c r="Z22" s="467"/>
      <c r="AA22" s="467"/>
      <c r="AB22" s="467"/>
      <c r="AC22" s="467"/>
      <c r="AD22" s="467"/>
      <c r="AE22" s="467"/>
      <c r="AF22" s="467"/>
      <c r="AG22" s="467"/>
      <c r="AH22" s="467"/>
      <c r="AI22" s="467"/>
      <c r="AJ22" s="467"/>
      <c r="AK22" s="467"/>
      <c r="AL22" s="467"/>
      <c r="AM22" s="467"/>
      <c r="AN22" s="467"/>
      <c r="AO22" s="467"/>
      <c r="AP22" s="467"/>
    </row>
    <row r="23" spans="1:43" ht="30" customHeight="1">
      <c r="A23" s="486"/>
      <c r="B23" s="2179" t="s">
        <v>79</v>
      </c>
      <c r="C23" s="2180"/>
      <c r="D23" s="2183" t="s">
        <v>137</v>
      </c>
      <c r="E23" s="2185" t="s">
        <v>67</v>
      </c>
      <c r="F23" s="1474"/>
      <c r="G23" s="106"/>
      <c r="H23" s="2178" t="s">
        <v>465</v>
      </c>
      <c r="I23" s="2178"/>
      <c r="J23" s="2178"/>
      <c r="K23" s="2178"/>
      <c r="L23" s="2178"/>
      <c r="M23" s="1463"/>
      <c r="N23" s="2187" t="s">
        <v>428</v>
      </c>
      <c r="O23" s="2187"/>
      <c r="P23" s="2187"/>
      <c r="Q23" s="2187"/>
      <c r="R23" s="2187"/>
      <c r="S23" s="1463"/>
      <c r="T23" s="2178" t="s">
        <v>429</v>
      </c>
      <c r="U23" s="2178"/>
      <c r="V23" s="2178"/>
      <c r="W23" s="2178"/>
      <c r="X23" s="2178"/>
      <c r="Y23" s="1463"/>
      <c r="Z23" s="2178" t="s">
        <v>430</v>
      </c>
      <c r="AA23" s="2178"/>
      <c r="AB23" s="2178"/>
      <c r="AC23" s="2178"/>
      <c r="AD23" s="2178"/>
      <c r="AE23" s="1463"/>
      <c r="AF23" s="2178" t="s">
        <v>431</v>
      </c>
      <c r="AG23" s="2178"/>
      <c r="AH23" s="2178"/>
      <c r="AI23" s="2178"/>
      <c r="AJ23" s="2178"/>
      <c r="AK23" s="1463"/>
      <c r="AL23" s="2178" t="s">
        <v>432</v>
      </c>
      <c r="AM23" s="2178"/>
      <c r="AN23" s="2178"/>
      <c r="AO23" s="2178"/>
      <c r="AP23" s="2178"/>
    </row>
    <row r="24" spans="1:43" ht="30" customHeight="1">
      <c r="A24" s="1435" t="s">
        <v>276</v>
      </c>
      <c r="B24" s="2181"/>
      <c r="C24" s="2182"/>
      <c r="D24" s="2184"/>
      <c r="E24" s="2186"/>
      <c r="F24" s="1464" t="s">
        <v>466</v>
      </c>
      <c r="G24" s="21"/>
      <c r="H24" s="1433" t="s">
        <v>146</v>
      </c>
      <c r="I24" s="36" t="s">
        <v>1</v>
      </c>
      <c r="J24" s="332" t="s">
        <v>1</v>
      </c>
      <c r="K24" s="332"/>
      <c r="L24" s="333"/>
      <c r="M24" s="107"/>
      <c r="N24" s="1433" t="s">
        <v>146</v>
      </c>
      <c r="O24" s="36" t="s">
        <v>1</v>
      </c>
      <c r="P24" s="332" t="s">
        <v>1</v>
      </c>
      <c r="Q24" s="332"/>
      <c r="R24" s="333"/>
      <c r="S24" s="21"/>
      <c r="T24" s="1433" t="s">
        <v>146</v>
      </c>
      <c r="U24" s="36" t="s">
        <v>1</v>
      </c>
      <c r="V24" s="332" t="s">
        <v>1</v>
      </c>
      <c r="W24" s="332"/>
      <c r="X24" s="333"/>
      <c r="Y24" s="107"/>
      <c r="Z24" s="1433" t="s">
        <v>146</v>
      </c>
      <c r="AA24" s="36" t="s">
        <v>1</v>
      </c>
      <c r="AB24" s="332" t="s">
        <v>1</v>
      </c>
      <c r="AC24" s="332"/>
      <c r="AD24" s="333"/>
      <c r="AE24" s="107"/>
      <c r="AF24" s="1433" t="s">
        <v>146</v>
      </c>
      <c r="AG24" s="36" t="s">
        <v>1</v>
      </c>
      <c r="AH24" s="332" t="s">
        <v>1</v>
      </c>
      <c r="AI24" s="332"/>
      <c r="AJ24" s="333"/>
      <c r="AK24" s="107"/>
      <c r="AL24" s="1433" t="s">
        <v>146</v>
      </c>
      <c r="AM24" s="36" t="s">
        <v>1</v>
      </c>
      <c r="AN24" s="332" t="s">
        <v>1</v>
      </c>
      <c r="AO24" s="332"/>
      <c r="AP24" s="333"/>
    </row>
    <row r="25" spans="1:43" ht="30" customHeight="1">
      <c r="A25" s="1439" t="s">
        <v>1299</v>
      </c>
      <c r="B25" s="2080" t="s">
        <v>493</v>
      </c>
      <c r="C25" s="2082"/>
      <c r="D25" s="324" t="s">
        <v>475</v>
      </c>
      <c r="E25" s="127" t="s">
        <v>494</v>
      </c>
      <c r="F25" s="1467">
        <v>40</v>
      </c>
      <c r="G25" s="1466">
        <f>R.HN!C16</f>
        <v>3.9</v>
      </c>
      <c r="H25" s="37">
        <f>G25*10</f>
        <v>39</v>
      </c>
      <c r="I25" s="37">
        <f>($F$25-H25)*2330/1000</f>
        <v>2.33</v>
      </c>
      <c r="J25" s="45" t="s">
        <v>8</v>
      </c>
      <c r="K25" s="48">
        <f>IF(I25&lt;0,0,I25)</f>
        <v>2.33</v>
      </c>
      <c r="L25" s="249" t="s">
        <v>9</v>
      </c>
      <c r="M25" s="1466">
        <f>R.HN!D16</f>
        <v>4.8</v>
      </c>
      <c r="N25" s="37">
        <f>M25*10</f>
        <v>48</v>
      </c>
      <c r="O25" s="37">
        <f>($F$25-N25)*2330/1000</f>
        <v>-18.64</v>
      </c>
      <c r="P25" s="45" t="s">
        <v>8</v>
      </c>
      <c r="Q25" s="48">
        <f>IF(O25&lt;0,0,O25)</f>
        <v>0</v>
      </c>
      <c r="R25" s="249" t="s">
        <v>9</v>
      </c>
      <c r="S25" s="1466">
        <f>R.HN!E16</f>
        <v>0</v>
      </c>
      <c r="T25" s="37">
        <v>47</v>
      </c>
      <c r="U25" s="37">
        <f>($F$25-T25)*2330/1000</f>
        <v>-16.309999999999999</v>
      </c>
      <c r="V25" s="45" t="s">
        <v>8</v>
      </c>
      <c r="W25" s="48">
        <f>IF(U25&lt;0,0,U25)</f>
        <v>0</v>
      </c>
      <c r="X25" s="249" t="s">
        <v>9</v>
      </c>
      <c r="Y25" s="1466">
        <f>R.HN!F16</f>
        <v>0</v>
      </c>
      <c r="Z25" s="37">
        <f>Y25*10</f>
        <v>0</v>
      </c>
      <c r="AA25" s="37">
        <f>($F$25-Z25)*2330/1000</f>
        <v>93.2</v>
      </c>
      <c r="AB25" s="45" t="s">
        <v>8</v>
      </c>
      <c r="AC25" s="48">
        <f>IF(AA25&lt;0,0,AA25)</f>
        <v>93.2</v>
      </c>
      <c r="AD25" s="249" t="s">
        <v>9</v>
      </c>
      <c r="AE25" s="1466">
        <f>R.HN!G16</f>
        <v>0</v>
      </c>
      <c r="AF25" s="37">
        <f>AE25*10</f>
        <v>0</v>
      </c>
      <c r="AG25" s="37">
        <f>($F$25-AF25)*2330/1000</f>
        <v>93.2</v>
      </c>
      <c r="AH25" s="45" t="s">
        <v>8</v>
      </c>
      <c r="AI25" s="48">
        <f>IF(AG25&lt;0,0,AG25)</f>
        <v>93.2</v>
      </c>
      <c r="AJ25" s="249" t="s">
        <v>9</v>
      </c>
      <c r="AK25" s="1466">
        <f>R.HN!H16</f>
        <v>0</v>
      </c>
      <c r="AL25" s="37">
        <f>AK25*10</f>
        <v>0</v>
      </c>
      <c r="AM25" s="37">
        <f>($F$25-AL25)*2330/1000</f>
        <v>93.2</v>
      </c>
      <c r="AN25" s="45" t="s">
        <v>8</v>
      </c>
      <c r="AO25" s="48">
        <f>IF(AM25&lt;0,0,AM25)</f>
        <v>93.2</v>
      </c>
      <c r="AP25" s="249" t="s">
        <v>9</v>
      </c>
      <c r="AQ25" s="308" t="s">
        <v>495</v>
      </c>
    </row>
    <row r="26" spans="1:43" ht="30" customHeight="1">
      <c r="A26" s="1439" t="s">
        <v>1002</v>
      </c>
      <c r="B26" s="2080" t="s">
        <v>896</v>
      </c>
      <c r="C26" s="2082"/>
      <c r="D26" s="1210" t="s">
        <v>3</v>
      </c>
      <c r="E26" s="127" t="s">
        <v>470</v>
      </c>
      <c r="F26" s="1465">
        <v>12.5</v>
      </c>
      <c r="G26" s="1466">
        <f>R.HN!C17</f>
        <v>3.6</v>
      </c>
      <c r="H26" s="37">
        <f>(1*G26*36.5)/(1*10)</f>
        <v>13.14</v>
      </c>
      <c r="I26" s="37">
        <f>($F$26-H26)*2605/32</f>
        <v>-52.100000000000044</v>
      </c>
      <c r="J26" s="45" t="s">
        <v>8</v>
      </c>
      <c r="K26" s="46">
        <f>IF(I26&lt;0,0,I26)</f>
        <v>0</v>
      </c>
      <c r="L26" s="249" t="s">
        <v>10</v>
      </c>
      <c r="M26" s="1466">
        <f>R.HN!D17</f>
        <v>3.1</v>
      </c>
      <c r="N26" s="37">
        <f>(1*M26*36.5)/(1*10)</f>
        <v>11.315000000000001</v>
      </c>
      <c r="O26" s="37">
        <f>($F$26-N26)*2605/32</f>
        <v>96.466406249999892</v>
      </c>
      <c r="P26" s="45" t="s">
        <v>8</v>
      </c>
      <c r="Q26" s="46">
        <f>IF(O26&lt;0,0,O26)</f>
        <v>96.466406249999892</v>
      </c>
      <c r="R26" s="249" t="s">
        <v>10</v>
      </c>
      <c r="S26" s="1466">
        <f>R.HN!E17</f>
        <v>0</v>
      </c>
      <c r="T26" s="37">
        <v>12</v>
      </c>
      <c r="U26" s="37">
        <f>($F$26-T26)*2605/32</f>
        <v>40.703125</v>
      </c>
      <c r="V26" s="45" t="s">
        <v>8</v>
      </c>
      <c r="W26" s="46">
        <f>IF(U26&lt;0,0,U26)</f>
        <v>40.703125</v>
      </c>
      <c r="X26" s="249" t="s">
        <v>10</v>
      </c>
      <c r="Y26" s="1466">
        <f>R.HN!F17</f>
        <v>0</v>
      </c>
      <c r="Z26" s="37">
        <f>(1*Y26*36.5)/(1*10)</f>
        <v>0</v>
      </c>
      <c r="AA26" s="37">
        <f>($F$26-Z26)*2605/32</f>
        <v>1017.578125</v>
      </c>
      <c r="AB26" s="45" t="s">
        <v>8</v>
      </c>
      <c r="AC26" s="46">
        <f>IF(AA26&lt;0,0,AA26)</f>
        <v>1017.578125</v>
      </c>
      <c r="AD26" s="249" t="s">
        <v>10</v>
      </c>
      <c r="AE26" s="1466">
        <f>R.HN!G17</f>
        <v>0</v>
      </c>
      <c r="AF26" s="37">
        <f>(1*AE26*36.5)/(1*10)</f>
        <v>0</v>
      </c>
      <c r="AG26" s="37">
        <f>($F$26-AF26)*2605/32</f>
        <v>1017.578125</v>
      </c>
      <c r="AH26" s="45" t="s">
        <v>8</v>
      </c>
      <c r="AI26" s="46">
        <f>IF(AG26&lt;0,0,AG26)</f>
        <v>1017.578125</v>
      </c>
      <c r="AJ26" s="249" t="s">
        <v>10</v>
      </c>
      <c r="AK26" s="1466">
        <f>R.HN!H17</f>
        <v>0</v>
      </c>
      <c r="AL26" s="37">
        <f>(1*AK26*36.5)/(1*10)</f>
        <v>0</v>
      </c>
      <c r="AM26" s="37">
        <f>($F$26-AL26)*2605/32</f>
        <v>1017.578125</v>
      </c>
      <c r="AN26" s="45" t="s">
        <v>8</v>
      </c>
      <c r="AO26" s="46">
        <f>IF(AM26&lt;0,0,AM26)</f>
        <v>1017.578125</v>
      </c>
      <c r="AP26" s="249" t="s">
        <v>10</v>
      </c>
      <c r="AQ26" s="308" t="s">
        <v>495</v>
      </c>
    </row>
    <row r="27" spans="1:43" ht="30" customHeight="1">
      <c r="A27" s="1439" t="s">
        <v>1006</v>
      </c>
      <c r="B27" s="2174" t="s">
        <v>474</v>
      </c>
      <c r="C27" s="1437"/>
      <c r="D27" s="2173" t="s">
        <v>475</v>
      </c>
      <c r="E27" s="127" t="s">
        <v>1162</v>
      </c>
      <c r="F27" s="1475">
        <v>50</v>
      </c>
      <c r="G27" s="1466">
        <f>R.HN!C18</f>
        <v>5.6</v>
      </c>
      <c r="H27" s="37">
        <f>G27*10</f>
        <v>56</v>
      </c>
      <c r="I27" s="37">
        <f>($F$43-H27)*4935/1000</f>
        <v>-29.61</v>
      </c>
      <c r="J27" s="45" t="s">
        <v>8</v>
      </c>
      <c r="K27" s="46">
        <f>IF(I27&lt;0,0,I27)</f>
        <v>0</v>
      </c>
      <c r="L27" s="249" t="s">
        <v>9</v>
      </c>
      <c r="M27" s="1466">
        <f>R.HN!D18</f>
        <v>5.4</v>
      </c>
      <c r="N27" s="37">
        <f>M27*10</f>
        <v>54</v>
      </c>
      <c r="O27" s="37">
        <f>($F$43-N27)*4935/1000</f>
        <v>-19.739999999999998</v>
      </c>
      <c r="P27" s="45" t="s">
        <v>8</v>
      </c>
      <c r="Q27" s="46">
        <f>IF(O27&lt;0,0,O27)</f>
        <v>0</v>
      </c>
      <c r="R27" s="249" t="s">
        <v>9</v>
      </c>
      <c r="S27" s="1466">
        <f>R.HN!E18</f>
        <v>0</v>
      </c>
      <c r="T27" s="37">
        <v>52</v>
      </c>
      <c r="U27" s="37">
        <f>($F$43-T27)*4935/1000</f>
        <v>-9.8699999999999992</v>
      </c>
      <c r="V27" s="45" t="s">
        <v>8</v>
      </c>
      <c r="W27" s="46">
        <f>IF(U27&lt;0,0,U27)</f>
        <v>0</v>
      </c>
      <c r="X27" s="249" t="s">
        <v>9</v>
      </c>
      <c r="Y27" s="1466">
        <f>R.HN!F18</f>
        <v>0</v>
      </c>
      <c r="Z27" s="37">
        <f>Y27*10</f>
        <v>0</v>
      </c>
      <c r="AA27" s="37">
        <f>($F$43-Z27)*4935/1000</f>
        <v>246.75</v>
      </c>
      <c r="AB27" s="45" t="s">
        <v>8</v>
      </c>
      <c r="AC27" s="46">
        <f>IF(AA27&lt;0,0,AA27)</f>
        <v>246.75</v>
      </c>
      <c r="AD27" s="249" t="s">
        <v>9</v>
      </c>
      <c r="AE27" s="1466">
        <f>R.HN!G18</f>
        <v>0</v>
      </c>
      <c r="AF27" s="37">
        <f>AE27*10</f>
        <v>0</v>
      </c>
      <c r="AG27" s="37">
        <f>($F$43-AF27)*4935/1000</f>
        <v>246.75</v>
      </c>
      <c r="AH27" s="45" t="s">
        <v>8</v>
      </c>
      <c r="AI27" s="46">
        <f>IF(AG27&lt;0,0,AG27)</f>
        <v>246.75</v>
      </c>
      <c r="AJ27" s="249" t="s">
        <v>9</v>
      </c>
      <c r="AK27" s="1466">
        <f>R.HN!H18</f>
        <v>0</v>
      </c>
      <c r="AL27" s="37">
        <f>AK27*10</f>
        <v>0</v>
      </c>
      <c r="AM27" s="37">
        <f>($F$43-AL27)*4935/1000</f>
        <v>246.75</v>
      </c>
      <c r="AN27" s="45" t="s">
        <v>8</v>
      </c>
      <c r="AO27" s="46">
        <f>IF(AM27&lt;0,0,AM27)</f>
        <v>246.75</v>
      </c>
      <c r="AP27" s="249" t="s">
        <v>9</v>
      </c>
      <c r="AQ27" s="308" t="s">
        <v>495</v>
      </c>
    </row>
    <row r="28" spans="1:43" ht="30" customHeight="1">
      <c r="A28" s="1439" t="s">
        <v>1300</v>
      </c>
      <c r="B28" s="2188"/>
      <c r="C28" s="492"/>
      <c r="D28" s="2173"/>
      <c r="E28" s="127" t="s">
        <v>1163</v>
      </c>
      <c r="F28" s="1466">
        <v>6.5</v>
      </c>
      <c r="G28" s="1466">
        <f>R.HN!C19</f>
        <v>6.8</v>
      </c>
      <c r="H28" s="37">
        <v>7</v>
      </c>
      <c r="I28" s="37">
        <f>($F$44-H28)*4935/1000</f>
        <v>-2.4674999999999998</v>
      </c>
      <c r="J28" s="45"/>
      <c r="K28" s="46">
        <f>IF(I28&lt;0,0,I28)</f>
        <v>0</v>
      </c>
      <c r="L28" s="249" t="s">
        <v>9</v>
      </c>
      <c r="M28" s="1466">
        <f>R.HN!D19</f>
        <v>5.8</v>
      </c>
      <c r="N28" s="37">
        <v>7.2</v>
      </c>
      <c r="O28" s="37">
        <f>($F$44-N28)*4935/1000</f>
        <v>-3.4545000000000008</v>
      </c>
      <c r="P28" s="45"/>
      <c r="Q28" s="46">
        <f>IF(O28&lt;0,0,O28)</f>
        <v>0</v>
      </c>
      <c r="R28" s="249" t="s">
        <v>9</v>
      </c>
      <c r="S28" s="1466">
        <f>R.HN!E19</f>
        <v>0</v>
      </c>
      <c r="T28" s="37">
        <v>7</v>
      </c>
      <c r="U28" s="37">
        <f>($F$44-T28)*4935/1000</f>
        <v>-2.4674999999999998</v>
      </c>
      <c r="V28" s="45"/>
      <c r="W28" s="46">
        <f>IF(U28&lt;0,0,U28)</f>
        <v>0</v>
      </c>
      <c r="X28" s="249" t="s">
        <v>9</v>
      </c>
      <c r="Y28" s="1466">
        <f>R.HN!F19</f>
        <v>0</v>
      </c>
      <c r="Z28" s="37">
        <f>IFERROR(Z27/Y28,0)</f>
        <v>0</v>
      </c>
      <c r="AA28" s="37">
        <f>($F$44-Z28)*4935/1000</f>
        <v>32.077500000000001</v>
      </c>
      <c r="AB28" s="45"/>
      <c r="AC28" s="46">
        <f>IF(AA28&lt;0,0,AA28)</f>
        <v>32.077500000000001</v>
      </c>
      <c r="AD28" s="249" t="s">
        <v>9</v>
      </c>
      <c r="AE28" s="1466">
        <f>R.HN!G19</f>
        <v>0</v>
      </c>
      <c r="AF28" s="37">
        <f>IFERROR(AF27/AE28,0)</f>
        <v>0</v>
      </c>
      <c r="AG28" s="37">
        <f>($F$44-AF28)*4935/1000</f>
        <v>32.077500000000001</v>
      </c>
      <c r="AH28" s="45"/>
      <c r="AI28" s="46">
        <f>IF(AG28&lt;0,0,AG28)</f>
        <v>32.077500000000001</v>
      </c>
      <c r="AJ28" s="249" t="s">
        <v>9</v>
      </c>
      <c r="AK28" s="1466">
        <f>R.HN!H19</f>
        <v>0</v>
      </c>
      <c r="AL28" s="37">
        <f>IFERROR(AL27/AK28,0)</f>
        <v>0</v>
      </c>
      <c r="AM28" s="37">
        <f>($F$44-AL28)*4935/1000</f>
        <v>32.077500000000001</v>
      </c>
      <c r="AN28" s="45"/>
      <c r="AO28" s="46">
        <f>IF(AM28&lt;0,0,AM28)</f>
        <v>32.077500000000001</v>
      </c>
      <c r="AP28" s="249" t="s">
        <v>9</v>
      </c>
      <c r="AQ28" s="308" t="s">
        <v>495</v>
      </c>
    </row>
    <row r="29" spans="1:43" ht="30" customHeight="1">
      <c r="A29" s="1439" t="s">
        <v>1301</v>
      </c>
      <c r="B29" s="2176"/>
      <c r="C29" s="1438"/>
      <c r="D29" s="2173"/>
      <c r="E29" s="127" t="s">
        <v>1164</v>
      </c>
      <c r="F29" s="1476">
        <v>0.4</v>
      </c>
      <c r="G29" s="1466">
        <f>R.HN!C20</f>
        <v>0.14000000000000001</v>
      </c>
      <c r="H29" s="1469">
        <f>G29</f>
        <v>0.14000000000000001</v>
      </c>
      <c r="I29" s="37"/>
      <c r="J29" s="45"/>
      <c r="K29" s="48" t="s">
        <v>478</v>
      </c>
      <c r="L29" s="249" t="s">
        <v>9</v>
      </c>
      <c r="M29" s="1466">
        <f>R.HN!D20</f>
        <v>0.4</v>
      </c>
      <c r="N29" s="1469">
        <f>M29</f>
        <v>0.4</v>
      </c>
      <c r="O29" s="37"/>
      <c r="P29" s="45"/>
      <c r="Q29" s="48" t="s">
        <v>478</v>
      </c>
      <c r="R29" s="249" t="s">
        <v>9</v>
      </c>
      <c r="S29" s="1466">
        <f>R.HN!E20</f>
        <v>0</v>
      </c>
      <c r="T29" s="1469">
        <v>0.32</v>
      </c>
      <c r="U29" s="37"/>
      <c r="V29" s="45"/>
      <c r="W29" s="48" t="s">
        <v>478</v>
      </c>
      <c r="X29" s="249" t="s">
        <v>9</v>
      </c>
      <c r="Y29" s="1466">
        <f>R.HN!F20</f>
        <v>0</v>
      </c>
      <c r="Z29" s="1469">
        <f>Y29</f>
        <v>0</v>
      </c>
      <c r="AA29" s="37"/>
      <c r="AB29" s="45"/>
      <c r="AC29" s="48" t="s">
        <v>478</v>
      </c>
      <c r="AD29" s="249" t="s">
        <v>9</v>
      </c>
      <c r="AE29" s="1466">
        <f>R.HN!G20</f>
        <v>0</v>
      </c>
      <c r="AF29" s="1469">
        <f>AE29</f>
        <v>0</v>
      </c>
      <c r="AG29" s="37"/>
      <c r="AH29" s="45"/>
      <c r="AI29" s="48" t="s">
        <v>478</v>
      </c>
      <c r="AJ29" s="249" t="s">
        <v>9</v>
      </c>
      <c r="AK29" s="1466">
        <f>R.HN!H20</f>
        <v>0</v>
      </c>
      <c r="AL29" s="1469">
        <f>AK29</f>
        <v>0</v>
      </c>
      <c r="AM29" s="37"/>
      <c r="AN29" s="45"/>
      <c r="AO29" s="48" t="s">
        <v>478</v>
      </c>
      <c r="AP29" s="249" t="s">
        <v>9</v>
      </c>
      <c r="AQ29" s="308" t="s">
        <v>495</v>
      </c>
    </row>
    <row r="30" spans="1:43" ht="30" customHeight="1">
      <c r="A30" s="1439" t="s">
        <v>1302</v>
      </c>
      <c r="B30" s="2174" t="s">
        <v>484</v>
      </c>
      <c r="C30" s="2175"/>
      <c r="D30" s="54" t="s">
        <v>475</v>
      </c>
      <c r="E30" s="127" t="s">
        <v>485</v>
      </c>
      <c r="F30" s="1468">
        <v>1</v>
      </c>
      <c r="G30" s="1466">
        <f>R.HN!C21</f>
        <v>0.95</v>
      </c>
      <c r="H30" s="37">
        <f>G30</f>
        <v>0.95</v>
      </c>
      <c r="I30" s="37">
        <f>($F$30-H30)*1234/1000</f>
        <v>6.1700000000000053E-2</v>
      </c>
      <c r="J30" s="45" t="s">
        <v>8</v>
      </c>
      <c r="K30" s="48">
        <f>IF(I30&lt;0,0,I30)</f>
        <v>6.1700000000000053E-2</v>
      </c>
      <c r="L30" s="249" t="s">
        <v>9</v>
      </c>
      <c r="M30" s="1466">
        <f>R.HN!D21</f>
        <v>0.9</v>
      </c>
      <c r="N30" s="37">
        <f>M30</f>
        <v>0.9</v>
      </c>
      <c r="O30" s="37">
        <f>($F$30-N30)*1234/1000</f>
        <v>0.12339999999999998</v>
      </c>
      <c r="P30" s="45" t="s">
        <v>8</v>
      </c>
      <c r="Q30" s="48">
        <f>IF(O30&lt;0,0,O30)</f>
        <v>0.12339999999999998</v>
      </c>
      <c r="R30" s="249" t="s">
        <v>9</v>
      </c>
      <c r="S30" s="1466">
        <f>R.HN!E21</f>
        <v>0</v>
      </c>
      <c r="T30" s="37">
        <v>0.9</v>
      </c>
      <c r="U30" s="37">
        <f>($F$30-T30)*1234/1000</f>
        <v>0.12339999999999998</v>
      </c>
      <c r="V30" s="45" t="s">
        <v>8</v>
      </c>
      <c r="W30" s="48">
        <f>IF(U30&lt;0,0,U30)</f>
        <v>0.12339999999999998</v>
      </c>
      <c r="X30" s="249" t="s">
        <v>9</v>
      </c>
      <c r="Y30" s="1466">
        <f>R.HN!F21</f>
        <v>0</v>
      </c>
      <c r="Z30" s="37">
        <f>Y30</f>
        <v>0</v>
      </c>
      <c r="AA30" s="37">
        <f>($F$30-Z30)*1234/1000</f>
        <v>1.234</v>
      </c>
      <c r="AB30" s="45" t="s">
        <v>8</v>
      </c>
      <c r="AC30" s="48">
        <f>IF(AA30&lt;0,0,AA30)</f>
        <v>1.234</v>
      </c>
      <c r="AD30" s="249" t="s">
        <v>9</v>
      </c>
      <c r="AE30" s="1466">
        <f>R.HN!G21</f>
        <v>0</v>
      </c>
      <c r="AF30" s="37">
        <f>AE30</f>
        <v>0</v>
      </c>
      <c r="AG30" s="37">
        <f>($F$30-AF30)*1234/1000</f>
        <v>1.234</v>
      </c>
      <c r="AH30" s="45" t="s">
        <v>8</v>
      </c>
      <c r="AI30" s="48">
        <f>IF(AG30&lt;0,0,AG30)</f>
        <v>1.234</v>
      </c>
      <c r="AJ30" s="249" t="s">
        <v>9</v>
      </c>
      <c r="AK30" s="1466">
        <f>R.HN!H21</f>
        <v>0</v>
      </c>
      <c r="AL30" s="37">
        <f>AK30</f>
        <v>0</v>
      </c>
      <c r="AM30" s="37">
        <f>($F$30-AL30)*1234/1000</f>
        <v>1.234</v>
      </c>
      <c r="AN30" s="45" t="s">
        <v>8</v>
      </c>
      <c r="AO30" s="48">
        <f>IF(AM30&lt;0,0,AM30)</f>
        <v>1.234</v>
      </c>
      <c r="AP30" s="249" t="s">
        <v>9</v>
      </c>
      <c r="AQ30" s="308" t="s">
        <v>495</v>
      </c>
    </row>
    <row r="31" spans="1:43" ht="30" customHeight="1">
      <c r="A31" s="1439" t="s">
        <v>1303</v>
      </c>
      <c r="B31" s="2176"/>
      <c r="C31" s="2177"/>
      <c r="D31" s="54" t="s">
        <v>5</v>
      </c>
      <c r="E31" s="127" t="s">
        <v>1304</v>
      </c>
      <c r="F31" s="1470">
        <v>9.5</v>
      </c>
      <c r="G31" s="1466">
        <f>R.HN!C22</f>
        <v>9</v>
      </c>
      <c r="H31" s="37">
        <f>G31</f>
        <v>9</v>
      </c>
      <c r="I31" s="37"/>
      <c r="J31" s="45"/>
      <c r="K31" s="46"/>
      <c r="L31" s="249"/>
      <c r="M31" s="1466">
        <f>R.HN!D22</f>
        <v>9</v>
      </c>
      <c r="N31" s="37">
        <f>M31</f>
        <v>9</v>
      </c>
      <c r="O31" s="37"/>
      <c r="P31" s="45"/>
      <c r="Q31" s="46"/>
      <c r="R31" s="249"/>
      <c r="S31" s="1466">
        <f>R.HN!E22</f>
        <v>0</v>
      </c>
      <c r="T31" s="37">
        <v>9</v>
      </c>
      <c r="U31" s="37"/>
      <c r="V31" s="45"/>
      <c r="W31" s="46"/>
      <c r="X31" s="249"/>
      <c r="Y31" s="1466">
        <f>R.HN!F22</f>
        <v>0</v>
      </c>
      <c r="Z31" s="37">
        <f>Y31</f>
        <v>0</v>
      </c>
      <c r="AA31" s="37"/>
      <c r="AB31" s="45"/>
      <c r="AC31" s="46"/>
      <c r="AD31" s="249"/>
      <c r="AE31" s="1466">
        <f>R.HN!G22</f>
        <v>0</v>
      </c>
      <c r="AF31" s="37">
        <f>AE31</f>
        <v>0</v>
      </c>
      <c r="AG31" s="37"/>
      <c r="AH31" s="45"/>
      <c r="AI31" s="46"/>
      <c r="AJ31" s="249"/>
      <c r="AK31" s="1466">
        <f>R.HN!H22</f>
        <v>0</v>
      </c>
      <c r="AL31" s="37">
        <f>AK31</f>
        <v>0</v>
      </c>
      <c r="AM31" s="37"/>
      <c r="AN31" s="45"/>
      <c r="AO31" s="46"/>
      <c r="AP31" s="249"/>
      <c r="AQ31" s="308" t="s">
        <v>495</v>
      </c>
    </row>
    <row r="32" spans="1:43" ht="44.25" customHeight="1">
      <c r="A32" s="335" t="s">
        <v>76</v>
      </c>
      <c r="B32" s="336"/>
      <c r="C32" s="336"/>
      <c r="D32" s="336"/>
      <c r="E32" s="332"/>
      <c r="F32" s="336"/>
      <c r="G32" s="336"/>
      <c r="H32" s="336"/>
      <c r="I32" s="336"/>
      <c r="J32" s="336"/>
      <c r="K32" s="336"/>
      <c r="L32" s="336"/>
      <c r="M32" s="336"/>
      <c r="N32" s="337"/>
      <c r="O32" s="336"/>
      <c r="P32" s="336"/>
      <c r="Q32" s="336"/>
      <c r="R32" s="337"/>
      <c r="S32" s="336"/>
      <c r="T32" s="337"/>
      <c r="U32" s="336"/>
      <c r="V32" s="336"/>
      <c r="W32" s="336"/>
      <c r="X32" s="336"/>
      <c r="Y32" s="336"/>
      <c r="Z32" s="336"/>
      <c r="AA32" s="336"/>
      <c r="AB32" s="336"/>
      <c r="AC32" s="336"/>
      <c r="AD32" s="336"/>
      <c r="AE32" s="337"/>
      <c r="AF32" s="337"/>
      <c r="AG32" s="337"/>
      <c r="AH32" s="337"/>
      <c r="AI32" s="337"/>
      <c r="AJ32" s="337"/>
      <c r="AK32" s="337"/>
      <c r="AL32" s="337"/>
      <c r="AM32" s="337"/>
      <c r="AN32" s="337"/>
      <c r="AO32" s="337"/>
      <c r="AP32" s="1155"/>
      <c r="AQ32" s="308" t="s">
        <v>495</v>
      </c>
    </row>
    <row r="33" spans="1:43" ht="33.75" customHeight="1">
      <c r="A33" s="1210" t="s">
        <v>276</v>
      </c>
      <c r="B33" s="1870" t="s">
        <v>64</v>
      </c>
      <c r="C33" s="1872"/>
      <c r="D33" s="327" t="s">
        <v>66</v>
      </c>
      <c r="E33" s="327" t="s">
        <v>67</v>
      </c>
      <c r="F33" s="1471"/>
      <c r="G33" s="1471"/>
      <c r="H33" s="329" t="s">
        <v>48</v>
      </c>
      <c r="I33" s="330"/>
      <c r="J33" s="330"/>
      <c r="K33" s="329" t="s">
        <v>65</v>
      </c>
      <c r="L33" s="346"/>
      <c r="M33" s="327"/>
      <c r="N33" s="329" t="s">
        <v>48</v>
      </c>
      <c r="O33" s="330"/>
      <c r="P33" s="330"/>
      <c r="Q33" s="329" t="s">
        <v>65</v>
      </c>
      <c r="R33" s="346"/>
      <c r="S33" s="113"/>
      <c r="T33" s="329" t="s">
        <v>48</v>
      </c>
      <c r="U33" s="330"/>
      <c r="V33" s="330"/>
      <c r="W33" s="329" t="s">
        <v>65</v>
      </c>
      <c r="X33" s="346"/>
      <c r="Y33" s="114"/>
      <c r="Z33" s="329" t="s">
        <v>48</v>
      </c>
      <c r="AA33" s="330"/>
      <c r="AB33" s="330"/>
      <c r="AC33" s="329" t="s">
        <v>65</v>
      </c>
      <c r="AD33" s="346"/>
      <c r="AE33" s="114"/>
      <c r="AF33" s="329" t="s">
        <v>48</v>
      </c>
      <c r="AG33" s="330"/>
      <c r="AH33" s="330"/>
      <c r="AI33" s="329" t="s">
        <v>65</v>
      </c>
      <c r="AJ33" s="346"/>
      <c r="AK33" s="114"/>
      <c r="AL33" s="329" t="s">
        <v>48</v>
      </c>
      <c r="AM33" s="330"/>
      <c r="AN33" s="330"/>
      <c r="AO33" s="329" t="s">
        <v>65</v>
      </c>
      <c r="AP33" s="346"/>
      <c r="AQ33" s="308" t="s">
        <v>495</v>
      </c>
    </row>
    <row r="34" spans="1:43" ht="30" customHeight="1">
      <c r="A34" s="1439" t="s">
        <v>1305</v>
      </c>
      <c r="B34" s="1870" t="s">
        <v>498</v>
      </c>
      <c r="C34" s="1872"/>
      <c r="D34" s="22" t="s">
        <v>113</v>
      </c>
      <c r="E34" s="127" t="s">
        <v>1306</v>
      </c>
      <c r="F34" s="118"/>
      <c r="G34" s="118"/>
      <c r="H34" s="1866"/>
      <c r="I34" s="1867"/>
      <c r="J34" s="1867"/>
      <c r="K34" s="1866">
        <v>60</v>
      </c>
      <c r="L34" s="1867"/>
      <c r="M34" s="114"/>
      <c r="N34" s="1866"/>
      <c r="O34" s="1867"/>
      <c r="P34" s="1867"/>
      <c r="Q34" s="1866">
        <v>61</v>
      </c>
      <c r="R34" s="1867"/>
      <c r="S34" s="114"/>
      <c r="T34" s="1866"/>
      <c r="U34" s="1867"/>
      <c r="V34" s="1867"/>
      <c r="W34" s="1866">
        <v>60</v>
      </c>
      <c r="X34" s="1867"/>
      <c r="Y34" s="114"/>
      <c r="Z34" s="1866"/>
      <c r="AA34" s="1867"/>
      <c r="AB34" s="1867"/>
      <c r="AC34" s="1866"/>
      <c r="AD34" s="1867"/>
      <c r="AE34" s="114"/>
      <c r="AF34" s="1866"/>
      <c r="AG34" s="1867"/>
      <c r="AH34" s="1867"/>
      <c r="AI34" s="1866"/>
      <c r="AJ34" s="1867"/>
      <c r="AK34" s="114"/>
      <c r="AL34" s="1866"/>
      <c r="AM34" s="1867"/>
      <c r="AN34" s="1867"/>
      <c r="AO34" s="1869"/>
      <c r="AP34" s="1869"/>
      <c r="AQ34" s="308" t="s">
        <v>495</v>
      </c>
    </row>
    <row r="35" spans="1:43" ht="30" customHeight="1">
      <c r="A35" s="1439" t="s">
        <v>1307</v>
      </c>
      <c r="B35" s="1870" t="s">
        <v>500</v>
      </c>
      <c r="C35" s="1872"/>
      <c r="D35" s="22" t="s">
        <v>113</v>
      </c>
      <c r="E35" s="127" t="s">
        <v>1297</v>
      </c>
      <c r="F35" s="118"/>
      <c r="G35" s="118"/>
      <c r="H35" s="1866"/>
      <c r="I35" s="1867"/>
      <c r="J35" s="1867"/>
      <c r="K35" s="1866">
        <v>70</v>
      </c>
      <c r="L35" s="1867"/>
      <c r="M35" s="114"/>
      <c r="N35" s="1866"/>
      <c r="O35" s="1867"/>
      <c r="P35" s="1867"/>
      <c r="Q35" s="1866">
        <v>69</v>
      </c>
      <c r="R35" s="1867"/>
      <c r="S35" s="114"/>
      <c r="T35" s="1866"/>
      <c r="U35" s="1867"/>
      <c r="V35" s="1867"/>
      <c r="W35" s="1866">
        <v>67</v>
      </c>
      <c r="X35" s="1867"/>
      <c r="Y35" s="114"/>
      <c r="Z35" s="1866"/>
      <c r="AA35" s="1867"/>
      <c r="AB35" s="1867"/>
      <c r="AC35" s="1866"/>
      <c r="AD35" s="1867"/>
      <c r="AE35" s="114"/>
      <c r="AF35" s="1866"/>
      <c r="AG35" s="1867"/>
      <c r="AH35" s="1867"/>
      <c r="AI35" s="1866"/>
      <c r="AJ35" s="1867"/>
      <c r="AK35" s="114"/>
      <c r="AL35" s="1866"/>
      <c r="AM35" s="1867"/>
      <c r="AN35" s="1867"/>
      <c r="AO35" s="1869"/>
      <c r="AP35" s="1869"/>
      <c r="AQ35" s="308" t="s">
        <v>495</v>
      </c>
    </row>
    <row r="36" spans="1:43" ht="30" customHeight="1">
      <c r="A36" s="1439" t="s">
        <v>1308</v>
      </c>
      <c r="B36" s="1870" t="s">
        <v>484</v>
      </c>
      <c r="C36" s="1872"/>
      <c r="D36" s="22" t="s">
        <v>113</v>
      </c>
      <c r="E36" s="127" t="s">
        <v>1298</v>
      </c>
      <c r="F36" s="1477"/>
      <c r="G36" s="1477"/>
      <c r="H36" s="1866"/>
      <c r="I36" s="1867"/>
      <c r="J36" s="1867"/>
      <c r="K36" s="1866">
        <v>89</v>
      </c>
      <c r="L36" s="1867"/>
      <c r="M36" s="114"/>
      <c r="N36" s="1866"/>
      <c r="O36" s="1867"/>
      <c r="P36" s="1867"/>
      <c r="Q36" s="1866">
        <v>78</v>
      </c>
      <c r="R36" s="1867"/>
      <c r="S36" s="114"/>
      <c r="T36" s="1866"/>
      <c r="U36" s="1867"/>
      <c r="V36" s="1867"/>
      <c r="W36" s="1866">
        <v>85</v>
      </c>
      <c r="X36" s="1867"/>
      <c r="Y36" s="114"/>
      <c r="Z36" s="1866"/>
      <c r="AA36" s="1867"/>
      <c r="AB36" s="1867"/>
      <c r="AC36" s="1866"/>
      <c r="AD36" s="1867"/>
      <c r="AE36" s="114"/>
      <c r="AF36" s="1866"/>
      <c r="AG36" s="1867"/>
      <c r="AH36" s="1867"/>
      <c r="AI36" s="1866"/>
      <c r="AJ36" s="1867"/>
      <c r="AK36" s="114"/>
      <c r="AL36" s="1866"/>
      <c r="AM36" s="1867"/>
      <c r="AN36" s="1867"/>
      <c r="AO36" s="1869"/>
      <c r="AP36" s="1869"/>
      <c r="AQ36" s="308" t="s">
        <v>495</v>
      </c>
    </row>
    <row r="37" spans="1:43" ht="25.5" customHeight="1">
      <c r="A37" s="1478"/>
      <c r="B37" s="1478"/>
      <c r="C37" s="1478"/>
      <c r="D37" s="1478"/>
      <c r="E37" s="1478"/>
      <c r="F37" s="1478"/>
      <c r="G37" s="1478"/>
      <c r="H37" s="1478"/>
      <c r="I37" s="1478"/>
      <c r="J37" s="1478"/>
      <c r="K37" s="1478"/>
      <c r="L37" s="1478"/>
      <c r="M37" s="1478"/>
      <c r="N37" s="1478"/>
      <c r="O37" s="1478"/>
      <c r="P37" s="1478"/>
      <c r="Q37" s="1478"/>
      <c r="R37" s="1478"/>
      <c r="S37" s="1478"/>
      <c r="T37" s="1478"/>
      <c r="U37" s="1478"/>
      <c r="V37" s="1478"/>
      <c r="W37" s="1478"/>
      <c r="X37" s="1478"/>
      <c r="Y37" s="1478"/>
      <c r="Z37" s="1478"/>
      <c r="AA37" s="1478"/>
      <c r="AB37" s="1478"/>
      <c r="AC37" s="1478"/>
      <c r="AD37" s="1478"/>
      <c r="AP37" s="308"/>
    </row>
    <row r="38" spans="1:43" ht="41.25" customHeight="1">
      <c r="A38" s="100" t="s">
        <v>1309</v>
      </c>
      <c r="B38" s="322"/>
      <c r="C38" s="101"/>
      <c r="D38" s="101"/>
      <c r="E38" s="313"/>
      <c r="F38" s="102" t="s">
        <v>75</v>
      </c>
      <c r="G38" s="103"/>
      <c r="H38" s="467" t="s">
        <v>75</v>
      </c>
      <c r="I38" s="467"/>
      <c r="J38" s="467"/>
      <c r="K38" s="467"/>
      <c r="L38" s="467"/>
      <c r="M38" s="467"/>
      <c r="N38" s="467"/>
      <c r="O38" s="467"/>
      <c r="P38" s="467"/>
      <c r="Q38" s="467"/>
      <c r="R38" s="467"/>
      <c r="S38" s="467"/>
      <c r="T38" s="467"/>
      <c r="U38" s="467"/>
      <c r="V38" s="467"/>
      <c r="W38" s="467"/>
      <c r="X38" s="467"/>
      <c r="Y38" s="467"/>
      <c r="Z38" s="467"/>
      <c r="AA38" s="467"/>
      <c r="AB38" s="467"/>
      <c r="AC38" s="467"/>
      <c r="AD38" s="467"/>
      <c r="AE38" s="467"/>
      <c r="AF38" s="467"/>
      <c r="AG38" s="467"/>
      <c r="AH38" s="467"/>
      <c r="AI38" s="467"/>
      <c r="AJ38" s="467"/>
      <c r="AK38" s="467"/>
      <c r="AL38" s="467"/>
      <c r="AM38" s="467"/>
      <c r="AN38" s="467"/>
      <c r="AO38" s="467"/>
      <c r="AP38" s="467"/>
    </row>
    <row r="39" spans="1:43" ht="31.5" customHeight="1">
      <c r="A39" s="486"/>
      <c r="B39" s="2179" t="s">
        <v>79</v>
      </c>
      <c r="C39" s="2180"/>
      <c r="D39" s="2183" t="s">
        <v>137</v>
      </c>
      <c r="E39" s="2185" t="s">
        <v>67</v>
      </c>
      <c r="F39" s="1474"/>
      <c r="G39" s="106"/>
      <c r="H39" s="2190" t="s">
        <v>465</v>
      </c>
      <c r="I39" s="2190"/>
      <c r="J39" s="2190"/>
      <c r="K39" s="2190"/>
      <c r="L39" s="2190"/>
      <c r="M39" s="106"/>
      <c r="N39" s="2189" t="s">
        <v>428</v>
      </c>
      <c r="O39" s="2189"/>
      <c r="P39" s="2189"/>
      <c r="Q39" s="2189"/>
      <c r="R39" s="2189"/>
      <c r="S39" s="106"/>
      <c r="T39" s="2190" t="s">
        <v>429</v>
      </c>
      <c r="U39" s="2190"/>
      <c r="V39" s="2190"/>
      <c r="W39" s="2190"/>
      <c r="X39" s="2190"/>
      <c r="Y39" s="106"/>
      <c r="Z39" s="2190" t="s">
        <v>430</v>
      </c>
      <c r="AA39" s="2190"/>
      <c r="AB39" s="2190"/>
      <c r="AC39" s="2190"/>
      <c r="AD39" s="2190"/>
      <c r="AE39" s="106"/>
      <c r="AF39" s="2190" t="s">
        <v>431</v>
      </c>
      <c r="AG39" s="2190"/>
      <c r="AH39" s="2190"/>
      <c r="AI39" s="2190"/>
      <c r="AJ39" s="2190"/>
      <c r="AK39" s="106"/>
      <c r="AL39" s="2190" t="s">
        <v>432</v>
      </c>
      <c r="AM39" s="2190"/>
      <c r="AN39" s="2190"/>
      <c r="AO39" s="2190"/>
      <c r="AP39" s="2190"/>
    </row>
    <row r="40" spans="1:43" ht="31.5" customHeight="1">
      <c r="A40" s="1435" t="s">
        <v>276</v>
      </c>
      <c r="B40" s="2181"/>
      <c r="C40" s="2182"/>
      <c r="D40" s="2184"/>
      <c r="E40" s="2186"/>
      <c r="F40" s="1464" t="s">
        <v>466</v>
      </c>
      <c r="G40" s="21"/>
      <c r="H40" s="1433" t="s">
        <v>146</v>
      </c>
      <c r="I40" s="36" t="s">
        <v>1</v>
      </c>
      <c r="J40" s="332" t="s">
        <v>1</v>
      </c>
      <c r="K40" s="332"/>
      <c r="L40" s="333"/>
      <c r="M40" s="107"/>
      <c r="N40" s="1433" t="s">
        <v>146</v>
      </c>
      <c r="O40" s="36" t="s">
        <v>1</v>
      </c>
      <c r="P40" s="332" t="s">
        <v>1</v>
      </c>
      <c r="Q40" s="332"/>
      <c r="R40" s="333"/>
      <c r="S40" s="21"/>
      <c r="T40" s="1433" t="s">
        <v>146</v>
      </c>
      <c r="U40" s="36" t="s">
        <v>1</v>
      </c>
      <c r="V40" s="332" t="s">
        <v>1</v>
      </c>
      <c r="W40" s="332"/>
      <c r="X40" s="333"/>
      <c r="Y40" s="107"/>
      <c r="Z40" s="1433" t="s">
        <v>146</v>
      </c>
      <c r="AA40" s="36" t="s">
        <v>1</v>
      </c>
      <c r="AB40" s="332" t="s">
        <v>1</v>
      </c>
      <c r="AC40" s="332"/>
      <c r="AD40" s="333"/>
      <c r="AE40" s="107"/>
      <c r="AF40" s="1433" t="s">
        <v>146</v>
      </c>
      <c r="AG40" s="36" t="s">
        <v>1</v>
      </c>
      <c r="AH40" s="332" t="s">
        <v>1</v>
      </c>
      <c r="AI40" s="332"/>
      <c r="AJ40" s="333"/>
      <c r="AK40" s="107"/>
      <c r="AL40" s="1433" t="s">
        <v>146</v>
      </c>
      <c r="AM40" s="36" t="s">
        <v>1</v>
      </c>
      <c r="AN40" s="332" t="s">
        <v>1</v>
      </c>
      <c r="AO40" s="332"/>
      <c r="AP40" s="333"/>
    </row>
    <row r="41" spans="1:43" ht="31.5" customHeight="1">
      <c r="A41" s="1439" t="s">
        <v>1310</v>
      </c>
      <c r="B41" s="2080" t="s">
        <v>493</v>
      </c>
      <c r="C41" s="2082"/>
      <c r="D41" s="324" t="s">
        <v>475</v>
      </c>
      <c r="E41" s="127" t="s">
        <v>494</v>
      </c>
      <c r="F41" s="1467">
        <v>40</v>
      </c>
      <c r="G41" s="1466">
        <f>R.HN!C25</f>
        <v>0</v>
      </c>
      <c r="H41" s="37">
        <f>G41*10</f>
        <v>0</v>
      </c>
      <c r="I41" s="37">
        <f>($F$25-H41)*2330/1000</f>
        <v>93.2</v>
      </c>
      <c r="J41" s="45" t="s">
        <v>8</v>
      </c>
      <c r="K41" s="48">
        <f>IF(I41&lt;0,0,I41)</f>
        <v>93.2</v>
      </c>
      <c r="L41" s="249" t="s">
        <v>9</v>
      </c>
      <c r="M41" s="1466">
        <f>R.HN!D25</f>
        <v>0</v>
      </c>
      <c r="N41" s="37">
        <f>M41*10</f>
        <v>0</v>
      </c>
      <c r="O41" s="37">
        <f>($F$25-N41)*2330/1000</f>
        <v>93.2</v>
      </c>
      <c r="P41" s="45" t="s">
        <v>8</v>
      </c>
      <c r="Q41" s="48">
        <f>IF(O41&lt;0,0,O41)</f>
        <v>93.2</v>
      </c>
      <c r="R41" s="249" t="s">
        <v>9</v>
      </c>
      <c r="S41" s="1466">
        <f>R.HN!E25</f>
        <v>0</v>
      </c>
      <c r="T41" s="37">
        <f>S41*10</f>
        <v>0</v>
      </c>
      <c r="U41" s="37">
        <f>($F$25-T41)*2330/1000</f>
        <v>93.2</v>
      </c>
      <c r="V41" s="45" t="s">
        <v>8</v>
      </c>
      <c r="W41" s="48">
        <f>IF(U41&lt;0,0,U41)</f>
        <v>93.2</v>
      </c>
      <c r="X41" s="249" t="s">
        <v>9</v>
      </c>
      <c r="Y41" s="1466">
        <f>R.HN!F25</f>
        <v>0</v>
      </c>
      <c r="Z41" s="37">
        <f>Y41*10</f>
        <v>0</v>
      </c>
      <c r="AA41" s="37">
        <f>($F$25-Z41)*2330/1000</f>
        <v>93.2</v>
      </c>
      <c r="AB41" s="45" t="s">
        <v>8</v>
      </c>
      <c r="AC41" s="48">
        <f>IF(AA41&lt;0,0,AA41)</f>
        <v>93.2</v>
      </c>
      <c r="AD41" s="249" t="s">
        <v>9</v>
      </c>
      <c r="AE41" s="1466">
        <f>R.HN!G25</f>
        <v>0</v>
      </c>
      <c r="AF41" s="37">
        <f>AE41*10</f>
        <v>0</v>
      </c>
      <c r="AG41" s="37">
        <f>($F$25-AF41)*2330/1000</f>
        <v>93.2</v>
      </c>
      <c r="AH41" s="45" t="s">
        <v>8</v>
      </c>
      <c r="AI41" s="48">
        <f>IF(AG41&lt;0,0,AG41)</f>
        <v>93.2</v>
      </c>
      <c r="AJ41" s="249" t="s">
        <v>9</v>
      </c>
      <c r="AK41" s="1466">
        <f>R.HN!H25</f>
        <v>0</v>
      </c>
      <c r="AL41" s="37">
        <f>AK41*10</f>
        <v>0</v>
      </c>
      <c r="AM41" s="37">
        <f>($F$25-AL41)*2330/1000</f>
        <v>93.2</v>
      </c>
      <c r="AN41" s="45" t="s">
        <v>8</v>
      </c>
      <c r="AO41" s="48">
        <f>IF(AM41&lt;0,0,AM41)</f>
        <v>93.2</v>
      </c>
      <c r="AP41" s="249" t="s">
        <v>9</v>
      </c>
      <c r="AQ41" s="308" t="s">
        <v>502</v>
      </c>
    </row>
    <row r="42" spans="1:43" ht="31.5" customHeight="1">
      <c r="A42" s="1439" t="s">
        <v>1311</v>
      </c>
      <c r="B42" s="2080" t="s">
        <v>896</v>
      </c>
      <c r="C42" s="2082"/>
      <c r="D42" s="1210" t="s">
        <v>3</v>
      </c>
      <c r="E42" s="127" t="s">
        <v>470</v>
      </c>
      <c r="F42" s="1465">
        <v>12.5</v>
      </c>
      <c r="G42" s="1466">
        <f>R.HN!C26</f>
        <v>0</v>
      </c>
      <c r="H42" s="37">
        <f>(1*G42*36.5)/(1*10)</f>
        <v>0</v>
      </c>
      <c r="I42" s="37">
        <f>($F$26-H42)*2605/32</f>
        <v>1017.578125</v>
      </c>
      <c r="J42" s="45" t="s">
        <v>8</v>
      </c>
      <c r="K42" s="46">
        <f>IF(I42&lt;0,0,I42)</f>
        <v>1017.578125</v>
      </c>
      <c r="L42" s="249" t="s">
        <v>10</v>
      </c>
      <c r="M42" s="1466">
        <f>R.HN!D26</f>
        <v>0</v>
      </c>
      <c r="N42" s="37">
        <f>(1*M42*36.5)/(1*10)</f>
        <v>0</v>
      </c>
      <c r="O42" s="37">
        <f>($F$26-N42)*2605/32</f>
        <v>1017.578125</v>
      </c>
      <c r="P42" s="45" t="s">
        <v>8</v>
      </c>
      <c r="Q42" s="46">
        <f>IF(O42&lt;0,0,O42)</f>
        <v>1017.578125</v>
      </c>
      <c r="R42" s="249" t="s">
        <v>10</v>
      </c>
      <c r="S42" s="1466">
        <f>R.HN!E26</f>
        <v>0</v>
      </c>
      <c r="T42" s="37">
        <f>(1*S42*36.5)/(1*10)</f>
        <v>0</v>
      </c>
      <c r="U42" s="37">
        <f>($F$26-T42)*2605/32</f>
        <v>1017.578125</v>
      </c>
      <c r="V42" s="45" t="s">
        <v>8</v>
      </c>
      <c r="W42" s="46">
        <f>IF(U42&lt;0,0,U42)</f>
        <v>1017.578125</v>
      </c>
      <c r="X42" s="249" t="s">
        <v>10</v>
      </c>
      <c r="Y42" s="1466">
        <f>R.HN!F26</f>
        <v>0</v>
      </c>
      <c r="Z42" s="37">
        <f>(1*Y42*36.5)/(1*10)</f>
        <v>0</v>
      </c>
      <c r="AA42" s="37">
        <f>($F$26-Z42)*2605/32</f>
        <v>1017.578125</v>
      </c>
      <c r="AB42" s="45" t="s">
        <v>8</v>
      </c>
      <c r="AC42" s="46">
        <f>IF(AA42&lt;0,0,AA42)</f>
        <v>1017.578125</v>
      </c>
      <c r="AD42" s="249" t="s">
        <v>10</v>
      </c>
      <c r="AE42" s="1466">
        <f>R.HN!G26</f>
        <v>0</v>
      </c>
      <c r="AF42" s="37">
        <f>(1*AE42*36.5)/(1*10)</f>
        <v>0</v>
      </c>
      <c r="AG42" s="37">
        <f>($F$26-AF42)*2605/32</f>
        <v>1017.578125</v>
      </c>
      <c r="AH42" s="45" t="s">
        <v>8</v>
      </c>
      <c r="AI42" s="46">
        <f>IF(AG42&lt;0,0,AG42)</f>
        <v>1017.578125</v>
      </c>
      <c r="AJ42" s="249" t="s">
        <v>10</v>
      </c>
      <c r="AK42" s="1466">
        <f>R.HN!H26</f>
        <v>0</v>
      </c>
      <c r="AL42" s="37">
        <f>(1*AK42*36.5)/(1*10)</f>
        <v>0</v>
      </c>
      <c r="AM42" s="37">
        <f>($F$26-AL42)*2605/32</f>
        <v>1017.578125</v>
      </c>
      <c r="AN42" s="45" t="s">
        <v>8</v>
      </c>
      <c r="AO42" s="46">
        <f>IF(AM42&lt;0,0,AM42)</f>
        <v>1017.578125</v>
      </c>
      <c r="AP42" s="249" t="s">
        <v>10</v>
      </c>
      <c r="AQ42" s="308" t="s">
        <v>502</v>
      </c>
    </row>
    <row r="43" spans="1:43" ht="31.5" customHeight="1">
      <c r="A43" s="1439" t="s">
        <v>1312</v>
      </c>
      <c r="B43" s="2167" t="s">
        <v>474</v>
      </c>
      <c r="C43" s="2170"/>
      <c r="D43" s="2173" t="s">
        <v>475</v>
      </c>
      <c r="E43" s="127" t="s">
        <v>1162</v>
      </c>
      <c r="F43" s="1475">
        <v>50</v>
      </c>
      <c r="G43" s="1466">
        <f>R.HN!C27</f>
        <v>0</v>
      </c>
      <c r="H43" s="37">
        <f>G43*10</f>
        <v>0</v>
      </c>
      <c r="I43" s="37">
        <f>($F$43-H43)*4935/1000</f>
        <v>246.75</v>
      </c>
      <c r="J43" s="45" t="s">
        <v>8</v>
      </c>
      <c r="K43" s="46">
        <f>IF(I43&lt;0,0,I43)</f>
        <v>246.75</v>
      </c>
      <c r="L43" s="249" t="s">
        <v>9</v>
      </c>
      <c r="M43" s="1466">
        <f>R.HN!D27</f>
        <v>0</v>
      </c>
      <c r="N43" s="37">
        <f>M43*10</f>
        <v>0</v>
      </c>
      <c r="O43" s="37">
        <f>($F$43-N43)*4935/1000</f>
        <v>246.75</v>
      </c>
      <c r="P43" s="45" t="s">
        <v>8</v>
      </c>
      <c r="Q43" s="46">
        <f>IF(O43&lt;0,0,O43)</f>
        <v>246.75</v>
      </c>
      <c r="R43" s="249" t="s">
        <v>9</v>
      </c>
      <c r="S43" s="1466">
        <f>R.HN!E27</f>
        <v>0</v>
      </c>
      <c r="T43" s="37">
        <f>S43*10</f>
        <v>0</v>
      </c>
      <c r="U43" s="37">
        <f>($F$43-T43)*4935/1000</f>
        <v>246.75</v>
      </c>
      <c r="V43" s="45" t="s">
        <v>8</v>
      </c>
      <c r="W43" s="46">
        <f>IF(U43&lt;0,0,U43)</f>
        <v>246.75</v>
      </c>
      <c r="X43" s="249" t="s">
        <v>9</v>
      </c>
      <c r="Y43" s="1466">
        <f>R.HN!F27</f>
        <v>0</v>
      </c>
      <c r="Z43" s="37">
        <f>Y43*10</f>
        <v>0</v>
      </c>
      <c r="AA43" s="37">
        <f>($F$43-Z43)*4935/1000</f>
        <v>246.75</v>
      </c>
      <c r="AB43" s="45" t="s">
        <v>8</v>
      </c>
      <c r="AC43" s="46">
        <f>IF(AA43&lt;0,0,AA43)</f>
        <v>246.75</v>
      </c>
      <c r="AD43" s="249" t="s">
        <v>9</v>
      </c>
      <c r="AE43" s="1466">
        <f>R.HN!G27</f>
        <v>0</v>
      </c>
      <c r="AF43" s="37">
        <f>AE43*10</f>
        <v>0</v>
      </c>
      <c r="AG43" s="37">
        <f>($F$43-AF43)*4935/1000</f>
        <v>246.75</v>
      </c>
      <c r="AH43" s="45" t="s">
        <v>8</v>
      </c>
      <c r="AI43" s="46">
        <f>IF(AG43&lt;0,0,AG43)</f>
        <v>246.75</v>
      </c>
      <c r="AJ43" s="249" t="s">
        <v>9</v>
      </c>
      <c r="AK43" s="1466">
        <f>R.HN!H27</f>
        <v>0</v>
      </c>
      <c r="AL43" s="37">
        <f>AK43*10</f>
        <v>0</v>
      </c>
      <c r="AM43" s="37">
        <f>($F$43-AL43)*4935/1000</f>
        <v>246.75</v>
      </c>
      <c r="AN43" s="45" t="s">
        <v>8</v>
      </c>
      <c r="AO43" s="46">
        <f>IF(AM43&lt;0,0,AM43)</f>
        <v>246.75</v>
      </c>
      <c r="AP43" s="249" t="s">
        <v>9</v>
      </c>
      <c r="AQ43" s="308" t="s">
        <v>502</v>
      </c>
    </row>
    <row r="44" spans="1:43" ht="31.5" customHeight="1">
      <c r="A44" s="1439" t="s">
        <v>1313</v>
      </c>
      <c r="B44" s="2168"/>
      <c r="C44" s="2171"/>
      <c r="D44" s="2173"/>
      <c r="E44" s="127" t="s">
        <v>1163</v>
      </c>
      <c r="F44" s="1466">
        <v>6.5</v>
      </c>
      <c r="G44" s="1466">
        <f>R.HN!C28</f>
        <v>0</v>
      </c>
      <c r="H44" s="37">
        <f>IFERROR(H43/G44,0)</f>
        <v>0</v>
      </c>
      <c r="I44" s="37">
        <f>($F$44-H44)*4935/1000</f>
        <v>32.077500000000001</v>
      </c>
      <c r="J44" s="45"/>
      <c r="K44" s="46">
        <f>IF(I44&lt;0,0,I44)</f>
        <v>32.077500000000001</v>
      </c>
      <c r="L44" s="249" t="s">
        <v>9</v>
      </c>
      <c r="M44" s="1466">
        <f>R.HN!D28</f>
        <v>0</v>
      </c>
      <c r="N44" s="37">
        <f>IFERROR(N43/M44,0)</f>
        <v>0</v>
      </c>
      <c r="O44" s="37">
        <f>($F$44-N44)*4935/1000</f>
        <v>32.077500000000001</v>
      </c>
      <c r="P44" s="45"/>
      <c r="Q44" s="46">
        <f>IF(O44&lt;0,0,O44)</f>
        <v>32.077500000000001</v>
      </c>
      <c r="R44" s="249" t="s">
        <v>9</v>
      </c>
      <c r="S44" s="1466">
        <f>R.HN!E28</f>
        <v>0</v>
      </c>
      <c r="T44" s="37">
        <f>IFERROR(T43/S44,0)</f>
        <v>0</v>
      </c>
      <c r="U44" s="37">
        <f>($F$44-T44)*4935/1000</f>
        <v>32.077500000000001</v>
      </c>
      <c r="V44" s="45"/>
      <c r="W44" s="46">
        <f>IF(U44&lt;0,0,U44)</f>
        <v>32.077500000000001</v>
      </c>
      <c r="X44" s="249" t="s">
        <v>9</v>
      </c>
      <c r="Y44" s="1466">
        <f>R.HN!F28</f>
        <v>0</v>
      </c>
      <c r="Z44" s="37">
        <f>IFERROR(Z43/Y44,0)</f>
        <v>0</v>
      </c>
      <c r="AA44" s="37">
        <f>($F$44-Z44)*4935/1000</f>
        <v>32.077500000000001</v>
      </c>
      <c r="AB44" s="45"/>
      <c r="AC44" s="46">
        <f>IF(AA44&lt;0,0,AA44)</f>
        <v>32.077500000000001</v>
      </c>
      <c r="AD44" s="249" t="s">
        <v>9</v>
      </c>
      <c r="AE44" s="1466">
        <f>R.HN!G28</f>
        <v>0</v>
      </c>
      <c r="AF44" s="37">
        <f>IFERROR(AF43/AE44,0)</f>
        <v>0</v>
      </c>
      <c r="AG44" s="37">
        <f>($F$44-AF44)*4935/1000</f>
        <v>32.077500000000001</v>
      </c>
      <c r="AH44" s="45"/>
      <c r="AI44" s="46">
        <f>IF(AG44&lt;0,0,AG44)</f>
        <v>32.077500000000001</v>
      </c>
      <c r="AJ44" s="249" t="s">
        <v>9</v>
      </c>
      <c r="AK44" s="1466">
        <f>R.HN!H28</f>
        <v>0</v>
      </c>
      <c r="AL44" s="37">
        <f>IFERROR(AL43/AK44,0)</f>
        <v>0</v>
      </c>
      <c r="AM44" s="37">
        <f>($F$44-AL44)*4935/1000</f>
        <v>32.077500000000001</v>
      </c>
      <c r="AN44" s="45"/>
      <c r="AO44" s="46">
        <f>IF(AM44&lt;0,0,AM44)</f>
        <v>32.077500000000001</v>
      </c>
      <c r="AP44" s="249" t="s">
        <v>9</v>
      </c>
      <c r="AQ44" s="308" t="s">
        <v>502</v>
      </c>
    </row>
    <row r="45" spans="1:43" ht="31.5" customHeight="1">
      <c r="A45" s="1439" t="s">
        <v>1314</v>
      </c>
      <c r="B45" s="2169"/>
      <c r="C45" s="2172"/>
      <c r="D45" s="2173"/>
      <c r="E45" s="127" t="s">
        <v>1164</v>
      </c>
      <c r="F45" s="1476">
        <v>0.4</v>
      </c>
      <c r="G45" s="1466">
        <f>R.HN!C29</f>
        <v>0</v>
      </c>
      <c r="H45" s="1469">
        <f>G45</f>
        <v>0</v>
      </c>
      <c r="I45" s="37"/>
      <c r="J45" s="45"/>
      <c r="K45" s="48" t="s">
        <v>478</v>
      </c>
      <c r="L45" s="249" t="s">
        <v>9</v>
      </c>
      <c r="M45" s="1466">
        <f>R.HN!D29</f>
        <v>0</v>
      </c>
      <c r="N45" s="1469">
        <f>M45</f>
        <v>0</v>
      </c>
      <c r="O45" s="37"/>
      <c r="P45" s="45"/>
      <c r="Q45" s="48" t="s">
        <v>478</v>
      </c>
      <c r="R45" s="249" t="s">
        <v>9</v>
      </c>
      <c r="S45" s="1466">
        <f>R.HN!E29</f>
        <v>0</v>
      </c>
      <c r="T45" s="1469">
        <f>S45</f>
        <v>0</v>
      </c>
      <c r="U45" s="37"/>
      <c r="V45" s="45"/>
      <c r="W45" s="48" t="s">
        <v>478</v>
      </c>
      <c r="X45" s="249" t="s">
        <v>9</v>
      </c>
      <c r="Y45" s="1466">
        <f>R.HN!F29</f>
        <v>0</v>
      </c>
      <c r="Z45" s="1469">
        <f>Y45</f>
        <v>0</v>
      </c>
      <c r="AA45" s="37"/>
      <c r="AB45" s="45"/>
      <c r="AC45" s="48" t="s">
        <v>478</v>
      </c>
      <c r="AD45" s="249" t="s">
        <v>9</v>
      </c>
      <c r="AE45" s="1466">
        <f>R.HN!G29</f>
        <v>0</v>
      </c>
      <c r="AF45" s="1469">
        <f>AE45</f>
        <v>0</v>
      </c>
      <c r="AG45" s="37"/>
      <c r="AH45" s="45"/>
      <c r="AI45" s="48" t="s">
        <v>478</v>
      </c>
      <c r="AJ45" s="249" t="s">
        <v>9</v>
      </c>
      <c r="AK45" s="1466">
        <f>R.HN!H29</f>
        <v>0</v>
      </c>
      <c r="AL45" s="1469">
        <f>AK45</f>
        <v>0</v>
      </c>
      <c r="AM45" s="37"/>
      <c r="AN45" s="45"/>
      <c r="AO45" s="48" t="s">
        <v>478</v>
      </c>
      <c r="AP45" s="249" t="s">
        <v>9</v>
      </c>
      <c r="AQ45" s="308" t="s">
        <v>502</v>
      </c>
    </row>
    <row r="46" spans="1:43" ht="31.5" customHeight="1">
      <c r="A46" s="1439" t="s">
        <v>1315</v>
      </c>
      <c r="B46" s="2174" t="s">
        <v>484</v>
      </c>
      <c r="C46" s="2175"/>
      <c r="D46" s="54" t="s">
        <v>475</v>
      </c>
      <c r="E46" s="127" t="s">
        <v>485</v>
      </c>
      <c r="F46" s="1468">
        <v>1</v>
      </c>
      <c r="G46" s="1466">
        <f>R.HN!C33</f>
        <v>0</v>
      </c>
      <c r="H46" s="37">
        <f>G46</f>
        <v>0</v>
      </c>
      <c r="I46" s="37">
        <f>($F$30-H46)*1234/1000</f>
        <v>1.234</v>
      </c>
      <c r="J46" s="45" t="s">
        <v>8</v>
      </c>
      <c r="K46" s="48">
        <f>IF(I46&lt;0,0,I46)</f>
        <v>1.234</v>
      </c>
      <c r="L46" s="249" t="s">
        <v>9</v>
      </c>
      <c r="M46" s="1466">
        <f>R.HN!D33</f>
        <v>0</v>
      </c>
      <c r="N46" s="37">
        <f>M46</f>
        <v>0</v>
      </c>
      <c r="O46" s="37">
        <f>($F$30-N46)*1234/1000</f>
        <v>1.234</v>
      </c>
      <c r="P46" s="45" t="s">
        <v>8</v>
      </c>
      <c r="Q46" s="48">
        <f>IF(O46&lt;0,0,O46)</f>
        <v>1.234</v>
      </c>
      <c r="R46" s="249" t="s">
        <v>9</v>
      </c>
      <c r="S46" s="1466">
        <f>R.HN!E33</f>
        <v>0</v>
      </c>
      <c r="T46" s="37">
        <f>S46</f>
        <v>0</v>
      </c>
      <c r="U46" s="37">
        <f>($F$30-T46)*1234/1000</f>
        <v>1.234</v>
      </c>
      <c r="V46" s="45" t="s">
        <v>8</v>
      </c>
      <c r="W46" s="48">
        <f>IF(U46&lt;0,0,U46)</f>
        <v>1.234</v>
      </c>
      <c r="X46" s="249" t="s">
        <v>9</v>
      </c>
      <c r="Y46" s="1466">
        <f>R.HN!F33</f>
        <v>0</v>
      </c>
      <c r="Z46" s="37">
        <f>Y46</f>
        <v>0</v>
      </c>
      <c r="AA46" s="37">
        <f>($F$30-Z46)*1234/1000</f>
        <v>1.234</v>
      </c>
      <c r="AB46" s="45" t="s">
        <v>8</v>
      </c>
      <c r="AC46" s="48">
        <f>IF(AA46&lt;0,0,AA46)</f>
        <v>1.234</v>
      </c>
      <c r="AD46" s="249" t="s">
        <v>9</v>
      </c>
      <c r="AE46" s="1466">
        <f>R.HN!G33</f>
        <v>0</v>
      </c>
      <c r="AF46" s="37">
        <f>AE46</f>
        <v>0</v>
      </c>
      <c r="AG46" s="37">
        <f>($F$30-AF46)*1234/1000</f>
        <v>1.234</v>
      </c>
      <c r="AH46" s="45" t="s">
        <v>8</v>
      </c>
      <c r="AI46" s="48">
        <f>IF(AG46&lt;0,0,AG46)</f>
        <v>1.234</v>
      </c>
      <c r="AJ46" s="249" t="s">
        <v>9</v>
      </c>
      <c r="AK46" s="1466">
        <f>R.HN!H33</f>
        <v>0</v>
      </c>
      <c r="AL46" s="37">
        <f>AK46</f>
        <v>0</v>
      </c>
      <c r="AM46" s="37">
        <f>($F$30-AL46)*1234/1000</f>
        <v>1.234</v>
      </c>
      <c r="AN46" s="45" t="s">
        <v>8</v>
      </c>
      <c r="AO46" s="48">
        <f>IF(AM46&lt;0,0,AM46)</f>
        <v>1.234</v>
      </c>
      <c r="AP46" s="249" t="s">
        <v>9</v>
      </c>
      <c r="AQ46" s="308" t="s">
        <v>502</v>
      </c>
    </row>
    <row r="47" spans="1:43" ht="31.5" customHeight="1">
      <c r="A47" s="1439" t="s">
        <v>1316</v>
      </c>
      <c r="B47" s="2176"/>
      <c r="C47" s="2177"/>
      <c r="D47" s="54" t="s">
        <v>5</v>
      </c>
      <c r="E47" s="127" t="s">
        <v>1304</v>
      </c>
      <c r="F47" s="1470">
        <v>9.5</v>
      </c>
      <c r="G47" s="1466">
        <f>R.HN!C34</f>
        <v>0</v>
      </c>
      <c r="H47" s="37">
        <f>G47</f>
        <v>0</v>
      </c>
      <c r="I47" s="37"/>
      <c r="J47" s="45"/>
      <c r="K47" s="46"/>
      <c r="L47" s="249"/>
      <c r="M47" s="1466">
        <f>R.HN!D34</f>
        <v>0</v>
      </c>
      <c r="N47" s="37">
        <f>M47</f>
        <v>0</v>
      </c>
      <c r="O47" s="37"/>
      <c r="P47" s="45"/>
      <c r="Q47" s="46"/>
      <c r="R47" s="249"/>
      <c r="S47" s="1466">
        <f>R.HN!E34</f>
        <v>0</v>
      </c>
      <c r="T47" s="37">
        <f>S47</f>
        <v>0</v>
      </c>
      <c r="U47" s="37"/>
      <c r="V47" s="45"/>
      <c r="W47" s="46"/>
      <c r="X47" s="249"/>
      <c r="Y47" s="1466">
        <f>R.HN!F34</f>
        <v>0</v>
      </c>
      <c r="Z47" s="37">
        <f>Y47</f>
        <v>0</v>
      </c>
      <c r="AA47" s="37"/>
      <c r="AB47" s="45"/>
      <c r="AC47" s="46"/>
      <c r="AD47" s="249"/>
      <c r="AE47" s="1466">
        <f>R.HN!G34</f>
        <v>0</v>
      </c>
      <c r="AF47" s="37">
        <f>AE47</f>
        <v>0</v>
      </c>
      <c r="AG47" s="37"/>
      <c r="AH47" s="45"/>
      <c r="AI47" s="46"/>
      <c r="AJ47" s="249"/>
      <c r="AK47" s="1466">
        <f>R.HN!H34</f>
        <v>0</v>
      </c>
      <c r="AL47" s="37">
        <f>AK47</f>
        <v>0</v>
      </c>
      <c r="AM47" s="37"/>
      <c r="AN47" s="45"/>
      <c r="AO47" s="46"/>
      <c r="AP47" s="249"/>
      <c r="AQ47" s="308" t="s">
        <v>502</v>
      </c>
    </row>
    <row r="48" spans="1:43" ht="33" customHeight="1">
      <c r="A48" s="335" t="s">
        <v>76</v>
      </c>
      <c r="B48" s="336"/>
      <c r="C48" s="336"/>
      <c r="D48" s="336"/>
      <c r="E48" s="332"/>
      <c r="F48" s="336"/>
      <c r="G48" s="336"/>
      <c r="H48" s="336"/>
      <c r="I48" s="336"/>
      <c r="J48" s="336"/>
      <c r="K48" s="336"/>
      <c r="L48" s="336"/>
      <c r="M48" s="336"/>
      <c r="N48" s="337"/>
      <c r="O48" s="336"/>
      <c r="P48" s="336"/>
      <c r="Q48" s="336"/>
      <c r="R48" s="337"/>
      <c r="S48" s="336"/>
      <c r="T48" s="337"/>
      <c r="U48" s="336"/>
      <c r="V48" s="336"/>
      <c r="W48" s="336"/>
      <c r="X48" s="336"/>
      <c r="Y48" s="336"/>
      <c r="Z48" s="336"/>
      <c r="AA48" s="336"/>
      <c r="AB48" s="336"/>
      <c r="AC48" s="336"/>
      <c r="AD48" s="336"/>
      <c r="AE48" s="337"/>
      <c r="AF48" s="337"/>
      <c r="AG48" s="337"/>
      <c r="AH48" s="337"/>
      <c r="AI48" s="337"/>
      <c r="AJ48" s="337"/>
      <c r="AK48" s="337"/>
      <c r="AL48" s="337"/>
      <c r="AM48" s="337"/>
      <c r="AN48" s="337"/>
      <c r="AO48" s="337"/>
      <c r="AP48" s="1155"/>
    </row>
    <row r="49" spans="1:43" ht="51.75" customHeight="1">
      <c r="A49" s="1439" t="s">
        <v>276</v>
      </c>
      <c r="B49" s="1870" t="s">
        <v>64</v>
      </c>
      <c r="C49" s="1872"/>
      <c r="D49" s="327" t="s">
        <v>66</v>
      </c>
      <c r="E49" s="327" t="s">
        <v>67</v>
      </c>
      <c r="F49" s="1471"/>
      <c r="G49" s="1471"/>
      <c r="H49" s="329" t="s">
        <v>48</v>
      </c>
      <c r="I49" s="330"/>
      <c r="J49" s="330"/>
      <c r="K49" s="329" t="s">
        <v>65</v>
      </c>
      <c r="L49" s="346"/>
      <c r="M49" s="327"/>
      <c r="N49" s="329" t="s">
        <v>48</v>
      </c>
      <c r="O49" s="330"/>
      <c r="P49" s="330"/>
      <c r="Q49" s="329" t="s">
        <v>65</v>
      </c>
      <c r="R49" s="346"/>
      <c r="S49" s="113"/>
      <c r="T49" s="329" t="s">
        <v>48</v>
      </c>
      <c r="U49" s="330"/>
      <c r="V49" s="330"/>
      <c r="W49" s="329" t="s">
        <v>65</v>
      </c>
      <c r="X49" s="346"/>
      <c r="Y49" s="114"/>
      <c r="Z49" s="329" t="s">
        <v>48</v>
      </c>
      <c r="AA49" s="330"/>
      <c r="AB49" s="330"/>
      <c r="AC49" s="329" t="s">
        <v>65</v>
      </c>
      <c r="AD49" s="346"/>
      <c r="AE49" s="114"/>
      <c r="AF49" s="329" t="s">
        <v>48</v>
      </c>
      <c r="AG49" s="330"/>
      <c r="AH49" s="330"/>
      <c r="AI49" s="329" t="s">
        <v>65</v>
      </c>
      <c r="AJ49" s="346"/>
      <c r="AK49" s="114"/>
      <c r="AL49" s="329" t="s">
        <v>48</v>
      </c>
      <c r="AM49" s="330"/>
      <c r="AN49" s="330"/>
      <c r="AO49" s="329" t="s">
        <v>65</v>
      </c>
      <c r="AP49" s="346"/>
    </row>
    <row r="50" spans="1:43" ht="30" customHeight="1">
      <c r="A50" s="1439" t="s">
        <v>1317</v>
      </c>
      <c r="B50" s="1870" t="s">
        <v>498</v>
      </c>
      <c r="C50" s="1872"/>
      <c r="D50" s="22" t="s">
        <v>113</v>
      </c>
      <c r="E50" s="127" t="s">
        <v>1297</v>
      </c>
      <c r="F50" s="118"/>
      <c r="G50" s="118"/>
      <c r="H50" s="1866"/>
      <c r="I50" s="1867"/>
      <c r="J50" s="1867"/>
      <c r="K50" s="1866"/>
      <c r="L50" s="1867"/>
      <c r="M50" s="1867"/>
      <c r="N50" s="1866"/>
      <c r="O50" s="1867"/>
      <c r="P50" s="1867"/>
      <c r="Q50" s="1866"/>
      <c r="R50" s="1867"/>
      <c r="S50" s="1867"/>
      <c r="T50" s="1866"/>
      <c r="U50" s="1867"/>
      <c r="V50" s="1867"/>
      <c r="W50" s="1866"/>
      <c r="X50" s="1867"/>
      <c r="Y50" s="1867"/>
      <c r="Z50" s="1866"/>
      <c r="AA50" s="1867"/>
      <c r="AB50" s="1867"/>
      <c r="AC50" s="1866"/>
      <c r="AD50" s="1867"/>
      <c r="AE50" s="1867"/>
      <c r="AF50" s="1866"/>
      <c r="AG50" s="1867"/>
      <c r="AH50" s="1867"/>
      <c r="AI50" s="1866"/>
      <c r="AJ50" s="1867"/>
      <c r="AK50" s="1867"/>
      <c r="AL50" s="1866"/>
      <c r="AM50" s="1867"/>
      <c r="AN50" s="1867"/>
      <c r="AO50" s="1866"/>
      <c r="AP50" s="1867"/>
      <c r="AQ50" s="1867"/>
    </row>
    <row r="51" spans="1:43" ht="30" customHeight="1">
      <c r="A51" s="1439" t="s">
        <v>1318</v>
      </c>
      <c r="B51" s="1870" t="s">
        <v>491</v>
      </c>
      <c r="C51" s="1872"/>
      <c r="D51" s="22" t="s">
        <v>113</v>
      </c>
      <c r="E51" s="127" t="s">
        <v>1297</v>
      </c>
      <c r="F51" s="118"/>
      <c r="G51" s="118"/>
      <c r="H51" s="1866"/>
      <c r="I51" s="1867"/>
      <c r="J51" s="1867"/>
      <c r="K51" s="1866"/>
      <c r="L51" s="1867"/>
      <c r="M51" s="1867"/>
      <c r="N51" s="1866"/>
      <c r="O51" s="1867"/>
      <c r="P51" s="1867"/>
      <c r="Q51" s="1866"/>
      <c r="R51" s="1867"/>
      <c r="S51" s="1867"/>
      <c r="T51" s="1866"/>
      <c r="U51" s="1867"/>
      <c r="V51" s="1867"/>
      <c r="W51" s="1866"/>
      <c r="X51" s="1867"/>
      <c r="Y51" s="1867"/>
      <c r="Z51" s="1866"/>
      <c r="AA51" s="1867"/>
      <c r="AB51" s="1867"/>
      <c r="AC51" s="1866"/>
      <c r="AD51" s="1867"/>
      <c r="AE51" s="1867"/>
      <c r="AF51" s="1866"/>
      <c r="AG51" s="1867"/>
      <c r="AH51" s="1867"/>
      <c r="AI51" s="1866"/>
      <c r="AJ51" s="1867"/>
      <c r="AK51" s="1867"/>
      <c r="AL51" s="1866"/>
      <c r="AM51" s="1867"/>
      <c r="AN51" s="1867"/>
      <c r="AO51" s="1866"/>
      <c r="AP51" s="1867"/>
      <c r="AQ51" s="1867"/>
    </row>
    <row r="52" spans="1:43" ht="30" customHeight="1">
      <c r="A52" s="1439" t="s">
        <v>1319</v>
      </c>
      <c r="B52" s="1870" t="s">
        <v>484</v>
      </c>
      <c r="C52" s="1872"/>
      <c r="D52" s="22" t="s">
        <v>113</v>
      </c>
      <c r="E52" s="127" t="s">
        <v>1298</v>
      </c>
      <c r="F52" s="1477"/>
      <c r="G52" s="1477"/>
      <c r="H52" s="1866"/>
      <c r="I52" s="1867"/>
      <c r="J52" s="1867"/>
      <c r="K52" s="1866"/>
      <c r="L52" s="1867"/>
      <c r="M52" s="1867"/>
      <c r="N52" s="1866"/>
      <c r="O52" s="1867"/>
      <c r="P52" s="1867"/>
      <c r="Q52" s="1866"/>
      <c r="R52" s="1867"/>
      <c r="S52" s="1867"/>
      <c r="T52" s="1866"/>
      <c r="U52" s="1867"/>
      <c r="V52" s="1867"/>
      <c r="W52" s="1866"/>
      <c r="X52" s="1867"/>
      <c r="Y52" s="1867"/>
      <c r="Z52" s="1866"/>
      <c r="AA52" s="1867"/>
      <c r="AB52" s="1867"/>
      <c r="AC52" s="1866"/>
      <c r="AD52" s="1867"/>
      <c r="AE52" s="1867"/>
      <c r="AF52" s="1866"/>
      <c r="AG52" s="1867"/>
      <c r="AH52" s="1867"/>
      <c r="AI52" s="1866"/>
      <c r="AJ52" s="1867"/>
      <c r="AK52" s="1867"/>
      <c r="AL52" s="1866"/>
      <c r="AM52" s="1867"/>
      <c r="AN52" s="1867"/>
      <c r="AO52" s="1866"/>
      <c r="AP52" s="1867"/>
      <c r="AQ52" s="1867"/>
    </row>
    <row r="53" spans="1:43" ht="23.25" customHeight="1">
      <c r="A53" s="472"/>
      <c r="B53" s="112"/>
      <c r="C53" s="112"/>
      <c r="D53" s="1479"/>
      <c r="E53" s="698"/>
      <c r="F53" s="1477"/>
      <c r="G53" s="1477"/>
      <c r="H53" s="125"/>
      <c r="I53" s="125"/>
      <c r="J53" s="125"/>
      <c r="K53" s="125"/>
      <c r="L53" s="125"/>
      <c r="M53" s="125"/>
      <c r="N53" s="125"/>
      <c r="O53" s="125"/>
      <c r="P53" s="125"/>
      <c r="Q53" s="125"/>
      <c r="R53" s="125"/>
      <c r="S53" s="125"/>
      <c r="T53" s="125"/>
      <c r="U53" s="125"/>
      <c r="V53" s="125"/>
      <c r="W53" s="125"/>
      <c r="X53" s="125"/>
      <c r="Y53" s="125"/>
      <c r="Z53" s="125"/>
      <c r="AA53" s="125"/>
      <c r="AB53" s="125"/>
      <c r="AC53" s="125"/>
      <c r="AD53" s="125"/>
      <c r="AE53" s="125"/>
      <c r="AF53" s="125"/>
      <c r="AG53" s="125"/>
      <c r="AH53" s="125"/>
      <c r="AI53" s="125"/>
      <c r="AJ53" s="125"/>
      <c r="AK53" s="125"/>
      <c r="AL53" s="125"/>
      <c r="AM53" s="125"/>
      <c r="AN53" s="125"/>
      <c r="AO53" s="125"/>
      <c r="AP53" s="125"/>
    </row>
    <row r="54" spans="1:43" ht="30" customHeight="1">
      <c r="A54" s="1480" t="s">
        <v>515</v>
      </c>
      <c r="B54" s="1481"/>
      <c r="C54" s="1481"/>
      <c r="D54" s="1481"/>
      <c r="E54" s="1482"/>
      <c r="F54" s="1483" t="s">
        <v>75</v>
      </c>
      <c r="G54" s="1484"/>
      <c r="H54" s="1485" t="s">
        <v>75</v>
      </c>
      <c r="I54" s="502"/>
      <c r="J54" s="502"/>
      <c r="K54" s="502"/>
      <c r="L54" s="502"/>
      <c r="M54" s="502"/>
      <c r="N54" s="502"/>
      <c r="O54" s="502"/>
      <c r="P54" s="502"/>
      <c r="Q54" s="502"/>
      <c r="R54" s="1486"/>
      <c r="S54" s="1484"/>
      <c r="AD54" s="308"/>
      <c r="AP54" s="308"/>
    </row>
    <row r="55" spans="1:43" ht="30" customHeight="1">
      <c r="A55" s="486"/>
      <c r="B55" s="2179" t="s">
        <v>79</v>
      </c>
      <c r="C55" s="2180"/>
      <c r="D55" s="2183" t="s">
        <v>137</v>
      </c>
      <c r="E55" s="2185" t="s">
        <v>67</v>
      </c>
      <c r="F55" s="1462"/>
      <c r="G55" s="105"/>
      <c r="H55" s="2190" t="s">
        <v>516</v>
      </c>
      <c r="I55" s="2190"/>
      <c r="J55" s="2190"/>
      <c r="K55" s="2190"/>
      <c r="L55" s="2190"/>
      <c r="M55" s="106"/>
      <c r="N55" s="2191" t="s">
        <v>446</v>
      </c>
      <c r="O55" s="2192"/>
      <c r="P55" s="2192"/>
      <c r="Q55" s="2192"/>
      <c r="R55" s="2193"/>
      <c r="S55" s="106"/>
      <c r="T55" s="1487"/>
      <c r="U55" s="1487"/>
      <c r="V55" s="1487"/>
      <c r="W55" s="1487"/>
      <c r="X55" s="1487"/>
      <c r="Y55" s="1488"/>
      <c r="Z55" s="1487"/>
      <c r="AA55" s="1487"/>
      <c r="AB55" s="1487"/>
      <c r="AC55" s="1487"/>
      <c r="AD55" s="1487"/>
      <c r="AE55" s="1488"/>
      <c r="AF55" s="1487"/>
      <c r="AG55" s="1487"/>
      <c r="AH55" s="1487"/>
      <c r="AI55" s="1487"/>
      <c r="AJ55" s="1487"/>
      <c r="AK55" s="1488"/>
      <c r="AL55" s="1487"/>
      <c r="AM55" s="1487"/>
      <c r="AN55" s="1487"/>
      <c r="AO55" s="1487"/>
      <c r="AP55" s="1487"/>
    </row>
    <row r="56" spans="1:43" ht="30" customHeight="1">
      <c r="A56" s="1435" t="s">
        <v>276</v>
      </c>
      <c r="B56" s="2181"/>
      <c r="C56" s="2182"/>
      <c r="D56" s="2184"/>
      <c r="E56" s="2186"/>
      <c r="F56" s="1464" t="s">
        <v>466</v>
      </c>
      <c r="G56" s="21"/>
      <c r="H56" s="1433" t="s">
        <v>146</v>
      </c>
      <c r="I56" s="36" t="s">
        <v>1</v>
      </c>
      <c r="J56" s="332" t="s">
        <v>1</v>
      </c>
      <c r="K56" s="332"/>
      <c r="L56" s="333"/>
      <c r="M56" s="107"/>
      <c r="N56" s="1433" t="s">
        <v>146</v>
      </c>
      <c r="O56" s="36" t="s">
        <v>1</v>
      </c>
      <c r="P56" s="332" t="s">
        <v>1</v>
      </c>
      <c r="Q56" s="332"/>
      <c r="R56" s="333"/>
      <c r="S56" s="1489"/>
      <c r="T56" s="472"/>
      <c r="U56" s="1490"/>
      <c r="V56" s="1490"/>
      <c r="W56" s="1490"/>
      <c r="X56" s="1490"/>
      <c r="Y56" s="472"/>
      <c r="Z56" s="472"/>
      <c r="AA56" s="1490"/>
      <c r="AB56" s="1490"/>
      <c r="AC56" s="1490"/>
      <c r="AD56" s="1490"/>
      <c r="AE56" s="1491"/>
      <c r="AF56" s="472"/>
      <c r="AG56" s="1490"/>
      <c r="AH56" s="1490"/>
      <c r="AI56" s="1490"/>
      <c r="AJ56" s="1490"/>
      <c r="AK56" s="472"/>
      <c r="AL56" s="472"/>
      <c r="AM56" s="1490"/>
      <c r="AN56" s="1490"/>
      <c r="AO56" s="1490"/>
      <c r="AP56" s="1490"/>
    </row>
    <row r="57" spans="1:43" ht="36.75" customHeight="1">
      <c r="A57" s="1439" t="s">
        <v>517</v>
      </c>
      <c r="B57" s="2080" t="s">
        <v>518</v>
      </c>
      <c r="C57" s="2082"/>
      <c r="D57" s="54" t="s">
        <v>475</v>
      </c>
      <c r="E57" s="127" t="s">
        <v>519</v>
      </c>
      <c r="F57" s="1468">
        <v>15</v>
      </c>
      <c r="G57" s="1466">
        <f>R.HN!C39</f>
        <v>16.399999999999999</v>
      </c>
      <c r="H57" s="37">
        <v>16</v>
      </c>
      <c r="I57" s="37">
        <f>($F$57-H57)*2160*3.34/1000</f>
        <v>-7.2143999999999995</v>
      </c>
      <c r="J57" s="45" t="s">
        <v>8</v>
      </c>
      <c r="K57" s="46">
        <f>IF(I57&lt;0,0,I57)</f>
        <v>0</v>
      </c>
      <c r="L57" s="47" t="s">
        <v>9</v>
      </c>
      <c r="M57" s="110">
        <f>R.HN!D39</f>
        <v>16.3</v>
      </c>
      <c r="N57" s="37">
        <v>15.8</v>
      </c>
      <c r="O57" s="37">
        <f>($F$57-N57)*2160*3.34/1000</f>
        <v>-5.7715200000000051</v>
      </c>
      <c r="P57" s="45" t="s">
        <v>8</v>
      </c>
      <c r="Q57" s="46">
        <f t="shared" ref="Q57:Q63" si="0">IF(O57&lt;0,0,O57)</f>
        <v>0</v>
      </c>
      <c r="R57" s="47" t="s">
        <v>9</v>
      </c>
      <c r="S57" s="1492">
        <f>R.HN!E39</f>
        <v>0</v>
      </c>
      <c r="T57" s="1493"/>
      <c r="U57" s="1493"/>
      <c r="V57" s="1494"/>
      <c r="W57" s="1707">
        <f>N57</f>
        <v>15.8</v>
      </c>
      <c r="X57" s="1496"/>
      <c r="Y57" s="1497"/>
      <c r="Z57" s="1493"/>
      <c r="AA57" s="1493"/>
      <c r="AB57" s="1494"/>
      <c r="AC57" s="1495"/>
      <c r="AD57" s="1496"/>
      <c r="AE57" s="1497"/>
      <c r="AF57" s="1493"/>
      <c r="AG57" s="1493"/>
      <c r="AH57" s="1494"/>
      <c r="AI57" s="1495"/>
      <c r="AJ57" s="1496"/>
      <c r="AK57" s="1497"/>
      <c r="AL57" s="1493"/>
      <c r="AM57" s="1493"/>
      <c r="AN57" s="1494"/>
      <c r="AO57" s="1495"/>
      <c r="AP57" s="1496"/>
      <c r="AQ57" s="308" t="s">
        <v>520</v>
      </c>
    </row>
    <row r="58" spans="1:43" ht="30" customHeight="1">
      <c r="A58" s="1439" t="s">
        <v>521</v>
      </c>
      <c r="B58" s="2080" t="s">
        <v>522</v>
      </c>
      <c r="C58" s="2082"/>
      <c r="D58" s="54" t="s">
        <v>475</v>
      </c>
      <c r="E58" s="127" t="s">
        <v>519</v>
      </c>
      <c r="F58" s="1468">
        <v>15</v>
      </c>
      <c r="G58" s="1466">
        <f>R.HN!C40</f>
        <v>10.4</v>
      </c>
      <c r="H58" s="37">
        <v>15.1</v>
      </c>
      <c r="I58" s="37">
        <f>($F$58-H58)*2160*3.34/1000</f>
        <v>-0.72143999999999742</v>
      </c>
      <c r="J58" s="45" t="s">
        <v>8</v>
      </c>
      <c r="K58" s="46">
        <f>IF(I58&lt;0,0,I58)</f>
        <v>0</v>
      </c>
      <c r="L58" s="47" t="s">
        <v>9</v>
      </c>
      <c r="M58" s="110">
        <f>R.HN!D40</f>
        <v>10.3</v>
      </c>
      <c r="N58" s="37">
        <v>15</v>
      </c>
      <c r="O58" s="37">
        <f>($F$58-N58)*2160*3.34/1000</f>
        <v>0</v>
      </c>
      <c r="P58" s="45" t="s">
        <v>8</v>
      </c>
      <c r="Q58" s="46">
        <f t="shared" si="0"/>
        <v>0</v>
      </c>
      <c r="R58" s="47" t="s">
        <v>9</v>
      </c>
      <c r="S58" s="1492">
        <f>R.HN!E40</f>
        <v>0</v>
      </c>
      <c r="T58" s="1493"/>
      <c r="U58" s="1493"/>
      <c r="V58" s="1494"/>
      <c r="W58" s="1707">
        <f t="shared" ref="W58:W65" si="1">N58</f>
        <v>15</v>
      </c>
      <c r="X58" s="1496"/>
      <c r="Y58" s="1497"/>
      <c r="Z58" s="1493"/>
      <c r="AA58" s="1493"/>
      <c r="AB58" s="1494"/>
      <c r="AC58" s="1495"/>
      <c r="AD58" s="1496"/>
      <c r="AE58" s="1497"/>
      <c r="AF58" s="1493"/>
      <c r="AG58" s="1493"/>
      <c r="AH58" s="1494"/>
      <c r="AI58" s="1495"/>
      <c r="AJ58" s="1496"/>
      <c r="AK58" s="1497"/>
      <c r="AL58" s="1493"/>
      <c r="AM58" s="1493"/>
      <c r="AN58" s="1494"/>
      <c r="AO58" s="1495"/>
      <c r="AP58" s="1496"/>
      <c r="AQ58" s="308" t="s">
        <v>520</v>
      </c>
    </row>
    <row r="59" spans="1:43" ht="33" customHeight="1">
      <c r="A59" s="1439" t="s">
        <v>523</v>
      </c>
      <c r="B59" s="2080" t="s">
        <v>524</v>
      </c>
      <c r="C59" s="2082"/>
      <c r="D59" s="54" t="s">
        <v>475</v>
      </c>
      <c r="E59" s="127" t="s">
        <v>519</v>
      </c>
      <c r="F59" s="1468">
        <v>15</v>
      </c>
      <c r="G59" s="1466">
        <f>R.HN!C41</f>
        <v>9</v>
      </c>
      <c r="H59" s="37">
        <v>15</v>
      </c>
      <c r="I59" s="37">
        <f>($F$59-H59)*2700*3.33/1000</f>
        <v>0</v>
      </c>
      <c r="J59" s="45" t="s">
        <v>8</v>
      </c>
      <c r="K59" s="46">
        <f>IF(I59&lt;0,0,I59)</f>
        <v>0</v>
      </c>
      <c r="L59" s="47" t="s">
        <v>9</v>
      </c>
      <c r="M59" s="110">
        <f>R.HN!D41</f>
        <v>8.9</v>
      </c>
      <c r="N59" s="37">
        <v>15</v>
      </c>
      <c r="O59" s="37">
        <f>($F$59-N59)*2700*3.33/1000</f>
        <v>0</v>
      </c>
      <c r="P59" s="45" t="s">
        <v>8</v>
      </c>
      <c r="Q59" s="46">
        <f t="shared" si="0"/>
        <v>0</v>
      </c>
      <c r="R59" s="47" t="s">
        <v>9</v>
      </c>
      <c r="S59" s="1492">
        <f>R.HN!E41</f>
        <v>0</v>
      </c>
      <c r="T59" s="1493"/>
      <c r="U59" s="1493"/>
      <c r="V59" s="1494"/>
      <c r="W59" s="1707">
        <f t="shared" si="1"/>
        <v>15</v>
      </c>
      <c r="X59" s="1496"/>
      <c r="Y59" s="1497"/>
      <c r="Z59" s="1493"/>
      <c r="AA59" s="1493"/>
      <c r="AB59" s="1494"/>
      <c r="AC59" s="1495"/>
      <c r="AD59" s="1496"/>
      <c r="AE59" s="1497"/>
      <c r="AF59" s="1493"/>
      <c r="AG59" s="1493"/>
      <c r="AH59" s="1494"/>
      <c r="AI59" s="1495"/>
      <c r="AJ59" s="1496"/>
      <c r="AK59" s="1497"/>
      <c r="AL59" s="1493"/>
      <c r="AM59" s="1493"/>
      <c r="AN59" s="1494"/>
      <c r="AO59" s="1495"/>
      <c r="AP59" s="1496"/>
      <c r="AQ59" s="308" t="s">
        <v>520</v>
      </c>
    </row>
    <row r="60" spans="1:43" ht="35.25" customHeight="1">
      <c r="A60" s="1439" t="s">
        <v>525</v>
      </c>
      <c r="B60" s="2080" t="s">
        <v>526</v>
      </c>
      <c r="C60" s="2082"/>
      <c r="D60" s="54" t="s">
        <v>475</v>
      </c>
      <c r="E60" s="127" t="s">
        <v>1320</v>
      </c>
      <c r="F60" s="1468">
        <v>10</v>
      </c>
      <c r="G60" s="1466">
        <f>R.HN!C42</f>
        <v>0</v>
      </c>
      <c r="H60" s="37">
        <v>10.199999999999999</v>
      </c>
      <c r="I60" s="37">
        <f>($F$60-H60)*2160*5.77/1000</f>
        <v>-2.4926399999999909</v>
      </c>
      <c r="J60" s="45" t="s">
        <v>8</v>
      </c>
      <c r="K60" s="46">
        <f>IF(I60&lt;0,0,I60)</f>
        <v>0</v>
      </c>
      <c r="L60" s="47" t="s">
        <v>10</v>
      </c>
      <c r="M60" s="110">
        <f>R.HN!D42</f>
        <v>0</v>
      </c>
      <c r="N60" s="37">
        <v>10.1</v>
      </c>
      <c r="O60" s="37">
        <f>($F$60-N60)*2160*5.77/1000</f>
        <v>-1.2463199999999954</v>
      </c>
      <c r="P60" s="45" t="s">
        <v>8</v>
      </c>
      <c r="Q60" s="46">
        <f t="shared" si="0"/>
        <v>0</v>
      </c>
      <c r="R60" s="47" t="s">
        <v>10</v>
      </c>
      <c r="S60" s="1492">
        <f>R.HN!E42</f>
        <v>0</v>
      </c>
      <c r="T60" s="1493"/>
      <c r="U60" s="1493"/>
      <c r="V60" s="1494"/>
      <c r="W60" s="1707">
        <f t="shared" si="1"/>
        <v>10.1</v>
      </c>
      <c r="X60" s="1496"/>
      <c r="Y60" s="1497"/>
      <c r="Z60" s="1493"/>
      <c r="AA60" s="1493"/>
      <c r="AB60" s="1494"/>
      <c r="AC60" s="1495"/>
      <c r="AD60" s="1496"/>
      <c r="AE60" s="1497"/>
      <c r="AF60" s="1493"/>
      <c r="AG60" s="1493"/>
      <c r="AH60" s="1494"/>
      <c r="AI60" s="1495"/>
      <c r="AJ60" s="1496"/>
      <c r="AK60" s="1497"/>
      <c r="AL60" s="1493"/>
      <c r="AM60" s="1493"/>
      <c r="AN60" s="1494"/>
      <c r="AO60" s="1495"/>
      <c r="AP60" s="1496"/>
      <c r="AQ60" s="308" t="s">
        <v>520</v>
      </c>
    </row>
    <row r="61" spans="1:43" ht="38.25" customHeight="1">
      <c r="A61" s="1439" t="s">
        <v>527</v>
      </c>
      <c r="B61" s="2080" t="s">
        <v>528</v>
      </c>
      <c r="C61" s="2082"/>
      <c r="D61" s="54" t="s">
        <v>475</v>
      </c>
      <c r="E61" s="127" t="s">
        <v>529</v>
      </c>
      <c r="F61" s="1465">
        <v>1.5</v>
      </c>
      <c r="G61" s="1466">
        <f>R.HN!C43</f>
        <v>0.48</v>
      </c>
      <c r="H61" s="1469">
        <f t="shared" ref="H57:H63" si="2">G61</f>
        <v>0.48</v>
      </c>
      <c r="I61" s="37">
        <f>(H61-$F$61)*2430*3.3/1000</f>
        <v>-8.1793799999999983</v>
      </c>
      <c r="J61" s="45" t="s">
        <v>8</v>
      </c>
      <c r="K61" s="48">
        <f>IF(I61&lt;0,0,I61)</f>
        <v>0</v>
      </c>
      <c r="L61" s="47" t="s">
        <v>9</v>
      </c>
      <c r="M61" s="110">
        <f>R.HN!D43</f>
        <v>0.5</v>
      </c>
      <c r="N61" s="1469">
        <f t="shared" ref="N57:N63" si="3">M61</f>
        <v>0.5</v>
      </c>
      <c r="O61" s="37">
        <f>(N61-$F$61)*2430*3.3/1000</f>
        <v>-8.0190000000000001</v>
      </c>
      <c r="P61" s="45" t="s">
        <v>8</v>
      </c>
      <c r="Q61" s="48">
        <f t="shared" si="0"/>
        <v>0</v>
      </c>
      <c r="R61" s="47" t="s">
        <v>9</v>
      </c>
      <c r="S61" s="1492">
        <f>R.HN!E43</f>
        <v>0</v>
      </c>
      <c r="T61" s="1493"/>
      <c r="U61" s="1493"/>
      <c r="V61" s="1494"/>
      <c r="W61" s="1707">
        <f t="shared" si="1"/>
        <v>0.5</v>
      </c>
      <c r="X61" s="1496"/>
      <c r="Y61" s="1497"/>
      <c r="Z61" s="1493"/>
      <c r="AA61" s="1493"/>
      <c r="AB61" s="1494"/>
      <c r="AC61" s="1498"/>
      <c r="AD61" s="1496"/>
      <c r="AE61" s="1497"/>
      <c r="AF61" s="1493"/>
      <c r="AG61" s="1493"/>
      <c r="AH61" s="1494"/>
      <c r="AI61" s="1498"/>
      <c r="AJ61" s="1496"/>
      <c r="AK61" s="1497"/>
      <c r="AL61" s="1493"/>
      <c r="AM61" s="1493"/>
      <c r="AN61" s="1494"/>
      <c r="AO61" s="1498"/>
      <c r="AP61" s="1496"/>
      <c r="AQ61" s="308" t="s">
        <v>520</v>
      </c>
    </row>
    <row r="62" spans="1:43" ht="36.75" customHeight="1">
      <c r="A62" s="1439" t="s">
        <v>530</v>
      </c>
      <c r="B62" s="2080" t="s">
        <v>531</v>
      </c>
      <c r="C62" s="2082"/>
      <c r="D62" s="54" t="s">
        <v>475</v>
      </c>
      <c r="E62" s="127" t="s">
        <v>532</v>
      </c>
      <c r="F62" s="1468">
        <v>22</v>
      </c>
      <c r="G62" s="1466">
        <f>R.HN!C44</f>
        <v>19.2</v>
      </c>
      <c r="H62" s="37">
        <v>20.6</v>
      </c>
      <c r="I62" s="37">
        <f>($F$62-H62)*2430*4/1000</f>
        <v>13.607999999999986</v>
      </c>
      <c r="J62" s="45" t="s">
        <v>8</v>
      </c>
      <c r="K62" s="46">
        <f t="shared" ref="K62:K63" si="4">IF(I62&lt;0,0,I62)</f>
        <v>13.607999999999986</v>
      </c>
      <c r="L62" s="47" t="s">
        <v>9</v>
      </c>
      <c r="M62" s="110">
        <f>R.HN!D44</f>
        <v>20</v>
      </c>
      <c r="N62" s="37">
        <v>21</v>
      </c>
      <c r="O62" s="37">
        <f>($F$62-N62)*2430*4/1000</f>
        <v>9.7200000000000006</v>
      </c>
      <c r="P62" s="45" t="s">
        <v>8</v>
      </c>
      <c r="Q62" s="46">
        <f t="shared" si="0"/>
        <v>9.7200000000000006</v>
      </c>
      <c r="R62" s="47" t="s">
        <v>9</v>
      </c>
      <c r="S62" s="1492">
        <f>R.HN!E44</f>
        <v>0</v>
      </c>
      <c r="T62" s="1493"/>
      <c r="U62" s="1493"/>
      <c r="V62" s="1494"/>
      <c r="W62" s="1707">
        <f t="shared" si="1"/>
        <v>21</v>
      </c>
      <c r="X62" s="1496"/>
      <c r="Y62" s="1497"/>
      <c r="Z62" s="1493"/>
      <c r="AA62" s="1493"/>
      <c r="AB62" s="1494"/>
      <c r="AC62" s="1495"/>
      <c r="AD62" s="1496"/>
      <c r="AE62" s="1497"/>
      <c r="AF62" s="1493"/>
      <c r="AG62" s="1493"/>
      <c r="AH62" s="1494"/>
      <c r="AI62" s="1495"/>
      <c r="AJ62" s="1496"/>
      <c r="AK62" s="1497"/>
      <c r="AL62" s="1493"/>
      <c r="AM62" s="1493"/>
      <c r="AN62" s="1494"/>
      <c r="AO62" s="1495"/>
      <c r="AP62" s="1496"/>
      <c r="AQ62" s="308" t="s">
        <v>520</v>
      </c>
    </row>
    <row r="63" spans="1:43" ht="34.5" customHeight="1">
      <c r="A63" s="1439" t="s">
        <v>533</v>
      </c>
      <c r="B63" s="2080" t="s">
        <v>534</v>
      </c>
      <c r="C63" s="2082"/>
      <c r="D63" s="54" t="s">
        <v>475</v>
      </c>
      <c r="E63" s="503" t="s">
        <v>535</v>
      </c>
      <c r="F63" s="1465">
        <v>7.5</v>
      </c>
      <c r="G63" s="1466">
        <f>R.HN!C45</f>
        <v>8.3000000000000007</v>
      </c>
      <c r="H63" s="37">
        <f t="shared" si="2"/>
        <v>8.3000000000000007</v>
      </c>
      <c r="I63" s="37">
        <f>($F$63-H63)*2430*0.43/1000</f>
        <v>-0.83592000000000077</v>
      </c>
      <c r="J63" s="45" t="s">
        <v>8</v>
      </c>
      <c r="K63" s="48">
        <f t="shared" si="4"/>
        <v>0</v>
      </c>
      <c r="L63" s="47" t="s">
        <v>9</v>
      </c>
      <c r="M63" s="110">
        <f>R.HN!D45</f>
        <v>8</v>
      </c>
      <c r="N63" s="37">
        <f t="shared" si="3"/>
        <v>8</v>
      </c>
      <c r="O63" s="37">
        <f>($F$63-N63)*2430*0.43/1000</f>
        <v>-0.52245000000000008</v>
      </c>
      <c r="P63" s="45" t="s">
        <v>8</v>
      </c>
      <c r="Q63" s="48">
        <f t="shared" si="0"/>
        <v>0</v>
      </c>
      <c r="R63" s="47" t="s">
        <v>9</v>
      </c>
      <c r="S63" s="1492">
        <f>R.HN!E45</f>
        <v>0</v>
      </c>
      <c r="T63" s="1493"/>
      <c r="U63" s="1493"/>
      <c r="V63" s="1494"/>
      <c r="W63" s="1707">
        <f t="shared" si="1"/>
        <v>8</v>
      </c>
      <c r="X63" s="1496"/>
      <c r="Y63" s="1497"/>
      <c r="Z63" s="1493"/>
      <c r="AA63" s="1493"/>
      <c r="AB63" s="1494"/>
      <c r="AC63" s="1498"/>
      <c r="AD63" s="1496"/>
      <c r="AE63" s="1497"/>
      <c r="AF63" s="1493"/>
      <c r="AG63" s="1493"/>
      <c r="AH63" s="1494"/>
      <c r="AI63" s="1498"/>
      <c r="AJ63" s="1496"/>
      <c r="AK63" s="1497"/>
      <c r="AL63" s="1493"/>
      <c r="AM63" s="1493"/>
      <c r="AN63" s="1494"/>
      <c r="AO63" s="1498"/>
      <c r="AP63" s="1496"/>
      <c r="AQ63" s="308" t="s">
        <v>520</v>
      </c>
    </row>
    <row r="64" spans="1:43" ht="36.75" customHeight="1">
      <c r="A64" s="1439" t="s">
        <v>536</v>
      </c>
      <c r="B64" s="2080" t="s">
        <v>537</v>
      </c>
      <c r="C64" s="2082"/>
      <c r="D64" s="54" t="s">
        <v>5</v>
      </c>
      <c r="E64" s="127" t="s">
        <v>538</v>
      </c>
      <c r="F64" s="1499"/>
      <c r="G64" s="1466">
        <f>R.HN!C46</f>
        <v>8</v>
      </c>
      <c r="H64" s="37">
        <f>R.HN!C46</f>
        <v>8</v>
      </c>
      <c r="I64" s="37"/>
      <c r="J64" s="45"/>
      <c r="K64" s="48"/>
      <c r="L64" s="47"/>
      <c r="M64" s="110" t="e">
        <f>R.HN!#REF!</f>
        <v>#REF!</v>
      </c>
      <c r="N64" s="37">
        <f>R.HN!D46</f>
        <v>7.8</v>
      </c>
      <c r="O64" s="37"/>
      <c r="P64" s="45"/>
      <c r="Q64" s="48"/>
      <c r="R64" s="47"/>
      <c r="S64" s="1492" t="e">
        <f>R.HN!#REF!</f>
        <v>#REF!</v>
      </c>
      <c r="T64" s="1493"/>
      <c r="U64" s="1493"/>
      <c r="V64" s="1494"/>
      <c r="W64" s="1707">
        <f t="shared" si="1"/>
        <v>7.8</v>
      </c>
      <c r="X64" s="1496"/>
      <c r="Y64" s="1497"/>
      <c r="Z64" s="1493"/>
      <c r="AA64" s="1493"/>
      <c r="AB64" s="1494"/>
      <c r="AC64" s="1498"/>
      <c r="AD64" s="1496"/>
      <c r="AE64" s="1497"/>
      <c r="AF64" s="1493"/>
      <c r="AG64" s="1493"/>
      <c r="AH64" s="1494"/>
      <c r="AI64" s="1498"/>
      <c r="AJ64" s="1496"/>
      <c r="AK64" s="1497"/>
      <c r="AL64" s="1493"/>
      <c r="AM64" s="1493"/>
      <c r="AN64" s="1494"/>
      <c r="AO64" s="1498"/>
      <c r="AP64" s="1496"/>
      <c r="AQ64" s="308" t="s">
        <v>520</v>
      </c>
    </row>
    <row r="65" spans="1:43" ht="34.5" customHeight="1">
      <c r="A65" s="1439" t="s">
        <v>539</v>
      </c>
      <c r="B65" s="2080" t="s">
        <v>540</v>
      </c>
      <c r="C65" s="2082"/>
      <c r="D65" s="54" t="s">
        <v>5</v>
      </c>
      <c r="E65" s="503" t="s">
        <v>541</v>
      </c>
      <c r="F65" s="1465"/>
      <c r="G65" s="1466">
        <f>R.HN!C44</f>
        <v>19.2</v>
      </c>
      <c r="H65" s="37">
        <f>R.HN!C47</f>
        <v>5.5</v>
      </c>
      <c r="I65" s="37"/>
      <c r="J65" s="45"/>
      <c r="K65" s="48"/>
      <c r="L65" s="47"/>
      <c r="M65" s="110">
        <f>R.HN!D44</f>
        <v>20</v>
      </c>
      <c r="N65" s="37">
        <f>R.HN!D47</f>
        <v>5.5</v>
      </c>
      <c r="O65" s="37"/>
      <c r="P65" s="45"/>
      <c r="Q65" s="48"/>
      <c r="R65" s="47"/>
      <c r="S65" s="1492">
        <f>R.HN!E44</f>
        <v>0</v>
      </c>
      <c r="T65" s="1493"/>
      <c r="U65" s="1493"/>
      <c r="V65" s="1494"/>
      <c r="W65" s="1707">
        <f t="shared" si="1"/>
        <v>5.5</v>
      </c>
      <c r="X65" s="1496"/>
      <c r="Y65" s="1497"/>
      <c r="Z65" s="1493"/>
      <c r="AA65" s="1493"/>
      <c r="AB65" s="1494"/>
      <c r="AC65" s="1498"/>
      <c r="AD65" s="1496"/>
      <c r="AE65" s="1497"/>
      <c r="AF65" s="1493"/>
      <c r="AG65" s="1493"/>
      <c r="AH65" s="1494"/>
      <c r="AI65" s="1498"/>
      <c r="AJ65" s="1496"/>
      <c r="AK65" s="1497"/>
      <c r="AL65" s="1493"/>
      <c r="AM65" s="1493"/>
      <c r="AN65" s="1494"/>
      <c r="AO65" s="1498"/>
      <c r="AP65" s="1496"/>
      <c r="AQ65" s="308" t="s">
        <v>520</v>
      </c>
    </row>
    <row r="66" spans="1:43" ht="34.5" hidden="1" customHeight="1">
      <c r="A66" s="1439" t="s">
        <v>542</v>
      </c>
      <c r="B66" s="2080" t="s">
        <v>543</v>
      </c>
      <c r="C66" s="2082"/>
      <c r="D66" s="54" t="s">
        <v>5</v>
      </c>
      <c r="E66" s="503" t="s">
        <v>541</v>
      </c>
      <c r="F66" s="1465"/>
      <c r="G66" s="1466"/>
      <c r="H66" s="37">
        <f>R.HN!C48</f>
        <v>0</v>
      </c>
      <c r="I66" s="37"/>
      <c r="J66" s="45"/>
      <c r="K66" s="48"/>
      <c r="L66" s="47"/>
      <c r="M66" s="110"/>
      <c r="N66" s="37">
        <f>R.HN!D48</f>
        <v>0</v>
      </c>
      <c r="O66" s="37"/>
      <c r="P66" s="45"/>
      <c r="Q66" s="48"/>
      <c r="R66" s="47"/>
      <c r="S66" s="1492"/>
      <c r="T66" s="1493"/>
      <c r="U66" s="1493"/>
      <c r="V66" s="1494"/>
      <c r="W66" s="1498"/>
      <c r="X66" s="1496"/>
      <c r="Y66" s="1497"/>
      <c r="Z66" s="1493"/>
      <c r="AA66" s="1493"/>
      <c r="AB66" s="1494"/>
      <c r="AC66" s="1498"/>
      <c r="AD66" s="1496"/>
      <c r="AE66" s="1497"/>
      <c r="AF66" s="1493"/>
      <c r="AG66" s="1493"/>
      <c r="AH66" s="1494"/>
      <c r="AI66" s="1498"/>
      <c r="AJ66" s="1496"/>
      <c r="AK66" s="1497"/>
      <c r="AL66" s="1493"/>
      <c r="AM66" s="1493"/>
      <c r="AN66" s="1494"/>
      <c r="AO66" s="1498"/>
      <c r="AP66" s="1496"/>
      <c r="AQ66" s="308" t="s">
        <v>520</v>
      </c>
    </row>
    <row r="67" spans="1:43" ht="34.5" customHeight="1">
      <c r="A67" s="1439" t="s">
        <v>544</v>
      </c>
      <c r="B67" s="2080" t="s">
        <v>415</v>
      </c>
      <c r="C67" s="2082"/>
      <c r="D67" s="54" t="s">
        <v>3</v>
      </c>
      <c r="E67" s="503" t="s">
        <v>416</v>
      </c>
      <c r="F67" s="1500">
        <v>15</v>
      </c>
      <c r="G67" s="1466"/>
      <c r="H67" s="504">
        <f>IFERROR('ED-XI DEN'!L15*100,"")</f>
        <v>7.8643278743037639</v>
      </c>
      <c r="I67" s="37">
        <f>($F$67-H67)*2295/100</f>
        <v>163.76367528472861</v>
      </c>
      <c r="J67" s="45" t="s">
        <v>8</v>
      </c>
      <c r="K67" s="48">
        <f>IFERROR(IF(I67&lt;0,0,I67),"")</f>
        <v>163.76367528472861</v>
      </c>
      <c r="L67" s="47" t="s">
        <v>10</v>
      </c>
      <c r="M67" s="110"/>
      <c r="N67" s="48" t="s">
        <v>1321</v>
      </c>
      <c r="O67" s="37"/>
      <c r="P67" s="45"/>
      <c r="Q67" s="48"/>
      <c r="R67" s="47"/>
      <c r="S67" s="1492"/>
      <c r="T67" s="1493"/>
      <c r="U67" s="1493"/>
      <c r="V67" s="1494"/>
      <c r="W67" s="1498">
        <f>H67</f>
        <v>7.8643278743037639</v>
      </c>
      <c r="X67" s="1496"/>
      <c r="Y67" s="1497"/>
      <c r="Z67" s="1493"/>
      <c r="AA67" s="1493"/>
      <c r="AB67" s="1494"/>
      <c r="AC67" s="1498"/>
      <c r="AD67" s="1496"/>
      <c r="AE67" s="1497"/>
      <c r="AF67" s="1493"/>
      <c r="AG67" s="1493"/>
      <c r="AH67" s="1494"/>
      <c r="AI67" s="1498"/>
      <c r="AJ67" s="1496"/>
      <c r="AK67" s="1497"/>
      <c r="AL67" s="1493"/>
      <c r="AM67" s="1493"/>
      <c r="AN67" s="1494"/>
      <c r="AO67" s="1498"/>
      <c r="AP67" s="1496"/>
      <c r="AQ67" s="308" t="s">
        <v>520</v>
      </c>
    </row>
    <row r="68" spans="1:43" ht="34.5" customHeight="1">
      <c r="A68" s="1439" t="s">
        <v>545</v>
      </c>
      <c r="B68" s="2080" t="s">
        <v>417</v>
      </c>
      <c r="C68" s="2082"/>
      <c r="D68" s="54" t="s">
        <v>3</v>
      </c>
      <c r="E68" s="503" t="s">
        <v>418</v>
      </c>
      <c r="F68" s="1500">
        <v>12</v>
      </c>
      <c r="G68" s="1466"/>
      <c r="H68" s="504">
        <f>IFERROR('ED-XI DEN'!L16*100,"")</f>
        <v>8.6380074844838344</v>
      </c>
      <c r="I68" s="37">
        <f>($F$68-H68)*2295/100</f>
        <v>77.157728231096002</v>
      </c>
      <c r="J68" s="45" t="s">
        <v>8</v>
      </c>
      <c r="K68" s="48">
        <f>IFERROR(IF(I68&lt;0,0,I68),"")</f>
        <v>77.157728231096002</v>
      </c>
      <c r="L68" s="47" t="s">
        <v>10</v>
      </c>
      <c r="M68" s="110"/>
      <c r="N68" s="48" t="s">
        <v>1321</v>
      </c>
      <c r="O68" s="37"/>
      <c r="P68" s="45"/>
      <c r="Q68" s="48"/>
      <c r="R68" s="47"/>
      <c r="S68" s="1492"/>
      <c r="T68" s="1493"/>
      <c r="U68" s="1493"/>
      <c r="V68" s="1494"/>
      <c r="W68" s="1498">
        <f t="shared" ref="W68:W72" si="5">H68</f>
        <v>8.6380074844838344</v>
      </c>
      <c r="X68" s="1496"/>
      <c r="Y68" s="1497"/>
      <c r="Z68" s="1493"/>
      <c r="AA68" s="1493"/>
      <c r="AB68" s="1494"/>
      <c r="AC68" s="1498"/>
      <c r="AD68" s="1496"/>
      <c r="AE68" s="1497"/>
      <c r="AF68" s="1493"/>
      <c r="AG68" s="1493"/>
      <c r="AH68" s="1494"/>
      <c r="AI68" s="1498"/>
      <c r="AJ68" s="1496"/>
      <c r="AK68" s="1497"/>
      <c r="AL68" s="1493"/>
      <c r="AM68" s="1493"/>
      <c r="AN68" s="1494"/>
      <c r="AO68" s="1498"/>
      <c r="AP68" s="1496"/>
      <c r="AQ68" s="308" t="s">
        <v>520</v>
      </c>
    </row>
    <row r="69" spans="1:43" ht="34.5" hidden="1" customHeight="1">
      <c r="A69" s="1439" t="s">
        <v>546</v>
      </c>
      <c r="B69" s="2080" t="s">
        <v>419</v>
      </c>
      <c r="C69" s="2082"/>
      <c r="D69" s="54" t="s">
        <v>3</v>
      </c>
      <c r="E69" s="503" t="s">
        <v>416</v>
      </c>
      <c r="F69" s="1500">
        <v>15</v>
      </c>
      <c r="G69" s="1466"/>
      <c r="H69" s="505" t="str">
        <f>IFERROR('ED-XI DEN'!L17*100,"")</f>
        <v/>
      </c>
      <c r="I69" s="37" t="e">
        <f>($F$69-H69)*2295/100</f>
        <v>#VALUE!</v>
      </c>
      <c r="J69" s="45" t="s">
        <v>8</v>
      </c>
      <c r="K69" s="48" t="str">
        <f t="shared" ref="K69:K70" si="6">IFERROR(IF(I69&lt;0,0,I69),"")</f>
        <v/>
      </c>
      <c r="L69" s="47" t="s">
        <v>10</v>
      </c>
      <c r="M69" s="110"/>
      <c r="N69" s="48" t="s">
        <v>1321</v>
      </c>
      <c r="O69" s="37"/>
      <c r="P69" s="45"/>
      <c r="Q69" s="48"/>
      <c r="R69" s="47"/>
      <c r="S69" s="1492"/>
      <c r="T69" s="1493"/>
      <c r="U69" s="1493"/>
      <c r="V69" s="1494"/>
      <c r="W69" s="1498" t="str">
        <f t="shared" si="5"/>
        <v/>
      </c>
      <c r="X69" s="1496"/>
      <c r="Y69" s="1497"/>
      <c r="Z69" s="1493"/>
      <c r="AA69" s="1493"/>
      <c r="AB69" s="1494"/>
      <c r="AC69" s="1498"/>
      <c r="AD69" s="1496"/>
      <c r="AE69" s="1497"/>
      <c r="AF69" s="1493"/>
      <c r="AG69" s="1493"/>
      <c r="AH69" s="1494"/>
      <c r="AI69" s="1498"/>
      <c r="AJ69" s="1496"/>
      <c r="AK69" s="1497"/>
      <c r="AL69" s="1493"/>
      <c r="AM69" s="1493"/>
      <c r="AN69" s="1494"/>
      <c r="AO69" s="1498"/>
      <c r="AP69" s="1496"/>
      <c r="AQ69" s="308" t="s">
        <v>520</v>
      </c>
    </row>
    <row r="70" spans="1:43" ht="34.5" hidden="1" customHeight="1">
      <c r="A70" s="1439" t="s">
        <v>547</v>
      </c>
      <c r="B70" s="2080" t="s">
        <v>420</v>
      </c>
      <c r="C70" s="2082"/>
      <c r="D70" s="54" t="s">
        <v>3</v>
      </c>
      <c r="E70" s="503" t="s">
        <v>418</v>
      </c>
      <c r="F70" s="1500">
        <v>12</v>
      </c>
      <c r="G70" s="1466"/>
      <c r="H70" s="505" t="str">
        <f>IFERROR('ED-XI DEN'!L18*100,"")</f>
        <v/>
      </c>
      <c r="I70" s="37" t="e">
        <f>($F$70-H70)*2295/100</f>
        <v>#VALUE!</v>
      </c>
      <c r="J70" s="45" t="s">
        <v>8</v>
      </c>
      <c r="K70" s="48" t="str">
        <f t="shared" si="6"/>
        <v/>
      </c>
      <c r="L70" s="47" t="s">
        <v>10</v>
      </c>
      <c r="M70" s="110"/>
      <c r="N70" s="48" t="s">
        <v>1321</v>
      </c>
      <c r="O70" s="37"/>
      <c r="P70" s="45"/>
      <c r="Q70" s="48"/>
      <c r="R70" s="47"/>
      <c r="S70" s="1492"/>
      <c r="T70" s="1493"/>
      <c r="U70" s="1493"/>
      <c r="V70" s="1494"/>
      <c r="W70" s="1498" t="str">
        <f t="shared" si="5"/>
        <v/>
      </c>
      <c r="X70" s="1496"/>
      <c r="Y70" s="1497"/>
      <c r="Z70" s="1493"/>
      <c r="AA70" s="1493"/>
      <c r="AB70" s="1494"/>
      <c r="AC70" s="1498"/>
      <c r="AD70" s="1496"/>
      <c r="AE70" s="1497"/>
      <c r="AF70" s="1493"/>
      <c r="AG70" s="1493"/>
      <c r="AH70" s="1494"/>
      <c r="AI70" s="1498"/>
      <c r="AJ70" s="1496"/>
      <c r="AK70" s="1497"/>
      <c r="AL70" s="1493"/>
      <c r="AM70" s="1493"/>
      <c r="AN70" s="1494"/>
      <c r="AO70" s="1498"/>
      <c r="AP70" s="1496"/>
      <c r="AQ70" s="308" t="s">
        <v>520</v>
      </c>
    </row>
    <row r="71" spans="1:43" ht="34.5" customHeight="1">
      <c r="A71" s="1439" t="s">
        <v>548</v>
      </c>
      <c r="B71" s="2080" t="s">
        <v>421</v>
      </c>
      <c r="C71" s="2082"/>
      <c r="D71" s="54" t="s">
        <v>3</v>
      </c>
      <c r="E71" s="127" t="s">
        <v>422</v>
      </c>
      <c r="F71" s="1501"/>
      <c r="G71" s="1502"/>
      <c r="H71" s="70">
        <f>IFERROR('ED-XI DEN'!L19*100,"")</f>
        <v>6.8477270845408622</v>
      </c>
      <c r="I71" s="1503"/>
      <c r="J71" s="45"/>
      <c r="K71" s="48"/>
      <c r="L71" s="47"/>
      <c r="M71" s="110">
        <f>R.HN!D49</f>
        <v>0</v>
      </c>
      <c r="N71" s="48" t="s">
        <v>1322</v>
      </c>
      <c r="O71" s="37"/>
      <c r="P71" s="45"/>
      <c r="Q71" s="48"/>
      <c r="R71" s="47"/>
      <c r="S71" s="1492"/>
      <c r="T71" s="1493"/>
      <c r="U71" s="1493"/>
      <c r="V71" s="1494"/>
      <c r="W71" s="1498">
        <f t="shared" si="5"/>
        <v>6.8477270845408622</v>
      </c>
      <c r="X71" s="1496"/>
      <c r="Y71" s="1497"/>
      <c r="Z71" s="1493"/>
      <c r="AA71" s="1493"/>
      <c r="AB71" s="1494"/>
      <c r="AC71" s="1498"/>
      <c r="AD71" s="1496"/>
      <c r="AE71" s="1497"/>
      <c r="AF71" s="1493"/>
      <c r="AG71" s="1493"/>
      <c r="AH71" s="1494"/>
      <c r="AI71" s="1498"/>
      <c r="AJ71" s="1496"/>
      <c r="AK71" s="1497"/>
      <c r="AL71" s="1493"/>
      <c r="AM71" s="1493"/>
      <c r="AN71" s="1494"/>
      <c r="AO71" s="1498"/>
      <c r="AP71" s="1496"/>
      <c r="AQ71" s="308" t="s">
        <v>520</v>
      </c>
    </row>
    <row r="72" spans="1:43" ht="34.5" customHeight="1">
      <c r="A72" s="1439" t="s">
        <v>549</v>
      </c>
      <c r="B72" s="2080" t="s">
        <v>424</v>
      </c>
      <c r="C72" s="2082"/>
      <c r="D72" s="54" t="s">
        <v>3</v>
      </c>
      <c r="E72" s="127" t="s">
        <v>425</v>
      </c>
      <c r="F72" s="1501"/>
      <c r="G72" s="1502"/>
      <c r="H72" s="70">
        <f>IFERROR('ED-XI DEN'!L20*100,"")</f>
        <v>0.81368316174028488</v>
      </c>
      <c r="I72" s="1503"/>
      <c r="J72" s="45"/>
      <c r="K72" s="48"/>
      <c r="L72" s="47"/>
      <c r="M72" s="110">
        <f>R.HN!D50</f>
        <v>0.83333333333333337</v>
      </c>
      <c r="N72" s="48" t="s">
        <v>1322</v>
      </c>
      <c r="O72" s="37"/>
      <c r="P72" s="45"/>
      <c r="Q72" s="48"/>
      <c r="R72" s="47"/>
      <c r="S72" s="1492"/>
      <c r="T72" s="1493"/>
      <c r="U72" s="1493"/>
      <c r="V72" s="1494"/>
      <c r="W72" s="1498">
        <f t="shared" si="5"/>
        <v>0.81368316174028488</v>
      </c>
      <c r="X72" s="1496"/>
      <c r="Y72" s="1497"/>
      <c r="Z72" s="1493"/>
      <c r="AA72" s="1493"/>
      <c r="AB72" s="1494"/>
      <c r="AC72" s="1498"/>
      <c r="AD72" s="1496"/>
      <c r="AE72" s="1497"/>
      <c r="AF72" s="1493"/>
      <c r="AG72" s="1493"/>
      <c r="AH72" s="1494"/>
      <c r="AI72" s="1498"/>
      <c r="AJ72" s="1496"/>
      <c r="AK72" s="1497"/>
      <c r="AL72" s="1493"/>
      <c r="AM72" s="1493"/>
      <c r="AN72" s="1494"/>
      <c r="AO72" s="1498"/>
      <c r="AP72" s="1496"/>
      <c r="AQ72" s="308" t="s">
        <v>520</v>
      </c>
    </row>
    <row r="73" spans="1:43" ht="33" customHeight="1">
      <c r="A73" s="335" t="s">
        <v>76</v>
      </c>
      <c r="B73" s="336"/>
      <c r="C73" s="336"/>
      <c r="D73" s="336"/>
      <c r="E73" s="332"/>
      <c r="F73" s="336"/>
      <c r="G73" s="336"/>
      <c r="H73" s="336"/>
      <c r="I73" s="336"/>
      <c r="J73" s="336"/>
      <c r="K73" s="336"/>
      <c r="L73" s="336"/>
      <c r="M73" s="336"/>
      <c r="N73" s="337"/>
      <c r="O73" s="336"/>
      <c r="P73" s="336"/>
      <c r="Q73" s="336"/>
      <c r="R73" s="337"/>
      <c r="S73" s="336"/>
      <c r="T73" s="1493"/>
      <c r="U73" s="1493"/>
      <c r="V73" s="1494"/>
      <c r="W73" s="1498"/>
      <c r="X73" s="1496"/>
      <c r="Y73" s="1497"/>
      <c r="Z73" s="1493"/>
      <c r="AA73" s="1493"/>
      <c r="AB73" s="1494"/>
      <c r="AC73" s="1498"/>
      <c r="AD73" s="1496"/>
      <c r="AE73" s="1497"/>
      <c r="AF73" s="1493"/>
      <c r="AG73" s="1493"/>
      <c r="AH73" s="1494"/>
      <c r="AI73" s="1498"/>
      <c r="AJ73" s="1496"/>
      <c r="AK73" s="1497"/>
      <c r="AL73" s="1493"/>
      <c r="AM73" s="1493"/>
      <c r="AN73" s="1494"/>
      <c r="AO73" s="1498"/>
      <c r="AP73" s="1496"/>
    </row>
    <row r="74" spans="1:43" ht="47.25" customHeight="1">
      <c r="A74" s="1439" t="s">
        <v>276</v>
      </c>
      <c r="B74" s="2080" t="s">
        <v>64</v>
      </c>
      <c r="C74" s="2082"/>
      <c r="D74" s="327" t="s">
        <v>66</v>
      </c>
      <c r="E74" s="327" t="s">
        <v>67</v>
      </c>
      <c r="F74" s="1471"/>
      <c r="G74" s="1471"/>
      <c r="H74" s="329" t="s">
        <v>48</v>
      </c>
      <c r="I74" s="330"/>
      <c r="J74" s="330"/>
      <c r="K74" s="329" t="s">
        <v>65</v>
      </c>
      <c r="L74" s="346"/>
      <c r="M74" s="327"/>
      <c r="N74" s="329" t="s">
        <v>48</v>
      </c>
      <c r="O74" s="330"/>
      <c r="P74" s="330"/>
      <c r="Q74" s="329" t="s">
        <v>65</v>
      </c>
      <c r="R74" s="346"/>
      <c r="S74" s="1434"/>
      <c r="T74" s="1493"/>
      <c r="U74" s="1493"/>
      <c r="V74" s="1494"/>
      <c r="W74" s="1498"/>
      <c r="X74" s="1496"/>
      <c r="Y74" s="1497"/>
      <c r="Z74" s="1493"/>
      <c r="AA74" s="1493"/>
      <c r="AB74" s="1494"/>
      <c r="AC74" s="1498"/>
      <c r="AD74" s="1496"/>
      <c r="AE74" s="1497"/>
      <c r="AF74" s="1493"/>
      <c r="AG74" s="1493"/>
      <c r="AH74" s="1494"/>
      <c r="AI74" s="1498"/>
      <c r="AJ74" s="1496"/>
      <c r="AK74" s="1497"/>
      <c r="AL74" s="1493"/>
      <c r="AM74" s="1493"/>
      <c r="AN74" s="1494"/>
      <c r="AO74" s="1498"/>
      <c r="AP74" s="1496"/>
      <c r="AQ74" s="308" t="s">
        <v>520</v>
      </c>
    </row>
    <row r="75" spans="1:43" ht="41.25" customHeight="1">
      <c r="A75" s="1439" t="s">
        <v>550</v>
      </c>
      <c r="B75" s="2080" t="s">
        <v>518</v>
      </c>
      <c r="C75" s="2082"/>
      <c r="D75" s="22" t="s">
        <v>113</v>
      </c>
      <c r="E75" s="127" t="s">
        <v>551</v>
      </c>
      <c r="F75" s="118"/>
      <c r="G75" s="118"/>
      <c r="H75" s="1866">
        <v>48</v>
      </c>
      <c r="I75" s="1867"/>
      <c r="J75" s="1868"/>
      <c r="K75" s="1866">
        <v>48</v>
      </c>
      <c r="L75" s="1867"/>
      <c r="M75" s="1504"/>
      <c r="N75" s="1866"/>
      <c r="O75" s="1867"/>
      <c r="P75" s="1868"/>
      <c r="Q75" s="1866"/>
      <c r="R75" s="1868"/>
      <c r="S75" s="1430"/>
      <c r="T75" s="1493"/>
      <c r="U75" s="1493"/>
      <c r="V75" s="1494"/>
      <c r="W75" s="1498"/>
      <c r="X75" s="1496"/>
      <c r="Y75" s="1497"/>
      <c r="Z75" s="1493"/>
      <c r="AA75" s="1493"/>
      <c r="AB75" s="1494"/>
      <c r="AC75" s="1498"/>
      <c r="AD75" s="1496"/>
      <c r="AE75" s="1497"/>
      <c r="AF75" s="1493"/>
      <c r="AG75" s="1493"/>
      <c r="AH75" s="1494"/>
      <c r="AI75" s="1498"/>
      <c r="AJ75" s="1496"/>
      <c r="AK75" s="1497"/>
      <c r="AL75" s="1493"/>
      <c r="AM75" s="1493"/>
      <c r="AN75" s="1494"/>
      <c r="AO75" s="1498"/>
      <c r="AP75" s="1496"/>
      <c r="AQ75" s="308" t="s">
        <v>520</v>
      </c>
    </row>
    <row r="76" spans="1:43" ht="41.25" customHeight="1">
      <c r="A76" s="1439" t="s">
        <v>552</v>
      </c>
      <c r="B76" s="2080" t="s">
        <v>522</v>
      </c>
      <c r="C76" s="2082"/>
      <c r="D76" s="22" t="s">
        <v>113</v>
      </c>
      <c r="E76" s="127" t="s">
        <v>551</v>
      </c>
      <c r="F76" s="118"/>
      <c r="G76" s="118"/>
      <c r="H76" s="1866">
        <v>48</v>
      </c>
      <c r="I76" s="1867"/>
      <c r="J76" s="1868"/>
      <c r="K76" s="1866">
        <v>48</v>
      </c>
      <c r="L76" s="1867"/>
      <c r="M76" s="1504"/>
      <c r="N76" s="1866"/>
      <c r="O76" s="1867"/>
      <c r="P76" s="1868"/>
      <c r="Q76" s="1866"/>
      <c r="R76" s="1868"/>
      <c r="S76" s="1430"/>
      <c r="T76" s="1493"/>
      <c r="U76" s="1493"/>
      <c r="V76" s="1494"/>
      <c r="W76" s="1498"/>
      <c r="X76" s="1496"/>
      <c r="Y76" s="1497"/>
      <c r="Z76" s="1493"/>
      <c r="AA76" s="1493"/>
      <c r="AB76" s="1494"/>
      <c r="AC76" s="1498"/>
      <c r="AD76" s="1496"/>
      <c r="AE76" s="1497"/>
      <c r="AF76" s="1493"/>
      <c r="AG76" s="1493"/>
      <c r="AH76" s="1494"/>
      <c r="AI76" s="1498"/>
      <c r="AJ76" s="1496"/>
      <c r="AK76" s="1497"/>
      <c r="AL76" s="1493"/>
      <c r="AM76" s="1493"/>
      <c r="AN76" s="1494"/>
      <c r="AO76" s="1498"/>
      <c r="AP76" s="1496"/>
      <c r="AQ76" s="308" t="s">
        <v>520</v>
      </c>
    </row>
    <row r="77" spans="1:43" ht="41.25" customHeight="1">
      <c r="A77" s="1439" t="s">
        <v>553</v>
      </c>
      <c r="B77" s="2080" t="s">
        <v>524</v>
      </c>
      <c r="C77" s="2082"/>
      <c r="D77" s="22" t="s">
        <v>113</v>
      </c>
      <c r="E77" s="127" t="s">
        <v>551</v>
      </c>
      <c r="F77" s="1477"/>
      <c r="G77" s="1477"/>
      <c r="H77" s="1866">
        <v>46</v>
      </c>
      <c r="I77" s="1867"/>
      <c r="J77" s="1868"/>
      <c r="K77" s="1866">
        <v>45</v>
      </c>
      <c r="L77" s="1867"/>
      <c r="M77" s="1504"/>
      <c r="N77" s="1866"/>
      <c r="O77" s="1867"/>
      <c r="P77" s="1868"/>
      <c r="Q77" s="1866"/>
      <c r="R77" s="1868"/>
      <c r="S77" s="1430"/>
      <c r="T77" s="1505"/>
      <c r="U77" s="1505"/>
      <c r="V77" s="1505"/>
      <c r="W77" s="1505"/>
      <c r="X77" s="125"/>
      <c r="Y77" s="125"/>
      <c r="Z77" s="1505"/>
      <c r="AA77" s="1505"/>
      <c r="AB77" s="1505"/>
      <c r="AC77" s="1505"/>
      <c r="AD77" s="125"/>
      <c r="AE77" s="125"/>
      <c r="AF77" s="1505"/>
      <c r="AG77" s="1505"/>
      <c r="AH77" s="1505"/>
      <c r="AI77" s="1505"/>
      <c r="AJ77" s="125"/>
      <c r="AK77" s="125"/>
      <c r="AL77" s="1505"/>
      <c r="AM77" s="1505"/>
      <c r="AN77" s="1505"/>
      <c r="AO77" s="1505"/>
      <c r="AP77" s="125"/>
      <c r="AQ77" s="308" t="s">
        <v>520</v>
      </c>
    </row>
    <row r="78" spans="1:43" ht="41.25" customHeight="1">
      <c r="A78" s="1439" t="s">
        <v>554</v>
      </c>
      <c r="B78" s="2080" t="s">
        <v>555</v>
      </c>
      <c r="C78" s="2082"/>
      <c r="D78" s="22" t="s">
        <v>113</v>
      </c>
      <c r="E78" s="127" t="s">
        <v>556</v>
      </c>
      <c r="F78" s="1477"/>
      <c r="G78" s="1477"/>
      <c r="H78" s="1866">
        <v>36</v>
      </c>
      <c r="I78" s="1867"/>
      <c r="J78" s="1868"/>
      <c r="K78" s="1866">
        <v>29</v>
      </c>
      <c r="L78" s="1867"/>
      <c r="M78" s="1504"/>
      <c r="N78" s="1866"/>
      <c r="O78" s="1867"/>
      <c r="P78" s="1868"/>
      <c r="Q78" s="1866"/>
      <c r="R78" s="1868"/>
      <c r="S78" s="125"/>
      <c r="T78" s="1505"/>
      <c r="U78" s="1505"/>
      <c r="V78" s="1505"/>
      <c r="W78" s="1505"/>
      <c r="X78" s="125"/>
      <c r="Y78" s="125"/>
      <c r="Z78" s="1505"/>
      <c r="AA78" s="1505"/>
      <c r="AB78" s="1505"/>
      <c r="AC78" s="1505"/>
      <c r="AD78" s="125"/>
      <c r="AE78" s="125"/>
      <c r="AF78" s="1505"/>
      <c r="AG78" s="1505"/>
      <c r="AH78" s="1505"/>
      <c r="AI78" s="1505"/>
      <c r="AJ78" s="125"/>
      <c r="AK78" s="125"/>
      <c r="AL78" s="1505"/>
      <c r="AM78" s="1505"/>
      <c r="AN78" s="1505"/>
      <c r="AO78" s="1505"/>
      <c r="AP78" s="125"/>
      <c r="AQ78" s="308" t="s">
        <v>520</v>
      </c>
    </row>
    <row r="79" spans="1:43" ht="41.25" customHeight="1">
      <c r="A79" s="1439" t="s">
        <v>557</v>
      </c>
      <c r="B79" s="2080" t="s">
        <v>558</v>
      </c>
      <c r="C79" s="2082"/>
      <c r="D79" s="22" t="s">
        <v>113</v>
      </c>
      <c r="E79" s="127" t="s">
        <v>559</v>
      </c>
      <c r="F79" s="1477"/>
      <c r="G79" s="1477"/>
      <c r="H79" s="1866">
        <v>31</v>
      </c>
      <c r="I79" s="1867"/>
      <c r="J79" s="1868"/>
      <c r="K79" s="1866">
        <v>28</v>
      </c>
      <c r="L79" s="1867"/>
      <c r="M79" s="1504"/>
      <c r="N79" s="1866"/>
      <c r="O79" s="1867"/>
      <c r="P79" s="1868"/>
      <c r="Q79" s="1866"/>
      <c r="R79" s="1868"/>
      <c r="S79" s="125"/>
      <c r="T79" s="1505"/>
      <c r="U79" s="1505"/>
      <c r="V79" s="1505"/>
      <c r="W79" s="1505"/>
      <c r="X79" s="125"/>
      <c r="Y79" s="125"/>
      <c r="Z79" s="1505"/>
      <c r="AA79" s="1505"/>
      <c r="AB79" s="1505"/>
      <c r="AC79" s="1505"/>
      <c r="AD79" s="125"/>
      <c r="AE79" s="125"/>
      <c r="AF79" s="1505"/>
      <c r="AG79" s="1505"/>
      <c r="AH79" s="1505"/>
      <c r="AI79" s="1505"/>
      <c r="AJ79" s="125"/>
      <c r="AK79" s="125"/>
      <c r="AL79" s="1505"/>
      <c r="AM79" s="1505"/>
      <c r="AN79" s="1505"/>
      <c r="AO79" s="1505"/>
      <c r="AP79" s="125"/>
      <c r="AQ79" s="308" t="s">
        <v>520</v>
      </c>
    </row>
    <row r="80" spans="1:43" ht="41.25" hidden="1" customHeight="1">
      <c r="A80" s="1439" t="s">
        <v>560</v>
      </c>
      <c r="B80" s="2080" t="s">
        <v>561</v>
      </c>
      <c r="C80" s="2082"/>
      <c r="D80" s="22" t="s">
        <v>113</v>
      </c>
      <c r="E80" s="127" t="s">
        <v>559</v>
      </c>
      <c r="F80" s="1477"/>
      <c r="G80" s="1477"/>
      <c r="H80" s="1866"/>
      <c r="I80" s="1867"/>
      <c r="J80" s="1868"/>
      <c r="K80" s="1866"/>
      <c r="L80" s="1867"/>
      <c r="M80" s="1504"/>
      <c r="N80" s="1866"/>
      <c r="O80" s="1867"/>
      <c r="P80" s="1868"/>
      <c r="Q80" s="1866"/>
      <c r="R80" s="1868"/>
      <c r="S80" s="125"/>
      <c r="T80" s="1505"/>
      <c r="U80" s="1505"/>
      <c r="V80" s="1505"/>
      <c r="W80" s="1505"/>
      <c r="X80" s="125"/>
      <c r="Y80" s="125"/>
      <c r="Z80" s="1505"/>
      <c r="AA80" s="1505"/>
      <c r="AB80" s="1505"/>
      <c r="AC80" s="1505"/>
      <c r="AD80" s="125"/>
      <c r="AE80" s="125"/>
      <c r="AF80" s="1505"/>
      <c r="AG80" s="1505"/>
      <c r="AH80" s="1505"/>
      <c r="AI80" s="1505"/>
      <c r="AJ80" s="125"/>
      <c r="AK80" s="125"/>
      <c r="AL80" s="1505"/>
      <c r="AM80" s="1505"/>
      <c r="AN80" s="1505"/>
      <c r="AO80" s="1505"/>
      <c r="AP80" s="125"/>
      <c r="AQ80" s="308" t="s">
        <v>520</v>
      </c>
    </row>
    <row r="81" spans="1:43" ht="38.25" customHeight="1">
      <c r="A81" s="1439" t="s">
        <v>562</v>
      </c>
      <c r="B81" s="2080" t="s">
        <v>563</v>
      </c>
      <c r="C81" s="2082"/>
      <c r="D81" s="22" t="s">
        <v>113</v>
      </c>
      <c r="E81" s="127" t="s">
        <v>564</v>
      </c>
      <c r="F81" s="1477"/>
      <c r="G81" s="1477"/>
      <c r="H81" s="1870" t="s">
        <v>49</v>
      </c>
      <c r="I81" s="1871"/>
      <c r="J81" s="1872"/>
      <c r="K81" s="1866">
        <v>30</v>
      </c>
      <c r="L81" s="1867"/>
      <c r="M81" s="1504"/>
      <c r="N81" s="1870" t="s">
        <v>49</v>
      </c>
      <c r="O81" s="1871"/>
      <c r="P81" s="1872"/>
      <c r="Q81" s="1866"/>
      <c r="R81" s="1868"/>
      <c r="S81" s="125"/>
      <c r="T81" s="1506"/>
      <c r="U81" s="1506"/>
      <c r="V81" s="1506"/>
      <c r="W81" s="1506"/>
      <c r="X81" s="125"/>
      <c r="Y81" s="125"/>
      <c r="Z81" s="1506"/>
      <c r="AA81" s="1506"/>
      <c r="AB81" s="1506"/>
      <c r="AC81" s="1506"/>
      <c r="AD81" s="125"/>
      <c r="AE81" s="125"/>
      <c r="AF81" s="1506"/>
      <c r="AG81" s="1506"/>
      <c r="AH81" s="1506"/>
      <c r="AI81" s="1506"/>
      <c r="AJ81" s="125"/>
      <c r="AK81" s="125"/>
      <c r="AL81" s="1506"/>
      <c r="AM81" s="1506"/>
      <c r="AN81" s="1506"/>
      <c r="AO81" s="1506"/>
      <c r="AP81" s="125"/>
      <c r="AQ81" s="308" t="s">
        <v>520</v>
      </c>
    </row>
    <row r="82" spans="1:43" s="20" customFormat="1" ht="47.25" hidden="1" customHeight="1">
      <c r="A82" s="506"/>
      <c r="B82" s="1507"/>
      <c r="C82" s="1508"/>
      <c r="D82" s="1508"/>
      <c r="E82" s="1508"/>
      <c r="F82" s="1508"/>
      <c r="G82" s="1508"/>
      <c r="H82" s="1509" t="s">
        <v>565</v>
      </c>
      <c r="I82" s="1508"/>
      <c r="J82" s="1508"/>
      <c r="K82" s="1508"/>
      <c r="L82" s="1508"/>
      <c r="M82" s="1508"/>
      <c r="N82" s="1508"/>
      <c r="O82" s="1508"/>
      <c r="P82" s="1508"/>
      <c r="Q82" s="1508"/>
      <c r="R82" s="1508"/>
      <c r="S82" s="1508"/>
      <c r="T82" s="1510"/>
      <c r="U82" s="1510"/>
      <c r="V82" s="1510"/>
      <c r="W82" s="1510"/>
      <c r="X82" s="1510"/>
      <c r="Y82" s="1510"/>
      <c r="Z82" s="1510"/>
      <c r="AA82" s="1510"/>
      <c r="AB82" s="1510"/>
      <c r="AC82" s="1510"/>
      <c r="AD82" s="1510"/>
      <c r="AE82" s="1510"/>
      <c r="AF82" s="1510"/>
      <c r="AG82" s="1510"/>
      <c r="AH82" s="1510"/>
      <c r="AI82" s="1510"/>
      <c r="AJ82" s="1510"/>
      <c r="AK82" s="1510"/>
      <c r="AL82" s="1510"/>
      <c r="AM82" s="1510"/>
      <c r="AN82" s="1510"/>
      <c r="AO82" s="1510"/>
      <c r="AP82" s="1510"/>
      <c r="AQ82" s="308" t="s">
        <v>520</v>
      </c>
    </row>
    <row r="83" spans="1:43" s="20" customFormat="1" ht="47.25" hidden="1" customHeight="1">
      <c r="A83" s="511"/>
      <c r="B83" s="2080" t="s">
        <v>565</v>
      </c>
      <c r="C83" s="2082"/>
      <c r="D83" s="54" t="s">
        <v>566</v>
      </c>
      <c r="E83" s="127" t="s">
        <v>567</v>
      </c>
      <c r="F83" s="118"/>
      <c r="G83" s="118" t="s">
        <v>566</v>
      </c>
      <c r="H83" s="1866"/>
      <c r="I83" s="1867"/>
      <c r="J83" s="1867"/>
      <c r="K83" s="1867"/>
      <c r="L83" s="1867"/>
      <c r="M83" s="1429"/>
      <c r="N83" s="1866"/>
      <c r="O83" s="1867"/>
      <c r="P83" s="1867"/>
      <c r="Q83" s="1867"/>
      <c r="R83" s="1867"/>
      <c r="S83" s="699"/>
      <c r="T83" s="2194"/>
      <c r="U83" s="2194"/>
      <c r="V83" s="2194"/>
      <c r="W83" s="2194"/>
      <c r="X83" s="2194"/>
      <c r="Y83" s="1505"/>
      <c r="Z83" s="2194"/>
      <c r="AA83" s="2194"/>
      <c r="AB83" s="2194"/>
      <c r="AC83" s="2194"/>
      <c r="AD83" s="2194"/>
      <c r="AE83" s="1505"/>
      <c r="AF83" s="2194"/>
      <c r="AG83" s="2194"/>
      <c r="AH83" s="2194"/>
      <c r="AI83" s="2194"/>
      <c r="AJ83" s="2194"/>
      <c r="AK83" s="1505"/>
      <c r="AL83" s="2194"/>
      <c r="AM83" s="2194"/>
      <c r="AN83" s="2194"/>
      <c r="AO83" s="2194"/>
      <c r="AP83" s="2194"/>
      <c r="AQ83" s="308" t="s">
        <v>520</v>
      </c>
    </row>
    <row r="84" spans="1:43" s="20" customFormat="1" ht="47.25" hidden="1" customHeight="1">
      <c r="A84" s="511"/>
      <c r="B84" s="2080" t="s">
        <v>568</v>
      </c>
      <c r="C84" s="2082"/>
      <c r="D84" s="54" t="s">
        <v>566</v>
      </c>
      <c r="E84" s="127" t="s">
        <v>569</v>
      </c>
      <c r="F84" s="118"/>
      <c r="G84" s="118" t="s">
        <v>566</v>
      </c>
      <c r="H84" s="1866"/>
      <c r="I84" s="1867"/>
      <c r="J84" s="1867"/>
      <c r="K84" s="1867"/>
      <c r="L84" s="1867"/>
      <c r="M84" s="1429"/>
      <c r="N84" s="1866"/>
      <c r="O84" s="1867"/>
      <c r="P84" s="1867"/>
      <c r="Q84" s="1867"/>
      <c r="R84" s="1867"/>
      <c r="S84" s="699"/>
      <c r="T84" s="2194"/>
      <c r="U84" s="2194"/>
      <c r="V84" s="2194"/>
      <c r="W84" s="2194"/>
      <c r="X84" s="2194"/>
      <c r="Y84" s="1505"/>
      <c r="Z84" s="2194"/>
      <c r="AA84" s="2194"/>
      <c r="AB84" s="2194"/>
      <c r="AC84" s="2194"/>
      <c r="AD84" s="2194"/>
      <c r="AE84" s="1505"/>
      <c r="AF84" s="2194"/>
      <c r="AG84" s="2194"/>
      <c r="AH84" s="2194"/>
      <c r="AI84" s="2194"/>
      <c r="AJ84" s="2194"/>
      <c r="AK84" s="1505"/>
      <c r="AL84" s="2194"/>
      <c r="AM84" s="2194"/>
      <c r="AN84" s="2194"/>
      <c r="AO84" s="2194"/>
      <c r="AP84" s="2194"/>
      <c r="AQ84" s="308" t="s">
        <v>520</v>
      </c>
    </row>
    <row r="85" spans="1:43" ht="33" customHeight="1">
      <c r="A85" s="1511"/>
      <c r="B85" s="1511"/>
      <c r="C85" s="1511"/>
      <c r="D85" s="1511"/>
      <c r="E85" s="1511"/>
      <c r="F85" s="1511"/>
      <c r="G85" s="1511"/>
      <c r="H85" s="1511"/>
      <c r="I85" s="1511"/>
      <c r="J85" s="1511"/>
      <c r="K85" s="1511"/>
      <c r="L85" s="1511"/>
      <c r="M85" s="1511"/>
      <c r="N85" s="1511"/>
      <c r="O85" s="1511"/>
      <c r="P85" s="1511"/>
      <c r="Q85" s="1511"/>
      <c r="R85" s="1511"/>
      <c r="S85" s="1512"/>
      <c r="T85" s="1513"/>
      <c r="U85" s="1513"/>
      <c r="V85" s="1513"/>
      <c r="W85" s="1513"/>
      <c r="X85" s="1513"/>
      <c r="Y85" s="1513"/>
      <c r="Z85" s="1513"/>
      <c r="AA85" s="1513"/>
      <c r="AB85" s="1513"/>
      <c r="AC85" s="1513"/>
      <c r="AD85" s="1513"/>
      <c r="AE85" s="1512"/>
      <c r="AF85" s="1513"/>
      <c r="AG85" s="1513"/>
      <c r="AH85" s="1513"/>
      <c r="AI85" s="1513"/>
      <c r="AJ85" s="1513"/>
      <c r="AK85" s="1513"/>
      <c r="AL85" s="1513"/>
      <c r="AM85" s="1513"/>
      <c r="AN85" s="1513"/>
      <c r="AO85" s="1513"/>
      <c r="AP85" s="1513"/>
    </row>
    <row r="86" spans="1:43" ht="40.5" customHeight="1">
      <c r="A86" s="1480" t="s">
        <v>570</v>
      </c>
      <c r="B86" s="1481"/>
      <c r="C86" s="1481"/>
      <c r="D86" s="1481"/>
      <c r="E86" s="1482"/>
      <c r="F86" s="1483"/>
      <c r="G86" s="1484"/>
      <c r="H86" s="1485" t="s">
        <v>75</v>
      </c>
      <c r="I86" s="502"/>
      <c r="J86" s="502"/>
      <c r="K86" s="502"/>
      <c r="L86" s="502"/>
      <c r="M86" s="502"/>
      <c r="N86" s="502"/>
      <c r="O86" s="502"/>
      <c r="P86" s="502"/>
      <c r="Q86" s="502"/>
      <c r="R86" s="1486"/>
      <c r="S86" s="1484"/>
      <c r="AD86" s="308"/>
      <c r="AP86" s="308"/>
    </row>
    <row r="87" spans="1:43" ht="27.75" customHeight="1">
      <c r="A87" s="486"/>
      <c r="B87" s="2179" t="s">
        <v>79</v>
      </c>
      <c r="C87" s="2180"/>
      <c r="D87" s="2183" t="s">
        <v>137</v>
      </c>
      <c r="E87" s="2185" t="s">
        <v>67</v>
      </c>
      <c r="F87" s="1462"/>
      <c r="G87" s="105"/>
      <c r="H87" s="2195">
        <v>0.33333333333333331</v>
      </c>
      <c r="I87" s="2195"/>
      <c r="J87" s="2195"/>
      <c r="K87" s="2195"/>
      <c r="L87" s="2195"/>
      <c r="M87" s="1463"/>
      <c r="N87" s="2195">
        <v>0.83333333333333337</v>
      </c>
      <c r="O87" s="2195"/>
      <c r="P87" s="2195"/>
      <c r="Q87" s="2195"/>
      <c r="R87" s="2195"/>
      <c r="S87" s="1514"/>
      <c r="T87" s="50"/>
      <c r="AD87" s="308"/>
      <c r="AE87" s="1514"/>
      <c r="AF87" s="50"/>
      <c r="AP87" s="308"/>
    </row>
    <row r="88" spans="1:43" ht="65.25" customHeight="1">
      <c r="A88" s="1435" t="s">
        <v>276</v>
      </c>
      <c r="B88" s="2181"/>
      <c r="C88" s="2182"/>
      <c r="D88" s="2184"/>
      <c r="E88" s="2186"/>
      <c r="F88" s="1464" t="s">
        <v>466</v>
      </c>
      <c r="G88" s="1489"/>
      <c r="H88" s="1433" t="s">
        <v>146</v>
      </c>
      <c r="I88" s="36" t="s">
        <v>1</v>
      </c>
      <c r="J88" s="332" t="s">
        <v>1</v>
      </c>
      <c r="K88" s="332"/>
      <c r="L88" s="333"/>
      <c r="M88" s="107"/>
      <c r="N88" s="1433" t="s">
        <v>146</v>
      </c>
      <c r="O88" s="36" t="s">
        <v>1</v>
      </c>
      <c r="P88" s="332" t="s">
        <v>1</v>
      </c>
      <c r="Q88" s="332"/>
      <c r="R88" s="333"/>
      <c r="S88" s="514"/>
      <c r="T88" s="50"/>
      <c r="AD88" s="308"/>
      <c r="AE88" s="514"/>
      <c r="AF88" s="50"/>
      <c r="AP88" s="308"/>
    </row>
    <row r="89" spans="1:43" ht="34.5" customHeight="1">
      <c r="A89" s="1439" t="s">
        <v>571</v>
      </c>
      <c r="B89" s="2196" t="s">
        <v>572</v>
      </c>
      <c r="C89" s="2197"/>
      <c r="D89" s="54" t="s">
        <v>4</v>
      </c>
      <c r="E89" s="1431" t="s">
        <v>573</v>
      </c>
      <c r="F89" s="1515">
        <v>25</v>
      </c>
      <c r="G89" s="1492">
        <f>R.HN!C51</f>
        <v>1.5</v>
      </c>
      <c r="H89" s="37">
        <v>24.2</v>
      </c>
      <c r="I89" s="37">
        <f>($F$89-H89)*1632/1000</f>
        <v>1.3056000000000012</v>
      </c>
      <c r="J89" s="41" t="s">
        <v>8</v>
      </c>
      <c r="K89" s="491">
        <f t="shared" ref="K89:K98" si="7">IF(I89&lt;0,0,I89)</f>
        <v>1.3056000000000012</v>
      </c>
      <c r="L89" s="249" t="s">
        <v>9</v>
      </c>
      <c r="M89" s="285">
        <f>R.HN!D51</f>
        <v>0</v>
      </c>
      <c r="N89" s="37">
        <f>M89*15.8</f>
        <v>0</v>
      </c>
      <c r="O89" s="37">
        <f>($F$89-N89)*1632/1000</f>
        <v>40.799999999999997</v>
      </c>
      <c r="P89" s="41" t="s">
        <v>8</v>
      </c>
      <c r="Q89" s="491">
        <f t="shared" ref="Q89:Q98" si="8">IF(O89&lt;0,0,O89)</f>
        <v>40.799999999999997</v>
      </c>
      <c r="R89" s="47" t="s">
        <v>9</v>
      </c>
      <c r="S89" s="517"/>
      <c r="T89" s="50"/>
      <c r="AD89" s="308"/>
      <c r="AE89" s="517"/>
      <c r="AF89" s="50"/>
      <c r="AP89" s="308"/>
      <c r="AQ89" s="308" t="s">
        <v>574</v>
      </c>
    </row>
    <row r="90" spans="1:43" ht="34.5" customHeight="1">
      <c r="A90" s="1439" t="s">
        <v>575</v>
      </c>
      <c r="B90" s="2196" t="s">
        <v>576</v>
      </c>
      <c r="C90" s="2197"/>
      <c r="D90" s="54" t="s">
        <v>4</v>
      </c>
      <c r="E90" s="1431" t="s">
        <v>573</v>
      </c>
      <c r="F90" s="1515">
        <v>25</v>
      </c>
      <c r="G90" s="1492">
        <f>R.HN!C52</f>
        <v>1.4</v>
      </c>
      <c r="H90" s="37">
        <v>25</v>
      </c>
      <c r="I90" s="37">
        <f>($F$90-H90)*1632/1000</f>
        <v>0</v>
      </c>
      <c r="J90" s="41" t="s">
        <v>8</v>
      </c>
      <c r="K90" s="491">
        <f t="shared" si="7"/>
        <v>0</v>
      </c>
      <c r="L90" s="249" t="s">
        <v>9</v>
      </c>
      <c r="M90" s="285">
        <f>R.HN!D52</f>
        <v>0</v>
      </c>
      <c r="N90" s="37">
        <f>M90*15.8</f>
        <v>0</v>
      </c>
      <c r="O90" s="37">
        <f>($F$90-N90)*1632/1000</f>
        <v>40.799999999999997</v>
      </c>
      <c r="P90" s="41" t="s">
        <v>8</v>
      </c>
      <c r="Q90" s="491">
        <f t="shared" si="8"/>
        <v>40.799999999999997</v>
      </c>
      <c r="R90" s="47" t="s">
        <v>9</v>
      </c>
      <c r="S90" s="517"/>
      <c r="T90" s="50"/>
      <c r="AD90" s="308"/>
      <c r="AE90" s="517"/>
      <c r="AF90" s="50"/>
      <c r="AP90" s="308"/>
      <c r="AQ90" s="308" t="s">
        <v>574</v>
      </c>
    </row>
    <row r="91" spans="1:43" ht="34.5" customHeight="1">
      <c r="A91" s="1439" t="s">
        <v>577</v>
      </c>
      <c r="B91" s="2196" t="s">
        <v>578</v>
      </c>
      <c r="C91" s="2197"/>
      <c r="D91" s="54" t="s">
        <v>58</v>
      </c>
      <c r="E91" s="1431" t="s">
        <v>579</v>
      </c>
      <c r="F91" s="1515">
        <v>250</v>
      </c>
      <c r="G91" s="1492">
        <f>R.HN!C53</f>
        <v>3.6</v>
      </c>
      <c r="H91" s="37">
        <v>247.2</v>
      </c>
      <c r="I91" s="37">
        <f>($F$91-H91)*1632/1000</f>
        <v>4.569600000000019</v>
      </c>
      <c r="J91" s="41" t="s">
        <v>8</v>
      </c>
      <c r="K91" s="491">
        <f t="shared" si="7"/>
        <v>4.569600000000019</v>
      </c>
      <c r="L91" s="249" t="s">
        <v>1283</v>
      </c>
      <c r="M91" s="285">
        <f>R.HN!D53</f>
        <v>0</v>
      </c>
      <c r="N91" s="37">
        <f>M91*65.2</f>
        <v>0</v>
      </c>
      <c r="O91" s="37">
        <f>($F$91-N91)*1632/1000</f>
        <v>408</v>
      </c>
      <c r="P91" s="41" t="s">
        <v>8</v>
      </c>
      <c r="Q91" s="491">
        <f t="shared" si="8"/>
        <v>408</v>
      </c>
      <c r="R91" s="47" t="s">
        <v>1283</v>
      </c>
      <c r="S91" s="517"/>
      <c r="T91" s="50"/>
      <c r="AD91" s="308"/>
      <c r="AE91" s="517"/>
      <c r="AF91" s="50"/>
      <c r="AP91" s="308"/>
      <c r="AQ91" s="308" t="s">
        <v>574</v>
      </c>
    </row>
    <row r="92" spans="1:43" ht="34.5" customHeight="1">
      <c r="A92" s="1439" t="s">
        <v>580</v>
      </c>
      <c r="B92" s="2196" t="s">
        <v>1323</v>
      </c>
      <c r="C92" s="2197"/>
      <c r="D92" s="54" t="s">
        <v>4</v>
      </c>
      <c r="E92" s="1431" t="s">
        <v>581</v>
      </c>
      <c r="F92" s="1515">
        <v>130</v>
      </c>
      <c r="G92" s="1492">
        <f>R.HN!C54</f>
        <v>11</v>
      </c>
      <c r="H92" s="37">
        <v>134.6</v>
      </c>
      <c r="I92" s="37">
        <f>($F$92-H92)*1728/1000</f>
        <v>-7.9487999999999905</v>
      </c>
      <c r="J92" s="41" t="s">
        <v>8</v>
      </c>
      <c r="K92" s="491">
        <f t="shared" si="7"/>
        <v>0</v>
      </c>
      <c r="L92" s="249" t="s">
        <v>9</v>
      </c>
      <c r="M92" s="285">
        <f>R.HN!D54</f>
        <v>0</v>
      </c>
      <c r="N92" s="37">
        <f>M92*12.5</f>
        <v>0</v>
      </c>
      <c r="O92" s="37">
        <f>($F$92-N92)*1728/1000</f>
        <v>224.64</v>
      </c>
      <c r="P92" s="41" t="s">
        <v>8</v>
      </c>
      <c r="Q92" s="491">
        <f t="shared" si="8"/>
        <v>224.64</v>
      </c>
      <c r="R92" s="47" t="s">
        <v>9</v>
      </c>
      <c r="S92" s="517"/>
      <c r="T92" s="50"/>
      <c r="AD92" s="308"/>
      <c r="AE92" s="517"/>
      <c r="AF92" s="50"/>
      <c r="AP92" s="308"/>
      <c r="AQ92" s="308" t="s">
        <v>574</v>
      </c>
    </row>
    <row r="93" spans="1:43" ht="34.5" customHeight="1">
      <c r="A93" s="1439" t="s">
        <v>582</v>
      </c>
      <c r="B93" s="2196" t="s">
        <v>1324</v>
      </c>
      <c r="C93" s="2197"/>
      <c r="D93" s="54" t="s">
        <v>4</v>
      </c>
      <c r="E93" s="1431" t="s">
        <v>583</v>
      </c>
      <c r="F93" s="108"/>
      <c r="G93" s="1492">
        <f>R.HN!C55</f>
        <v>6.8</v>
      </c>
      <c r="H93" s="37">
        <v>4.9000000000000004</v>
      </c>
      <c r="I93" s="37" t="s">
        <v>478</v>
      </c>
      <c r="J93" s="41" t="s">
        <v>8</v>
      </c>
      <c r="K93" s="491" t="str">
        <f t="shared" si="7"/>
        <v>N/A</v>
      </c>
      <c r="L93" s="249" t="s">
        <v>9</v>
      </c>
      <c r="M93" s="285">
        <f>R.HN!D55</f>
        <v>0</v>
      </c>
      <c r="N93" s="37">
        <f>(M92-M93)*1.25</f>
        <v>0</v>
      </c>
      <c r="O93" s="37" t="s">
        <v>478</v>
      </c>
      <c r="P93" s="41" t="s">
        <v>8</v>
      </c>
      <c r="Q93" s="491" t="str">
        <f t="shared" si="8"/>
        <v>N/A</v>
      </c>
      <c r="R93" s="47" t="s">
        <v>9</v>
      </c>
      <c r="S93" s="517"/>
      <c r="T93" s="50"/>
      <c r="AD93" s="308"/>
      <c r="AE93" s="517"/>
      <c r="AF93" s="50"/>
      <c r="AP93" s="308"/>
      <c r="AQ93" s="308" t="s">
        <v>574</v>
      </c>
    </row>
    <row r="94" spans="1:43" ht="34.5" customHeight="1">
      <c r="A94" s="1439" t="s">
        <v>584</v>
      </c>
      <c r="B94" s="2196" t="s">
        <v>1325</v>
      </c>
      <c r="C94" s="2197"/>
      <c r="D94" s="54" t="s">
        <v>4</v>
      </c>
      <c r="E94" s="1431" t="s">
        <v>581</v>
      </c>
      <c r="F94" s="108">
        <v>130</v>
      </c>
      <c r="G94" s="1492">
        <f>R.HN!C56</f>
        <v>12</v>
      </c>
      <c r="H94" s="37">
        <v>138</v>
      </c>
      <c r="I94" s="37">
        <f>($F$94-H94)*1728/1000</f>
        <v>-13.824</v>
      </c>
      <c r="J94" s="41" t="s">
        <v>8</v>
      </c>
      <c r="K94" s="491">
        <f>IF(I94&lt;0,0,I94)</f>
        <v>0</v>
      </c>
      <c r="L94" s="249" t="s">
        <v>9</v>
      </c>
      <c r="M94" s="285">
        <f>R.HN!D56</f>
        <v>0</v>
      </c>
      <c r="N94" s="37">
        <f>M94*12.5</f>
        <v>0</v>
      </c>
      <c r="O94" s="37">
        <f>($F$92-N94)*1728/1000</f>
        <v>224.64</v>
      </c>
      <c r="P94" s="41" t="s">
        <v>8</v>
      </c>
      <c r="Q94" s="491">
        <f>IF(O94&lt;0,0,O94)</f>
        <v>224.64</v>
      </c>
      <c r="R94" s="47" t="s">
        <v>9</v>
      </c>
      <c r="S94" s="517"/>
      <c r="T94" s="50"/>
      <c r="AD94" s="308"/>
      <c r="AE94" s="517"/>
      <c r="AF94" s="50"/>
      <c r="AP94" s="308"/>
      <c r="AQ94" s="308" t="s">
        <v>574</v>
      </c>
    </row>
    <row r="95" spans="1:43" ht="34.5" customHeight="1">
      <c r="A95" s="1439" t="s">
        <v>585</v>
      </c>
      <c r="B95" s="2196" t="s">
        <v>1326</v>
      </c>
      <c r="C95" s="2197"/>
      <c r="D95" s="54" t="s">
        <v>4</v>
      </c>
      <c r="E95" s="1431" t="s">
        <v>583</v>
      </c>
      <c r="F95" s="108"/>
      <c r="G95" s="1492">
        <f>R.HN!C57</f>
        <v>8.5</v>
      </c>
      <c r="H95" s="37">
        <v>4.4000000000000004</v>
      </c>
      <c r="I95" s="37" t="s">
        <v>478</v>
      </c>
      <c r="J95" s="41" t="s">
        <v>8</v>
      </c>
      <c r="K95" s="491" t="str">
        <f>IF(I95&lt;0,0,I95)</f>
        <v>N/A</v>
      </c>
      <c r="L95" s="249" t="s">
        <v>9</v>
      </c>
      <c r="M95" s="285">
        <f>R.HN!D57</f>
        <v>0</v>
      </c>
      <c r="N95" s="37">
        <f>(M94-M95)*1.25</f>
        <v>0</v>
      </c>
      <c r="O95" s="37" t="s">
        <v>478</v>
      </c>
      <c r="P95" s="41" t="s">
        <v>8</v>
      </c>
      <c r="Q95" s="491" t="str">
        <f>IF(O95&lt;0,0,O95)</f>
        <v>N/A</v>
      </c>
      <c r="R95" s="47" t="s">
        <v>9</v>
      </c>
      <c r="S95" s="517"/>
      <c r="T95" s="50"/>
      <c r="AD95" s="308"/>
      <c r="AE95" s="517"/>
      <c r="AF95" s="50"/>
      <c r="AP95" s="308"/>
      <c r="AQ95" s="308" t="s">
        <v>574</v>
      </c>
    </row>
    <row r="96" spans="1:43" ht="34.5" customHeight="1">
      <c r="A96" s="1439" t="s">
        <v>586</v>
      </c>
      <c r="B96" s="2196" t="s">
        <v>1327</v>
      </c>
      <c r="C96" s="2197"/>
      <c r="D96" s="54" t="s">
        <v>4</v>
      </c>
      <c r="E96" s="1431" t="s">
        <v>581</v>
      </c>
      <c r="F96" s="108">
        <v>130</v>
      </c>
      <c r="G96" s="1492">
        <f>R.HN!C58</f>
        <v>11.7</v>
      </c>
      <c r="H96" s="37">
        <v>135</v>
      </c>
      <c r="I96" s="37">
        <f>($F$96-H96)*1728/1000</f>
        <v>-8.64</v>
      </c>
      <c r="J96" s="41" t="s">
        <v>8</v>
      </c>
      <c r="K96" s="491">
        <f>IF(I96&lt;0,0,I96)</f>
        <v>0</v>
      </c>
      <c r="L96" s="249" t="s">
        <v>9</v>
      </c>
      <c r="M96" s="285">
        <f>R.HN!D58</f>
        <v>0</v>
      </c>
      <c r="N96" s="37">
        <f>M96*12.5</f>
        <v>0</v>
      </c>
      <c r="O96" s="37">
        <f>($F$92-N96)*1728/1000</f>
        <v>224.64</v>
      </c>
      <c r="P96" s="41" t="s">
        <v>8</v>
      </c>
      <c r="Q96" s="491">
        <f>IF(O96&lt;0,0,O96)</f>
        <v>224.64</v>
      </c>
      <c r="R96" s="47" t="s">
        <v>9</v>
      </c>
      <c r="S96" s="517"/>
      <c r="T96" s="50"/>
      <c r="AD96" s="308"/>
      <c r="AE96" s="517"/>
      <c r="AF96" s="50"/>
      <c r="AP96" s="308"/>
      <c r="AQ96" s="308" t="s">
        <v>574</v>
      </c>
    </row>
    <row r="97" spans="1:43" ht="34.5" customHeight="1">
      <c r="A97" s="1439" t="s">
        <v>587</v>
      </c>
      <c r="B97" s="2196" t="s">
        <v>1328</v>
      </c>
      <c r="C97" s="2197"/>
      <c r="D97" s="54" t="s">
        <v>4</v>
      </c>
      <c r="E97" s="1431" t="s">
        <v>583</v>
      </c>
      <c r="F97" s="108"/>
      <c r="G97" s="1492">
        <f>R.HN!C59</f>
        <v>8.1</v>
      </c>
      <c r="H97" s="37">
        <f>(G96-G97)*1.25</f>
        <v>4.5</v>
      </c>
      <c r="I97" s="37" t="s">
        <v>478</v>
      </c>
      <c r="J97" s="41" t="s">
        <v>8</v>
      </c>
      <c r="K97" s="491" t="str">
        <f>IF(I97&lt;0,0,I97)</f>
        <v>N/A</v>
      </c>
      <c r="L97" s="249" t="s">
        <v>9</v>
      </c>
      <c r="M97" s="285">
        <f>R.HN!D59</f>
        <v>0</v>
      </c>
      <c r="N97" s="37">
        <f>(M96-M97)*1.25</f>
        <v>0</v>
      </c>
      <c r="O97" s="37" t="s">
        <v>478</v>
      </c>
      <c r="P97" s="41" t="s">
        <v>8</v>
      </c>
      <c r="Q97" s="491" t="str">
        <f>IF(O97&lt;0,0,O97)</f>
        <v>N/A</v>
      </c>
      <c r="R97" s="47" t="s">
        <v>9</v>
      </c>
      <c r="S97" s="517"/>
      <c r="T97" s="50"/>
      <c r="AD97" s="308"/>
      <c r="AE97" s="517"/>
      <c r="AF97" s="50"/>
      <c r="AP97" s="308"/>
      <c r="AQ97" s="308" t="s">
        <v>574</v>
      </c>
    </row>
    <row r="98" spans="1:43" ht="34.5" customHeight="1">
      <c r="A98" s="1439" t="s">
        <v>588</v>
      </c>
      <c r="B98" s="2198" t="s">
        <v>589</v>
      </c>
      <c r="C98" s="2199"/>
      <c r="D98" s="54" t="s">
        <v>4</v>
      </c>
      <c r="E98" s="1431" t="s">
        <v>590</v>
      </c>
      <c r="F98" s="119">
        <v>10</v>
      </c>
      <c r="G98" s="1492">
        <f>R.HN!C60</f>
        <v>5.2</v>
      </c>
      <c r="H98" s="37">
        <f>G98*2.08</f>
        <v>10.816000000000001</v>
      </c>
      <c r="I98" s="37">
        <f>($F$98-H98)*1728/1000</f>
        <v>-1.4100480000000011</v>
      </c>
      <c r="J98" s="41" t="s">
        <v>8</v>
      </c>
      <c r="K98" s="491">
        <f t="shared" si="7"/>
        <v>0</v>
      </c>
      <c r="L98" s="249" t="s">
        <v>9</v>
      </c>
      <c r="M98" s="285">
        <f>R.HN!D60</f>
        <v>0</v>
      </c>
      <c r="N98" s="37">
        <f>M98*2.08</f>
        <v>0</v>
      </c>
      <c r="O98" s="37">
        <f>($F$98-N98)*1728/1000</f>
        <v>17.28</v>
      </c>
      <c r="P98" s="41" t="s">
        <v>8</v>
      </c>
      <c r="Q98" s="491">
        <f t="shared" si="8"/>
        <v>17.28</v>
      </c>
      <c r="R98" s="47" t="s">
        <v>9</v>
      </c>
      <c r="S98" s="517"/>
      <c r="T98" s="50"/>
      <c r="AD98" s="308"/>
      <c r="AE98" s="517"/>
      <c r="AF98" s="50"/>
      <c r="AP98" s="308"/>
      <c r="AQ98" s="308" t="s">
        <v>574</v>
      </c>
    </row>
    <row r="99" spans="1:43" ht="34.5" customHeight="1">
      <c r="A99" s="1439" t="s">
        <v>591</v>
      </c>
      <c r="B99" s="2200"/>
      <c r="C99" s="2201"/>
      <c r="D99" s="54" t="s">
        <v>5</v>
      </c>
      <c r="E99" s="1431" t="s">
        <v>592</v>
      </c>
      <c r="F99" s="119"/>
      <c r="G99" s="1492"/>
      <c r="H99" s="699">
        <v>7</v>
      </c>
      <c r="I99" s="1516"/>
      <c r="J99" s="1516"/>
      <c r="K99" s="1452"/>
      <c r="L99" s="1517"/>
      <c r="M99" s="285"/>
      <c r="N99" s="699"/>
      <c r="O99" s="1452"/>
      <c r="P99" s="1452"/>
      <c r="Q99" s="1452"/>
      <c r="R99" s="1517"/>
      <c r="S99" s="517"/>
      <c r="T99" s="50"/>
      <c r="AD99" s="308"/>
      <c r="AE99" s="517"/>
      <c r="AF99" s="50"/>
      <c r="AP99" s="308"/>
      <c r="AQ99" s="308" t="s">
        <v>574</v>
      </c>
    </row>
    <row r="100" spans="1:43" ht="34.5" customHeight="1">
      <c r="A100" s="1439" t="s">
        <v>593</v>
      </c>
      <c r="B100" s="2196" t="s">
        <v>594</v>
      </c>
      <c r="C100" s="2197"/>
      <c r="D100" s="1518" t="s">
        <v>5</v>
      </c>
      <c r="E100" s="127" t="s">
        <v>595</v>
      </c>
      <c r="F100" s="1518"/>
      <c r="G100" s="1519"/>
      <c r="H100" s="699"/>
      <c r="I100" s="1452"/>
      <c r="J100" s="1452"/>
      <c r="K100" s="1452"/>
      <c r="L100" s="1517"/>
      <c r="M100" s="285"/>
      <c r="N100" s="1520"/>
      <c r="O100" s="1452"/>
      <c r="P100" s="1452"/>
      <c r="Q100" s="1452"/>
      <c r="R100" s="1517"/>
      <c r="S100" s="520"/>
      <c r="T100" s="50"/>
      <c r="AD100" s="308"/>
      <c r="AE100" s="517"/>
      <c r="AF100" s="50"/>
      <c r="AP100" s="308"/>
      <c r="AQ100" s="308" t="s">
        <v>574</v>
      </c>
    </row>
    <row r="101" spans="1:43" ht="34.5" customHeight="1">
      <c r="A101" s="1439" t="s">
        <v>596</v>
      </c>
      <c r="B101" s="2196" t="s">
        <v>597</v>
      </c>
      <c r="C101" s="2197"/>
      <c r="D101" s="1518" t="s">
        <v>5</v>
      </c>
      <c r="E101" s="127" t="s">
        <v>598</v>
      </c>
      <c r="F101" s="1518"/>
      <c r="G101" s="1519"/>
      <c r="H101" s="699"/>
      <c r="I101" s="1452"/>
      <c r="J101" s="1452"/>
      <c r="K101" s="1452"/>
      <c r="L101" s="1517"/>
      <c r="M101" s="285"/>
      <c r="N101" s="1520"/>
      <c r="O101" s="1452"/>
      <c r="P101" s="1452"/>
      <c r="Q101" s="1452"/>
      <c r="R101" s="1517"/>
      <c r="S101" s="520"/>
      <c r="T101" s="50"/>
      <c r="AD101" s="308"/>
      <c r="AE101" s="517"/>
      <c r="AF101" s="50"/>
      <c r="AP101" s="308"/>
      <c r="AQ101" s="308" t="s">
        <v>574</v>
      </c>
    </row>
    <row r="102" spans="1:43" ht="34.5" customHeight="1">
      <c r="A102" s="1439" t="s">
        <v>599</v>
      </c>
      <c r="B102" s="2196" t="s">
        <v>600</v>
      </c>
      <c r="C102" s="2197"/>
      <c r="D102" s="1521" t="s">
        <v>5</v>
      </c>
      <c r="E102" s="1436" t="s">
        <v>595</v>
      </c>
      <c r="F102" s="1521"/>
      <c r="G102" s="1522"/>
      <c r="H102" s="699">
        <v>5.62</v>
      </c>
      <c r="I102" s="1452"/>
      <c r="J102" s="1452"/>
      <c r="K102" s="1452"/>
      <c r="L102" s="1517"/>
      <c r="M102" s="1523"/>
      <c r="N102" s="699"/>
      <c r="O102" s="1452"/>
      <c r="P102" s="1452"/>
      <c r="Q102" s="1452"/>
      <c r="R102" s="1517"/>
      <c r="S102" s="520"/>
      <c r="T102" s="50"/>
      <c r="AD102" s="308"/>
      <c r="AE102" s="517"/>
      <c r="AF102" s="50"/>
      <c r="AP102" s="308"/>
      <c r="AQ102" s="308" t="s">
        <v>574</v>
      </c>
    </row>
    <row r="103" spans="1:43" ht="42" customHeight="1">
      <c r="A103" s="335" t="s">
        <v>76</v>
      </c>
      <c r="B103" s="336"/>
      <c r="C103" s="336"/>
      <c r="D103" s="336"/>
      <c r="E103" s="332"/>
      <c r="F103" s="336"/>
      <c r="G103" s="336"/>
      <c r="H103" s="336"/>
      <c r="I103" s="336"/>
      <c r="J103" s="336"/>
      <c r="K103" s="336"/>
      <c r="L103" s="336"/>
      <c r="M103" s="336"/>
      <c r="N103" s="337"/>
      <c r="O103" s="336"/>
      <c r="P103" s="336"/>
      <c r="Q103" s="336"/>
      <c r="R103" s="337"/>
      <c r="S103" s="336"/>
      <c r="T103" s="50"/>
      <c r="AD103" s="308"/>
      <c r="AE103" s="517"/>
      <c r="AF103" s="50"/>
      <c r="AP103" s="308"/>
    </row>
    <row r="104" spans="1:43" ht="37.5" customHeight="1">
      <c r="A104" s="1435" t="s">
        <v>276</v>
      </c>
      <c r="B104" s="2080" t="s">
        <v>64</v>
      </c>
      <c r="C104" s="2197"/>
      <c r="D104" s="327" t="s">
        <v>66</v>
      </c>
      <c r="E104" s="327" t="s">
        <v>67</v>
      </c>
      <c r="F104" s="127"/>
      <c r="G104" s="127"/>
      <c r="H104" s="329" t="s">
        <v>48</v>
      </c>
      <c r="I104" s="330"/>
      <c r="J104" s="330"/>
      <c r="K104" s="329" t="s">
        <v>65</v>
      </c>
      <c r="L104" s="346"/>
      <c r="M104" s="327"/>
      <c r="N104" s="329" t="s">
        <v>48</v>
      </c>
      <c r="O104" s="330"/>
      <c r="P104" s="330"/>
      <c r="Q104" s="329" t="s">
        <v>65</v>
      </c>
      <c r="R104" s="346"/>
      <c r="S104" s="521"/>
      <c r="T104" s="50"/>
      <c r="AD104" s="308"/>
      <c r="AE104" s="517"/>
      <c r="AF104" s="50"/>
      <c r="AP104" s="308"/>
      <c r="AQ104" s="308" t="s">
        <v>574</v>
      </c>
    </row>
    <row r="105" spans="1:43" ht="38.25" customHeight="1">
      <c r="A105" s="1439" t="s">
        <v>601</v>
      </c>
      <c r="B105" s="2196" t="s">
        <v>572</v>
      </c>
      <c r="C105" s="2197"/>
      <c r="D105" s="117" t="s">
        <v>113</v>
      </c>
      <c r="E105" s="51" t="s">
        <v>1329</v>
      </c>
      <c r="F105" s="51"/>
      <c r="G105" s="51"/>
      <c r="H105" s="1869">
        <v>66</v>
      </c>
      <c r="I105" s="1869"/>
      <c r="J105" s="1869"/>
      <c r="K105" s="1869">
        <v>61</v>
      </c>
      <c r="L105" s="1869"/>
      <c r="M105" s="1524"/>
      <c r="N105" s="1869"/>
      <c r="O105" s="1869"/>
      <c r="P105" s="1869"/>
      <c r="Q105" s="1869"/>
      <c r="R105" s="1869"/>
      <c r="S105" s="522"/>
      <c r="T105" s="50"/>
      <c r="AD105" s="308"/>
      <c r="AE105" s="517"/>
      <c r="AF105" s="50"/>
      <c r="AP105" s="308"/>
      <c r="AQ105" s="308" t="s">
        <v>574</v>
      </c>
    </row>
    <row r="106" spans="1:43" ht="38.25" customHeight="1">
      <c r="A106" s="1439" t="s">
        <v>602</v>
      </c>
      <c r="B106" s="2196" t="s">
        <v>576</v>
      </c>
      <c r="C106" s="2197"/>
      <c r="D106" s="117" t="s">
        <v>113</v>
      </c>
      <c r="E106" s="51" t="s">
        <v>1329</v>
      </c>
      <c r="F106" s="51"/>
      <c r="G106" s="51"/>
      <c r="H106" s="1869">
        <v>67</v>
      </c>
      <c r="I106" s="1869"/>
      <c r="J106" s="1869"/>
      <c r="K106" s="1869">
        <v>61</v>
      </c>
      <c r="L106" s="1869"/>
      <c r="M106" s="1525"/>
      <c r="N106" s="1869"/>
      <c r="O106" s="1869"/>
      <c r="P106" s="1869"/>
      <c r="Q106" s="1869"/>
      <c r="R106" s="1869"/>
      <c r="S106" s="522"/>
      <c r="T106" s="50"/>
      <c r="AD106" s="308"/>
      <c r="AE106" s="517"/>
      <c r="AF106" s="50"/>
      <c r="AP106" s="308"/>
      <c r="AQ106" s="308" t="s">
        <v>574</v>
      </c>
    </row>
    <row r="107" spans="1:43" ht="38.25" customHeight="1">
      <c r="A107" s="1439" t="s">
        <v>603</v>
      </c>
      <c r="B107" s="2196" t="s">
        <v>1330</v>
      </c>
      <c r="C107" s="2197"/>
      <c r="D107" s="117" t="s">
        <v>113</v>
      </c>
      <c r="E107" s="51" t="s">
        <v>1331</v>
      </c>
      <c r="F107" s="51"/>
      <c r="G107" s="51"/>
      <c r="H107" s="1869">
        <v>22</v>
      </c>
      <c r="I107" s="1869"/>
      <c r="J107" s="1869"/>
      <c r="K107" s="1869">
        <v>21</v>
      </c>
      <c r="L107" s="1869"/>
      <c r="M107" s="1869"/>
      <c r="N107" s="1869"/>
      <c r="O107" s="1869"/>
      <c r="P107" s="1869"/>
      <c r="Q107" s="1869"/>
      <c r="R107" s="1869"/>
      <c r="S107" s="522"/>
      <c r="T107" s="50"/>
      <c r="AD107" s="308"/>
      <c r="AE107" s="517"/>
      <c r="AF107" s="50"/>
      <c r="AP107" s="308"/>
      <c r="AQ107" s="308" t="s">
        <v>574</v>
      </c>
    </row>
    <row r="108" spans="1:43" ht="38.25" customHeight="1">
      <c r="A108" s="1439" t="s">
        <v>604</v>
      </c>
      <c r="B108" s="2196" t="s">
        <v>1332</v>
      </c>
      <c r="C108" s="2197"/>
      <c r="D108" s="117" t="s">
        <v>113</v>
      </c>
      <c r="E108" s="51" t="s">
        <v>1331</v>
      </c>
      <c r="F108" s="51"/>
      <c r="G108" s="51"/>
      <c r="H108" s="1869">
        <v>19</v>
      </c>
      <c r="I108" s="1869"/>
      <c r="J108" s="1869"/>
      <c r="K108" s="1869">
        <v>17</v>
      </c>
      <c r="L108" s="1869"/>
      <c r="M108" s="1869"/>
      <c r="N108" s="1869"/>
      <c r="O108" s="1869"/>
      <c r="P108" s="1869"/>
      <c r="Q108" s="1869"/>
      <c r="R108" s="1869"/>
      <c r="S108" s="522"/>
      <c r="T108" s="50"/>
      <c r="AD108" s="308"/>
      <c r="AE108" s="517"/>
      <c r="AF108" s="50"/>
      <c r="AP108" s="308"/>
      <c r="AQ108" s="308" t="s">
        <v>574</v>
      </c>
    </row>
    <row r="109" spans="1:43" ht="38.25" customHeight="1">
      <c r="A109" s="1439" t="s">
        <v>605</v>
      </c>
      <c r="B109" s="2196" t="s">
        <v>1333</v>
      </c>
      <c r="C109" s="2197"/>
      <c r="D109" s="117" t="s">
        <v>113</v>
      </c>
      <c r="E109" s="51" t="s">
        <v>1331</v>
      </c>
      <c r="F109" s="51"/>
      <c r="G109" s="51"/>
      <c r="H109" s="1869">
        <v>21</v>
      </c>
      <c r="I109" s="1869"/>
      <c r="J109" s="1869"/>
      <c r="K109" s="1869">
        <v>19</v>
      </c>
      <c r="L109" s="1869"/>
      <c r="M109" s="1869"/>
      <c r="N109" s="1869"/>
      <c r="O109" s="1869"/>
      <c r="P109" s="1869"/>
      <c r="Q109" s="1869"/>
      <c r="R109" s="1869"/>
      <c r="S109" s="522"/>
      <c r="T109" s="50"/>
      <c r="AD109" s="308"/>
      <c r="AE109" s="517"/>
      <c r="AF109" s="50"/>
      <c r="AP109" s="308"/>
      <c r="AQ109" s="308" t="s">
        <v>574</v>
      </c>
    </row>
    <row r="110" spans="1:43" ht="38.25" customHeight="1">
      <c r="A110" s="1439" t="s">
        <v>606</v>
      </c>
      <c r="B110" s="2196" t="s">
        <v>607</v>
      </c>
      <c r="C110" s="2197"/>
      <c r="D110" s="117" t="s">
        <v>113</v>
      </c>
      <c r="E110" s="51" t="s">
        <v>1334</v>
      </c>
      <c r="F110" s="51"/>
      <c r="G110" s="51"/>
      <c r="H110" s="1869">
        <v>39</v>
      </c>
      <c r="I110" s="1869"/>
      <c r="J110" s="1869"/>
      <c r="K110" s="1869">
        <v>37</v>
      </c>
      <c r="L110" s="1869"/>
      <c r="M110" s="1525"/>
      <c r="N110" s="1869"/>
      <c r="O110" s="1869"/>
      <c r="P110" s="1869"/>
      <c r="Q110" s="1869"/>
      <c r="R110" s="1869"/>
      <c r="S110" s="522"/>
      <c r="T110" s="50"/>
      <c r="AD110" s="308"/>
      <c r="AE110" s="517"/>
      <c r="AF110" s="50"/>
      <c r="AP110" s="308"/>
      <c r="AQ110" s="308" t="s">
        <v>574</v>
      </c>
    </row>
    <row r="111" spans="1:43" ht="38.25" customHeight="1">
      <c r="A111" s="1439" t="s">
        <v>608</v>
      </c>
      <c r="B111" s="2196" t="s">
        <v>594</v>
      </c>
      <c r="C111" s="2197"/>
      <c r="D111" s="117" t="s">
        <v>113</v>
      </c>
      <c r="E111" s="51" t="s">
        <v>1335</v>
      </c>
      <c r="F111" s="54"/>
      <c r="G111" s="54"/>
      <c r="H111" s="1877"/>
      <c r="I111" s="1877"/>
      <c r="J111" s="1877"/>
      <c r="K111" s="1877"/>
      <c r="L111" s="1877"/>
      <c r="M111" s="523"/>
      <c r="N111" s="1877"/>
      <c r="O111" s="1877"/>
      <c r="P111" s="1877"/>
      <c r="Q111" s="1877"/>
      <c r="R111" s="1877"/>
      <c r="S111" s="524"/>
      <c r="T111" s="50"/>
      <c r="AD111" s="308"/>
      <c r="AE111" s="517"/>
      <c r="AF111" s="50"/>
      <c r="AP111" s="308"/>
      <c r="AQ111" s="308" t="s">
        <v>574</v>
      </c>
    </row>
    <row r="112" spans="1:43" ht="38.25" customHeight="1">
      <c r="A112" s="1439" t="s">
        <v>609</v>
      </c>
      <c r="B112" s="2196" t="s">
        <v>597</v>
      </c>
      <c r="C112" s="2197"/>
      <c r="D112" s="117" t="s">
        <v>113</v>
      </c>
      <c r="E112" s="51" t="s">
        <v>1335</v>
      </c>
      <c r="F112" s="54"/>
      <c r="G112" s="54"/>
      <c r="H112" s="1875"/>
      <c r="I112" s="1875"/>
      <c r="J112" s="1875"/>
      <c r="K112" s="1875"/>
      <c r="L112" s="1875"/>
      <c r="M112" s="1525"/>
      <c r="N112" s="1875"/>
      <c r="O112" s="1875"/>
      <c r="P112" s="1875"/>
      <c r="Q112" s="1875"/>
      <c r="R112" s="1875"/>
      <c r="S112" s="524"/>
      <c r="T112" s="50"/>
      <c r="AD112" s="308"/>
      <c r="AE112" s="517"/>
      <c r="AF112" s="50"/>
      <c r="AP112" s="308"/>
      <c r="AQ112" s="308" t="s">
        <v>574</v>
      </c>
    </row>
    <row r="113" spans="1:43" ht="38.25" customHeight="1">
      <c r="A113" s="1439" t="s">
        <v>610</v>
      </c>
      <c r="B113" s="2196" t="s">
        <v>600</v>
      </c>
      <c r="C113" s="2197"/>
      <c r="D113" s="117" t="s">
        <v>113</v>
      </c>
      <c r="E113" s="51" t="s">
        <v>1336</v>
      </c>
      <c r="F113" s="54"/>
      <c r="G113" s="54"/>
      <c r="H113" s="1869">
        <v>64</v>
      </c>
      <c r="I113" s="1869"/>
      <c r="J113" s="1869"/>
      <c r="K113" s="1869">
        <v>61</v>
      </c>
      <c r="L113" s="1869"/>
      <c r="M113" s="1525"/>
      <c r="N113" s="1869"/>
      <c r="O113" s="1869"/>
      <c r="P113" s="1869"/>
      <c r="Q113" s="1869"/>
      <c r="R113" s="1869"/>
      <c r="S113" s="524"/>
      <c r="T113" s="50"/>
      <c r="AD113" s="308"/>
      <c r="AE113" s="524"/>
      <c r="AF113" s="50"/>
      <c r="AP113" s="308"/>
      <c r="AQ113" s="308" t="s">
        <v>574</v>
      </c>
    </row>
    <row r="114" spans="1:43" ht="38.25" customHeight="1">
      <c r="A114" s="1439" t="s">
        <v>611</v>
      </c>
      <c r="B114" s="2196" t="s">
        <v>612</v>
      </c>
      <c r="C114" s="2197"/>
      <c r="D114" s="117" t="s">
        <v>113</v>
      </c>
      <c r="E114" s="51" t="s">
        <v>1337</v>
      </c>
      <c r="F114" s="54"/>
      <c r="G114" s="54"/>
      <c r="H114" s="1875" t="s">
        <v>49</v>
      </c>
      <c r="I114" s="1875"/>
      <c r="J114" s="1875"/>
      <c r="K114" s="1869">
        <v>116</v>
      </c>
      <c r="L114" s="1869"/>
      <c r="M114" s="1525"/>
      <c r="N114" s="1875" t="s">
        <v>49</v>
      </c>
      <c r="O114" s="1875"/>
      <c r="P114" s="1875"/>
      <c r="Q114" s="1869"/>
      <c r="R114" s="1869"/>
      <c r="S114" s="524"/>
      <c r="T114" s="50"/>
      <c r="AD114" s="308"/>
      <c r="AE114" s="524"/>
      <c r="AF114" s="50"/>
      <c r="AP114" s="308"/>
      <c r="AQ114" s="308" t="s">
        <v>574</v>
      </c>
    </row>
    <row r="115" spans="1:43" ht="38.25" customHeight="1"/>
  </sheetData>
  <sheetProtection formatCells="0" formatColumns="0" formatRows="0" insertColumns="0" insertRows="0" insertHyperlinks="0" deleteColumns="0" deleteRows="0" selectLockedCells="1" sort="0" autoFilter="0" pivotTables="0"/>
  <mergeCells count="307">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 ref="Q110:R110"/>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H109:J109"/>
    <mergeCell ref="H110:J110"/>
    <mergeCell ref="K110:L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N18:P18"/>
    <mergeCell ref="Q18:R18"/>
    <mergeCell ref="T35:V35"/>
    <mergeCell ref="W35:X35"/>
    <mergeCell ref="Z34:AB34"/>
    <mergeCell ref="AC34:AD34"/>
    <mergeCell ref="Z35:AB35"/>
    <mergeCell ref="AC35:AD35"/>
    <mergeCell ref="H108:J108"/>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B95:C95"/>
    <mergeCell ref="B96:C96"/>
    <mergeCell ref="B97:C97"/>
    <mergeCell ref="B98:C99"/>
    <mergeCell ref="B100:C100"/>
    <mergeCell ref="B101:C101"/>
    <mergeCell ref="B89:C89"/>
    <mergeCell ref="B90:C90"/>
    <mergeCell ref="B91:C91"/>
    <mergeCell ref="B92:C92"/>
    <mergeCell ref="B93:C93"/>
    <mergeCell ref="B94:C94"/>
    <mergeCell ref="B111:C111"/>
    <mergeCell ref="B112:C112"/>
    <mergeCell ref="B113:C113"/>
    <mergeCell ref="B114:C114"/>
    <mergeCell ref="B102:C102"/>
    <mergeCell ref="B104:C104"/>
    <mergeCell ref="B105:C105"/>
    <mergeCell ref="B106:C106"/>
    <mergeCell ref="B107:C107"/>
    <mergeCell ref="B108:C108"/>
    <mergeCell ref="B109:C109"/>
    <mergeCell ref="B110:C110"/>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B65:C65"/>
    <mergeCell ref="B66:C66"/>
    <mergeCell ref="B67:C67"/>
    <mergeCell ref="B68:C68"/>
    <mergeCell ref="B69:C69"/>
    <mergeCell ref="B70:C70"/>
    <mergeCell ref="B59:C59"/>
    <mergeCell ref="B60:C60"/>
    <mergeCell ref="B61:C61"/>
    <mergeCell ref="B62:C62"/>
    <mergeCell ref="B63:C63"/>
    <mergeCell ref="B64:C64"/>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B42:C42"/>
    <mergeCell ref="B43:B45"/>
    <mergeCell ref="C43:C45"/>
    <mergeCell ref="D43:D45"/>
    <mergeCell ref="N39:R39"/>
    <mergeCell ref="T39:X39"/>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B26:C26"/>
    <mergeCell ref="B27:B29"/>
    <mergeCell ref="D27:D29"/>
    <mergeCell ref="B30:C31"/>
    <mergeCell ref="B33:C33"/>
    <mergeCell ref="B34:C34"/>
    <mergeCell ref="T36:V36"/>
    <mergeCell ref="W36:X36"/>
    <mergeCell ref="H34:J34"/>
    <mergeCell ref="K34:L34"/>
    <mergeCell ref="N34:P34"/>
    <mergeCell ref="Q34:R34"/>
    <mergeCell ref="T34:V34"/>
    <mergeCell ref="W34:X34"/>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s>
  <phoneticPr fontId="6" type="noConversion"/>
  <conditionalFormatting sqref="H6:H7 H26 AL6:AL7 AF6:AF7 Z6:Z7 T6:T7 N6:N7 N26 T26 Z26 AF26 AL26 H42 N42 T42 Z42 AF42 AL42">
    <cfRule type="expression" dxfId="1386" priority="582">
      <formula>H6&lt;10</formula>
    </cfRule>
    <cfRule type="expression" dxfId="1385" priority="583">
      <formula>H6&gt;15</formula>
    </cfRule>
  </conditionalFormatting>
  <conditionalFormatting sqref="H27 AL8 AL11 AF8 AF11 Z8 Z11 T8 T11 N8 N11 H8 H11 N27 T27 Z27 AF27 AL27 H43 N43 T43 Z43 AF43 AL43">
    <cfRule type="expression" dxfId="1384" priority="580">
      <formula>H8&lt;40</formula>
    </cfRule>
    <cfRule type="expression" dxfId="1383" priority="581">
      <formula>H8&gt;60</formula>
    </cfRule>
  </conditionalFormatting>
  <conditionalFormatting sqref="H28 AL9 AL12 AF9 AF12 Z9 Z12 T9 T12 N9 N12 H9 H12 N28 T28 Z28 AF28 AL28 H44 N44 T44 Z44 AF44 AL44">
    <cfRule type="expression" dxfId="1382" priority="578">
      <formula>H9&lt;5.2</formula>
    </cfRule>
    <cfRule type="expression" dxfId="1381" priority="579">
      <formula>H9&gt;7.8</formula>
    </cfRule>
  </conditionalFormatting>
  <conditionalFormatting sqref="H29 AL10 AL13 AF10 AF13 Z10 Z13 T10 T13 N10 N13 H10 H13 N29 T29 Z29 AF29 AL29 H45 N45 T45 Z45 AF45 AL45">
    <cfRule type="expression" dxfId="1380" priority="577">
      <formula>H10&gt;0.4</formula>
    </cfRule>
  </conditionalFormatting>
  <conditionalFormatting sqref="H30 AL14 AF14 Z14 T14 N14 H14 N30 T30 Z30 AF30 AL30 H46 N46 T46 Z46 AF46 AL46">
    <cfRule type="expression" dxfId="1379" priority="575">
      <formula>H14&lt;0.8</formula>
    </cfRule>
    <cfRule type="expression" dxfId="1378" priority="576">
      <formula>H14&gt;1.2</formula>
    </cfRule>
  </conditionalFormatting>
  <conditionalFormatting sqref="AL47 AF47 Z47 T47 N47 H47 AL31 AF31 Z31 T31 N31 AL15 AF15 Z15 T15 N15 H15">
    <cfRule type="expression" dxfId="1377" priority="573">
      <formula>H15&lt;8</formula>
    </cfRule>
    <cfRule type="expression" dxfId="1376" priority="574">
      <formula>H15&gt;10</formula>
    </cfRule>
  </conditionalFormatting>
  <conditionalFormatting sqref="H25 N25 T25 Z25 AF25 AL25 H41 N41 T41 Z41 AF41 AL41">
    <cfRule type="expression" dxfId="1375" priority="571">
      <formula>H25&lt;30</formula>
    </cfRule>
    <cfRule type="expression" dxfId="1374" priority="572">
      <formula>H25&gt;50</formula>
    </cfRule>
  </conditionalFormatting>
  <conditionalFormatting sqref="N57:N59 H57:H59">
    <cfRule type="expression" dxfId="1373" priority="569">
      <formula>H57&lt;10</formula>
    </cfRule>
    <cfRule type="expression" dxfId="1372" priority="570">
      <formula>H57&gt;20</formula>
    </cfRule>
  </conditionalFormatting>
  <conditionalFormatting sqref="N60 H60">
    <cfRule type="expression" dxfId="1371" priority="567">
      <formula>H60&lt;5</formula>
    </cfRule>
    <cfRule type="expression" dxfId="1370" priority="568">
      <formula>H60&gt;15</formula>
    </cfRule>
  </conditionalFormatting>
  <conditionalFormatting sqref="N61 H61">
    <cfRule type="expression" dxfId="1369" priority="566">
      <formula>H61&gt;1.5</formula>
    </cfRule>
  </conditionalFormatting>
  <conditionalFormatting sqref="N62 H62">
    <cfRule type="expression" dxfId="1368" priority="564">
      <formula>H62&lt;20</formula>
    </cfRule>
    <cfRule type="expression" dxfId="1367" priority="565">
      <formula>H62&gt;25</formula>
    </cfRule>
  </conditionalFormatting>
  <conditionalFormatting sqref="N63 H63">
    <cfRule type="expression" dxfId="1366" priority="562">
      <formula>H63&lt;6</formula>
    </cfRule>
    <cfRule type="expression" dxfId="1365" priority="563">
      <formula>H63&gt;9</formula>
    </cfRule>
  </conditionalFormatting>
  <conditionalFormatting sqref="N64 H64">
    <cfRule type="expression" dxfId="1364" priority="560">
      <formula>H64&lt;7</formula>
    </cfRule>
    <cfRule type="expression" dxfId="1363" priority="561">
      <formula>H64&gt;10</formula>
    </cfRule>
  </conditionalFormatting>
  <conditionalFormatting sqref="N65:N66 H65:H66">
    <cfRule type="expression" dxfId="1362" priority="558">
      <formula>H65&lt;5.3</formula>
    </cfRule>
    <cfRule type="expression" dxfId="1361" priority="559">
      <formula>H65&gt;6</formula>
    </cfRule>
  </conditionalFormatting>
  <conditionalFormatting sqref="N89:N90 H89:H90">
    <cfRule type="expression" dxfId="1360" priority="556">
      <formula>H89&lt;20</formula>
    </cfRule>
    <cfRule type="expression" dxfId="1359" priority="557">
      <formula>H89&gt;30</formula>
    </cfRule>
  </conditionalFormatting>
  <conditionalFormatting sqref="N91 H91">
    <cfRule type="expression" dxfId="1358" priority="554">
      <formula>H91&lt;210</formula>
    </cfRule>
    <cfRule type="expression" dxfId="1357" priority="555">
      <formula>H91&gt;290</formula>
    </cfRule>
  </conditionalFormatting>
  <conditionalFormatting sqref="N92 N94 N96 H92 H94 H96">
    <cfRule type="expression" dxfId="1356" priority="552">
      <formula>H92&lt;120</formula>
    </cfRule>
    <cfRule type="expression" dxfId="1355" priority="553">
      <formula>H92&gt;150</formula>
    </cfRule>
  </conditionalFormatting>
  <conditionalFormatting sqref="N93 N95 N97 H93 H95 H97">
    <cfRule type="expression" dxfId="1354" priority="550">
      <formula>H93&lt;1</formula>
    </cfRule>
    <cfRule type="expression" dxfId="1353" priority="551">
      <formula>H93&gt;5</formula>
    </cfRule>
  </conditionalFormatting>
  <conditionalFormatting sqref="N98 H98">
    <cfRule type="expression" dxfId="1352" priority="548">
      <formula>H98&lt;8</formula>
    </cfRule>
    <cfRule type="expression" dxfId="1351" priority="549">
      <formula>H98&gt;12</formula>
    </cfRule>
  </conditionalFormatting>
  <conditionalFormatting sqref="N9 N12 H9 H12 H28 AL9 AL12 AF9 AF12 Z9 Z12 T9 T12 N28 T28 Z28 AF28 AL28 H44 N44 T44 Z44 AF44 AL44">
    <cfRule type="expression" dxfId="1350" priority="547">
      <formula>H9&lt;1</formula>
    </cfRule>
  </conditionalFormatting>
  <conditionalFormatting sqref="H67 H69">
    <cfRule type="expression" dxfId="1349" priority="545">
      <formula>H67&lt;12</formula>
    </cfRule>
    <cfRule type="expression" dxfId="1348" priority="546">
      <formula>H67&gt;18</formula>
    </cfRule>
  </conditionalFormatting>
  <conditionalFormatting sqref="H68 H70">
    <cfRule type="expression" dxfId="1347" priority="543">
      <formula>H68&lt;8</formula>
    </cfRule>
    <cfRule type="expression" dxfId="1346" priority="544">
      <formula>H68&gt;16</formula>
    </cfRule>
  </conditionalFormatting>
  <conditionalFormatting sqref="H18:L19 N18:R19 T18:X19 Z18:AD19 AF18:AJ19 AL18:AP19 H35:L35 N35:R35 T35:X35 Z35:AD35 AF35:AJ35 AL35:AP35">
    <cfRule type="expression" dxfId="1345" priority="541">
      <formula>H18&lt;65</formula>
    </cfRule>
    <cfRule type="expression" dxfId="1344" priority="542">
      <formula>H18&gt;85</formula>
    </cfRule>
  </conditionalFormatting>
  <conditionalFormatting sqref="H20:L20 N20:R20 T20:X20 Z20:AD20 AF20:AJ20 AL20:AP20 H36:L36 N36:R36 T36:X36 Z36:AD36 AF36:AJ36 AL36:AP36">
    <cfRule type="expression" dxfId="1343" priority="539">
      <formula>H20&lt;80</formula>
    </cfRule>
    <cfRule type="expression" dxfId="1342" priority="540">
      <formula>H20&gt;90</formula>
    </cfRule>
  </conditionalFormatting>
  <conditionalFormatting sqref="H51:J51">
    <cfRule type="expression" dxfId="1341" priority="493">
      <formula>H51&lt;65</formula>
    </cfRule>
    <cfRule type="expression" dxfId="1340" priority="494">
      <formula>H51&gt;85</formula>
    </cfRule>
  </conditionalFormatting>
  <conditionalFormatting sqref="H52:J52">
    <cfRule type="expression" dxfId="1339" priority="491">
      <formula>H52&lt;80</formula>
    </cfRule>
    <cfRule type="expression" dxfId="1338" priority="492">
      <formula>H52&gt;90</formula>
    </cfRule>
  </conditionalFormatting>
  <conditionalFormatting sqref="K51:L52">
    <cfRule type="expression" dxfId="1337" priority="489">
      <formula>K51&lt;65</formula>
    </cfRule>
    <cfRule type="expression" dxfId="1336" priority="490">
      <formula>K51&gt;85</formula>
    </cfRule>
  </conditionalFormatting>
  <conditionalFormatting sqref="N51:P51">
    <cfRule type="expression" dxfId="1335" priority="485">
      <formula>N51&lt;65</formula>
    </cfRule>
    <cfRule type="expression" dxfId="1334" priority="486">
      <formula>N51&gt;85</formula>
    </cfRule>
  </conditionalFormatting>
  <conditionalFormatting sqref="N52:P52">
    <cfRule type="expression" dxfId="1333" priority="483">
      <formula>N52&lt;80</formula>
    </cfRule>
    <cfRule type="expression" dxfId="1332" priority="484">
      <formula>N52&gt;90</formula>
    </cfRule>
  </conditionalFormatting>
  <conditionalFormatting sqref="Q51:R51">
    <cfRule type="expression" dxfId="1331" priority="481">
      <formula>Q51&lt;65</formula>
    </cfRule>
    <cfRule type="expression" dxfId="1330" priority="482">
      <formula>Q51&gt;85</formula>
    </cfRule>
  </conditionalFormatting>
  <conditionalFormatting sqref="Q52:R52">
    <cfRule type="expression" dxfId="1329" priority="479">
      <formula>Q52&lt;80</formula>
    </cfRule>
    <cfRule type="expression" dxfId="1328" priority="480">
      <formula>Q52&gt;90</formula>
    </cfRule>
  </conditionalFormatting>
  <conditionalFormatting sqref="T51:V51">
    <cfRule type="expression" dxfId="1327" priority="477">
      <formula>T51&lt;65</formula>
    </cfRule>
    <cfRule type="expression" dxfId="1326" priority="478">
      <formula>T51&gt;85</formula>
    </cfRule>
  </conditionalFormatting>
  <conditionalFormatting sqref="T52:V52">
    <cfRule type="expression" dxfId="1325" priority="475">
      <formula>T52&lt;80</formula>
    </cfRule>
    <cfRule type="expression" dxfId="1324" priority="476">
      <formula>T52&gt;90</formula>
    </cfRule>
  </conditionalFormatting>
  <conditionalFormatting sqref="W51:X51">
    <cfRule type="expression" dxfId="1323" priority="473">
      <formula>W51&lt;65</formula>
    </cfRule>
    <cfRule type="expression" dxfId="1322" priority="474">
      <formula>W51&gt;85</formula>
    </cfRule>
  </conditionalFormatting>
  <conditionalFormatting sqref="W52:X52">
    <cfRule type="expression" dxfId="1321" priority="471">
      <formula>W52&lt;80</formula>
    </cfRule>
    <cfRule type="expression" dxfId="1320" priority="472">
      <formula>W52&gt;90</formula>
    </cfRule>
  </conditionalFormatting>
  <conditionalFormatting sqref="Z51:AB51">
    <cfRule type="expression" dxfId="1319" priority="469">
      <formula>Z51&lt;65</formula>
    </cfRule>
    <cfRule type="expression" dxfId="1318" priority="470">
      <formula>Z51&gt;85</formula>
    </cfRule>
  </conditionalFormatting>
  <conditionalFormatting sqref="Z52:AB52">
    <cfRule type="expression" dxfId="1317" priority="467">
      <formula>Z52&lt;80</formula>
    </cfRule>
    <cfRule type="expression" dxfId="1316" priority="468">
      <formula>Z52&gt;90</formula>
    </cfRule>
  </conditionalFormatting>
  <conditionalFormatting sqref="AC51:AD51">
    <cfRule type="expression" dxfId="1315" priority="465">
      <formula>AC51&lt;65</formula>
    </cfRule>
    <cfRule type="expression" dxfId="1314" priority="466">
      <formula>AC51&gt;85</formula>
    </cfRule>
  </conditionalFormatting>
  <conditionalFormatting sqref="AC52:AD52">
    <cfRule type="expression" dxfId="1313" priority="463">
      <formula>AC52&lt;80</formula>
    </cfRule>
    <cfRule type="expression" dxfId="1312" priority="464">
      <formula>AC52&gt;90</formula>
    </cfRule>
  </conditionalFormatting>
  <conditionalFormatting sqref="AF51:AH51">
    <cfRule type="expression" dxfId="1311" priority="461">
      <formula>AF51&lt;65</formula>
    </cfRule>
    <cfRule type="expression" dxfId="1310" priority="462">
      <formula>AF51&gt;85</formula>
    </cfRule>
  </conditionalFormatting>
  <conditionalFormatting sqref="AF52:AH52">
    <cfRule type="expression" dxfId="1309" priority="459">
      <formula>AF52&lt;80</formula>
    </cfRule>
    <cfRule type="expression" dxfId="1308" priority="460">
      <formula>AF52&gt;90</formula>
    </cfRule>
  </conditionalFormatting>
  <conditionalFormatting sqref="AI51:AJ51">
    <cfRule type="expression" dxfId="1307" priority="457">
      <formula>AI51&lt;65</formula>
    </cfRule>
    <cfRule type="expression" dxfId="1306" priority="458">
      <formula>AI51&gt;85</formula>
    </cfRule>
  </conditionalFormatting>
  <conditionalFormatting sqref="AI52:AJ52">
    <cfRule type="expression" dxfId="1305" priority="455">
      <formula>AI52&lt;80</formula>
    </cfRule>
    <cfRule type="expression" dxfId="1304" priority="456">
      <formula>AI52&gt;90</formula>
    </cfRule>
  </conditionalFormatting>
  <conditionalFormatting sqref="AL51:AN51">
    <cfRule type="expression" dxfId="1303" priority="453">
      <formula>AL51&lt;65</formula>
    </cfRule>
    <cfRule type="expression" dxfId="1302" priority="454">
      <formula>AL51&gt;85</formula>
    </cfRule>
  </conditionalFormatting>
  <conditionalFormatting sqref="AL52:AN52">
    <cfRule type="expression" dxfId="1301" priority="451">
      <formula>AL52&lt;80</formula>
    </cfRule>
    <cfRule type="expression" dxfId="1300" priority="452">
      <formula>AL52&gt;90</formula>
    </cfRule>
  </conditionalFormatting>
  <conditionalFormatting sqref="AO51:AP51">
    <cfRule type="expression" dxfId="1299" priority="449">
      <formula>AO51&lt;65</formula>
    </cfRule>
    <cfRule type="expression" dxfId="1298" priority="450">
      <formula>AO51&gt;85</formula>
    </cfRule>
  </conditionalFormatting>
  <conditionalFormatting sqref="AO52:AP52">
    <cfRule type="expression" dxfId="1297" priority="447">
      <formula>AO52&lt;80</formula>
    </cfRule>
    <cfRule type="expression" dxfId="1296" priority="448">
      <formula>AO52&gt;90</formula>
    </cfRule>
  </conditionalFormatting>
  <conditionalFormatting sqref="H34 K34 N34 Q34 T34 W34 Z34 AC34 AF34 AI34 AL34 AO34">
    <cfRule type="expression" dxfId="1295" priority="441">
      <formula>H34&lt;55</formula>
    </cfRule>
    <cfRule type="expression" dxfId="1294" priority="442">
      <formula>H34&gt;65</formula>
    </cfRule>
  </conditionalFormatting>
  <conditionalFormatting sqref="K75:L75">
    <cfRule type="expression" dxfId="1293" priority="373">
      <formula>K75&lt;51</formula>
    </cfRule>
    <cfRule type="expression" dxfId="1292" priority="374">
      <formula>K75&gt;59</formula>
    </cfRule>
  </conditionalFormatting>
  <conditionalFormatting sqref="K75:L75">
    <cfRule type="expression" dxfId="1291" priority="372">
      <formula>K75&lt;1</formula>
    </cfRule>
  </conditionalFormatting>
  <conditionalFormatting sqref="K76:L77">
    <cfRule type="expression" dxfId="1290" priority="370">
      <formula>K76&lt;51</formula>
    </cfRule>
    <cfRule type="expression" dxfId="1289" priority="371">
      <formula>K76&gt;59</formula>
    </cfRule>
  </conditionalFormatting>
  <conditionalFormatting sqref="K76:L77">
    <cfRule type="expression" dxfId="1288" priority="369">
      <formula>K76&lt;1</formula>
    </cfRule>
  </conditionalFormatting>
  <conditionalFormatting sqref="K78:L78">
    <cfRule type="expression" dxfId="1287" priority="367">
      <formula>K78&lt;30</formula>
    </cfRule>
    <cfRule type="expression" dxfId="1286" priority="368">
      <formula>K78&gt;40</formula>
    </cfRule>
  </conditionalFormatting>
  <conditionalFormatting sqref="K78:L78">
    <cfRule type="expression" dxfId="1285" priority="366">
      <formula>K78&lt;1</formula>
    </cfRule>
  </conditionalFormatting>
  <conditionalFormatting sqref="K79:L79">
    <cfRule type="expression" dxfId="1284" priority="364">
      <formula>K79&lt;26</formula>
    </cfRule>
    <cfRule type="expression" dxfId="1283" priority="365">
      <formula>K79&gt;32</formula>
    </cfRule>
  </conditionalFormatting>
  <conditionalFormatting sqref="K79:L79">
    <cfRule type="expression" dxfId="1282" priority="363">
      <formula>K79&lt;1</formula>
    </cfRule>
  </conditionalFormatting>
  <conditionalFormatting sqref="K80:L80">
    <cfRule type="expression" dxfId="1281" priority="361">
      <formula>K80&lt;26</formula>
    </cfRule>
    <cfRule type="expression" dxfId="1280" priority="362">
      <formula>K80&gt;32</formula>
    </cfRule>
  </conditionalFormatting>
  <conditionalFormatting sqref="K80:L80">
    <cfRule type="expression" dxfId="1279" priority="360">
      <formula>K80&lt;1</formula>
    </cfRule>
  </conditionalFormatting>
  <conditionalFormatting sqref="K75:L75">
    <cfRule type="expression" dxfId="1278" priority="358">
      <formula>K75&lt;51</formula>
    </cfRule>
    <cfRule type="expression" dxfId="1277" priority="359">
      <formula>K75&gt;59</formula>
    </cfRule>
  </conditionalFormatting>
  <conditionalFormatting sqref="K75:L75">
    <cfRule type="expression" dxfId="1276" priority="357">
      <formula>K75&lt;1</formula>
    </cfRule>
  </conditionalFormatting>
  <conditionalFormatting sqref="K76:L77">
    <cfRule type="expression" dxfId="1275" priority="355">
      <formula>K76&lt;51</formula>
    </cfRule>
    <cfRule type="expression" dxfId="1274" priority="356">
      <formula>K76&gt;59</formula>
    </cfRule>
  </conditionalFormatting>
  <conditionalFormatting sqref="K76:L77">
    <cfRule type="expression" dxfId="1273" priority="354">
      <formula>K76&lt;1</formula>
    </cfRule>
  </conditionalFormatting>
  <conditionalFormatting sqref="K78:L78">
    <cfRule type="expression" dxfId="1272" priority="352">
      <formula>K78&lt;30</formula>
    </cfRule>
    <cfRule type="expression" dxfId="1271" priority="353">
      <formula>K78&gt;40</formula>
    </cfRule>
  </conditionalFormatting>
  <conditionalFormatting sqref="K78:L78">
    <cfRule type="expression" dxfId="1270" priority="351">
      <formula>K78&lt;1</formula>
    </cfRule>
  </conditionalFormatting>
  <conditionalFormatting sqref="K79:L79">
    <cfRule type="expression" dxfId="1269" priority="349">
      <formula>K79&lt;26</formula>
    </cfRule>
    <cfRule type="expression" dxfId="1268" priority="350">
      <formula>K79&gt;32</formula>
    </cfRule>
  </conditionalFormatting>
  <conditionalFormatting sqref="K79:L79">
    <cfRule type="expression" dxfId="1267" priority="348">
      <formula>K79&lt;1</formula>
    </cfRule>
  </conditionalFormatting>
  <conditionalFormatting sqref="K80:L80">
    <cfRule type="expression" dxfId="1266" priority="346">
      <formula>K80&lt;26</formula>
    </cfRule>
    <cfRule type="expression" dxfId="1265" priority="347">
      <formula>K80&gt;32</formula>
    </cfRule>
  </conditionalFormatting>
  <conditionalFormatting sqref="K80:L80">
    <cfRule type="expression" dxfId="1264" priority="345">
      <formula>K80&lt;1</formula>
    </cfRule>
  </conditionalFormatting>
  <conditionalFormatting sqref="K81">
    <cfRule type="expression" dxfId="1263" priority="343">
      <formula>K81&lt;170</formula>
    </cfRule>
    <cfRule type="expression" dxfId="1262" priority="344">
      <formula>K81&gt;220</formula>
    </cfRule>
  </conditionalFormatting>
  <conditionalFormatting sqref="K81">
    <cfRule type="expression" dxfId="1261" priority="342">
      <formula>K81&lt;1</formula>
    </cfRule>
  </conditionalFormatting>
  <conditionalFormatting sqref="Q75:R75">
    <cfRule type="expression" dxfId="1260" priority="340">
      <formula>Q75&lt;51</formula>
    </cfRule>
    <cfRule type="expression" dxfId="1259" priority="341">
      <formula>Q75&gt;59</formula>
    </cfRule>
  </conditionalFormatting>
  <conditionalFormatting sqref="Q75:R75">
    <cfRule type="expression" dxfId="1258" priority="339">
      <formula>Q75&lt;1</formula>
    </cfRule>
  </conditionalFormatting>
  <conditionalFormatting sqref="Q76:R77">
    <cfRule type="expression" dxfId="1257" priority="337">
      <formula>Q76&lt;51</formula>
    </cfRule>
    <cfRule type="expression" dxfId="1256" priority="338">
      <formula>Q76&gt;59</formula>
    </cfRule>
  </conditionalFormatting>
  <conditionalFormatting sqref="Q76:R77">
    <cfRule type="expression" dxfId="1255" priority="336">
      <formula>Q76&lt;1</formula>
    </cfRule>
  </conditionalFormatting>
  <conditionalFormatting sqref="Q78:R78">
    <cfRule type="expression" dxfId="1254" priority="334">
      <formula>Q78&lt;30</formula>
    </cfRule>
    <cfRule type="expression" dxfId="1253" priority="335">
      <formula>Q78&gt;40</formula>
    </cfRule>
  </conditionalFormatting>
  <conditionalFormatting sqref="Q78:R78">
    <cfRule type="expression" dxfId="1252" priority="333">
      <formula>Q78&lt;1</formula>
    </cfRule>
  </conditionalFormatting>
  <conditionalFormatting sqref="Q79:R79">
    <cfRule type="expression" dxfId="1251" priority="331">
      <formula>Q79&lt;26</formula>
    </cfRule>
    <cfRule type="expression" dxfId="1250" priority="332">
      <formula>Q79&gt;32</formula>
    </cfRule>
  </conditionalFormatting>
  <conditionalFormatting sqref="Q79:R79">
    <cfRule type="expression" dxfId="1249" priority="330">
      <formula>Q79&lt;1</formula>
    </cfRule>
  </conditionalFormatting>
  <conditionalFormatting sqref="Q80:R80">
    <cfRule type="expression" dxfId="1248" priority="328">
      <formula>Q80&lt;26</formula>
    </cfRule>
    <cfRule type="expression" dxfId="1247" priority="329">
      <formula>Q80&gt;32</formula>
    </cfRule>
  </conditionalFormatting>
  <conditionalFormatting sqref="Q80:R80">
    <cfRule type="expression" dxfId="1246" priority="327">
      <formula>Q80&lt;1</formula>
    </cfRule>
  </conditionalFormatting>
  <conditionalFormatting sqref="Q75:R75">
    <cfRule type="expression" dxfId="1245" priority="325">
      <formula>Q75&lt;51</formula>
    </cfRule>
    <cfRule type="expression" dxfId="1244" priority="326">
      <formula>Q75&gt;59</formula>
    </cfRule>
  </conditionalFormatting>
  <conditionalFormatting sqref="Q75:R75">
    <cfRule type="expression" dxfId="1243" priority="324">
      <formula>Q75&lt;1</formula>
    </cfRule>
  </conditionalFormatting>
  <conditionalFormatting sqref="Q76:R77">
    <cfRule type="expression" dxfId="1242" priority="322">
      <formula>Q76&lt;51</formula>
    </cfRule>
    <cfRule type="expression" dxfId="1241" priority="323">
      <formula>Q76&gt;59</formula>
    </cfRule>
  </conditionalFormatting>
  <conditionalFormatting sqref="Q76:R77">
    <cfRule type="expression" dxfId="1240" priority="321">
      <formula>Q76&lt;1</formula>
    </cfRule>
  </conditionalFormatting>
  <conditionalFormatting sqref="Q78:R78">
    <cfRule type="expression" dxfId="1239" priority="319">
      <formula>Q78&lt;30</formula>
    </cfRule>
    <cfRule type="expression" dxfId="1238" priority="320">
      <formula>Q78&gt;40</formula>
    </cfRule>
  </conditionalFormatting>
  <conditionalFormatting sqref="Q78:R78">
    <cfRule type="expression" dxfId="1237" priority="318">
      <formula>Q78&lt;1</formula>
    </cfRule>
  </conditionalFormatting>
  <conditionalFormatting sqref="Q79:R79">
    <cfRule type="expression" dxfId="1236" priority="316">
      <formula>Q79&lt;26</formula>
    </cfRule>
    <cfRule type="expression" dxfId="1235" priority="317">
      <formula>Q79&gt;32</formula>
    </cfRule>
  </conditionalFormatting>
  <conditionalFormatting sqref="Q79:R79">
    <cfRule type="expression" dxfId="1234" priority="315">
      <formula>Q79&lt;1</formula>
    </cfRule>
  </conditionalFormatting>
  <conditionalFormatting sqref="Q80:R80">
    <cfRule type="expression" dxfId="1233" priority="313">
      <formula>Q80&lt;26</formula>
    </cfRule>
    <cfRule type="expression" dxfId="1232" priority="314">
      <formula>Q80&gt;32</formula>
    </cfRule>
  </conditionalFormatting>
  <conditionalFormatting sqref="Q80:R80">
    <cfRule type="expression" dxfId="1231" priority="312">
      <formula>Q80&lt;1</formula>
    </cfRule>
  </conditionalFormatting>
  <conditionalFormatting sqref="Q81">
    <cfRule type="expression" dxfId="1230" priority="310">
      <formula>Q81&lt;170</formula>
    </cfRule>
    <cfRule type="expression" dxfId="1229" priority="311">
      <formula>Q81&gt;220</formula>
    </cfRule>
  </conditionalFormatting>
  <conditionalFormatting sqref="Q81">
    <cfRule type="expression" dxfId="1228" priority="309">
      <formula>Q81&lt;1</formula>
    </cfRule>
  </conditionalFormatting>
  <conditionalFormatting sqref="N75:P75">
    <cfRule type="expression" dxfId="1227" priority="307">
      <formula>N75&lt;51</formula>
    </cfRule>
    <cfRule type="expression" dxfId="1226" priority="308">
      <formula>N75&gt;59</formula>
    </cfRule>
  </conditionalFormatting>
  <conditionalFormatting sqref="N75:P75">
    <cfRule type="expression" dxfId="1225" priority="306">
      <formula>N75&lt;1</formula>
    </cfRule>
  </conditionalFormatting>
  <conditionalFormatting sqref="N76:P77">
    <cfRule type="expression" dxfId="1224" priority="304">
      <formula>N76&lt;51</formula>
    </cfRule>
    <cfRule type="expression" dxfId="1223" priority="305">
      <formula>N76&gt;59</formula>
    </cfRule>
  </conditionalFormatting>
  <conditionalFormatting sqref="N76:P77">
    <cfRule type="expression" dxfId="1222" priority="303">
      <formula>N76&lt;1</formula>
    </cfRule>
  </conditionalFormatting>
  <conditionalFormatting sqref="N78:P78">
    <cfRule type="expression" dxfId="1221" priority="301">
      <formula>N78&lt;30</formula>
    </cfRule>
    <cfRule type="expression" dxfId="1220" priority="302">
      <formula>N78&gt;40</formula>
    </cfRule>
  </conditionalFormatting>
  <conditionalFormatting sqref="N78:P78">
    <cfRule type="expression" dxfId="1219" priority="300">
      <formula>N78&lt;1</formula>
    </cfRule>
  </conditionalFormatting>
  <conditionalFormatting sqref="N79:P79">
    <cfRule type="expression" dxfId="1218" priority="298">
      <formula>N79&lt;26</formula>
    </cfRule>
    <cfRule type="expression" dxfId="1217" priority="299">
      <formula>N79&gt;32</formula>
    </cfRule>
  </conditionalFormatting>
  <conditionalFormatting sqref="N79:P79">
    <cfRule type="expression" dxfId="1216" priority="297">
      <formula>N79&lt;1</formula>
    </cfRule>
  </conditionalFormatting>
  <conditionalFormatting sqref="N80:P80">
    <cfRule type="expression" dxfId="1215" priority="295">
      <formula>N80&lt;26</formula>
    </cfRule>
    <cfRule type="expression" dxfId="1214" priority="296">
      <formula>N80&gt;32</formula>
    </cfRule>
  </conditionalFormatting>
  <conditionalFormatting sqref="N80:P80">
    <cfRule type="expression" dxfId="1213" priority="294">
      <formula>N80&lt;1</formula>
    </cfRule>
  </conditionalFormatting>
  <conditionalFormatting sqref="N75:P75">
    <cfRule type="expression" dxfId="1212" priority="292">
      <formula>N75&lt;51</formula>
    </cfRule>
    <cfRule type="expression" dxfId="1211" priority="293">
      <formula>N75&gt;59</formula>
    </cfRule>
  </conditionalFormatting>
  <conditionalFormatting sqref="N75:P75">
    <cfRule type="expression" dxfId="1210" priority="291">
      <formula>N75&lt;1</formula>
    </cfRule>
  </conditionalFormatting>
  <conditionalFormatting sqref="N76:P77">
    <cfRule type="expression" dxfId="1209" priority="289">
      <formula>N76&lt;51</formula>
    </cfRule>
    <cfRule type="expression" dxfId="1208" priority="290">
      <formula>N76&gt;59</formula>
    </cfRule>
  </conditionalFormatting>
  <conditionalFormatting sqref="N76:P77">
    <cfRule type="expression" dxfId="1207" priority="288">
      <formula>N76&lt;1</formula>
    </cfRule>
  </conditionalFormatting>
  <conditionalFormatting sqref="N78:P78">
    <cfRule type="expression" dxfId="1206" priority="286">
      <formula>N78&lt;30</formula>
    </cfRule>
    <cfRule type="expression" dxfId="1205" priority="287">
      <formula>N78&gt;40</formula>
    </cfRule>
  </conditionalFormatting>
  <conditionalFormatting sqref="N78:P78">
    <cfRule type="expression" dxfId="1204" priority="285">
      <formula>N78&lt;1</formula>
    </cfRule>
  </conditionalFormatting>
  <conditionalFormatting sqref="N79:P79">
    <cfRule type="expression" dxfId="1203" priority="283">
      <formula>N79&lt;26</formula>
    </cfRule>
    <cfRule type="expression" dxfId="1202" priority="284">
      <formula>N79&gt;32</formula>
    </cfRule>
  </conditionalFormatting>
  <conditionalFormatting sqref="N79:P79">
    <cfRule type="expression" dxfId="1201" priority="282">
      <formula>N79&lt;1</formula>
    </cfRule>
  </conditionalFormatting>
  <conditionalFormatting sqref="N80:P80">
    <cfRule type="expression" dxfId="1200" priority="280">
      <formula>N80&lt;26</formula>
    </cfRule>
    <cfRule type="expression" dxfId="1199" priority="281">
      <formula>N80&gt;32</formula>
    </cfRule>
  </conditionalFormatting>
  <conditionalFormatting sqref="N80:P80">
    <cfRule type="expression" dxfId="1198" priority="279">
      <formula>N80&lt;1</formula>
    </cfRule>
  </conditionalFormatting>
  <conditionalFormatting sqref="H75">
    <cfRule type="expression" dxfId="1197" priority="277">
      <formula>H75&lt;51</formula>
    </cfRule>
    <cfRule type="expression" dxfId="1196" priority="278">
      <formula>H75&gt;59</formula>
    </cfRule>
  </conditionalFormatting>
  <conditionalFormatting sqref="H75">
    <cfRule type="expression" dxfId="1195" priority="276">
      <formula>H75&lt;1</formula>
    </cfRule>
  </conditionalFormatting>
  <conditionalFormatting sqref="H76:H77">
    <cfRule type="expression" dxfId="1194" priority="274">
      <formula>H76&lt;51</formula>
    </cfRule>
    <cfRule type="expression" dxfId="1193" priority="275">
      <formula>H76&gt;59</formula>
    </cfRule>
  </conditionalFormatting>
  <conditionalFormatting sqref="H76:H77">
    <cfRule type="expression" dxfId="1192" priority="273">
      <formula>H76&lt;1</formula>
    </cfRule>
  </conditionalFormatting>
  <conditionalFormatting sqref="H78">
    <cfRule type="expression" dxfId="1191" priority="271">
      <formula>H78&lt;30</formula>
    </cfRule>
    <cfRule type="expression" dxfId="1190" priority="272">
      <formula>H78&gt;40</formula>
    </cfRule>
  </conditionalFormatting>
  <conditionalFormatting sqref="H78">
    <cfRule type="expression" dxfId="1189" priority="270">
      <formula>H78&lt;1</formula>
    </cfRule>
  </conditionalFormatting>
  <conditionalFormatting sqref="H79">
    <cfRule type="expression" dxfId="1188" priority="268">
      <formula>H79&lt;26</formula>
    </cfRule>
    <cfRule type="expression" dxfId="1187" priority="269">
      <formula>H79&gt;32</formula>
    </cfRule>
  </conditionalFormatting>
  <conditionalFormatting sqref="H79">
    <cfRule type="expression" dxfId="1186" priority="267">
      <formula>H79&lt;1</formula>
    </cfRule>
  </conditionalFormatting>
  <conditionalFormatting sqref="H80">
    <cfRule type="expression" dxfId="1185" priority="265">
      <formula>H80&lt;26</formula>
    </cfRule>
    <cfRule type="expression" dxfId="1184" priority="266">
      <formula>H80&gt;32</formula>
    </cfRule>
  </conditionalFormatting>
  <conditionalFormatting sqref="H80">
    <cfRule type="expression" dxfId="1183" priority="264">
      <formula>H80&lt;1</formula>
    </cfRule>
  </conditionalFormatting>
  <conditionalFormatting sqref="H75">
    <cfRule type="expression" dxfId="1182" priority="262">
      <formula>H75&lt;51</formula>
    </cfRule>
    <cfRule type="expression" dxfId="1181" priority="263">
      <formula>H75&gt;59</formula>
    </cfRule>
  </conditionalFormatting>
  <conditionalFormatting sqref="H75">
    <cfRule type="expression" dxfId="1180" priority="261">
      <formula>H75&lt;1</formula>
    </cfRule>
  </conditionalFormatting>
  <conditionalFormatting sqref="H76:H77">
    <cfRule type="expression" dxfId="1179" priority="259">
      <formula>H76&lt;51</formula>
    </cfRule>
    <cfRule type="expression" dxfId="1178" priority="260">
      <formula>H76&gt;59</formula>
    </cfRule>
  </conditionalFormatting>
  <conditionalFormatting sqref="H76:H77">
    <cfRule type="expression" dxfId="1177" priority="258">
      <formula>H76&lt;1</formula>
    </cfRule>
  </conditionalFormatting>
  <conditionalFormatting sqref="H78">
    <cfRule type="expression" dxfId="1176" priority="256">
      <formula>H78&lt;30</formula>
    </cfRule>
    <cfRule type="expression" dxfId="1175" priority="257">
      <formula>H78&gt;40</formula>
    </cfRule>
  </conditionalFormatting>
  <conditionalFormatting sqref="H78">
    <cfRule type="expression" dxfId="1174" priority="255">
      <formula>H78&lt;1</formula>
    </cfRule>
  </conditionalFormatting>
  <conditionalFormatting sqref="H79">
    <cfRule type="expression" dxfId="1173" priority="253">
      <formula>H79&lt;26</formula>
    </cfRule>
    <cfRule type="expression" dxfId="1172" priority="254">
      <formula>H79&gt;32</formula>
    </cfRule>
  </conditionalFormatting>
  <conditionalFormatting sqref="H79">
    <cfRule type="expression" dxfId="1171" priority="252">
      <formula>H79&lt;1</formula>
    </cfRule>
  </conditionalFormatting>
  <conditionalFormatting sqref="H80">
    <cfRule type="expression" dxfId="1170" priority="250">
      <formula>H80&lt;26</formula>
    </cfRule>
    <cfRule type="expression" dxfId="1169" priority="251">
      <formula>H80&gt;32</formula>
    </cfRule>
  </conditionalFormatting>
  <conditionalFormatting sqref="H80">
    <cfRule type="expression" dxfId="1168" priority="249">
      <formula>H80&lt;1</formula>
    </cfRule>
  </conditionalFormatting>
  <conditionalFormatting sqref="N75">
    <cfRule type="expression" dxfId="1167" priority="247">
      <formula>N75&lt;51</formula>
    </cfRule>
    <cfRule type="expression" dxfId="1166" priority="248">
      <formula>N75&gt;59</formula>
    </cfRule>
  </conditionalFormatting>
  <conditionalFormatting sqref="N75">
    <cfRule type="expression" dxfId="1165" priority="246">
      <formula>N75&lt;1</formula>
    </cfRule>
  </conditionalFormatting>
  <conditionalFormatting sqref="N76:N77">
    <cfRule type="expression" dxfId="1164" priority="244">
      <formula>N76&lt;51</formula>
    </cfRule>
    <cfRule type="expression" dxfId="1163" priority="245">
      <formula>N76&gt;59</formula>
    </cfRule>
  </conditionalFormatting>
  <conditionalFormatting sqref="N76:N77">
    <cfRule type="expression" dxfId="1162" priority="243">
      <formula>N76&lt;1</formula>
    </cfRule>
  </conditionalFormatting>
  <conditionalFormatting sqref="N78">
    <cfRule type="expression" dxfId="1161" priority="241">
      <formula>N78&lt;30</formula>
    </cfRule>
    <cfRule type="expression" dxfId="1160" priority="242">
      <formula>N78&gt;40</formula>
    </cfRule>
  </conditionalFormatting>
  <conditionalFormatting sqref="N78">
    <cfRule type="expression" dxfId="1159" priority="240">
      <formula>N78&lt;1</formula>
    </cfRule>
  </conditionalFormatting>
  <conditionalFormatting sqref="N79">
    <cfRule type="expression" dxfId="1158" priority="238">
      <formula>N79&lt;26</formula>
    </cfRule>
    <cfRule type="expression" dxfId="1157" priority="239">
      <formula>N79&gt;32</formula>
    </cfRule>
  </conditionalFormatting>
  <conditionalFormatting sqref="N79">
    <cfRule type="expression" dxfId="1156" priority="237">
      <formula>N79&lt;1</formula>
    </cfRule>
  </conditionalFormatting>
  <conditionalFormatting sqref="N80">
    <cfRule type="expression" dxfId="1155" priority="235">
      <formula>N80&lt;26</formula>
    </cfRule>
    <cfRule type="expression" dxfId="1154" priority="236">
      <formula>N80&gt;32</formula>
    </cfRule>
  </conditionalFormatting>
  <conditionalFormatting sqref="N80">
    <cfRule type="expression" dxfId="1153" priority="234">
      <formula>N80&lt;1</formula>
    </cfRule>
  </conditionalFormatting>
  <conditionalFormatting sqref="N75">
    <cfRule type="expression" dxfId="1152" priority="232">
      <formula>N75&lt;51</formula>
    </cfRule>
    <cfRule type="expression" dxfId="1151" priority="233">
      <formula>N75&gt;59</formula>
    </cfRule>
  </conditionalFormatting>
  <conditionalFormatting sqref="N75">
    <cfRule type="expression" dxfId="1150" priority="231">
      <formula>N75&lt;1</formula>
    </cfRule>
  </conditionalFormatting>
  <conditionalFormatting sqref="N76:N77">
    <cfRule type="expression" dxfId="1149" priority="229">
      <formula>N76&lt;51</formula>
    </cfRule>
    <cfRule type="expression" dxfId="1148" priority="230">
      <formula>N76&gt;59</formula>
    </cfRule>
  </conditionalFormatting>
  <conditionalFormatting sqref="N76:N77">
    <cfRule type="expression" dxfId="1147" priority="228">
      <formula>N76&lt;1</formula>
    </cfRule>
  </conditionalFormatting>
  <conditionalFormatting sqref="N78">
    <cfRule type="expression" dxfId="1146" priority="226">
      <formula>N78&lt;30</formula>
    </cfRule>
    <cfRule type="expression" dxfId="1145" priority="227">
      <formula>N78&gt;40</formula>
    </cfRule>
  </conditionalFormatting>
  <conditionalFormatting sqref="N78">
    <cfRule type="expression" dxfId="1144" priority="225">
      <formula>N78&lt;1</formula>
    </cfRule>
  </conditionalFormatting>
  <conditionalFormatting sqref="N79">
    <cfRule type="expression" dxfId="1143" priority="223">
      <formula>N79&lt;26</formula>
    </cfRule>
    <cfRule type="expression" dxfId="1142" priority="224">
      <formula>N79&gt;32</formula>
    </cfRule>
  </conditionalFormatting>
  <conditionalFormatting sqref="N79">
    <cfRule type="expression" dxfId="1141" priority="222">
      <formula>N79&lt;1</formula>
    </cfRule>
  </conditionalFormatting>
  <conditionalFormatting sqref="N80">
    <cfRule type="expression" dxfId="1140" priority="220">
      <formula>N80&lt;26</formula>
    </cfRule>
    <cfRule type="expression" dxfId="1139" priority="221">
      <formula>N80&gt;32</formula>
    </cfRule>
  </conditionalFormatting>
  <conditionalFormatting sqref="N80">
    <cfRule type="expression" dxfId="1138" priority="219">
      <formula>N80&lt;1</formula>
    </cfRule>
  </conditionalFormatting>
  <conditionalFormatting sqref="H50">
    <cfRule type="expression" dxfId="1137" priority="213">
      <formula>H50&lt;55</formula>
    </cfRule>
    <cfRule type="expression" dxfId="1136" priority="214">
      <formula>H50&gt;65</formula>
    </cfRule>
  </conditionalFormatting>
  <conditionalFormatting sqref="K50">
    <cfRule type="expression" dxfId="1135" priority="211">
      <formula>K50&lt;55</formula>
    </cfRule>
    <cfRule type="expression" dxfId="1134" priority="212">
      <formula>K50&gt;65</formula>
    </cfRule>
  </conditionalFormatting>
  <conditionalFormatting sqref="N50">
    <cfRule type="expression" dxfId="1133" priority="209">
      <formula>N50&lt;55</formula>
    </cfRule>
    <cfRule type="expression" dxfId="1132" priority="210">
      <formula>N50&gt;65</formula>
    </cfRule>
  </conditionalFormatting>
  <conditionalFormatting sqref="Q50">
    <cfRule type="expression" dxfId="1131" priority="207">
      <formula>Q50&lt;55</formula>
    </cfRule>
    <cfRule type="expression" dxfId="1130" priority="208">
      <formula>Q50&gt;65</formula>
    </cfRule>
  </conditionalFormatting>
  <conditionalFormatting sqref="T50">
    <cfRule type="expression" dxfId="1129" priority="205">
      <formula>T50&lt;55</formula>
    </cfRule>
    <cfRule type="expression" dxfId="1128" priority="206">
      <formula>T50&gt;65</formula>
    </cfRule>
  </conditionalFormatting>
  <conditionalFormatting sqref="W50">
    <cfRule type="expression" dxfId="1127" priority="203">
      <formula>W50&lt;55</formula>
    </cfRule>
    <cfRule type="expression" dxfId="1126" priority="204">
      <formula>W50&gt;65</formula>
    </cfRule>
  </conditionalFormatting>
  <conditionalFormatting sqref="Z50">
    <cfRule type="expression" dxfId="1125" priority="201">
      <formula>Z50&lt;55</formula>
    </cfRule>
    <cfRule type="expression" dxfId="1124" priority="202">
      <formula>Z50&gt;65</formula>
    </cfRule>
  </conditionalFormatting>
  <conditionalFormatting sqref="AC50">
    <cfRule type="expression" dxfId="1123" priority="199">
      <formula>AC50&lt;55</formula>
    </cfRule>
    <cfRule type="expression" dxfId="1122" priority="200">
      <formula>AC50&gt;65</formula>
    </cfRule>
  </conditionalFormatting>
  <conditionalFormatting sqref="AF50">
    <cfRule type="expression" dxfId="1121" priority="197">
      <formula>AF50&lt;55</formula>
    </cfRule>
    <cfRule type="expression" dxfId="1120" priority="198">
      <formula>AF50&gt;65</formula>
    </cfRule>
  </conditionalFormatting>
  <conditionalFormatting sqref="AI50">
    <cfRule type="expression" dxfId="1119" priority="195">
      <formula>AI50&lt;55</formula>
    </cfRule>
    <cfRule type="expression" dxfId="1118" priority="196">
      <formula>AI50&gt;65</formula>
    </cfRule>
  </conditionalFormatting>
  <conditionalFormatting sqref="AL50">
    <cfRule type="expression" dxfId="1117" priority="193">
      <formula>AL50&lt;55</formula>
    </cfRule>
    <cfRule type="expression" dxfId="1116" priority="194">
      <formula>AL50&gt;65</formula>
    </cfRule>
  </conditionalFormatting>
  <conditionalFormatting sqref="AO50">
    <cfRule type="expression" dxfId="1115" priority="191">
      <formula>AO50&lt;55</formula>
    </cfRule>
    <cfRule type="expression" dxfId="1114" priority="192">
      <formula>AO50&gt;65</formula>
    </cfRule>
  </conditionalFormatting>
  <conditionalFormatting sqref="K51:M51">
    <cfRule type="expression" dxfId="1113" priority="189">
      <formula>K51&lt;65</formula>
    </cfRule>
    <cfRule type="expression" dxfId="1112" priority="190">
      <formula>K51&gt;85</formula>
    </cfRule>
  </conditionalFormatting>
  <conditionalFormatting sqref="K52:M52">
    <cfRule type="expression" dxfId="1111" priority="187">
      <formula>K52&lt;80</formula>
    </cfRule>
    <cfRule type="expression" dxfId="1110" priority="188">
      <formula>K52&gt;90</formula>
    </cfRule>
  </conditionalFormatting>
  <conditionalFormatting sqref="K50">
    <cfRule type="expression" dxfId="1109" priority="185">
      <formula>K50&lt;55</formula>
    </cfRule>
    <cfRule type="expression" dxfId="1108" priority="186">
      <formula>K50&gt;65</formula>
    </cfRule>
  </conditionalFormatting>
  <conditionalFormatting sqref="N51:P51">
    <cfRule type="expression" dxfId="1107" priority="183">
      <formula>N51&lt;65</formula>
    </cfRule>
    <cfRule type="expression" dxfId="1106" priority="184">
      <formula>N51&gt;85</formula>
    </cfRule>
  </conditionalFormatting>
  <conditionalFormatting sqref="N52:P52">
    <cfRule type="expression" dxfId="1105" priority="181">
      <formula>N52&lt;80</formula>
    </cfRule>
    <cfRule type="expression" dxfId="1104" priority="182">
      <formula>N52&gt;90</formula>
    </cfRule>
  </conditionalFormatting>
  <conditionalFormatting sqref="Q51:R52">
    <cfRule type="expression" dxfId="1103" priority="179">
      <formula>Q51&lt;65</formula>
    </cfRule>
    <cfRule type="expression" dxfId="1102" priority="180">
      <formula>Q51&gt;85</formula>
    </cfRule>
  </conditionalFormatting>
  <conditionalFormatting sqref="N50">
    <cfRule type="expression" dxfId="1101" priority="177">
      <formula>N50&lt;55</formula>
    </cfRule>
    <cfRule type="expression" dxfId="1100" priority="178">
      <formula>N50&gt;65</formula>
    </cfRule>
  </conditionalFormatting>
  <conditionalFormatting sqref="Q50">
    <cfRule type="expression" dxfId="1099" priority="175">
      <formula>Q50&lt;55</formula>
    </cfRule>
    <cfRule type="expression" dxfId="1098" priority="176">
      <formula>Q50&gt;65</formula>
    </cfRule>
  </conditionalFormatting>
  <conditionalFormatting sqref="Q51:S51">
    <cfRule type="expression" dxfId="1097" priority="173">
      <formula>Q51&lt;65</formula>
    </cfRule>
    <cfRule type="expression" dxfId="1096" priority="174">
      <formula>Q51&gt;85</formula>
    </cfRule>
  </conditionalFormatting>
  <conditionalFormatting sqref="Q52:S52">
    <cfRule type="expression" dxfId="1095" priority="171">
      <formula>Q52&lt;80</formula>
    </cfRule>
    <cfRule type="expression" dxfId="1094" priority="172">
      <formula>Q52&gt;90</formula>
    </cfRule>
  </conditionalFormatting>
  <conditionalFormatting sqref="Q50">
    <cfRule type="expression" dxfId="1093" priority="169">
      <formula>Q50&lt;55</formula>
    </cfRule>
    <cfRule type="expression" dxfId="1092" priority="170">
      <formula>Q50&gt;65</formula>
    </cfRule>
  </conditionalFormatting>
  <conditionalFormatting sqref="T51:V51">
    <cfRule type="expression" dxfId="1091" priority="167">
      <formula>T51&lt;65</formula>
    </cfRule>
    <cfRule type="expression" dxfId="1090" priority="168">
      <formula>T51&gt;85</formula>
    </cfRule>
  </conditionalFormatting>
  <conditionalFormatting sqref="T52:V52">
    <cfRule type="expression" dxfId="1089" priority="165">
      <formula>T52&lt;80</formula>
    </cfRule>
    <cfRule type="expression" dxfId="1088" priority="166">
      <formula>T52&gt;90</formula>
    </cfRule>
  </conditionalFormatting>
  <conditionalFormatting sqref="W51:X51">
    <cfRule type="expression" dxfId="1087" priority="163">
      <formula>W51&lt;65</formula>
    </cfRule>
    <cfRule type="expression" dxfId="1086" priority="164">
      <formula>W51&gt;85</formula>
    </cfRule>
  </conditionalFormatting>
  <conditionalFormatting sqref="W52:X52">
    <cfRule type="expression" dxfId="1085" priority="161">
      <formula>W52&lt;80</formula>
    </cfRule>
    <cfRule type="expression" dxfId="1084" priority="162">
      <formula>W52&gt;90</formula>
    </cfRule>
  </conditionalFormatting>
  <conditionalFormatting sqref="T50">
    <cfRule type="expression" dxfId="1083" priority="159">
      <formula>T50&lt;55</formula>
    </cfRule>
    <cfRule type="expression" dxfId="1082" priority="160">
      <formula>T50&gt;65</formula>
    </cfRule>
  </conditionalFormatting>
  <conditionalFormatting sqref="W50">
    <cfRule type="expression" dxfId="1081" priority="157">
      <formula>W50&lt;55</formula>
    </cfRule>
    <cfRule type="expression" dxfId="1080" priority="158">
      <formula>W50&gt;65</formula>
    </cfRule>
  </conditionalFormatting>
  <conditionalFormatting sqref="T51:V51">
    <cfRule type="expression" dxfId="1079" priority="155">
      <formula>T51&lt;65</formula>
    </cfRule>
    <cfRule type="expression" dxfId="1078" priority="156">
      <formula>T51&gt;85</formula>
    </cfRule>
  </conditionalFormatting>
  <conditionalFormatting sqref="T52:V52">
    <cfRule type="expression" dxfId="1077" priority="153">
      <formula>T52&lt;80</formula>
    </cfRule>
    <cfRule type="expression" dxfId="1076" priority="154">
      <formula>T52&gt;90</formula>
    </cfRule>
  </conditionalFormatting>
  <conditionalFormatting sqref="W51:X52">
    <cfRule type="expression" dxfId="1075" priority="151">
      <formula>W51&lt;65</formula>
    </cfRule>
    <cfRule type="expression" dxfId="1074" priority="152">
      <formula>W51&gt;85</formula>
    </cfRule>
  </conditionalFormatting>
  <conditionalFormatting sqref="T50">
    <cfRule type="expression" dxfId="1073" priority="149">
      <formula>T50&lt;55</formula>
    </cfRule>
    <cfRule type="expression" dxfId="1072" priority="150">
      <formula>T50&gt;65</formula>
    </cfRule>
  </conditionalFormatting>
  <conditionalFormatting sqref="W50">
    <cfRule type="expression" dxfId="1071" priority="147">
      <formula>W50&lt;55</formula>
    </cfRule>
    <cfRule type="expression" dxfId="1070" priority="148">
      <formula>W50&gt;65</formula>
    </cfRule>
  </conditionalFormatting>
  <conditionalFormatting sqref="W51:Y51">
    <cfRule type="expression" dxfId="1069" priority="145">
      <formula>W51&lt;65</formula>
    </cfRule>
    <cfRule type="expression" dxfId="1068" priority="146">
      <formula>W51&gt;85</formula>
    </cfRule>
  </conditionalFormatting>
  <conditionalFormatting sqref="W52:Y52">
    <cfRule type="expression" dxfId="1067" priority="143">
      <formula>W52&lt;80</formula>
    </cfRule>
    <cfRule type="expression" dxfId="1066" priority="144">
      <formula>W52&gt;90</formula>
    </cfRule>
  </conditionalFormatting>
  <conditionalFormatting sqref="W50">
    <cfRule type="expression" dxfId="1065" priority="141">
      <formula>W50&lt;55</formula>
    </cfRule>
    <cfRule type="expression" dxfId="1064" priority="142">
      <formula>W50&gt;65</formula>
    </cfRule>
  </conditionalFormatting>
  <conditionalFormatting sqref="Z51:AB51">
    <cfRule type="expression" dxfId="1063" priority="139">
      <formula>Z51&lt;65</formula>
    </cfRule>
    <cfRule type="expression" dxfId="1062" priority="140">
      <formula>Z51&gt;85</formula>
    </cfRule>
  </conditionalFormatting>
  <conditionalFormatting sqref="Z52:AB52">
    <cfRule type="expression" dxfId="1061" priority="137">
      <formula>Z52&lt;80</formula>
    </cfRule>
    <cfRule type="expression" dxfId="1060" priority="138">
      <formula>Z52&gt;90</formula>
    </cfRule>
  </conditionalFormatting>
  <conditionalFormatting sqref="AC51:AD51">
    <cfRule type="expression" dxfId="1059" priority="135">
      <formula>AC51&lt;65</formula>
    </cfRule>
    <cfRule type="expression" dxfId="1058" priority="136">
      <formula>AC51&gt;85</formula>
    </cfRule>
  </conditionalFormatting>
  <conditionalFormatting sqref="AC52:AD52">
    <cfRule type="expression" dxfId="1057" priority="133">
      <formula>AC52&lt;80</formula>
    </cfRule>
    <cfRule type="expression" dxfId="1056" priority="134">
      <formula>AC52&gt;90</formula>
    </cfRule>
  </conditionalFormatting>
  <conditionalFormatting sqref="Z50">
    <cfRule type="expression" dxfId="1055" priority="131">
      <formula>Z50&lt;55</formula>
    </cfRule>
    <cfRule type="expression" dxfId="1054" priority="132">
      <formula>Z50&gt;65</formula>
    </cfRule>
  </conditionalFormatting>
  <conditionalFormatting sqref="AC50">
    <cfRule type="expression" dxfId="1053" priority="129">
      <formula>AC50&lt;55</formula>
    </cfRule>
    <cfRule type="expression" dxfId="1052" priority="130">
      <formula>AC50&gt;65</formula>
    </cfRule>
  </conditionalFormatting>
  <conditionalFormatting sqref="Z51:AB51">
    <cfRule type="expression" dxfId="1051" priority="127">
      <formula>Z51&lt;65</formula>
    </cfRule>
    <cfRule type="expression" dxfId="1050" priority="128">
      <formula>Z51&gt;85</formula>
    </cfRule>
  </conditionalFormatting>
  <conditionalFormatting sqref="Z52:AB52">
    <cfRule type="expression" dxfId="1049" priority="125">
      <formula>Z52&lt;80</formula>
    </cfRule>
    <cfRule type="expression" dxfId="1048" priority="126">
      <formula>Z52&gt;90</formula>
    </cfRule>
  </conditionalFormatting>
  <conditionalFormatting sqref="AC51:AD52">
    <cfRule type="expression" dxfId="1047" priority="123">
      <formula>AC51&lt;65</formula>
    </cfRule>
    <cfRule type="expression" dxfId="1046" priority="124">
      <formula>AC51&gt;85</formula>
    </cfRule>
  </conditionalFormatting>
  <conditionalFormatting sqref="Z50">
    <cfRule type="expression" dxfId="1045" priority="121">
      <formula>Z50&lt;55</formula>
    </cfRule>
    <cfRule type="expression" dxfId="1044" priority="122">
      <formula>Z50&gt;65</formula>
    </cfRule>
  </conditionalFormatting>
  <conditionalFormatting sqref="AC50">
    <cfRule type="expression" dxfId="1043" priority="119">
      <formula>AC50&lt;55</formula>
    </cfRule>
    <cfRule type="expression" dxfId="1042" priority="120">
      <formula>AC50&gt;65</formula>
    </cfRule>
  </conditionalFormatting>
  <conditionalFormatting sqref="AC51:AE51">
    <cfRule type="expression" dxfId="1041" priority="117">
      <formula>AC51&lt;65</formula>
    </cfRule>
    <cfRule type="expression" dxfId="1040" priority="118">
      <formula>AC51&gt;85</formula>
    </cfRule>
  </conditionalFormatting>
  <conditionalFormatting sqref="AC52:AE52">
    <cfRule type="expression" dxfId="1039" priority="115">
      <formula>AC52&lt;80</formula>
    </cfRule>
    <cfRule type="expression" dxfId="1038" priority="116">
      <formula>AC52&gt;90</formula>
    </cfRule>
  </conditionalFormatting>
  <conditionalFormatting sqref="AC50">
    <cfRule type="expression" dxfId="1037" priority="113">
      <formula>AC50&lt;55</formula>
    </cfRule>
    <cfRule type="expression" dxfId="1036" priority="114">
      <formula>AC50&gt;65</formula>
    </cfRule>
  </conditionalFormatting>
  <conditionalFormatting sqref="AF51:AH51">
    <cfRule type="expression" dxfId="1035" priority="111">
      <formula>AF51&lt;65</formula>
    </cfRule>
    <cfRule type="expression" dxfId="1034" priority="112">
      <formula>AF51&gt;85</formula>
    </cfRule>
  </conditionalFormatting>
  <conditionalFormatting sqref="AF52:AH52">
    <cfRule type="expression" dxfId="1033" priority="109">
      <formula>AF52&lt;80</formula>
    </cfRule>
    <cfRule type="expression" dxfId="1032" priority="110">
      <formula>AF52&gt;90</formula>
    </cfRule>
  </conditionalFormatting>
  <conditionalFormatting sqref="AI51:AJ51">
    <cfRule type="expression" dxfId="1031" priority="107">
      <formula>AI51&lt;65</formula>
    </cfRule>
    <cfRule type="expression" dxfId="1030" priority="108">
      <formula>AI51&gt;85</formula>
    </cfRule>
  </conditionalFormatting>
  <conditionalFormatting sqref="AI52:AJ52">
    <cfRule type="expression" dxfId="1029" priority="105">
      <formula>AI52&lt;80</formula>
    </cfRule>
    <cfRule type="expression" dxfId="1028" priority="106">
      <formula>AI52&gt;90</formula>
    </cfRule>
  </conditionalFormatting>
  <conditionalFormatting sqref="AF50">
    <cfRule type="expression" dxfId="1027" priority="103">
      <formula>AF50&lt;55</formula>
    </cfRule>
    <cfRule type="expression" dxfId="1026" priority="104">
      <formula>AF50&gt;65</formula>
    </cfRule>
  </conditionalFormatting>
  <conditionalFormatting sqref="AI50">
    <cfRule type="expression" dxfId="1025" priority="101">
      <formula>AI50&lt;55</formula>
    </cfRule>
    <cfRule type="expression" dxfId="1024" priority="102">
      <formula>AI50&gt;65</formula>
    </cfRule>
  </conditionalFormatting>
  <conditionalFormatting sqref="AF51:AH51">
    <cfRule type="expression" dxfId="1023" priority="99">
      <formula>AF51&lt;65</formula>
    </cfRule>
    <cfRule type="expression" dxfId="1022" priority="100">
      <formula>AF51&gt;85</formula>
    </cfRule>
  </conditionalFormatting>
  <conditionalFormatting sqref="AF52:AH52">
    <cfRule type="expression" dxfId="1021" priority="97">
      <formula>AF52&lt;80</formula>
    </cfRule>
    <cfRule type="expression" dxfId="1020" priority="98">
      <formula>AF52&gt;90</formula>
    </cfRule>
  </conditionalFormatting>
  <conditionalFormatting sqref="AI51:AJ52">
    <cfRule type="expression" dxfId="1019" priority="95">
      <formula>AI51&lt;65</formula>
    </cfRule>
    <cfRule type="expression" dxfId="1018" priority="96">
      <formula>AI51&gt;85</formula>
    </cfRule>
  </conditionalFormatting>
  <conditionalFormatting sqref="AF50">
    <cfRule type="expression" dxfId="1017" priority="93">
      <formula>AF50&lt;55</formula>
    </cfRule>
    <cfRule type="expression" dxfId="1016" priority="94">
      <formula>AF50&gt;65</formula>
    </cfRule>
  </conditionalFormatting>
  <conditionalFormatting sqref="AI50">
    <cfRule type="expression" dxfId="1015" priority="91">
      <formula>AI50&lt;55</formula>
    </cfRule>
    <cfRule type="expression" dxfId="1014" priority="92">
      <formula>AI50&gt;65</formula>
    </cfRule>
  </conditionalFormatting>
  <conditionalFormatting sqref="AI51:AK51">
    <cfRule type="expression" dxfId="1013" priority="89">
      <formula>AI51&lt;65</formula>
    </cfRule>
    <cfRule type="expression" dxfId="1012" priority="90">
      <formula>AI51&gt;85</formula>
    </cfRule>
  </conditionalFormatting>
  <conditionalFormatting sqref="AI52:AK52">
    <cfRule type="expression" dxfId="1011" priority="87">
      <formula>AI52&lt;80</formula>
    </cfRule>
    <cfRule type="expression" dxfId="1010" priority="88">
      <formula>AI52&gt;90</formula>
    </cfRule>
  </conditionalFormatting>
  <conditionalFormatting sqref="AI50">
    <cfRule type="expression" dxfId="1009" priority="85">
      <formula>AI50&lt;55</formula>
    </cfRule>
    <cfRule type="expression" dxfId="1008" priority="86">
      <formula>AI50&gt;65</formula>
    </cfRule>
  </conditionalFormatting>
  <conditionalFormatting sqref="AL51:AN51">
    <cfRule type="expression" dxfId="1007" priority="83">
      <formula>AL51&lt;65</formula>
    </cfRule>
    <cfRule type="expression" dxfId="1006" priority="84">
      <formula>AL51&gt;85</formula>
    </cfRule>
  </conditionalFormatting>
  <conditionalFormatting sqref="AL52:AN52">
    <cfRule type="expression" dxfId="1005" priority="81">
      <formula>AL52&lt;80</formula>
    </cfRule>
    <cfRule type="expression" dxfId="1004" priority="82">
      <formula>AL52&gt;90</formula>
    </cfRule>
  </conditionalFormatting>
  <conditionalFormatting sqref="AO51:AP51">
    <cfRule type="expression" dxfId="1003" priority="79">
      <formula>AO51&lt;65</formula>
    </cfRule>
    <cfRule type="expression" dxfId="1002" priority="80">
      <formula>AO51&gt;85</formula>
    </cfRule>
  </conditionalFormatting>
  <conditionalFormatting sqref="AO52:AP52">
    <cfRule type="expression" dxfId="1001" priority="77">
      <formula>AO52&lt;80</formula>
    </cfRule>
    <cfRule type="expression" dxfId="1000" priority="78">
      <formula>AO52&gt;90</formula>
    </cfRule>
  </conditionalFormatting>
  <conditionalFormatting sqref="AL50">
    <cfRule type="expression" dxfId="999" priority="75">
      <formula>AL50&lt;55</formula>
    </cfRule>
    <cfRule type="expression" dxfId="998" priority="76">
      <formula>AL50&gt;65</formula>
    </cfRule>
  </conditionalFormatting>
  <conditionalFormatting sqref="AO50">
    <cfRule type="expression" dxfId="997" priority="73">
      <formula>AO50&lt;55</formula>
    </cfRule>
    <cfRule type="expression" dxfId="996" priority="74">
      <formula>AO50&gt;65</formula>
    </cfRule>
  </conditionalFormatting>
  <conditionalFormatting sqref="AL51:AN51">
    <cfRule type="expression" dxfId="995" priority="71">
      <formula>AL51&lt;65</formula>
    </cfRule>
    <cfRule type="expression" dxfId="994" priority="72">
      <formula>AL51&gt;85</formula>
    </cfRule>
  </conditionalFormatting>
  <conditionalFormatting sqref="AL52:AN52">
    <cfRule type="expression" dxfId="993" priority="69">
      <formula>AL52&lt;80</formula>
    </cfRule>
    <cfRule type="expression" dxfId="992" priority="70">
      <formula>AL52&gt;90</formula>
    </cfRule>
  </conditionalFormatting>
  <conditionalFormatting sqref="AO51:AP52">
    <cfRule type="expression" dxfId="991" priority="67">
      <formula>AO51&lt;65</formula>
    </cfRule>
    <cfRule type="expression" dxfId="990" priority="68">
      <formula>AO51&gt;85</formula>
    </cfRule>
  </conditionalFormatting>
  <conditionalFormatting sqref="AL50">
    <cfRule type="expression" dxfId="989" priority="65">
      <formula>AL50&lt;55</formula>
    </cfRule>
    <cfRule type="expression" dxfId="988" priority="66">
      <formula>AL50&gt;65</formula>
    </cfRule>
  </conditionalFormatting>
  <conditionalFormatting sqref="AO50">
    <cfRule type="expression" dxfId="987" priority="63">
      <formula>AO50&lt;55</formula>
    </cfRule>
    <cfRule type="expression" dxfId="986" priority="64">
      <formula>AO50&gt;65</formula>
    </cfRule>
  </conditionalFormatting>
  <conditionalFormatting sqref="AO51:AQ51">
    <cfRule type="expression" dxfId="985" priority="61">
      <formula>AO51&lt;65</formula>
    </cfRule>
    <cfRule type="expression" dxfId="984" priority="62">
      <formula>AO51&gt;85</formula>
    </cfRule>
  </conditionalFormatting>
  <conditionalFormatting sqref="AO52:AQ52">
    <cfRule type="expression" dxfId="983" priority="59">
      <formula>AO52&lt;80</formula>
    </cfRule>
    <cfRule type="expression" dxfId="982" priority="60">
      <formula>AO52&gt;90</formula>
    </cfRule>
  </conditionalFormatting>
  <conditionalFormatting sqref="AO50">
    <cfRule type="expression" dxfId="981" priority="57">
      <formula>AO50&lt;55</formula>
    </cfRule>
    <cfRule type="expression" dxfId="980" priority="58">
      <formula>AO50&gt;65</formula>
    </cfRule>
  </conditionalFormatting>
  <conditionalFormatting sqref="H105">
    <cfRule type="expression" dxfId="979" priority="55">
      <formula>H105&lt;45</formula>
    </cfRule>
    <cfRule type="expression" dxfId="978" priority="56">
      <formula>H105&gt;65</formula>
    </cfRule>
  </conditionalFormatting>
  <conditionalFormatting sqref="H99">
    <cfRule type="expression" dxfId="977" priority="53">
      <formula>H99&lt;6</formula>
    </cfRule>
    <cfRule type="expression" dxfId="976" priority="54">
      <formula>H99&gt;8</formula>
    </cfRule>
  </conditionalFormatting>
  <conditionalFormatting sqref="H102">
    <cfRule type="expression" dxfId="975" priority="51">
      <formula>H102&lt;5.4</formula>
    </cfRule>
    <cfRule type="expression" dxfId="974" priority="52">
      <formula>H102&gt;5.8</formula>
    </cfRule>
  </conditionalFormatting>
  <conditionalFormatting sqref="H106">
    <cfRule type="expression" dxfId="973" priority="49">
      <formula>H106&lt;45</formula>
    </cfRule>
    <cfRule type="expression" dxfId="972" priority="50">
      <formula>H106&gt;65</formula>
    </cfRule>
  </conditionalFormatting>
  <conditionalFormatting sqref="H110">
    <cfRule type="expression" dxfId="971" priority="47">
      <formula>H110&lt;30</formula>
    </cfRule>
    <cfRule type="expression" dxfId="970" priority="48">
      <formula>H110&gt;60</formula>
    </cfRule>
  </conditionalFormatting>
  <conditionalFormatting sqref="H113">
    <cfRule type="expression" dxfId="969" priority="45">
      <formula>H113&lt;55</formula>
    </cfRule>
    <cfRule type="expression" dxfId="968" priority="46">
      <formula>H113&gt;65</formula>
    </cfRule>
  </conditionalFormatting>
  <conditionalFormatting sqref="K114">
    <cfRule type="expression" dxfId="967" priority="43">
      <formula>K114&lt;100</formula>
    </cfRule>
    <cfRule type="expression" dxfId="966" priority="44">
      <formula>K114&gt;110</formula>
    </cfRule>
  </conditionalFormatting>
  <conditionalFormatting sqref="K105">
    <cfRule type="expression" dxfId="965" priority="41">
      <formula>K105&lt;45</formula>
    </cfRule>
    <cfRule type="expression" dxfId="964" priority="42">
      <formula>K105&gt;65</formula>
    </cfRule>
  </conditionalFormatting>
  <conditionalFormatting sqref="K106">
    <cfRule type="expression" dxfId="963" priority="39">
      <formula>K106&lt;45</formula>
    </cfRule>
    <cfRule type="expression" dxfId="962" priority="40">
      <formula>K106&gt;65</formula>
    </cfRule>
  </conditionalFormatting>
  <conditionalFormatting sqref="K110">
    <cfRule type="expression" dxfId="961" priority="37">
      <formula>K110&lt;30</formula>
    </cfRule>
    <cfRule type="expression" dxfId="960" priority="38">
      <formula>K110&gt;60</formula>
    </cfRule>
  </conditionalFormatting>
  <conditionalFormatting sqref="K113">
    <cfRule type="expression" dxfId="959" priority="35">
      <formula>K113&lt;55</formula>
    </cfRule>
    <cfRule type="expression" dxfId="958" priority="36">
      <formula>K113&gt;65</formula>
    </cfRule>
  </conditionalFormatting>
  <conditionalFormatting sqref="N105">
    <cfRule type="expression" dxfId="957" priority="33">
      <formula>N105&lt;45</formula>
    </cfRule>
    <cfRule type="expression" dxfId="956" priority="34">
      <formula>N105&gt;65</formula>
    </cfRule>
  </conditionalFormatting>
  <conditionalFormatting sqref="N106">
    <cfRule type="expression" dxfId="955" priority="31">
      <formula>N106&lt;45</formula>
    </cfRule>
    <cfRule type="expression" dxfId="954" priority="32">
      <formula>N106&gt;65</formula>
    </cfRule>
  </conditionalFormatting>
  <conditionalFormatting sqref="N110">
    <cfRule type="expression" dxfId="953" priority="29">
      <formula>N110&lt;30</formula>
    </cfRule>
    <cfRule type="expression" dxfId="952" priority="30">
      <formula>N110&gt;60</formula>
    </cfRule>
  </conditionalFormatting>
  <conditionalFormatting sqref="N113">
    <cfRule type="expression" dxfId="951" priority="27">
      <formula>N113&lt;55</formula>
    </cfRule>
    <cfRule type="expression" dxfId="950" priority="28">
      <formula>N113&gt;65</formula>
    </cfRule>
  </conditionalFormatting>
  <conditionalFormatting sqref="Q114">
    <cfRule type="expression" dxfId="949" priority="25">
      <formula>Q114&lt;100</formula>
    </cfRule>
    <cfRule type="expression" dxfId="948" priority="26">
      <formula>Q114&gt;110</formula>
    </cfRule>
  </conditionalFormatting>
  <conditionalFormatting sqref="Q105">
    <cfRule type="expression" dxfId="947" priority="23">
      <formula>Q105&lt;45</formula>
    </cfRule>
    <cfRule type="expression" dxfId="946" priority="24">
      <formula>Q105&gt;65</formula>
    </cfRule>
  </conditionalFormatting>
  <conditionalFormatting sqref="Q106">
    <cfRule type="expression" dxfId="945" priority="21">
      <formula>Q106&lt;45</formula>
    </cfRule>
    <cfRule type="expression" dxfId="944" priority="22">
      <formula>Q106&gt;65</formula>
    </cfRule>
  </conditionalFormatting>
  <conditionalFormatting sqref="Q110">
    <cfRule type="expression" dxfId="943" priority="19">
      <formula>Q110&lt;30</formula>
    </cfRule>
    <cfRule type="expression" dxfId="942" priority="20">
      <formula>Q110&gt;60</formula>
    </cfRule>
  </conditionalFormatting>
  <conditionalFormatting sqref="Q113">
    <cfRule type="expression" dxfId="941" priority="17">
      <formula>Q113&lt;55</formula>
    </cfRule>
    <cfRule type="expression" dxfId="940" priority="18">
      <formula>Q113&gt;65</formula>
    </cfRule>
  </conditionalFormatting>
  <conditionalFormatting sqref="N99">
    <cfRule type="expression" dxfId="939" priority="15">
      <formula>N99&lt;6</formula>
    </cfRule>
    <cfRule type="expression" dxfId="938" priority="16">
      <formula>N99&gt;8</formula>
    </cfRule>
  </conditionalFormatting>
  <conditionalFormatting sqref="N102">
    <cfRule type="expression" dxfId="937" priority="13">
      <formula>N102&lt;5.4</formula>
    </cfRule>
    <cfRule type="expression" dxfId="936" priority="14">
      <formula>N102&gt;5.8</formula>
    </cfRule>
  </conditionalFormatting>
  <conditionalFormatting sqref="H107">
    <cfRule type="expression" dxfId="935" priority="11">
      <formula>H107&lt;18</formula>
    </cfRule>
    <cfRule type="expression" dxfId="934" priority="12">
      <formula>H107&gt;25</formula>
    </cfRule>
  </conditionalFormatting>
  <conditionalFormatting sqref="H108:H109">
    <cfRule type="expression" dxfId="933" priority="9">
      <formula>H108&lt;18</formula>
    </cfRule>
    <cfRule type="expression" dxfId="932" priority="10">
      <formula>H108&gt;25</formula>
    </cfRule>
  </conditionalFormatting>
  <conditionalFormatting sqref="K107 N107 Q107">
    <cfRule type="expression" dxfId="931" priority="7">
      <formula>K107&lt;18</formula>
    </cfRule>
    <cfRule type="expression" dxfId="930" priority="8">
      <formula>K107&gt;25</formula>
    </cfRule>
  </conditionalFormatting>
  <conditionalFormatting sqref="K108:K109 N108:N109 Q108:Q109">
    <cfRule type="expression" dxfId="929" priority="5">
      <formula>K108&lt;18</formula>
    </cfRule>
    <cfRule type="expression" dxfId="928" priority="6">
      <formula>K108&gt;25</formula>
    </cfRule>
  </conditionalFormatting>
  <conditionalFormatting sqref="H100">
    <cfRule type="expression" dxfId="927" priority="3">
      <formula>H100&lt;5.4</formula>
    </cfRule>
    <cfRule type="expression" dxfId="926" priority="4">
      <formula>H100&gt;5.8</formula>
    </cfRule>
  </conditionalFormatting>
  <conditionalFormatting sqref="H101">
    <cfRule type="expression" dxfId="925" priority="1">
      <formula>H101&lt;5.4</formula>
    </cfRule>
    <cfRule type="expression" dxfId="924" priority="2">
      <formula>H101&gt;5.8</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3" max="1048575" man="1"/>
  </colBreaks>
  <drawing r:id="rId2"/>
</worksheet>
</file>

<file path=xl/worksheets/sheet28.xml><?xml version="1.0" encoding="utf-8"?>
<worksheet xmlns="http://schemas.openxmlformats.org/spreadsheetml/2006/main" xmlns:r="http://schemas.openxmlformats.org/officeDocument/2006/relationships">
  <sheetPr codeName="Sheet22">
    <tabColor rgb="FFFFC000"/>
  </sheetPr>
  <dimension ref="A1:P34"/>
  <sheetViews>
    <sheetView zoomScale="55" zoomScaleNormal="55" workbookViewId="0">
      <selection activeCell="L31" sqref="L31"/>
    </sheetView>
  </sheetViews>
  <sheetFormatPr defaultRowHeight="15"/>
  <cols>
    <col min="1" max="1" width="4.125" style="950" customWidth="1"/>
    <col min="2" max="2" width="8.875" style="34" customWidth="1"/>
    <col min="3" max="3" width="6.125" style="34" customWidth="1"/>
    <col min="4" max="4" width="2.875" style="34" customWidth="1"/>
    <col min="5" max="5" width="12.375" style="34" customWidth="1"/>
    <col min="6" max="6" width="9.25" style="20" customWidth="1"/>
    <col min="7" max="7" width="16.125" style="35" customWidth="1"/>
    <col min="8" max="8" width="12.875" style="20" customWidth="1"/>
    <col min="9" max="9" width="3.75" style="20" customWidth="1"/>
    <col min="10" max="10" width="8.375" style="20" customWidth="1"/>
    <col min="11" max="11" width="3.75" style="20" customWidth="1"/>
    <col min="12" max="12" width="12.875" style="20" customWidth="1"/>
    <col min="13" max="13" width="5" style="20" customWidth="1"/>
    <col min="14" max="14" width="8.75" style="20" customWidth="1"/>
    <col min="15" max="15" width="6.125" style="20" customWidth="1"/>
    <col min="16" max="16" width="14.25" style="20" customWidth="1"/>
    <col min="17" max="16384" width="9" style="20"/>
  </cols>
  <sheetData>
    <row r="1" spans="1:16" ht="36" customHeight="1">
      <c r="A1" s="2202" t="s">
        <v>613</v>
      </c>
      <c r="B1" s="2202"/>
      <c r="C1" s="2202"/>
      <c r="D1" s="2202"/>
      <c r="E1" s="2202"/>
      <c r="F1" s="2202"/>
      <c r="G1" s="2202"/>
      <c r="H1" s="2202"/>
      <c r="I1" s="2202"/>
      <c r="J1" s="2202"/>
      <c r="K1" s="525"/>
      <c r="L1" s="526"/>
      <c r="M1" s="526"/>
      <c r="N1" s="525"/>
      <c r="O1" s="525"/>
      <c r="P1" s="527">
        <f>'1. XL-1E kh'!$AF$1</f>
        <v>0</v>
      </c>
    </row>
    <row r="2" spans="1:16" ht="51" customHeight="1">
      <c r="A2" s="2203" t="s">
        <v>614</v>
      </c>
      <c r="B2" s="2203"/>
      <c r="C2" s="2203"/>
      <c r="D2" s="2203"/>
      <c r="E2" s="2203"/>
      <c r="F2" s="2203"/>
      <c r="G2" s="2203"/>
      <c r="H2" s="2203"/>
      <c r="I2" s="2203"/>
      <c r="J2" s="2203"/>
      <c r="K2" s="2203"/>
      <c r="L2" s="2203"/>
      <c r="M2" s="2203"/>
      <c r="N2" s="2025" t="s">
        <v>96</v>
      </c>
      <c r="O2" s="1923"/>
      <c r="P2" s="378" t="s">
        <v>97</v>
      </c>
    </row>
    <row r="3" spans="1:16" ht="38.25" customHeight="1">
      <c r="A3" s="947"/>
      <c r="B3" s="528"/>
      <c r="C3" s="25"/>
      <c r="D3" s="25"/>
      <c r="E3" s="26"/>
      <c r="F3" s="529"/>
      <c r="G3" s="635" t="str">
        <f>'1. XL-1E kh'!$G$3</f>
        <v>2022/12/03</v>
      </c>
      <c r="H3" s="530"/>
      <c r="I3" s="530"/>
      <c r="J3" s="530"/>
      <c r="K3" s="530"/>
      <c r="L3" s="530"/>
      <c r="M3" s="530"/>
      <c r="N3" s="2204" t="str">
        <f>'1. XL-1E kh'!$AC$3</f>
        <v>L.Yen</v>
      </c>
      <c r="O3" s="2205"/>
      <c r="P3" s="3" t="s">
        <v>11</v>
      </c>
    </row>
    <row r="4" spans="1:16" s="536" customFormat="1" ht="42.75" customHeight="1">
      <c r="A4" s="2206" t="s">
        <v>7</v>
      </c>
      <c r="B4" s="2207" t="s">
        <v>79</v>
      </c>
      <c r="C4" s="2208"/>
      <c r="D4" s="2208"/>
      <c r="E4" s="2209"/>
      <c r="F4" s="2216" t="s">
        <v>101</v>
      </c>
      <c r="G4" s="2218" t="s">
        <v>67</v>
      </c>
      <c r="H4" s="531"/>
      <c r="I4" s="532" t="s">
        <v>615</v>
      </c>
      <c r="J4" s="533"/>
      <c r="K4" s="533"/>
      <c r="L4" s="533"/>
      <c r="M4" s="533"/>
      <c r="N4" s="534"/>
      <c r="O4" s="535"/>
      <c r="P4" s="2222" t="s">
        <v>98</v>
      </c>
    </row>
    <row r="5" spans="1:16" s="536" customFormat="1" ht="31.5" customHeight="1">
      <c r="A5" s="2206"/>
      <c r="B5" s="2210"/>
      <c r="C5" s="2211"/>
      <c r="D5" s="2211"/>
      <c r="E5" s="2212"/>
      <c r="F5" s="2216"/>
      <c r="G5" s="2057"/>
      <c r="H5" s="2224">
        <v>0.375</v>
      </c>
      <c r="I5" s="2225"/>
      <c r="J5" s="2225"/>
      <c r="K5" s="2225"/>
      <c r="L5" s="2224">
        <v>0.54166666666666663</v>
      </c>
      <c r="M5" s="2225"/>
      <c r="N5" s="2225"/>
      <c r="O5" s="2225"/>
      <c r="P5" s="2223"/>
    </row>
    <row r="6" spans="1:16" s="536" customFormat="1" ht="37.5" customHeight="1">
      <c r="A6" s="2206"/>
      <c r="B6" s="2213"/>
      <c r="C6" s="2214"/>
      <c r="D6" s="2214"/>
      <c r="E6" s="2215"/>
      <c r="F6" s="2217"/>
      <c r="G6" s="2058"/>
      <c r="H6" s="537" t="s">
        <v>616</v>
      </c>
      <c r="I6" s="2216" t="s">
        <v>1</v>
      </c>
      <c r="J6" s="2216"/>
      <c r="K6" s="2216"/>
      <c r="L6" s="537" t="s">
        <v>616</v>
      </c>
      <c r="M6" s="2216" t="s">
        <v>1</v>
      </c>
      <c r="N6" s="2216"/>
      <c r="O6" s="2216"/>
      <c r="P6" s="1971"/>
    </row>
    <row r="7" spans="1:16" ht="42" customHeight="1">
      <c r="A7" s="946">
        <v>1</v>
      </c>
      <c r="B7" s="2037" t="s">
        <v>617</v>
      </c>
      <c r="C7" s="2059"/>
      <c r="D7" s="2059" t="s">
        <v>108</v>
      </c>
      <c r="E7" s="2038"/>
      <c r="F7" s="54" t="s">
        <v>475</v>
      </c>
      <c r="G7" s="127" t="s">
        <v>519</v>
      </c>
      <c r="H7" s="1022">
        <f>'R.FILE GOC'!H57</f>
        <v>16</v>
      </c>
      <c r="I7" s="65" t="s">
        <v>8</v>
      </c>
      <c r="J7" s="66">
        <f>'R.FILE GOC'!K57</f>
        <v>0</v>
      </c>
      <c r="K7" s="67" t="s">
        <v>9</v>
      </c>
      <c r="L7" s="1022">
        <f>'R.FILE GOC'!N57</f>
        <v>15.8</v>
      </c>
      <c r="M7" s="65" t="s">
        <v>8</v>
      </c>
      <c r="N7" s="66">
        <f>'R.FILE GOC'!Q57</f>
        <v>0</v>
      </c>
      <c r="O7" s="67" t="s">
        <v>9</v>
      </c>
      <c r="P7" s="316"/>
    </row>
    <row r="8" spans="1:16" ht="42" customHeight="1">
      <c r="A8" s="946">
        <v>2</v>
      </c>
      <c r="B8" s="2037" t="s">
        <v>618</v>
      </c>
      <c r="C8" s="2059" t="s">
        <v>522</v>
      </c>
      <c r="D8" s="2059" t="s">
        <v>522</v>
      </c>
      <c r="E8" s="2038" t="s">
        <v>522</v>
      </c>
      <c r="F8" s="54" t="s">
        <v>475</v>
      </c>
      <c r="G8" s="127" t="s">
        <v>519</v>
      </c>
      <c r="H8" s="1022">
        <f>'R.FILE GOC'!H58</f>
        <v>15.1</v>
      </c>
      <c r="I8" s="65" t="s">
        <v>8</v>
      </c>
      <c r="J8" s="66">
        <f>'R.FILE GOC'!K58</f>
        <v>0</v>
      </c>
      <c r="K8" s="67" t="s">
        <v>9</v>
      </c>
      <c r="L8" s="1022">
        <f>'R.FILE GOC'!N58</f>
        <v>15</v>
      </c>
      <c r="M8" s="65" t="s">
        <v>8</v>
      </c>
      <c r="N8" s="66">
        <f>'R.FILE GOC'!Q58</f>
        <v>0</v>
      </c>
      <c r="O8" s="67" t="s">
        <v>9</v>
      </c>
      <c r="P8" s="21"/>
    </row>
    <row r="9" spans="1:16" ht="42" customHeight="1">
      <c r="A9" s="946">
        <v>3</v>
      </c>
      <c r="B9" s="2037" t="s">
        <v>619</v>
      </c>
      <c r="C9" s="2059" t="s">
        <v>620</v>
      </c>
      <c r="D9" s="2059" t="s">
        <v>620</v>
      </c>
      <c r="E9" s="2038" t="s">
        <v>620</v>
      </c>
      <c r="F9" s="54" t="s">
        <v>475</v>
      </c>
      <c r="G9" s="127" t="s">
        <v>519</v>
      </c>
      <c r="H9" s="1022">
        <f>'R.FILE GOC'!H59</f>
        <v>15</v>
      </c>
      <c r="I9" s="65" t="s">
        <v>8</v>
      </c>
      <c r="J9" s="66">
        <f>'R.FILE GOC'!K59</f>
        <v>0</v>
      </c>
      <c r="K9" s="67" t="s">
        <v>10</v>
      </c>
      <c r="L9" s="1022">
        <f>'R.FILE GOC'!N59</f>
        <v>15</v>
      </c>
      <c r="M9" s="65" t="s">
        <v>8</v>
      </c>
      <c r="N9" s="66">
        <f>'R.FILE GOC'!Q59</f>
        <v>0</v>
      </c>
      <c r="O9" s="67" t="s">
        <v>10</v>
      </c>
      <c r="P9" s="21"/>
    </row>
    <row r="10" spans="1:16" ht="42" customHeight="1">
      <c r="A10" s="946">
        <v>4</v>
      </c>
      <c r="B10" s="2037" t="s">
        <v>621</v>
      </c>
      <c r="C10" s="2059" t="s">
        <v>622</v>
      </c>
      <c r="D10" s="2059" t="s">
        <v>622</v>
      </c>
      <c r="E10" s="2038" t="s">
        <v>622</v>
      </c>
      <c r="F10" s="54" t="s">
        <v>475</v>
      </c>
      <c r="G10" s="127" t="s">
        <v>1052</v>
      </c>
      <c r="H10" s="356">
        <f>'R.FILE GOC'!H60</f>
        <v>10.199999999999999</v>
      </c>
      <c r="I10" s="65" t="s">
        <v>8</v>
      </c>
      <c r="J10" s="66">
        <f>'R.FILE GOC'!K60</f>
        <v>0</v>
      </c>
      <c r="K10" s="67" t="s">
        <v>9</v>
      </c>
      <c r="L10" s="356">
        <f>'R.FILE GOC'!N60</f>
        <v>10.1</v>
      </c>
      <c r="M10" s="65" t="s">
        <v>8</v>
      </c>
      <c r="N10" s="66">
        <f>'R.FILE GOC'!Q60</f>
        <v>0</v>
      </c>
      <c r="O10" s="67" t="s">
        <v>9</v>
      </c>
      <c r="P10" s="316"/>
    </row>
    <row r="11" spans="1:16" ht="42" customHeight="1">
      <c r="A11" s="946">
        <v>5</v>
      </c>
      <c r="B11" s="2219" t="s">
        <v>623</v>
      </c>
      <c r="C11" s="2220" t="s">
        <v>624</v>
      </c>
      <c r="D11" s="2220" t="s">
        <v>624</v>
      </c>
      <c r="E11" s="2221" t="s">
        <v>624</v>
      </c>
      <c r="F11" s="54" t="s">
        <v>475</v>
      </c>
      <c r="G11" s="127" t="s">
        <v>529</v>
      </c>
      <c r="H11" s="481">
        <f>'R.FILE GOC'!H61</f>
        <v>0.48</v>
      </c>
      <c r="I11" s="65" t="s">
        <v>8</v>
      </c>
      <c r="J11" s="66">
        <f>'R.FILE GOC'!K61</f>
        <v>0</v>
      </c>
      <c r="K11" s="67" t="s">
        <v>9</v>
      </c>
      <c r="L11" s="481">
        <f>'R.FILE GOC'!N61</f>
        <v>0.5</v>
      </c>
      <c r="M11" s="65" t="s">
        <v>8</v>
      </c>
      <c r="N11" s="66">
        <f>'R.FILE GOC'!Q61</f>
        <v>0</v>
      </c>
      <c r="O11" s="67" t="s">
        <v>9</v>
      </c>
      <c r="P11" s="21"/>
    </row>
    <row r="12" spans="1:16" ht="42" customHeight="1">
      <c r="A12" s="946">
        <v>6</v>
      </c>
      <c r="B12" s="2219" t="s">
        <v>625</v>
      </c>
      <c r="C12" s="2220" t="s">
        <v>626</v>
      </c>
      <c r="D12" s="2220" t="s">
        <v>626</v>
      </c>
      <c r="E12" s="2221" t="s">
        <v>626</v>
      </c>
      <c r="F12" s="54" t="s">
        <v>475</v>
      </c>
      <c r="G12" s="127" t="s">
        <v>532</v>
      </c>
      <c r="H12" s="356">
        <f>'R.FILE GOC'!H62</f>
        <v>20.6</v>
      </c>
      <c r="I12" s="65" t="s">
        <v>8</v>
      </c>
      <c r="J12" s="66">
        <f>'R.FILE GOC'!K62</f>
        <v>13.607999999999986</v>
      </c>
      <c r="K12" s="67" t="s">
        <v>9</v>
      </c>
      <c r="L12" s="356">
        <f>'R.FILE GOC'!N62</f>
        <v>21</v>
      </c>
      <c r="M12" s="65" t="s">
        <v>8</v>
      </c>
      <c r="N12" s="66">
        <f>'R.FILE GOC'!Q62</f>
        <v>9.7200000000000006</v>
      </c>
      <c r="O12" s="67" t="s">
        <v>9</v>
      </c>
      <c r="P12" s="316"/>
    </row>
    <row r="13" spans="1:16" ht="42" customHeight="1">
      <c r="A13" s="946">
        <v>7</v>
      </c>
      <c r="B13" s="2219" t="s">
        <v>627</v>
      </c>
      <c r="C13" s="2220" t="s">
        <v>628</v>
      </c>
      <c r="D13" s="2220" t="s">
        <v>628</v>
      </c>
      <c r="E13" s="2221" t="s">
        <v>628</v>
      </c>
      <c r="F13" s="54" t="s">
        <v>475</v>
      </c>
      <c r="G13" s="127" t="s">
        <v>535</v>
      </c>
      <c r="H13" s="356">
        <f>'R.FILE GOC'!H63</f>
        <v>8.3000000000000007</v>
      </c>
      <c r="I13" s="65" t="s">
        <v>8</v>
      </c>
      <c r="J13" s="66">
        <f>'R.FILE GOC'!K63</f>
        <v>0</v>
      </c>
      <c r="K13" s="67" t="s">
        <v>9</v>
      </c>
      <c r="L13" s="356">
        <f>'R.FILE GOC'!N63</f>
        <v>8</v>
      </c>
      <c r="M13" s="65" t="s">
        <v>8</v>
      </c>
      <c r="N13" s="66">
        <f>'R.FILE GOC'!Q63</f>
        <v>0</v>
      </c>
      <c r="O13" s="67" t="s">
        <v>9</v>
      </c>
      <c r="P13" s="21"/>
    </row>
    <row r="14" spans="1:16" ht="42" customHeight="1">
      <c r="A14" s="946">
        <v>8</v>
      </c>
      <c r="B14" s="2037" t="s">
        <v>629</v>
      </c>
      <c r="C14" s="2059" t="s">
        <v>537</v>
      </c>
      <c r="D14" s="2059" t="s">
        <v>537</v>
      </c>
      <c r="E14" s="2038" t="s">
        <v>537</v>
      </c>
      <c r="F14" s="54" t="s">
        <v>5</v>
      </c>
      <c r="G14" s="127" t="s">
        <v>538</v>
      </c>
      <c r="H14" s="356">
        <f>'R.FILE GOC'!H64</f>
        <v>8</v>
      </c>
      <c r="I14" s="65"/>
      <c r="J14" s="66"/>
      <c r="K14" s="67"/>
      <c r="L14" s="356">
        <f>'R.FILE GOC'!N64</f>
        <v>7.8</v>
      </c>
      <c r="M14" s="65"/>
      <c r="N14" s="66"/>
      <c r="O14" s="67"/>
      <c r="P14" s="21"/>
    </row>
    <row r="15" spans="1:16" ht="42" customHeight="1">
      <c r="A15" s="946">
        <v>9</v>
      </c>
      <c r="B15" s="2219" t="s">
        <v>630</v>
      </c>
      <c r="C15" s="2220" t="s">
        <v>628</v>
      </c>
      <c r="D15" s="2220" t="s">
        <v>628</v>
      </c>
      <c r="E15" s="2221" t="s">
        <v>628</v>
      </c>
      <c r="F15" s="54" t="s">
        <v>5</v>
      </c>
      <c r="G15" s="127" t="s">
        <v>541</v>
      </c>
      <c r="H15" s="538">
        <f>'R.FILE GOC'!H65</f>
        <v>5.5</v>
      </c>
      <c r="I15" s="65"/>
      <c r="J15" s="66"/>
      <c r="K15" s="67"/>
      <c r="L15" s="538">
        <f>'R.FILE GOC'!N65</f>
        <v>5.5</v>
      </c>
      <c r="M15" s="65"/>
      <c r="N15" s="66"/>
      <c r="O15" s="67"/>
      <c r="P15" s="21"/>
    </row>
    <row r="16" spans="1:16" ht="36.75" hidden="1" customHeight="1">
      <c r="A16" s="946">
        <v>10</v>
      </c>
      <c r="B16" s="2219" t="s">
        <v>631</v>
      </c>
      <c r="C16" s="2220" t="s">
        <v>628</v>
      </c>
      <c r="D16" s="2220" t="s">
        <v>628</v>
      </c>
      <c r="E16" s="2221" t="s">
        <v>628</v>
      </c>
      <c r="F16" s="54" t="s">
        <v>5</v>
      </c>
      <c r="G16" s="127" t="s">
        <v>541</v>
      </c>
      <c r="H16" s="539">
        <f>'R.FILE GOC'!H66</f>
        <v>0</v>
      </c>
      <c r="I16" s="65"/>
      <c r="J16" s="66"/>
      <c r="K16" s="67"/>
      <c r="L16" s="539">
        <f>'R.FILE GOC'!N66</f>
        <v>0</v>
      </c>
      <c r="M16" s="65"/>
      <c r="N16" s="66"/>
      <c r="O16" s="67"/>
      <c r="P16" s="21"/>
    </row>
    <row r="17" spans="1:16" ht="39.75" customHeight="1">
      <c r="A17" s="946">
        <v>11</v>
      </c>
      <c r="B17" s="2219" t="s">
        <v>415</v>
      </c>
      <c r="C17" s="2220"/>
      <c r="D17" s="2220"/>
      <c r="E17" s="2221"/>
      <c r="F17" s="54" t="s">
        <v>3</v>
      </c>
      <c r="G17" s="503" t="s">
        <v>416</v>
      </c>
      <c r="H17" s="504">
        <v>15.3</v>
      </c>
      <c r="I17" s="65" t="s">
        <v>8</v>
      </c>
      <c r="J17" s="66">
        <f>'R.FILE GOC'!K67</f>
        <v>163.76367528472861</v>
      </c>
      <c r="K17" s="67" t="s">
        <v>10</v>
      </c>
      <c r="L17" s="1136" t="s">
        <v>1053</v>
      </c>
      <c r="M17" s="65"/>
      <c r="N17" s="66"/>
      <c r="O17" s="67"/>
      <c r="P17" s="1136"/>
    </row>
    <row r="18" spans="1:16" ht="39.75" customHeight="1">
      <c r="A18" s="946">
        <v>12</v>
      </c>
      <c r="B18" s="2219" t="s">
        <v>417</v>
      </c>
      <c r="C18" s="2220"/>
      <c r="D18" s="2220"/>
      <c r="E18" s="2221"/>
      <c r="F18" s="54" t="s">
        <v>3</v>
      </c>
      <c r="G18" s="503" t="s">
        <v>418</v>
      </c>
      <c r="H18" s="504">
        <v>11.8</v>
      </c>
      <c r="I18" s="65" t="s">
        <v>8</v>
      </c>
      <c r="J18" s="66">
        <f>'R.FILE GOC'!K68</f>
        <v>77.157728231096002</v>
      </c>
      <c r="K18" s="67" t="s">
        <v>10</v>
      </c>
      <c r="L18" s="1136" t="s">
        <v>1054</v>
      </c>
      <c r="M18" s="65"/>
      <c r="N18" s="66"/>
      <c r="O18" s="67"/>
      <c r="P18" s="21"/>
    </row>
    <row r="19" spans="1:16" ht="36.75" hidden="1" customHeight="1">
      <c r="A19" s="946">
        <v>13</v>
      </c>
      <c r="B19" s="2219" t="s">
        <v>419</v>
      </c>
      <c r="C19" s="2220"/>
      <c r="D19" s="2220"/>
      <c r="E19" s="2221"/>
      <c r="F19" s="54" t="s">
        <v>3</v>
      </c>
      <c r="G19" s="503" t="s">
        <v>416</v>
      </c>
      <c r="H19" s="505" t="str">
        <f>'R.FILE GOC'!H69</f>
        <v/>
      </c>
      <c r="I19" s="65"/>
      <c r="J19" s="66" t="str">
        <f>'R.FILE GOC'!K69</f>
        <v/>
      </c>
      <c r="K19" s="67"/>
      <c r="L19" s="1136"/>
      <c r="M19" s="65"/>
      <c r="N19" s="66"/>
      <c r="O19" s="67"/>
      <c r="P19" s="21"/>
    </row>
    <row r="20" spans="1:16" ht="36.75" hidden="1" customHeight="1">
      <c r="A20" s="946">
        <v>14</v>
      </c>
      <c r="B20" s="2219" t="s">
        <v>420</v>
      </c>
      <c r="C20" s="2220"/>
      <c r="D20" s="2220"/>
      <c r="E20" s="2221"/>
      <c r="F20" s="54" t="s">
        <v>3</v>
      </c>
      <c r="G20" s="503" t="s">
        <v>418</v>
      </c>
      <c r="H20" s="505" t="str">
        <f>'R.FILE GOC'!H70</f>
        <v/>
      </c>
      <c r="I20" s="65"/>
      <c r="J20" s="66" t="str">
        <f>'R.FILE GOC'!K70</f>
        <v/>
      </c>
      <c r="K20" s="67"/>
      <c r="L20" s="1136"/>
      <c r="M20" s="65"/>
      <c r="N20" s="66"/>
      <c r="O20" s="67"/>
      <c r="P20" s="21"/>
    </row>
    <row r="21" spans="1:16" ht="41.25" customHeight="1">
      <c r="A21" s="946">
        <v>15</v>
      </c>
      <c r="B21" s="2219" t="s">
        <v>421</v>
      </c>
      <c r="C21" s="2220" t="s">
        <v>421</v>
      </c>
      <c r="D21" s="2220" t="s">
        <v>421</v>
      </c>
      <c r="E21" s="2221" t="s">
        <v>421</v>
      </c>
      <c r="F21" s="54" t="s">
        <v>3</v>
      </c>
      <c r="G21" s="127" t="s">
        <v>422</v>
      </c>
      <c r="H21" s="70">
        <f>'R.FILE GOC'!H71</f>
        <v>6.8477270845408622</v>
      </c>
      <c r="I21" s="65"/>
      <c r="J21" s="66"/>
      <c r="K21" s="67"/>
      <c r="L21" s="1136" t="s">
        <v>1053</v>
      </c>
      <c r="M21" s="65"/>
      <c r="N21" s="66"/>
      <c r="O21" s="67"/>
      <c r="P21" s="21"/>
    </row>
    <row r="22" spans="1:16" ht="41.25" customHeight="1">
      <c r="A22" s="946">
        <v>16</v>
      </c>
      <c r="B22" s="2219" t="s">
        <v>424</v>
      </c>
      <c r="C22" s="2220" t="s">
        <v>424</v>
      </c>
      <c r="D22" s="2220" t="s">
        <v>424</v>
      </c>
      <c r="E22" s="2221" t="s">
        <v>424</v>
      </c>
      <c r="F22" s="54" t="s">
        <v>3</v>
      </c>
      <c r="G22" s="127" t="s">
        <v>425</v>
      </c>
      <c r="H22" s="70">
        <f>'R.FILE GOC'!H72</f>
        <v>0.81368316174028488</v>
      </c>
      <c r="I22" s="65"/>
      <c r="J22" s="66"/>
      <c r="K22" s="67"/>
      <c r="L22" s="1136" t="s">
        <v>1053</v>
      </c>
      <c r="M22" s="65"/>
      <c r="N22" s="66"/>
      <c r="O22" s="67"/>
      <c r="P22" s="21"/>
    </row>
    <row r="23" spans="1:16" ht="48.75" customHeight="1">
      <c r="A23" s="948"/>
      <c r="B23" s="540"/>
      <c r="C23" s="541"/>
      <c r="D23" s="541"/>
      <c r="E23" s="541"/>
      <c r="F23" s="541"/>
      <c r="G23" s="541"/>
      <c r="H23" s="542" t="s">
        <v>117</v>
      </c>
      <c r="I23" s="541"/>
      <c r="J23" s="541"/>
      <c r="K23" s="541"/>
      <c r="L23" s="541"/>
      <c r="M23" s="541"/>
      <c r="N23" s="541"/>
      <c r="O23" s="541"/>
      <c r="P23" s="543"/>
    </row>
    <row r="24" spans="1:16" ht="59.25" customHeight="1">
      <c r="A24" s="949" t="s">
        <v>7</v>
      </c>
      <c r="B24" s="2227" t="s">
        <v>64</v>
      </c>
      <c r="C24" s="2228"/>
      <c r="D24" s="2228"/>
      <c r="E24" s="2229"/>
      <c r="F24" s="545" t="s">
        <v>66</v>
      </c>
      <c r="G24" s="380" t="s">
        <v>67</v>
      </c>
      <c r="H24" s="448" t="s">
        <v>48</v>
      </c>
      <c r="I24" s="2074" t="s">
        <v>65</v>
      </c>
      <c r="J24" s="2226"/>
      <c r="K24" s="2226"/>
      <c r="L24" s="448" t="s">
        <v>48</v>
      </c>
      <c r="M24" s="2074" t="s">
        <v>65</v>
      </c>
      <c r="N24" s="2226"/>
      <c r="O24" s="2226"/>
      <c r="P24" s="384" t="s">
        <v>98</v>
      </c>
    </row>
    <row r="25" spans="1:16" ht="51" customHeight="1">
      <c r="A25" s="949">
        <v>1</v>
      </c>
      <c r="B25" s="2080" t="s">
        <v>518</v>
      </c>
      <c r="C25" s="2081"/>
      <c r="D25" s="2081"/>
      <c r="E25" s="2082"/>
      <c r="F25" s="22" t="s">
        <v>113</v>
      </c>
      <c r="G25" s="127" t="s">
        <v>551</v>
      </c>
      <c r="H25" s="546">
        <v>56</v>
      </c>
      <c r="I25" s="1891">
        <v>55</v>
      </c>
      <c r="J25" s="1892"/>
      <c r="K25" s="1940"/>
      <c r="L25" s="546">
        <v>57</v>
      </c>
      <c r="M25" s="1891">
        <v>56</v>
      </c>
      <c r="N25" s="1892"/>
      <c r="O25" s="1940"/>
      <c r="P25" s="21"/>
    </row>
    <row r="26" spans="1:16" ht="51" customHeight="1">
      <c r="A26" s="949">
        <v>2</v>
      </c>
      <c r="B26" s="2080" t="s">
        <v>522</v>
      </c>
      <c r="C26" s="2081" t="s">
        <v>522</v>
      </c>
      <c r="D26" s="2081" t="s">
        <v>522</v>
      </c>
      <c r="E26" s="2082" t="s">
        <v>522</v>
      </c>
      <c r="F26" s="22" t="s">
        <v>113</v>
      </c>
      <c r="G26" s="127" t="s">
        <v>551</v>
      </c>
      <c r="H26" s="546">
        <v>57</v>
      </c>
      <c r="I26" s="1891">
        <v>56</v>
      </c>
      <c r="J26" s="1892"/>
      <c r="K26" s="1940"/>
      <c r="L26" s="546">
        <v>58</v>
      </c>
      <c r="M26" s="1891">
        <v>57</v>
      </c>
      <c r="N26" s="1892"/>
      <c r="O26" s="1940"/>
      <c r="P26" s="21"/>
    </row>
    <row r="27" spans="1:16" ht="51" customHeight="1">
      <c r="A27" s="949">
        <v>3</v>
      </c>
      <c r="B27" s="2080" t="s">
        <v>524</v>
      </c>
      <c r="C27" s="2081" t="s">
        <v>524</v>
      </c>
      <c r="D27" s="2081" t="s">
        <v>524</v>
      </c>
      <c r="E27" s="2082" t="s">
        <v>524</v>
      </c>
      <c r="F27" s="22" t="s">
        <v>113</v>
      </c>
      <c r="G27" s="127" t="s">
        <v>551</v>
      </c>
      <c r="H27" s="546">
        <v>57</v>
      </c>
      <c r="I27" s="1891">
        <v>56</v>
      </c>
      <c r="J27" s="1892"/>
      <c r="K27" s="1940"/>
      <c r="L27" s="546">
        <v>57</v>
      </c>
      <c r="M27" s="1891">
        <v>56</v>
      </c>
      <c r="N27" s="1892"/>
      <c r="O27" s="1940"/>
      <c r="P27" s="21"/>
    </row>
    <row r="28" spans="1:16" ht="51" customHeight="1">
      <c r="A28" s="949">
        <v>4</v>
      </c>
      <c r="B28" s="2080" t="s">
        <v>1049</v>
      </c>
      <c r="C28" s="2081" t="s">
        <v>555</v>
      </c>
      <c r="D28" s="2081" t="s">
        <v>555</v>
      </c>
      <c r="E28" s="2082" t="s">
        <v>555</v>
      </c>
      <c r="F28" s="22" t="s">
        <v>113</v>
      </c>
      <c r="G28" s="127" t="s">
        <v>556</v>
      </c>
      <c r="H28" s="546">
        <f>'R.FILE GOC'!H78</f>
        <v>36</v>
      </c>
      <c r="I28" s="1891">
        <v>32</v>
      </c>
      <c r="J28" s="1892"/>
      <c r="K28" s="1940"/>
      <c r="L28" s="546">
        <v>34</v>
      </c>
      <c r="M28" s="1891">
        <v>33</v>
      </c>
      <c r="N28" s="1892"/>
      <c r="O28" s="1940"/>
      <c r="P28" s="21"/>
    </row>
    <row r="29" spans="1:16" ht="51" customHeight="1">
      <c r="A29" s="949">
        <v>5</v>
      </c>
      <c r="B29" s="2080" t="s">
        <v>632</v>
      </c>
      <c r="C29" s="2081"/>
      <c r="D29" s="2081"/>
      <c r="E29" s="2082"/>
      <c r="F29" s="22" t="s">
        <v>113</v>
      </c>
      <c r="G29" s="127" t="s">
        <v>559</v>
      </c>
      <c r="H29" s="546">
        <f>'R.FILE GOC'!H79</f>
        <v>31</v>
      </c>
      <c r="I29" s="1891">
        <f>'R.FILE GOC'!K79</f>
        <v>28</v>
      </c>
      <c r="J29" s="1892"/>
      <c r="K29" s="1940"/>
      <c r="L29" s="546">
        <v>31</v>
      </c>
      <c r="M29" s="1891">
        <v>28</v>
      </c>
      <c r="N29" s="1892"/>
      <c r="O29" s="1940"/>
      <c r="P29" s="21"/>
    </row>
    <row r="30" spans="1:16" ht="43.5" hidden="1" customHeight="1">
      <c r="A30" s="949">
        <v>6</v>
      </c>
      <c r="B30" s="2080" t="s">
        <v>633</v>
      </c>
      <c r="C30" s="2081"/>
      <c r="D30" s="2081"/>
      <c r="E30" s="2082"/>
      <c r="F30" s="22" t="s">
        <v>113</v>
      </c>
      <c r="G30" s="127" t="s">
        <v>559</v>
      </c>
      <c r="H30" s="546">
        <f>'R.FILE GOC'!H80</f>
        <v>0</v>
      </c>
      <c r="I30" s="1891">
        <f>'R.FILE GOC'!K80</f>
        <v>0</v>
      </c>
      <c r="J30" s="1892"/>
      <c r="K30" s="1940"/>
      <c r="L30" s="546">
        <f>'R.FILE GOC'!N80</f>
        <v>0</v>
      </c>
      <c r="M30" s="1891">
        <f>'R.FILE GOC'!Q80</f>
        <v>0</v>
      </c>
      <c r="N30" s="1892"/>
      <c r="O30" s="1940"/>
      <c r="P30" s="21"/>
    </row>
    <row r="31" spans="1:16" ht="50.25" customHeight="1">
      <c r="A31" s="949">
        <v>7</v>
      </c>
      <c r="B31" s="2080" t="s">
        <v>563</v>
      </c>
      <c r="C31" s="2081" t="s">
        <v>563</v>
      </c>
      <c r="D31" s="2081" t="s">
        <v>563</v>
      </c>
      <c r="E31" s="2082" t="s">
        <v>563</v>
      </c>
      <c r="F31" s="22" t="s">
        <v>113</v>
      </c>
      <c r="G31" s="127" t="s">
        <v>564</v>
      </c>
      <c r="H31" s="289" t="str">
        <f>'R.FILE GOC'!H81</f>
        <v>\</v>
      </c>
      <c r="I31" s="1891">
        <v>178</v>
      </c>
      <c r="J31" s="1892"/>
      <c r="K31" s="1892"/>
      <c r="L31" s="289" t="str">
        <f>'R.FILE GOC'!N81</f>
        <v>\</v>
      </c>
      <c r="M31" s="1891">
        <v>176</v>
      </c>
      <c r="N31" s="1892"/>
      <c r="O31" s="1892"/>
      <c r="P31" s="21"/>
    </row>
    <row r="32" spans="1:16" ht="48" hidden="1" customHeight="1">
      <c r="A32" s="948"/>
      <c r="B32" s="547"/>
      <c r="C32" s="548"/>
      <c r="D32" s="548"/>
      <c r="E32" s="548"/>
      <c r="F32" s="548"/>
      <c r="G32" s="548"/>
      <c r="H32" s="549" t="s">
        <v>565</v>
      </c>
      <c r="I32" s="548"/>
      <c r="J32" s="548"/>
      <c r="K32" s="548"/>
      <c r="L32" s="548"/>
      <c r="M32" s="548"/>
      <c r="N32" s="548"/>
      <c r="O32" s="548"/>
      <c r="P32" s="550"/>
    </row>
    <row r="33" spans="1:16" ht="52.5" hidden="1" customHeight="1">
      <c r="A33" s="949">
        <v>1</v>
      </c>
      <c r="B33" s="2037" t="s">
        <v>565</v>
      </c>
      <c r="C33" s="2059"/>
      <c r="D33" s="2059"/>
      <c r="E33" s="2038"/>
      <c r="F33" s="380" t="s">
        <v>566</v>
      </c>
      <c r="G33" s="380" t="s">
        <v>567</v>
      </c>
      <c r="H33" s="2074">
        <f>'R.FILE GOC'!H83</f>
        <v>0</v>
      </c>
      <c r="I33" s="2226"/>
      <c r="J33" s="2226"/>
      <c r="K33" s="2226"/>
      <c r="L33" s="2074">
        <f>'R.FILE GOC'!N83</f>
        <v>0</v>
      </c>
      <c r="M33" s="2226"/>
      <c r="N33" s="2226"/>
      <c r="O33" s="2226"/>
      <c r="P33" s="384"/>
    </row>
    <row r="34" spans="1:16" ht="52.5" hidden="1" customHeight="1">
      <c r="A34" s="949">
        <v>2</v>
      </c>
      <c r="B34" s="2080" t="s">
        <v>568</v>
      </c>
      <c r="C34" s="2081"/>
      <c r="D34" s="2081"/>
      <c r="E34" s="2082"/>
      <c r="F34" s="380" t="s">
        <v>566</v>
      </c>
      <c r="G34" s="127" t="s">
        <v>569</v>
      </c>
      <c r="H34" s="2074">
        <f>'R.FILE GOC'!H84</f>
        <v>0</v>
      </c>
      <c r="I34" s="2226"/>
      <c r="J34" s="2226"/>
      <c r="K34" s="2226"/>
      <c r="L34" s="2074">
        <f>'R.FILE GOC'!N84</f>
        <v>0</v>
      </c>
      <c r="M34" s="2226"/>
      <c r="N34" s="2226"/>
      <c r="O34" s="2226"/>
      <c r="P34" s="21"/>
    </row>
  </sheetData>
  <sheetProtection formatCells="0" formatColumns="0" formatRows="0" insertColumns="0" insertRows="0" insertHyperlinks="0" deleteColumns="0" deleteRows="0" selectLockedCells="1" sort="0" autoFilter="0" pivotTables="0"/>
  <mergeCells count="59">
    <mergeCell ref="B34:E34"/>
    <mergeCell ref="H34:K34"/>
    <mergeCell ref="L34:O34"/>
    <mergeCell ref="B31:E31"/>
    <mergeCell ref="I31:K31"/>
    <mergeCell ref="M31:O31"/>
    <mergeCell ref="B33:E33"/>
    <mergeCell ref="H33:K33"/>
    <mergeCell ref="L33:O33"/>
    <mergeCell ref="B29:E29"/>
    <mergeCell ref="I29:K29"/>
    <mergeCell ref="M29:O29"/>
    <mergeCell ref="B30:E30"/>
    <mergeCell ref="I30:K30"/>
    <mergeCell ref="M30:O30"/>
    <mergeCell ref="B27:E27"/>
    <mergeCell ref="I27:K27"/>
    <mergeCell ref="M27:O27"/>
    <mergeCell ref="B28:E28"/>
    <mergeCell ref="I28:K28"/>
    <mergeCell ref="M28:O28"/>
    <mergeCell ref="B25:E25"/>
    <mergeCell ref="I25:K25"/>
    <mergeCell ref="M25:O25"/>
    <mergeCell ref="B26:E26"/>
    <mergeCell ref="I26:K26"/>
    <mergeCell ref="M26:O26"/>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A1:J1"/>
    <mergeCell ref="A2:M2"/>
    <mergeCell ref="N2:O2"/>
    <mergeCell ref="N3:O3"/>
    <mergeCell ref="A4:A6"/>
    <mergeCell ref="B4:E6"/>
    <mergeCell ref="F4:F6"/>
    <mergeCell ref="G4:G6"/>
  </mergeCells>
  <phoneticPr fontId="6" type="noConversion"/>
  <conditionalFormatting sqref="H10 L10">
    <cfRule type="expression" dxfId="923" priority="143">
      <formula>H10&lt;5</formula>
    </cfRule>
    <cfRule type="expression" dxfId="922" priority="144">
      <formula>H10&gt;15</formula>
    </cfRule>
  </conditionalFormatting>
  <conditionalFormatting sqref="H11 L11">
    <cfRule type="expression" dxfId="921" priority="142">
      <formula>H11&gt;1.5</formula>
    </cfRule>
  </conditionalFormatting>
  <conditionalFormatting sqref="H12 L12">
    <cfRule type="expression" dxfId="920" priority="140">
      <formula>H12&lt;20</formula>
    </cfRule>
    <cfRule type="expression" dxfId="919" priority="141">
      <formula>H12&gt;25</formula>
    </cfRule>
  </conditionalFormatting>
  <conditionalFormatting sqref="H13 L13">
    <cfRule type="expression" dxfId="918" priority="138">
      <formula>H13&lt;6</formula>
    </cfRule>
    <cfRule type="expression" dxfId="917" priority="139">
      <formula>H13&gt;9</formula>
    </cfRule>
  </conditionalFormatting>
  <conditionalFormatting sqref="H14 L14">
    <cfRule type="expression" dxfId="916" priority="136">
      <formula>H14&lt;7</formula>
    </cfRule>
    <cfRule type="expression" dxfId="915" priority="137">
      <formula>H14&gt;10</formula>
    </cfRule>
  </conditionalFormatting>
  <conditionalFormatting sqref="H15:H16 L15:L16">
    <cfRule type="expression" dxfId="914" priority="134">
      <formula>H15&lt;5.3</formula>
    </cfRule>
    <cfRule type="expression" dxfId="913" priority="135">
      <formula>H15&gt;6</formula>
    </cfRule>
  </conditionalFormatting>
  <conditionalFormatting sqref="H17 H19">
    <cfRule type="expression" dxfId="912" priority="130">
      <formula>H17&lt;12</formula>
    </cfRule>
    <cfRule type="expression" dxfId="911" priority="131">
      <formula>H17&gt;18</formula>
    </cfRule>
  </conditionalFormatting>
  <conditionalFormatting sqref="H18 H20">
    <cfRule type="expression" dxfId="910" priority="126">
      <formula>H18&lt;8</formula>
    </cfRule>
    <cfRule type="expression" dxfId="909" priority="127">
      <formula>H18&gt;16</formula>
    </cfRule>
  </conditionalFormatting>
  <conditionalFormatting sqref="H25:O27">
    <cfRule type="expression" dxfId="908" priority="95">
      <formula>H25&lt;51</formula>
    </cfRule>
    <cfRule type="expression" dxfId="907" priority="96">
      <formula>H25&gt;59</formula>
    </cfRule>
  </conditionalFormatting>
  <conditionalFormatting sqref="H25:O30 I31 M31">
    <cfRule type="expression" dxfId="906" priority="94">
      <formula>H25&lt;1</formula>
    </cfRule>
  </conditionalFormatting>
  <conditionalFormatting sqref="H28:O28">
    <cfRule type="expression" dxfId="905" priority="89">
      <formula>H28&lt;30</formula>
    </cfRule>
    <cfRule type="expression" dxfId="904" priority="90">
      <formula>H28&gt;40</formula>
    </cfRule>
  </conditionalFormatting>
  <conditionalFormatting sqref="H29:O30">
    <cfRule type="expression" dxfId="903" priority="86">
      <formula>H29&lt;26</formula>
    </cfRule>
    <cfRule type="expression" dxfId="902" priority="87">
      <formula>H29&gt;32</formula>
    </cfRule>
  </conditionalFormatting>
  <conditionalFormatting sqref="I31 M31">
    <cfRule type="expression" dxfId="901" priority="35">
      <formula>I31&lt;170</formula>
    </cfRule>
    <cfRule type="expression" dxfId="900" priority="36">
      <formula>I31&gt;220</formula>
    </cfRule>
  </conditionalFormatting>
  <pageMargins left="0.5699999999999999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29.xml><?xml version="1.0" encoding="utf-8"?>
<worksheet xmlns="http://schemas.openxmlformats.org/spreadsheetml/2006/main" xmlns:r="http://schemas.openxmlformats.org/officeDocument/2006/relationships">
  <sheetPr codeName="Sheet23">
    <tabColor rgb="FFFFC000"/>
  </sheetPr>
  <dimension ref="A1:S44"/>
  <sheetViews>
    <sheetView topLeftCell="A7" zoomScale="85" zoomScaleNormal="85" workbookViewId="0">
      <selection activeCell="F40" sqref="F40:I40"/>
    </sheetView>
  </sheetViews>
  <sheetFormatPr defaultRowHeight="13.5"/>
  <cols>
    <col min="1" max="1" width="3.875" style="553" customWidth="1"/>
    <col min="2" max="2" width="21.625" style="603" customWidth="1"/>
    <col min="3" max="3" width="21.625" style="603" hidden="1" customWidth="1"/>
    <col min="4" max="4" width="7.625" style="553" customWidth="1"/>
    <col min="5" max="5" width="14.375" style="553" customWidth="1"/>
    <col min="6" max="6" width="8.75" style="553" customWidth="1"/>
    <col min="7" max="7" width="2.375" style="553" customWidth="1"/>
    <col min="8" max="8" width="6.5" style="604" customWidth="1"/>
    <col min="9" max="9" width="3.125" style="604" customWidth="1"/>
    <col min="10" max="10" width="8.125" style="604" customWidth="1"/>
    <col min="11" max="11" width="2.5" style="604" customWidth="1"/>
    <col min="12" max="12" width="6.5" style="604" customWidth="1"/>
    <col min="13" max="13" width="3.75" style="604" customWidth="1"/>
    <col min="14" max="14" width="8.125" style="604" customWidth="1"/>
    <col min="15" max="15" width="2.5" style="604" customWidth="1"/>
    <col min="16" max="16" width="6.5" style="604" customWidth="1"/>
    <col min="17" max="17" width="3.75" style="604" customWidth="1"/>
    <col min="18" max="18" width="7.375" style="552" customWidth="1"/>
    <col min="19" max="19" width="5.75" style="552" customWidth="1"/>
    <col min="20" max="16384" width="9" style="553"/>
  </cols>
  <sheetData>
    <row r="1" spans="1:19" ht="33" customHeight="1">
      <c r="A1" s="2230" t="s">
        <v>634</v>
      </c>
      <c r="B1" s="2230"/>
      <c r="C1" s="2230"/>
      <c r="D1" s="2230"/>
      <c r="E1" s="2230"/>
      <c r="F1" s="2230"/>
      <c r="G1" s="2230"/>
      <c r="H1" s="2230"/>
      <c r="I1" s="2230"/>
      <c r="J1" s="2230"/>
      <c r="K1" s="2230"/>
      <c r="L1" s="2230"/>
      <c r="M1" s="2230"/>
      <c r="N1" s="551"/>
      <c r="O1" s="551"/>
      <c r="P1" s="551"/>
      <c r="Q1" s="551"/>
    </row>
    <row r="2" spans="1:19" ht="39.75" customHeight="1">
      <c r="A2" s="2231" t="s">
        <v>990</v>
      </c>
      <c r="B2" s="2231"/>
      <c r="C2" s="2231"/>
      <c r="D2" s="2231"/>
      <c r="E2" s="2231"/>
      <c r="F2" s="2231"/>
      <c r="G2" s="2231"/>
      <c r="H2" s="2231"/>
      <c r="I2" s="2231"/>
      <c r="J2" s="2231"/>
      <c r="K2" s="2231"/>
      <c r="L2" s="2231"/>
      <c r="M2" s="2231"/>
      <c r="N2" s="554"/>
      <c r="O2" s="554"/>
      <c r="P2" s="2232" t="s">
        <v>635</v>
      </c>
      <c r="Q2" s="2233"/>
      <c r="R2" s="2234" t="s">
        <v>636</v>
      </c>
      <c r="S2" s="2235"/>
    </row>
    <row r="3" spans="1:19" ht="22.5" customHeight="1">
      <c r="A3" s="555"/>
      <c r="B3" s="556" t="s">
        <v>637</v>
      </c>
      <c r="C3" s="556"/>
      <c r="D3" s="557"/>
      <c r="E3" s="558" t="str">
        <f>'1.xi den'!$G$3</f>
        <v>2022/12/03</v>
      </c>
      <c r="F3" s="555"/>
      <c r="G3" s="555"/>
      <c r="H3" s="555"/>
      <c r="I3" s="555"/>
      <c r="J3" s="559"/>
      <c r="K3" s="559"/>
      <c r="L3" s="559"/>
      <c r="M3" s="559"/>
      <c r="N3" s="559"/>
      <c r="O3" s="559"/>
      <c r="P3" s="2236" t="str">
        <f>'1.xi den'!$N$3</f>
        <v>L.Yen</v>
      </c>
      <c r="Q3" s="2237"/>
      <c r="R3" s="2238" t="s">
        <v>638</v>
      </c>
      <c r="S3" s="2239"/>
    </row>
    <row r="4" spans="1:19" s="561" customFormat="1" ht="33" customHeight="1">
      <c r="A4" s="2250" t="s">
        <v>639</v>
      </c>
      <c r="B4" s="2253" t="s">
        <v>640</v>
      </c>
      <c r="C4" s="560"/>
      <c r="D4" s="2253" t="s">
        <v>137</v>
      </c>
      <c r="E4" s="2254" t="s">
        <v>641</v>
      </c>
      <c r="F4" s="2256" t="s">
        <v>994</v>
      </c>
      <c r="G4" s="2257"/>
      <c r="H4" s="2257"/>
      <c r="I4" s="2257"/>
      <c r="J4" s="2257"/>
      <c r="K4" s="2257"/>
      <c r="L4" s="2257"/>
      <c r="M4" s="2257"/>
      <c r="N4" s="2257"/>
      <c r="O4" s="2257"/>
      <c r="P4" s="2257"/>
      <c r="Q4" s="2258"/>
      <c r="R4" s="2240" t="s">
        <v>643</v>
      </c>
      <c r="S4" s="2240"/>
    </row>
    <row r="5" spans="1:19" s="561" customFormat="1" ht="15.75" customHeight="1">
      <c r="A5" s="2251"/>
      <c r="B5" s="2253"/>
      <c r="C5" s="560"/>
      <c r="D5" s="2253"/>
      <c r="E5" s="2254"/>
      <c r="F5" s="2241">
        <v>0.33333333333333331</v>
      </c>
      <c r="G5" s="2242"/>
      <c r="H5" s="2242"/>
      <c r="I5" s="2242"/>
      <c r="J5" s="2243">
        <v>0.52083333333333337</v>
      </c>
      <c r="K5" s="2244"/>
      <c r="L5" s="2244"/>
      <c r="M5" s="2245"/>
      <c r="N5" s="2243">
        <v>0.66666666666666663</v>
      </c>
      <c r="O5" s="2244"/>
      <c r="P5" s="2244"/>
      <c r="Q5" s="2245"/>
      <c r="R5" s="2240"/>
      <c r="S5" s="2240"/>
    </row>
    <row r="6" spans="1:19" s="561" customFormat="1" ht="44.25" customHeight="1">
      <c r="A6" s="2252"/>
      <c r="B6" s="2242"/>
      <c r="C6" s="562"/>
      <c r="D6" s="2242"/>
      <c r="E6" s="2255"/>
      <c r="F6" s="563" t="s">
        <v>644</v>
      </c>
      <c r="G6" s="2246" t="s">
        <v>645</v>
      </c>
      <c r="H6" s="2247"/>
      <c r="I6" s="2248"/>
      <c r="J6" s="563" t="s">
        <v>644</v>
      </c>
      <c r="K6" s="2259" t="s">
        <v>645</v>
      </c>
      <c r="L6" s="2260"/>
      <c r="M6" s="2261"/>
      <c r="N6" s="563" t="s">
        <v>644</v>
      </c>
      <c r="O6" s="2259" t="s">
        <v>645</v>
      </c>
      <c r="P6" s="2260"/>
      <c r="Q6" s="2261"/>
      <c r="R6" s="2249" t="s">
        <v>646</v>
      </c>
      <c r="S6" s="2249"/>
    </row>
    <row r="7" spans="1:19" ht="29.25" customHeight="1">
      <c r="A7" s="562">
        <v>1</v>
      </c>
      <c r="B7" s="564" t="s">
        <v>647</v>
      </c>
      <c r="C7" s="564"/>
      <c r="D7" s="565" t="s">
        <v>648</v>
      </c>
      <c r="E7" s="566" t="s">
        <v>649</v>
      </c>
      <c r="F7" s="567">
        <f>'R.FILE GOC'!H6</f>
        <v>0</v>
      </c>
      <c r="G7" s="568" t="s">
        <v>650</v>
      </c>
      <c r="H7" s="569">
        <f>'R.FILE GOC'!K6</f>
        <v>292.1875</v>
      </c>
      <c r="I7" s="562" t="s">
        <v>10</v>
      </c>
      <c r="J7" s="567">
        <f>'R.FILE GOC'!N6</f>
        <v>0</v>
      </c>
      <c r="K7" s="568" t="s">
        <v>650</v>
      </c>
      <c r="L7" s="569">
        <f>'R.FILE GOC'!Q6</f>
        <v>292.1875</v>
      </c>
      <c r="M7" s="562" t="s">
        <v>10</v>
      </c>
      <c r="N7" s="567">
        <f>'R.FILE GOC'!T6</f>
        <v>0</v>
      </c>
      <c r="O7" s="568" t="s">
        <v>650</v>
      </c>
      <c r="P7" s="569">
        <f>'R.FILE GOC'!W6</f>
        <v>292.1875</v>
      </c>
      <c r="Q7" s="562" t="s">
        <v>10</v>
      </c>
      <c r="R7" s="2262" t="s">
        <v>651</v>
      </c>
      <c r="S7" s="2262"/>
    </row>
    <row r="8" spans="1:19" ht="29.25" hidden="1" customHeight="1">
      <c r="A8" s="562">
        <v>2</v>
      </c>
      <c r="B8" s="564" t="s">
        <v>652</v>
      </c>
      <c r="C8" s="570"/>
      <c r="D8" s="565" t="s">
        <v>648</v>
      </c>
      <c r="E8" s="566" t="s">
        <v>649</v>
      </c>
      <c r="F8" s="571">
        <f>'R.FILE GOC'!H7</f>
        <v>0</v>
      </c>
      <c r="G8" s="572" t="s">
        <v>650</v>
      </c>
      <c r="H8" s="573">
        <f>'R.FILE GOC'!K7</f>
        <v>292.1875</v>
      </c>
      <c r="I8" s="247" t="s">
        <v>10</v>
      </c>
      <c r="J8" s="571">
        <f>'R.FILE GOC'!N7</f>
        <v>0</v>
      </c>
      <c r="K8" s="572" t="s">
        <v>650</v>
      </c>
      <c r="L8" s="573">
        <f>'R.FILE GOC'!Q7</f>
        <v>292.1875</v>
      </c>
      <c r="M8" s="247" t="s">
        <v>10</v>
      </c>
      <c r="N8" s="571">
        <f>'R.FILE GOC'!T7</f>
        <v>0</v>
      </c>
      <c r="O8" s="572" t="s">
        <v>650</v>
      </c>
      <c r="P8" s="573">
        <f>'R.FILE GOC'!W7</f>
        <v>292.1875</v>
      </c>
      <c r="Q8" s="247" t="s">
        <v>10</v>
      </c>
      <c r="R8" s="574"/>
      <c r="S8" s="574"/>
    </row>
    <row r="9" spans="1:19" ht="29.25" customHeight="1">
      <c r="A9" s="562">
        <v>3</v>
      </c>
      <c r="B9" s="2263" t="s">
        <v>653</v>
      </c>
      <c r="C9" s="575"/>
      <c r="D9" s="2266" t="s">
        <v>475</v>
      </c>
      <c r="E9" s="566" t="s">
        <v>654</v>
      </c>
      <c r="F9" s="567">
        <f>'R.FILE GOC'!H8</f>
        <v>0</v>
      </c>
      <c r="G9" s="568" t="s">
        <v>655</v>
      </c>
      <c r="H9" s="569">
        <f>'R.FILE GOC'!K8</f>
        <v>69.400000000000006</v>
      </c>
      <c r="I9" s="562" t="s">
        <v>656</v>
      </c>
      <c r="J9" s="567">
        <f>'R.FILE GOC'!N8</f>
        <v>0</v>
      </c>
      <c r="K9" s="568" t="s">
        <v>655</v>
      </c>
      <c r="L9" s="569">
        <f>'R.FILE GOC'!Q8</f>
        <v>69.400000000000006</v>
      </c>
      <c r="M9" s="562" t="s">
        <v>656</v>
      </c>
      <c r="N9" s="567">
        <f>'R.FILE GOC'!T8</f>
        <v>0</v>
      </c>
      <c r="O9" s="568" t="s">
        <v>655</v>
      </c>
      <c r="P9" s="569">
        <f>'R.FILE GOC'!W8</f>
        <v>69.400000000000006</v>
      </c>
      <c r="Q9" s="562" t="s">
        <v>656</v>
      </c>
      <c r="R9" s="2262" t="s">
        <v>657</v>
      </c>
      <c r="S9" s="2262"/>
    </row>
    <row r="10" spans="1:19" ht="29.25" customHeight="1">
      <c r="A10" s="562">
        <v>4</v>
      </c>
      <c r="B10" s="2264"/>
      <c r="C10" s="576"/>
      <c r="D10" s="2266"/>
      <c r="E10" s="566" t="s">
        <v>658</v>
      </c>
      <c r="F10" s="567">
        <f>'R.FILE GOC'!H9</f>
        <v>0</v>
      </c>
      <c r="G10" s="568" t="s">
        <v>655</v>
      </c>
      <c r="H10" s="569">
        <f>'R.FILE GOC'!K9</f>
        <v>4.5110000000000001</v>
      </c>
      <c r="I10" s="562" t="s">
        <v>656</v>
      </c>
      <c r="J10" s="567">
        <f>'R.FILE GOC'!N9</f>
        <v>0</v>
      </c>
      <c r="K10" s="568" t="s">
        <v>655</v>
      </c>
      <c r="L10" s="569">
        <f>'R.FILE GOC'!Q9</f>
        <v>4.5110000000000001</v>
      </c>
      <c r="M10" s="562" t="s">
        <v>656</v>
      </c>
      <c r="N10" s="567">
        <f>'R.FILE GOC'!T9</f>
        <v>0</v>
      </c>
      <c r="O10" s="568" t="s">
        <v>655</v>
      </c>
      <c r="P10" s="569">
        <f>'R.FILE GOC'!W9</f>
        <v>4.5110000000000001</v>
      </c>
      <c r="Q10" s="562" t="s">
        <v>656</v>
      </c>
      <c r="R10" s="2262" t="s">
        <v>659</v>
      </c>
      <c r="S10" s="2262"/>
    </row>
    <row r="11" spans="1:19" ht="29.25" customHeight="1">
      <c r="A11" s="562">
        <v>5</v>
      </c>
      <c r="B11" s="2265"/>
      <c r="C11" s="577"/>
      <c r="D11" s="2266"/>
      <c r="E11" s="566" t="s">
        <v>660</v>
      </c>
      <c r="F11" s="578">
        <f>'R.FILE GOC'!H10</f>
        <v>0</v>
      </c>
      <c r="G11" s="568" t="s">
        <v>655</v>
      </c>
      <c r="H11" s="569" t="str">
        <f>'R.FILE GOC'!K10</f>
        <v>N/A</v>
      </c>
      <c r="I11" s="562" t="s">
        <v>656</v>
      </c>
      <c r="J11" s="578">
        <f>'R.FILE GOC'!N10</f>
        <v>0</v>
      </c>
      <c r="K11" s="568" t="s">
        <v>655</v>
      </c>
      <c r="L11" s="569" t="str">
        <f>'R.FILE GOC'!Q10</f>
        <v>N/A</v>
      </c>
      <c r="M11" s="562" t="s">
        <v>656</v>
      </c>
      <c r="N11" s="578">
        <f>'R.FILE GOC'!T10</f>
        <v>0</v>
      </c>
      <c r="O11" s="568" t="s">
        <v>655</v>
      </c>
      <c r="P11" s="569" t="str">
        <f>'R.FILE GOC'!W10</f>
        <v>N/A</v>
      </c>
      <c r="Q11" s="562" t="s">
        <v>656</v>
      </c>
      <c r="R11" s="2262"/>
      <c r="S11" s="2262"/>
    </row>
    <row r="12" spans="1:19" ht="29.25" customHeight="1">
      <c r="A12" s="562">
        <v>6</v>
      </c>
      <c r="B12" s="2263" t="s">
        <v>661</v>
      </c>
      <c r="C12" s="575"/>
      <c r="D12" s="2266" t="s">
        <v>475</v>
      </c>
      <c r="E12" s="566" t="s">
        <v>654</v>
      </c>
      <c r="F12" s="567">
        <f>'R.FILE GOC'!H11</f>
        <v>0</v>
      </c>
      <c r="G12" s="568" t="s">
        <v>655</v>
      </c>
      <c r="H12" s="569">
        <f>'R.FILE GOC'!K11</f>
        <v>69.400000000000006</v>
      </c>
      <c r="I12" s="562"/>
      <c r="J12" s="567">
        <f>'R.FILE GOC'!N11</f>
        <v>0</v>
      </c>
      <c r="K12" s="568" t="s">
        <v>655</v>
      </c>
      <c r="L12" s="569">
        <f>'R.FILE GOC'!Q11</f>
        <v>69.400000000000006</v>
      </c>
      <c r="M12" s="562" t="s">
        <v>656</v>
      </c>
      <c r="N12" s="567">
        <f>'R.FILE GOC'!T11</f>
        <v>0</v>
      </c>
      <c r="O12" s="568" t="s">
        <v>655</v>
      </c>
      <c r="P12" s="569">
        <f>'R.FILE GOC'!W11</f>
        <v>69.400000000000006</v>
      </c>
      <c r="Q12" s="562" t="s">
        <v>656</v>
      </c>
      <c r="R12" s="2262" t="s">
        <v>657</v>
      </c>
      <c r="S12" s="2262"/>
    </row>
    <row r="13" spans="1:19" ht="29.25" customHeight="1">
      <c r="A13" s="562">
        <v>7</v>
      </c>
      <c r="B13" s="2264"/>
      <c r="C13" s="576"/>
      <c r="D13" s="2266"/>
      <c r="E13" s="566" t="s">
        <v>658</v>
      </c>
      <c r="F13" s="578">
        <f>'R.FILE GOC'!H12</f>
        <v>0</v>
      </c>
      <c r="G13" s="568" t="s">
        <v>655</v>
      </c>
      <c r="H13" s="569">
        <f>'R.FILE GOC'!K12</f>
        <v>4.5110000000000001</v>
      </c>
      <c r="I13" s="562"/>
      <c r="J13" s="578">
        <f>'R.FILE GOC'!N12</f>
        <v>0</v>
      </c>
      <c r="K13" s="568" t="s">
        <v>655</v>
      </c>
      <c r="L13" s="569">
        <f>'R.FILE GOC'!Q12</f>
        <v>4.5110000000000001</v>
      </c>
      <c r="M13" s="562" t="s">
        <v>656</v>
      </c>
      <c r="N13" s="578">
        <f>'R.FILE GOC'!T12</f>
        <v>0</v>
      </c>
      <c r="O13" s="568" t="s">
        <v>655</v>
      </c>
      <c r="P13" s="569">
        <f>'R.FILE GOC'!W12</f>
        <v>4.5110000000000001</v>
      </c>
      <c r="Q13" s="562" t="s">
        <v>656</v>
      </c>
      <c r="R13" s="2262" t="s">
        <v>659</v>
      </c>
      <c r="S13" s="2262"/>
    </row>
    <row r="14" spans="1:19" ht="29.25" customHeight="1">
      <c r="A14" s="562">
        <v>8</v>
      </c>
      <c r="B14" s="2265"/>
      <c r="C14" s="577"/>
      <c r="D14" s="2266"/>
      <c r="E14" s="566" t="s">
        <v>660</v>
      </c>
      <c r="F14" s="578">
        <f>'R.FILE GOC'!H13</f>
        <v>0</v>
      </c>
      <c r="G14" s="568" t="s">
        <v>655</v>
      </c>
      <c r="H14" s="569" t="str">
        <f>'R.FILE GOC'!K13</f>
        <v>N/A</v>
      </c>
      <c r="I14" s="562"/>
      <c r="J14" s="578">
        <f>'R.FILE GOC'!N13</f>
        <v>0</v>
      </c>
      <c r="K14" s="568" t="s">
        <v>655</v>
      </c>
      <c r="L14" s="569" t="str">
        <f>'R.FILE GOC'!Q13</f>
        <v>N/A</v>
      </c>
      <c r="M14" s="562" t="s">
        <v>656</v>
      </c>
      <c r="N14" s="578">
        <f>'R.FILE GOC'!T13</f>
        <v>0</v>
      </c>
      <c r="O14" s="568" t="s">
        <v>655</v>
      </c>
      <c r="P14" s="569" t="str">
        <f>'R.FILE GOC'!W13</f>
        <v>N/A</v>
      </c>
      <c r="Q14" s="562" t="s">
        <v>656</v>
      </c>
      <c r="R14" s="2262"/>
      <c r="S14" s="2262"/>
    </row>
    <row r="15" spans="1:19" s="582" customFormat="1" ht="29.25" customHeight="1">
      <c r="A15" s="562">
        <v>9</v>
      </c>
      <c r="B15" s="2271" t="s">
        <v>662</v>
      </c>
      <c r="C15" s="570"/>
      <c r="D15" s="579" t="s">
        <v>475</v>
      </c>
      <c r="E15" s="566" t="s">
        <v>485</v>
      </c>
      <c r="F15" s="567">
        <f>'R.FILE GOC'!H14</f>
        <v>0</v>
      </c>
      <c r="G15" s="568" t="s">
        <v>663</v>
      </c>
      <c r="H15" s="580">
        <f>'R.FILE GOC'!K14</f>
        <v>4.3680000000000003</v>
      </c>
      <c r="I15" s="581" t="s">
        <v>664</v>
      </c>
      <c r="J15" s="567">
        <f>'R.FILE GOC'!N14</f>
        <v>0</v>
      </c>
      <c r="K15" s="568" t="s">
        <v>663</v>
      </c>
      <c r="L15" s="580">
        <f>'R.FILE GOC'!Q14</f>
        <v>4.3680000000000003</v>
      </c>
      <c r="M15" s="581" t="s">
        <v>664</v>
      </c>
      <c r="N15" s="567">
        <f>'R.FILE GOC'!T14</f>
        <v>0</v>
      </c>
      <c r="O15" s="568" t="s">
        <v>663</v>
      </c>
      <c r="P15" s="580">
        <f>'R.FILE GOC'!W14</f>
        <v>4.3680000000000003</v>
      </c>
      <c r="Q15" s="581" t="s">
        <v>664</v>
      </c>
      <c r="R15" s="2262"/>
      <c r="S15" s="2262"/>
    </row>
    <row r="16" spans="1:19" s="582" customFormat="1" ht="29.25" customHeight="1">
      <c r="A16" s="562">
        <v>10</v>
      </c>
      <c r="B16" s="2272"/>
      <c r="C16" s="583"/>
      <c r="D16" s="579" t="s">
        <v>665</v>
      </c>
      <c r="E16" s="566" t="s">
        <v>666</v>
      </c>
      <c r="F16" s="567">
        <f>'R.FILE GOC'!H15</f>
        <v>0</v>
      </c>
      <c r="G16" s="568" t="s">
        <v>663</v>
      </c>
      <c r="H16" s="569"/>
      <c r="I16" s="581"/>
      <c r="J16" s="567">
        <f>'R.FILE GOC'!N15</f>
        <v>0</v>
      </c>
      <c r="K16" s="568" t="s">
        <v>663</v>
      </c>
      <c r="L16" s="569"/>
      <c r="M16" s="581"/>
      <c r="N16" s="567">
        <f>'R.FILE GOC'!T15</f>
        <v>0</v>
      </c>
      <c r="O16" s="568" t="s">
        <v>663</v>
      </c>
      <c r="P16" s="569"/>
      <c r="Q16" s="581"/>
      <c r="R16" s="2262"/>
      <c r="S16" s="2262"/>
    </row>
    <row r="17" spans="1:19" s="582" customFormat="1" ht="30" customHeight="1">
      <c r="A17" s="2253" t="s">
        <v>667</v>
      </c>
      <c r="B17" s="2253"/>
      <c r="C17" s="2253"/>
      <c r="D17" s="2253"/>
      <c r="E17" s="2253"/>
      <c r="F17" s="2253"/>
      <c r="G17" s="2253"/>
      <c r="H17" s="2253"/>
      <c r="I17" s="2253"/>
      <c r="J17" s="2253"/>
      <c r="K17" s="2253"/>
      <c r="L17" s="2253"/>
      <c r="M17" s="2253"/>
      <c r="N17" s="2253"/>
      <c r="O17" s="2253"/>
      <c r="P17" s="2253"/>
      <c r="Q17" s="2253"/>
      <c r="R17" s="2253"/>
      <c r="S17" s="2253"/>
    </row>
    <row r="18" spans="1:19" s="582" customFormat="1" ht="40.5" customHeight="1">
      <c r="A18" s="562" t="s">
        <v>668</v>
      </c>
      <c r="B18" s="584" t="s">
        <v>669</v>
      </c>
      <c r="C18" s="584"/>
      <c r="D18" s="560" t="s">
        <v>670</v>
      </c>
      <c r="E18" s="560" t="s">
        <v>671</v>
      </c>
      <c r="F18" s="2256" t="s">
        <v>672</v>
      </c>
      <c r="G18" s="2257"/>
      <c r="H18" s="2257"/>
      <c r="I18" s="2257"/>
      <c r="J18" s="2257"/>
      <c r="K18" s="2257"/>
      <c r="L18" s="2257"/>
      <c r="M18" s="2257"/>
      <c r="N18" s="2257"/>
      <c r="O18" s="2257"/>
      <c r="P18" s="2257"/>
      <c r="Q18" s="2258"/>
      <c r="R18" s="2267" t="s">
        <v>643</v>
      </c>
      <c r="S18" s="2268"/>
    </row>
    <row r="19" spans="1:19" s="582" customFormat="1" ht="28.5" customHeight="1">
      <c r="A19" s="562">
        <v>1</v>
      </c>
      <c r="B19" s="585" t="s">
        <v>489</v>
      </c>
      <c r="C19" s="585"/>
      <c r="D19" s="586" t="s">
        <v>673</v>
      </c>
      <c r="E19" s="587" t="s">
        <v>674</v>
      </c>
      <c r="F19" s="2269">
        <f>'R.FILE GOC'!H18</f>
        <v>0</v>
      </c>
      <c r="G19" s="2270"/>
      <c r="H19" s="2270"/>
      <c r="I19" s="2270"/>
      <c r="J19" s="2269">
        <f>'R.FILE GOC'!N18</f>
        <v>0</v>
      </c>
      <c r="K19" s="2270"/>
      <c r="L19" s="2270"/>
      <c r="M19" s="2270"/>
      <c r="N19" s="2269">
        <f>'R.FILE GOC'!T18</f>
        <v>0</v>
      </c>
      <c r="O19" s="2270"/>
      <c r="P19" s="2270"/>
      <c r="Q19" s="2270"/>
      <c r="R19" s="588"/>
      <c r="S19" s="588"/>
    </row>
    <row r="20" spans="1:19" s="582" customFormat="1" ht="28.5" customHeight="1">
      <c r="A20" s="562">
        <v>2</v>
      </c>
      <c r="B20" s="585" t="s">
        <v>491</v>
      </c>
      <c r="C20" s="585"/>
      <c r="D20" s="586" t="s">
        <v>673</v>
      </c>
      <c r="E20" s="587" t="s">
        <v>674</v>
      </c>
      <c r="F20" s="2269">
        <f>'R.FILE GOC'!H19</f>
        <v>0</v>
      </c>
      <c r="G20" s="2270"/>
      <c r="H20" s="2270"/>
      <c r="I20" s="2270"/>
      <c r="J20" s="2269">
        <f>'R.FILE GOC'!N19</f>
        <v>0</v>
      </c>
      <c r="K20" s="2270"/>
      <c r="L20" s="2270"/>
      <c r="M20" s="2270"/>
      <c r="N20" s="2269">
        <f>'R.FILE GOC'!T19</f>
        <v>0</v>
      </c>
      <c r="O20" s="2270"/>
      <c r="P20" s="2270"/>
      <c r="Q20" s="2270"/>
      <c r="R20" s="589"/>
      <c r="S20" s="589"/>
    </row>
    <row r="21" spans="1:19" s="582" customFormat="1" ht="28.5" customHeight="1">
      <c r="A21" s="562">
        <v>3</v>
      </c>
      <c r="B21" s="585" t="s">
        <v>484</v>
      </c>
      <c r="C21" s="585"/>
      <c r="D21" s="586" t="s">
        <v>673</v>
      </c>
      <c r="E21" s="587" t="s">
        <v>675</v>
      </c>
      <c r="F21" s="2269">
        <f>'R.FILE GOC'!H20</f>
        <v>0</v>
      </c>
      <c r="G21" s="2270"/>
      <c r="H21" s="2270"/>
      <c r="I21" s="2270"/>
      <c r="J21" s="2269">
        <f>'R.FILE GOC'!N20</f>
        <v>0</v>
      </c>
      <c r="K21" s="2270"/>
      <c r="L21" s="2270"/>
      <c r="M21" s="2270"/>
      <c r="N21" s="2269">
        <f>'R.FILE GOC'!T20</f>
        <v>0</v>
      </c>
      <c r="O21" s="2270"/>
      <c r="P21" s="2270"/>
      <c r="Q21" s="2270"/>
      <c r="R21" s="589"/>
      <c r="S21" s="589"/>
    </row>
    <row r="22" spans="1:19" s="582" customFormat="1" ht="28.5" customHeight="1">
      <c r="A22" s="590"/>
      <c r="B22" s="591"/>
      <c r="C22" s="591"/>
      <c r="D22" s="592"/>
      <c r="E22" s="593"/>
      <c r="F22" s="2274"/>
      <c r="G22" s="2274"/>
      <c r="H22" s="2274"/>
      <c r="I22" s="2274"/>
      <c r="J22" s="2274"/>
      <c r="K22" s="2274"/>
      <c r="L22" s="2274"/>
      <c r="M22" s="2274"/>
      <c r="N22" s="2274"/>
      <c r="O22" s="2274"/>
      <c r="P22" s="2274"/>
      <c r="Q22" s="2274"/>
      <c r="R22" s="594"/>
      <c r="S22" s="594"/>
    </row>
    <row r="23" spans="1:19" ht="39" customHeight="1">
      <c r="A23" s="2231" t="s">
        <v>990</v>
      </c>
      <c r="B23" s="2231"/>
      <c r="C23" s="2231"/>
      <c r="D23" s="2231"/>
      <c r="E23" s="2231"/>
      <c r="F23" s="2231"/>
      <c r="G23" s="2231"/>
      <c r="H23" s="2231"/>
      <c r="I23" s="2231"/>
      <c r="J23" s="2231"/>
      <c r="K23" s="2231"/>
      <c r="L23" s="2231"/>
      <c r="M23" s="2231"/>
      <c r="N23" s="554"/>
      <c r="O23" s="554"/>
      <c r="P23" s="554"/>
      <c r="Q23" s="554"/>
      <c r="R23" s="2275"/>
      <c r="S23" s="2275"/>
    </row>
    <row r="24" spans="1:19" ht="23.25" customHeight="1">
      <c r="A24" s="556"/>
      <c r="B24" s="556" t="s">
        <v>676</v>
      </c>
      <c r="C24" s="556"/>
      <c r="D24" s="557"/>
      <c r="E24" s="558" t="str">
        <f>$E$3</f>
        <v>2022/12/03</v>
      </c>
      <c r="F24" s="555"/>
      <c r="G24" s="555"/>
      <c r="H24" s="555"/>
      <c r="I24" s="555"/>
      <c r="J24" s="555"/>
      <c r="K24" s="555"/>
      <c r="L24" s="555"/>
      <c r="M24" s="555"/>
      <c r="N24" s="555"/>
      <c r="O24" s="555"/>
      <c r="P24" s="555"/>
      <c r="Q24" s="555"/>
      <c r="R24" s="2273"/>
      <c r="S24" s="2273"/>
    </row>
    <row r="25" spans="1:19" s="561" customFormat="1" ht="36.75" customHeight="1">
      <c r="A25" s="2251" t="s">
        <v>677</v>
      </c>
      <c r="B25" s="2277" t="s">
        <v>640</v>
      </c>
      <c r="C25" s="595"/>
      <c r="D25" s="2277" t="s">
        <v>137</v>
      </c>
      <c r="E25" s="2278" t="s">
        <v>641</v>
      </c>
      <c r="F25" s="2256" t="s">
        <v>642</v>
      </c>
      <c r="G25" s="2257"/>
      <c r="H25" s="2257"/>
      <c r="I25" s="2257"/>
      <c r="J25" s="2257"/>
      <c r="K25" s="2257"/>
      <c r="L25" s="2257"/>
      <c r="M25" s="2257"/>
      <c r="N25" s="2257"/>
      <c r="O25" s="2257"/>
      <c r="P25" s="2257"/>
      <c r="Q25" s="2258"/>
      <c r="R25" s="2276" t="s">
        <v>643</v>
      </c>
      <c r="S25" s="2276"/>
    </row>
    <row r="26" spans="1:19" s="561" customFormat="1" ht="16.5" customHeight="1">
      <c r="A26" s="2251"/>
      <c r="B26" s="2253"/>
      <c r="C26" s="560"/>
      <c r="D26" s="2253"/>
      <c r="E26" s="2254"/>
      <c r="F26" s="2241">
        <v>0.83333333333333337</v>
      </c>
      <c r="G26" s="2242"/>
      <c r="H26" s="2242"/>
      <c r="I26" s="2242"/>
      <c r="J26" s="2243">
        <v>4.1666666666666664E-2</v>
      </c>
      <c r="K26" s="2244"/>
      <c r="L26" s="2244"/>
      <c r="M26" s="2245"/>
      <c r="N26" s="2243">
        <v>0.16666666666666666</v>
      </c>
      <c r="O26" s="2244"/>
      <c r="P26" s="2244"/>
      <c r="Q26" s="2245"/>
      <c r="R26" s="2240"/>
      <c r="S26" s="2240"/>
    </row>
    <row r="27" spans="1:19" s="561" customFormat="1" ht="38.25" customHeight="1">
      <c r="A27" s="2252"/>
      <c r="B27" s="2242"/>
      <c r="C27" s="562"/>
      <c r="D27" s="2242"/>
      <c r="E27" s="2255"/>
      <c r="F27" s="563" t="s">
        <v>644</v>
      </c>
      <c r="G27" s="2246" t="s">
        <v>645</v>
      </c>
      <c r="H27" s="2247"/>
      <c r="I27" s="2248"/>
      <c r="J27" s="563" t="s">
        <v>644</v>
      </c>
      <c r="K27" s="2259" t="s">
        <v>645</v>
      </c>
      <c r="L27" s="2260"/>
      <c r="M27" s="2261"/>
      <c r="N27" s="563" t="s">
        <v>644</v>
      </c>
      <c r="O27" s="2259" t="s">
        <v>645</v>
      </c>
      <c r="P27" s="2260"/>
      <c r="Q27" s="2261"/>
      <c r="R27" s="2249" t="s">
        <v>678</v>
      </c>
      <c r="S27" s="2249"/>
    </row>
    <row r="28" spans="1:19" ht="28.5" customHeight="1">
      <c r="A28" s="562">
        <v>1</v>
      </c>
      <c r="B28" s="564" t="s">
        <v>647</v>
      </c>
      <c r="C28" s="564"/>
      <c r="D28" s="565" t="s">
        <v>648</v>
      </c>
      <c r="E28" s="566" t="s">
        <v>649</v>
      </c>
      <c r="F28" s="567">
        <f>'R.FILE GOC'!Z6</f>
        <v>0</v>
      </c>
      <c r="G28" s="568" t="s">
        <v>663</v>
      </c>
      <c r="H28" s="569">
        <f>'R.FILE GOC'!AC6</f>
        <v>292.1875</v>
      </c>
      <c r="I28" s="562" t="s">
        <v>10</v>
      </c>
      <c r="J28" s="567">
        <f>'R.FILE GOC'!AF6</f>
        <v>0</v>
      </c>
      <c r="K28" s="568" t="s">
        <v>663</v>
      </c>
      <c r="L28" s="569">
        <f>'R.FILE GOC'!AI6</f>
        <v>292.1875</v>
      </c>
      <c r="M28" s="562" t="s">
        <v>10</v>
      </c>
      <c r="N28" s="567">
        <f>'R.FILE GOC'!AL6</f>
        <v>0</v>
      </c>
      <c r="O28" s="568" t="s">
        <v>663</v>
      </c>
      <c r="P28" s="569">
        <f>'R.FILE GOC'!AO6</f>
        <v>292.1875</v>
      </c>
      <c r="Q28" s="562" t="s">
        <v>10</v>
      </c>
      <c r="R28" s="2262" t="s">
        <v>679</v>
      </c>
      <c r="S28" s="2262"/>
    </row>
    <row r="29" spans="1:19" ht="28.5" hidden="1" customHeight="1">
      <c r="A29" s="562">
        <v>2</v>
      </c>
      <c r="B29" s="564" t="s">
        <v>652</v>
      </c>
      <c r="C29" s="570"/>
      <c r="D29" s="565" t="s">
        <v>648</v>
      </c>
      <c r="E29" s="566" t="s">
        <v>649</v>
      </c>
      <c r="F29" s="571">
        <f>'R.FILE GOC'!Z7</f>
        <v>0</v>
      </c>
      <c r="G29" s="572" t="s">
        <v>663</v>
      </c>
      <c r="H29" s="573">
        <f>'R.FILE GOC'!AC7</f>
        <v>292.1875</v>
      </c>
      <c r="I29" s="247" t="s">
        <v>10</v>
      </c>
      <c r="J29" s="571">
        <f>'R.FILE GOC'!AF7</f>
        <v>0</v>
      </c>
      <c r="K29" s="572" t="s">
        <v>663</v>
      </c>
      <c r="L29" s="573">
        <f>'R.FILE GOC'!AI7</f>
        <v>292.1875</v>
      </c>
      <c r="M29" s="247" t="s">
        <v>10</v>
      </c>
      <c r="N29" s="571">
        <f>'R.FILE GOC'!AL7</f>
        <v>0</v>
      </c>
      <c r="O29" s="572" t="s">
        <v>663</v>
      </c>
      <c r="P29" s="573">
        <f>'R.FILE GOC'!AO7</f>
        <v>292.1875</v>
      </c>
      <c r="Q29" s="247" t="s">
        <v>10</v>
      </c>
      <c r="R29" s="2262" t="s">
        <v>680</v>
      </c>
      <c r="S29" s="2262"/>
    </row>
    <row r="30" spans="1:19" ht="28.5" customHeight="1">
      <c r="A30" s="562">
        <v>3</v>
      </c>
      <c r="B30" s="2263" t="s">
        <v>681</v>
      </c>
      <c r="C30" s="575"/>
      <c r="D30" s="2266" t="s">
        <v>475</v>
      </c>
      <c r="E30" s="566" t="s">
        <v>654</v>
      </c>
      <c r="F30" s="567">
        <f>'R.FILE GOC'!Z8</f>
        <v>0</v>
      </c>
      <c r="G30" s="568" t="s">
        <v>663</v>
      </c>
      <c r="H30" s="569">
        <f>'R.FILE GOC'!AC8</f>
        <v>69.400000000000006</v>
      </c>
      <c r="I30" s="562" t="s">
        <v>664</v>
      </c>
      <c r="J30" s="567">
        <f>'R.FILE GOC'!AF8</f>
        <v>0</v>
      </c>
      <c r="K30" s="568" t="s">
        <v>663</v>
      </c>
      <c r="L30" s="569">
        <f>'R.FILE GOC'!AI8</f>
        <v>69.400000000000006</v>
      </c>
      <c r="M30" s="562" t="s">
        <v>664</v>
      </c>
      <c r="N30" s="567">
        <f>'R.FILE GOC'!AL8</f>
        <v>0</v>
      </c>
      <c r="O30" s="568" t="s">
        <v>663</v>
      </c>
      <c r="P30" s="569">
        <f>'R.FILE GOC'!AO8</f>
        <v>69.400000000000006</v>
      </c>
      <c r="Q30" s="562" t="s">
        <v>664</v>
      </c>
      <c r="R30" s="2262" t="s">
        <v>682</v>
      </c>
      <c r="S30" s="2262"/>
    </row>
    <row r="31" spans="1:19" ht="28.5" customHeight="1">
      <c r="A31" s="562">
        <v>4</v>
      </c>
      <c r="B31" s="2264"/>
      <c r="C31" s="576"/>
      <c r="D31" s="2266"/>
      <c r="E31" s="566" t="s">
        <v>658</v>
      </c>
      <c r="F31" s="567">
        <f>'R.FILE GOC'!Z9</f>
        <v>0</v>
      </c>
      <c r="G31" s="568" t="s">
        <v>663</v>
      </c>
      <c r="H31" s="569">
        <f>'R.FILE GOC'!AC9</f>
        <v>4.5110000000000001</v>
      </c>
      <c r="I31" s="562" t="s">
        <v>664</v>
      </c>
      <c r="J31" s="567">
        <f>'R.FILE GOC'!AF9</f>
        <v>0</v>
      </c>
      <c r="K31" s="568" t="s">
        <v>663</v>
      </c>
      <c r="L31" s="569">
        <f>'R.FILE GOC'!AI9</f>
        <v>4.5110000000000001</v>
      </c>
      <c r="M31" s="562" t="s">
        <v>664</v>
      </c>
      <c r="N31" s="567">
        <f>'R.FILE GOC'!AL9</f>
        <v>0</v>
      </c>
      <c r="O31" s="568" t="s">
        <v>663</v>
      </c>
      <c r="P31" s="569">
        <f>'R.FILE GOC'!AO9</f>
        <v>4.5110000000000001</v>
      </c>
      <c r="Q31" s="562" t="s">
        <v>664</v>
      </c>
      <c r="R31" s="2262" t="s">
        <v>683</v>
      </c>
      <c r="S31" s="2262"/>
    </row>
    <row r="32" spans="1:19" ht="28.5" customHeight="1">
      <c r="A32" s="562">
        <v>5</v>
      </c>
      <c r="B32" s="2265"/>
      <c r="C32" s="577"/>
      <c r="D32" s="2266"/>
      <c r="E32" s="566" t="s">
        <v>660</v>
      </c>
      <c r="F32" s="578">
        <f>'R.FILE GOC'!Z10</f>
        <v>0</v>
      </c>
      <c r="G32" s="568" t="s">
        <v>684</v>
      </c>
      <c r="H32" s="569" t="str">
        <f>'R.FILE GOC'!AC10</f>
        <v>N/A</v>
      </c>
      <c r="I32" s="562" t="s">
        <v>685</v>
      </c>
      <c r="J32" s="578">
        <f>'R.FILE GOC'!AF10</f>
        <v>0</v>
      </c>
      <c r="K32" s="568" t="s">
        <v>684</v>
      </c>
      <c r="L32" s="569" t="str">
        <f>'R.FILE GOC'!AI10</f>
        <v>N/A</v>
      </c>
      <c r="M32" s="562" t="s">
        <v>685</v>
      </c>
      <c r="N32" s="578">
        <f>'R.FILE GOC'!AL10</f>
        <v>0</v>
      </c>
      <c r="O32" s="568" t="s">
        <v>684</v>
      </c>
      <c r="P32" s="569" t="str">
        <f>'R.FILE GOC'!AO10</f>
        <v>N/A</v>
      </c>
      <c r="Q32" s="562" t="s">
        <v>685</v>
      </c>
      <c r="R32" s="2262"/>
      <c r="S32" s="2262"/>
    </row>
    <row r="33" spans="1:19" ht="28.5" customHeight="1">
      <c r="A33" s="562">
        <v>6</v>
      </c>
      <c r="B33" s="2263" t="s">
        <v>661</v>
      </c>
      <c r="C33" s="575"/>
      <c r="D33" s="2266" t="s">
        <v>475</v>
      </c>
      <c r="E33" s="566" t="s">
        <v>654</v>
      </c>
      <c r="F33" s="567">
        <f>'R.FILE GOC'!Z11</f>
        <v>0</v>
      </c>
      <c r="G33" s="568" t="s">
        <v>684</v>
      </c>
      <c r="H33" s="569">
        <f>'R.FILE GOC'!AC11</f>
        <v>69.400000000000006</v>
      </c>
      <c r="I33" s="562" t="s">
        <v>685</v>
      </c>
      <c r="J33" s="567">
        <f>'R.FILE GOC'!AF11</f>
        <v>0</v>
      </c>
      <c r="K33" s="568" t="s">
        <v>684</v>
      </c>
      <c r="L33" s="569">
        <f>'R.FILE GOC'!AI11</f>
        <v>69.400000000000006</v>
      </c>
      <c r="M33" s="562" t="s">
        <v>685</v>
      </c>
      <c r="N33" s="567">
        <f>'R.FILE GOC'!AL11</f>
        <v>0</v>
      </c>
      <c r="O33" s="568" t="s">
        <v>684</v>
      </c>
      <c r="P33" s="569">
        <f>'R.FILE GOC'!AO11</f>
        <v>69.400000000000006</v>
      </c>
      <c r="Q33" s="562" t="s">
        <v>685</v>
      </c>
      <c r="R33" s="2262" t="s">
        <v>682</v>
      </c>
      <c r="S33" s="2262"/>
    </row>
    <row r="34" spans="1:19" ht="28.5" customHeight="1">
      <c r="A34" s="562">
        <v>7</v>
      </c>
      <c r="B34" s="2264"/>
      <c r="C34" s="576"/>
      <c r="D34" s="2266"/>
      <c r="E34" s="566" t="s">
        <v>658</v>
      </c>
      <c r="F34" s="578">
        <f>'R.FILE GOC'!Z12</f>
        <v>0</v>
      </c>
      <c r="G34" s="568" t="s">
        <v>684</v>
      </c>
      <c r="H34" s="569">
        <f>'R.FILE GOC'!AC12</f>
        <v>4.5110000000000001</v>
      </c>
      <c r="I34" s="562" t="s">
        <v>685</v>
      </c>
      <c r="J34" s="578">
        <f>'R.FILE GOC'!AF12</f>
        <v>0</v>
      </c>
      <c r="K34" s="568" t="s">
        <v>684</v>
      </c>
      <c r="L34" s="569">
        <f>'R.FILE GOC'!AI12</f>
        <v>4.5110000000000001</v>
      </c>
      <c r="M34" s="562" t="s">
        <v>685</v>
      </c>
      <c r="N34" s="578">
        <f>'R.FILE GOC'!AL12</f>
        <v>0</v>
      </c>
      <c r="O34" s="568" t="s">
        <v>684</v>
      </c>
      <c r="P34" s="569">
        <f>'R.FILE GOC'!AO12</f>
        <v>4.5110000000000001</v>
      </c>
      <c r="Q34" s="562" t="s">
        <v>685</v>
      </c>
      <c r="R34" s="2262" t="s">
        <v>683</v>
      </c>
      <c r="S34" s="2262"/>
    </row>
    <row r="35" spans="1:19" ht="28.5" customHeight="1">
      <c r="A35" s="562">
        <v>8</v>
      </c>
      <c r="B35" s="2265"/>
      <c r="C35" s="577"/>
      <c r="D35" s="2266"/>
      <c r="E35" s="566" t="s">
        <v>660</v>
      </c>
      <c r="F35" s="578">
        <f>'R.FILE GOC'!Z13</f>
        <v>0</v>
      </c>
      <c r="G35" s="568" t="s">
        <v>684</v>
      </c>
      <c r="H35" s="569" t="str">
        <f>'R.FILE GOC'!AC13</f>
        <v>N/A</v>
      </c>
      <c r="I35" s="562" t="s">
        <v>685</v>
      </c>
      <c r="J35" s="578">
        <f>'R.FILE GOC'!AF13</f>
        <v>0</v>
      </c>
      <c r="K35" s="568" t="s">
        <v>684</v>
      </c>
      <c r="L35" s="569" t="str">
        <f>'R.FILE GOC'!AI13</f>
        <v>N/A</v>
      </c>
      <c r="M35" s="562" t="s">
        <v>685</v>
      </c>
      <c r="N35" s="578">
        <f>'R.FILE GOC'!AL13</f>
        <v>0</v>
      </c>
      <c r="O35" s="568" t="s">
        <v>684</v>
      </c>
      <c r="P35" s="569" t="str">
        <f>'R.FILE GOC'!AO13</f>
        <v>N/A</v>
      </c>
      <c r="Q35" s="562" t="s">
        <v>685</v>
      </c>
      <c r="R35" s="2262"/>
      <c r="S35" s="2262"/>
    </row>
    <row r="36" spans="1:19" s="582" customFormat="1" ht="28.5" customHeight="1">
      <c r="A36" s="562">
        <v>9</v>
      </c>
      <c r="B36" s="2271" t="s">
        <v>662</v>
      </c>
      <c r="C36" s="570"/>
      <c r="D36" s="579" t="s">
        <v>475</v>
      </c>
      <c r="E36" s="566" t="s">
        <v>485</v>
      </c>
      <c r="F36" s="567">
        <f>'R.FILE GOC'!Z14</f>
        <v>0</v>
      </c>
      <c r="G36" s="568" t="s">
        <v>663</v>
      </c>
      <c r="H36" s="580">
        <f>'R.FILE GOC'!AC14</f>
        <v>4.3680000000000003</v>
      </c>
      <c r="I36" s="581" t="s">
        <v>664</v>
      </c>
      <c r="J36" s="567">
        <f>'R.FILE GOC'!AF14</f>
        <v>0</v>
      </c>
      <c r="K36" s="568" t="s">
        <v>663</v>
      </c>
      <c r="L36" s="580">
        <f>'R.FILE GOC'!AI14</f>
        <v>4.3680000000000003</v>
      </c>
      <c r="M36" s="581" t="s">
        <v>664</v>
      </c>
      <c r="N36" s="567">
        <f>'R.FILE GOC'!AL14</f>
        <v>0</v>
      </c>
      <c r="O36" s="568" t="s">
        <v>663</v>
      </c>
      <c r="P36" s="580">
        <f>'R.FILE GOC'!AO14</f>
        <v>4.3680000000000003</v>
      </c>
      <c r="Q36" s="581" t="s">
        <v>664</v>
      </c>
      <c r="R36" s="2262"/>
      <c r="S36" s="2262"/>
    </row>
    <row r="37" spans="1:19" s="582" customFormat="1" ht="28.5" customHeight="1">
      <c r="A37" s="562">
        <v>10</v>
      </c>
      <c r="B37" s="2272"/>
      <c r="C37" s="583"/>
      <c r="D37" s="579" t="s">
        <v>665</v>
      </c>
      <c r="E37" s="566" t="s">
        <v>666</v>
      </c>
      <c r="F37" s="567">
        <f>'R.FILE GOC'!Z15</f>
        <v>0</v>
      </c>
      <c r="G37" s="568"/>
      <c r="H37" s="569"/>
      <c r="I37" s="581"/>
      <c r="J37" s="567">
        <f>'R.FILE GOC'!AF15</f>
        <v>0</v>
      </c>
      <c r="K37" s="568"/>
      <c r="L37" s="569"/>
      <c r="M37" s="581"/>
      <c r="N37" s="567">
        <f>'R.FILE GOC'!AL15</f>
        <v>0</v>
      </c>
      <c r="O37" s="568"/>
      <c r="P37" s="569"/>
      <c r="Q37" s="581"/>
      <c r="R37" s="2262"/>
      <c r="S37" s="2262"/>
    </row>
    <row r="38" spans="1:19" s="582" customFormat="1" ht="27" customHeight="1">
      <c r="A38" s="2253" t="s">
        <v>667</v>
      </c>
      <c r="B38" s="2253"/>
      <c r="C38" s="2253"/>
      <c r="D38" s="2253"/>
      <c r="E38" s="2253"/>
      <c r="F38" s="2253"/>
      <c r="G38" s="2253"/>
      <c r="H38" s="2253"/>
      <c r="I38" s="2253"/>
      <c r="J38" s="2253"/>
      <c r="K38" s="2253"/>
      <c r="L38" s="2253"/>
      <c r="M38" s="2253"/>
      <c r="N38" s="2253"/>
      <c r="O38" s="2253"/>
      <c r="P38" s="2253"/>
      <c r="Q38" s="2253"/>
      <c r="R38" s="2253"/>
      <c r="S38" s="2253"/>
    </row>
    <row r="39" spans="1:19" s="582" customFormat="1" ht="34.5" customHeight="1">
      <c r="A39" s="562" t="s">
        <v>686</v>
      </c>
      <c r="B39" s="584" t="s">
        <v>669</v>
      </c>
      <c r="C39" s="584"/>
      <c r="D39" s="560" t="s">
        <v>670</v>
      </c>
      <c r="E39" s="560" t="s">
        <v>671</v>
      </c>
      <c r="F39" s="2256" t="s">
        <v>672</v>
      </c>
      <c r="G39" s="2257"/>
      <c r="H39" s="2257"/>
      <c r="I39" s="2257"/>
      <c r="J39" s="2257"/>
      <c r="K39" s="2257"/>
      <c r="L39" s="2257"/>
      <c r="M39" s="2257"/>
      <c r="N39" s="2257"/>
      <c r="O39" s="2257"/>
      <c r="P39" s="2257"/>
      <c r="Q39" s="2258"/>
      <c r="R39" s="2267" t="s">
        <v>643</v>
      </c>
      <c r="S39" s="2268"/>
    </row>
    <row r="40" spans="1:19" s="582" customFormat="1" ht="30.75" customHeight="1">
      <c r="A40" s="562">
        <v>1</v>
      </c>
      <c r="B40" s="585" t="s">
        <v>489</v>
      </c>
      <c r="C40" s="585"/>
      <c r="D40" s="586" t="s">
        <v>673</v>
      </c>
      <c r="E40" s="587" t="s">
        <v>674</v>
      </c>
      <c r="F40" s="2269">
        <f>'R.FILE GOC'!Z18</f>
        <v>0</v>
      </c>
      <c r="G40" s="2270"/>
      <c r="H40" s="2270"/>
      <c r="I40" s="2270"/>
      <c r="J40" s="2269">
        <f>'R.FILE GOC'!AF18</f>
        <v>0</v>
      </c>
      <c r="K40" s="2270"/>
      <c r="L40" s="2270"/>
      <c r="M40" s="2270"/>
      <c r="N40" s="2269">
        <f>'R.FILE GOC'!AL18</f>
        <v>0</v>
      </c>
      <c r="O40" s="2270"/>
      <c r="P40" s="2270"/>
      <c r="Q40" s="2270"/>
      <c r="R40" s="588"/>
      <c r="S40" s="588"/>
    </row>
    <row r="41" spans="1:19" s="582" customFormat="1" ht="30.75" customHeight="1">
      <c r="A41" s="562">
        <v>2</v>
      </c>
      <c r="B41" s="585" t="s">
        <v>491</v>
      </c>
      <c r="C41" s="585"/>
      <c r="D41" s="586" t="s">
        <v>673</v>
      </c>
      <c r="E41" s="587" t="s">
        <v>674</v>
      </c>
      <c r="F41" s="2269">
        <f>'R.FILE GOC'!Z19</f>
        <v>0</v>
      </c>
      <c r="G41" s="2270"/>
      <c r="H41" s="2270"/>
      <c r="I41" s="2270"/>
      <c r="J41" s="2269">
        <f>'R.FILE GOC'!AF19</f>
        <v>0</v>
      </c>
      <c r="K41" s="2270"/>
      <c r="L41" s="2270"/>
      <c r="M41" s="2270"/>
      <c r="N41" s="2269">
        <f>'R.FILE GOC'!AL19</f>
        <v>0</v>
      </c>
      <c r="O41" s="2270"/>
      <c r="P41" s="2270"/>
      <c r="Q41" s="2270"/>
      <c r="R41" s="588"/>
      <c r="S41" s="588"/>
    </row>
    <row r="42" spans="1:19" s="582" customFormat="1" ht="30.75" customHeight="1">
      <c r="A42" s="562">
        <v>3</v>
      </c>
      <c r="B42" s="585" t="s">
        <v>484</v>
      </c>
      <c r="C42" s="585"/>
      <c r="D42" s="586" t="s">
        <v>673</v>
      </c>
      <c r="E42" s="587" t="s">
        <v>675</v>
      </c>
      <c r="F42" s="2269">
        <f>'R.FILE GOC'!Z20</f>
        <v>0</v>
      </c>
      <c r="G42" s="2270"/>
      <c r="H42" s="2270"/>
      <c r="I42" s="2270"/>
      <c r="J42" s="2269">
        <f>'R.FILE GOC'!AF20</f>
        <v>0</v>
      </c>
      <c r="K42" s="2270"/>
      <c r="L42" s="2270"/>
      <c r="M42" s="2270"/>
      <c r="N42" s="2269">
        <f>'R.FILE GOC'!AL20</f>
        <v>0</v>
      </c>
      <c r="O42" s="2270"/>
      <c r="P42" s="2270"/>
      <c r="Q42" s="2270"/>
      <c r="R42" s="589"/>
      <c r="S42" s="589"/>
    </row>
    <row r="43" spans="1:19" ht="20.25" customHeight="1">
      <c r="A43" s="596"/>
      <c r="B43" s="597"/>
      <c r="C43" s="597"/>
      <c r="D43" s="598"/>
      <c r="E43" s="597"/>
      <c r="F43" s="597"/>
      <c r="G43" s="597"/>
      <c r="H43" s="597"/>
      <c r="I43" s="597"/>
      <c r="J43" s="597"/>
      <c r="K43" s="597"/>
      <c r="L43" s="597"/>
      <c r="M43" s="597"/>
      <c r="N43" s="597"/>
      <c r="O43" s="597"/>
      <c r="P43" s="597"/>
      <c r="Q43" s="597"/>
    </row>
    <row r="44" spans="1:19" ht="12.75" customHeight="1">
      <c r="A44" s="599"/>
      <c r="B44" s="597"/>
      <c r="C44" s="597"/>
      <c r="D44" s="590"/>
      <c r="E44" s="597"/>
      <c r="F44" s="600"/>
      <c r="G44" s="601"/>
      <c r="H44" s="590"/>
      <c r="I44" s="602"/>
      <c r="J44" s="602"/>
      <c r="K44" s="602"/>
      <c r="L44" s="602"/>
      <c r="M44" s="602"/>
      <c r="N44" s="602"/>
      <c r="O44" s="602"/>
      <c r="P44" s="602"/>
      <c r="Q44" s="602"/>
    </row>
  </sheetData>
  <sheetProtection selectLockedCells="1"/>
  <mergeCells count="91">
    <mergeCell ref="F42:I42"/>
    <mergeCell ref="J42:M42"/>
    <mergeCell ref="N42:Q42"/>
    <mergeCell ref="F40:I40"/>
    <mergeCell ref="J40:M40"/>
    <mergeCell ref="N40:Q40"/>
    <mergeCell ref="F41:I41"/>
    <mergeCell ref="J41:M41"/>
    <mergeCell ref="N41:Q41"/>
    <mergeCell ref="F39:Q39"/>
    <mergeCell ref="R39:S39"/>
    <mergeCell ref="B36:B37"/>
    <mergeCell ref="R36:S36"/>
    <mergeCell ref="R37:S37"/>
    <mergeCell ref="R28:S28"/>
    <mergeCell ref="R29:S29"/>
    <mergeCell ref="R34:S34"/>
    <mergeCell ref="R35:S35"/>
    <mergeCell ref="A38:S38"/>
    <mergeCell ref="B33:B35"/>
    <mergeCell ref="D33:D35"/>
    <mergeCell ref="R33:S33"/>
    <mergeCell ref="B30:B32"/>
    <mergeCell ref="D30:D32"/>
    <mergeCell ref="R30:S30"/>
    <mergeCell ref="R31:S31"/>
    <mergeCell ref="R32:S32"/>
    <mergeCell ref="A25:A27"/>
    <mergeCell ref="B25:B27"/>
    <mergeCell ref="D25:D27"/>
    <mergeCell ref="E25:E27"/>
    <mergeCell ref="F25:Q25"/>
    <mergeCell ref="K27:M27"/>
    <mergeCell ref="O27:Q27"/>
    <mergeCell ref="R25:S26"/>
    <mergeCell ref="F26:I26"/>
    <mergeCell ref="J26:M26"/>
    <mergeCell ref="N26:Q26"/>
    <mergeCell ref="G27:I27"/>
    <mergeCell ref="R27:S27"/>
    <mergeCell ref="R24:S24"/>
    <mergeCell ref="F20:I20"/>
    <mergeCell ref="J20:M20"/>
    <mergeCell ref="N20:Q20"/>
    <mergeCell ref="F21:I21"/>
    <mergeCell ref="J21:M21"/>
    <mergeCell ref="N21:Q21"/>
    <mergeCell ref="F22:I22"/>
    <mergeCell ref="J22:M22"/>
    <mergeCell ref="N22:Q22"/>
    <mergeCell ref="A23:M23"/>
    <mergeCell ref="R23:S23"/>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7:S7"/>
    <mergeCell ref="B9:B11"/>
    <mergeCell ref="D9:D11"/>
    <mergeCell ref="R9:S9"/>
    <mergeCell ref="R10:S10"/>
    <mergeCell ref="R11:S11"/>
    <mergeCell ref="A4:A6"/>
    <mergeCell ref="B4:B6"/>
    <mergeCell ref="D4:D6"/>
    <mergeCell ref="E4:E6"/>
    <mergeCell ref="F4:Q4"/>
    <mergeCell ref="K6:M6"/>
    <mergeCell ref="O6:Q6"/>
    <mergeCell ref="R4:S5"/>
    <mergeCell ref="F5:I5"/>
    <mergeCell ref="J5:M5"/>
    <mergeCell ref="N5:Q5"/>
    <mergeCell ref="G6:I6"/>
    <mergeCell ref="R6:S6"/>
    <mergeCell ref="A1:M1"/>
    <mergeCell ref="A2:M2"/>
    <mergeCell ref="P2:Q2"/>
    <mergeCell ref="R2:S2"/>
    <mergeCell ref="P3:Q3"/>
    <mergeCell ref="R3:S3"/>
  </mergeCells>
  <phoneticPr fontId="6" type="noConversion"/>
  <conditionalFormatting sqref="F40:Q41 F19:Q20">
    <cfRule type="expression" dxfId="899" priority="53">
      <formula>F19&lt;65</formula>
    </cfRule>
    <cfRule type="expression" dxfId="898" priority="54">
      <formula>F19&gt;85</formula>
    </cfRule>
  </conditionalFormatting>
  <conditionalFormatting sqref="F42:Q42 F21:Q21">
    <cfRule type="expression" dxfId="897" priority="51">
      <formula>F21&lt;80</formula>
    </cfRule>
    <cfRule type="expression" dxfId="896" priority="52">
      <formula>F21&gt;90</formula>
    </cfRule>
  </conditionalFormatting>
  <conditionalFormatting sqref="F8 J8">
    <cfRule type="expression" dxfId="895" priority="49">
      <formula>F8&lt;10</formula>
    </cfRule>
    <cfRule type="expression" dxfId="894" priority="50">
      <formula>F8&gt;15</formula>
    </cfRule>
  </conditionalFormatting>
  <conditionalFormatting sqref="N8">
    <cfRule type="expression" dxfId="893" priority="47">
      <formula>N8&lt;10</formula>
    </cfRule>
    <cfRule type="expression" dxfId="892" priority="48">
      <formula>N8&gt;15</formula>
    </cfRule>
  </conditionalFormatting>
  <conditionalFormatting sqref="J8">
    <cfRule type="expression" dxfId="891" priority="45">
      <formula>J8&lt;10</formula>
    </cfRule>
    <cfRule type="expression" dxfId="890" priority="46">
      <formula>J8&gt;15</formula>
    </cfRule>
  </conditionalFormatting>
  <conditionalFormatting sqref="N8">
    <cfRule type="expression" dxfId="889" priority="43">
      <formula>N8&lt;10</formula>
    </cfRule>
    <cfRule type="expression" dxfId="888" priority="44">
      <formula>N8&gt;15</formula>
    </cfRule>
  </conditionalFormatting>
  <conditionalFormatting sqref="F8">
    <cfRule type="expression" dxfId="887" priority="41">
      <formula>F8&lt;10</formula>
    </cfRule>
    <cfRule type="expression" dxfId="886" priority="42">
      <formula>F8&gt;15</formula>
    </cfRule>
  </conditionalFormatting>
  <conditionalFormatting sqref="F8 J8">
    <cfRule type="expression" dxfId="885" priority="39">
      <formula>F8&lt;10</formula>
    </cfRule>
    <cfRule type="expression" dxfId="884" priority="40">
      <formula>F8&gt;15</formula>
    </cfRule>
  </conditionalFormatting>
  <conditionalFormatting sqref="N8">
    <cfRule type="expression" dxfId="883" priority="37">
      <formula>N8&lt;10</formula>
    </cfRule>
    <cfRule type="expression" dxfId="882" priority="38">
      <formula>N8&gt;15</formula>
    </cfRule>
  </conditionalFormatting>
  <conditionalFormatting sqref="F8">
    <cfRule type="expression" dxfId="881" priority="35">
      <formula>F8&lt;10</formula>
    </cfRule>
    <cfRule type="expression" dxfId="880" priority="36">
      <formula>F8&gt;15</formula>
    </cfRule>
  </conditionalFormatting>
  <conditionalFormatting sqref="F8">
    <cfRule type="expression" dxfId="879" priority="34">
      <formula>F8&lt;1</formula>
    </cfRule>
  </conditionalFormatting>
  <conditionalFormatting sqref="J8">
    <cfRule type="expression" dxfId="878" priority="32">
      <formula>J8&lt;10</formula>
    </cfRule>
    <cfRule type="expression" dxfId="877" priority="33">
      <formula>J8&gt;15</formula>
    </cfRule>
  </conditionalFormatting>
  <conditionalFormatting sqref="J8">
    <cfRule type="expression" dxfId="876" priority="31">
      <formula>J8&lt;1</formula>
    </cfRule>
  </conditionalFormatting>
  <conditionalFormatting sqref="N8">
    <cfRule type="expression" dxfId="875" priority="29">
      <formula>N8&lt;10</formula>
    </cfRule>
    <cfRule type="expression" dxfId="874" priority="30">
      <formula>N8&gt;15</formula>
    </cfRule>
  </conditionalFormatting>
  <conditionalFormatting sqref="N8">
    <cfRule type="expression" dxfId="873" priority="27">
      <formula>N8&lt;10</formula>
    </cfRule>
    <cfRule type="expression" dxfId="872" priority="28">
      <formula>N8&gt;15</formula>
    </cfRule>
  </conditionalFormatting>
  <conditionalFormatting sqref="N8">
    <cfRule type="expression" dxfId="871" priority="26">
      <formula>N8&lt;1</formula>
    </cfRule>
  </conditionalFormatting>
  <conditionalFormatting sqref="F29 J29">
    <cfRule type="expression" dxfId="870" priority="24">
      <formula>F29&lt;10</formula>
    </cfRule>
    <cfRule type="expression" dxfId="869" priority="25">
      <formula>F29&gt;15</formula>
    </cfRule>
  </conditionalFormatting>
  <conditionalFormatting sqref="N29">
    <cfRule type="expression" dxfId="868" priority="22">
      <formula>N29&lt;10</formula>
    </cfRule>
    <cfRule type="expression" dxfId="867" priority="23">
      <formula>N29&gt;15</formula>
    </cfRule>
  </conditionalFormatting>
  <conditionalFormatting sqref="J29">
    <cfRule type="expression" dxfId="866" priority="20">
      <formula>J29&lt;10</formula>
    </cfRule>
    <cfRule type="expression" dxfId="865" priority="21">
      <formula>J29&gt;15</formula>
    </cfRule>
  </conditionalFormatting>
  <conditionalFormatting sqref="N29">
    <cfRule type="expression" dxfId="864" priority="18">
      <formula>N29&lt;10</formula>
    </cfRule>
    <cfRule type="expression" dxfId="863" priority="19">
      <formula>N29&gt;15</formula>
    </cfRule>
  </conditionalFormatting>
  <conditionalFormatting sqref="F29">
    <cfRule type="expression" dxfId="862" priority="16">
      <formula>F29&lt;10</formula>
    </cfRule>
    <cfRule type="expression" dxfId="861" priority="17">
      <formula>F29&gt;15</formula>
    </cfRule>
  </conditionalFormatting>
  <conditionalFormatting sqref="F29 J29">
    <cfRule type="expression" dxfId="860" priority="14">
      <formula>F29&lt;10</formula>
    </cfRule>
    <cfRule type="expression" dxfId="859" priority="15">
      <formula>F29&gt;15</formula>
    </cfRule>
  </conditionalFormatting>
  <conditionalFormatting sqref="N29">
    <cfRule type="expression" dxfId="858" priority="12">
      <formula>N29&lt;10</formula>
    </cfRule>
    <cfRule type="expression" dxfId="857" priority="13">
      <formula>N29&gt;15</formula>
    </cfRule>
  </conditionalFormatting>
  <conditionalFormatting sqref="F29">
    <cfRule type="expression" dxfId="856" priority="10">
      <formula>F29&lt;10</formula>
    </cfRule>
    <cfRule type="expression" dxfId="855" priority="11">
      <formula>F29&gt;15</formula>
    </cfRule>
  </conditionalFormatting>
  <conditionalFormatting sqref="F29">
    <cfRule type="expression" dxfId="854" priority="9">
      <formula>F29&lt;1</formula>
    </cfRule>
  </conditionalFormatting>
  <conditionalFormatting sqref="J29">
    <cfRule type="expression" dxfId="853" priority="7">
      <formula>J29&lt;10</formula>
    </cfRule>
    <cfRule type="expression" dxfId="852" priority="8">
      <formula>J29&gt;15</formula>
    </cfRule>
  </conditionalFormatting>
  <conditionalFormatting sqref="J29">
    <cfRule type="expression" dxfId="851" priority="6">
      <formula>J29&lt;1</formula>
    </cfRule>
  </conditionalFormatting>
  <conditionalFormatting sqref="N29">
    <cfRule type="expression" dxfId="850" priority="4">
      <formula>N29&lt;10</formula>
    </cfRule>
    <cfRule type="expression" dxfId="849" priority="5">
      <formula>N29&gt;15</formula>
    </cfRule>
  </conditionalFormatting>
  <conditionalFormatting sqref="N29">
    <cfRule type="expression" dxfId="848" priority="2">
      <formula>N29&lt;10</formula>
    </cfRule>
    <cfRule type="expression" dxfId="847" priority="3">
      <formula>N29&gt;15</formula>
    </cfRule>
  </conditionalFormatting>
  <conditionalFormatting sqref="N29">
    <cfRule type="expression" dxfId="846"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0.xml><?xml version="1.0" encoding="utf-8"?>
<worksheet xmlns="http://schemas.openxmlformats.org/spreadsheetml/2006/main" xmlns:r="http://schemas.openxmlformats.org/officeDocument/2006/relationships">
  <sheetPr codeName="Sheet24">
    <tabColor rgb="FFFFC000"/>
  </sheetPr>
  <dimension ref="A1:Q35"/>
  <sheetViews>
    <sheetView zoomScale="85" zoomScaleNormal="85" workbookViewId="0">
      <selection activeCell="E33" sqref="E33:P35"/>
    </sheetView>
  </sheetViews>
  <sheetFormatPr defaultRowHeight="13.5"/>
  <cols>
    <col min="1" max="1" width="5.5" style="553" customWidth="1"/>
    <col min="2" max="2" width="23.875" style="603" customWidth="1"/>
    <col min="3" max="3" width="8.5" style="553" customWidth="1"/>
    <col min="4" max="4" width="14" style="553" customWidth="1"/>
    <col min="5" max="5" width="7.375" style="553" customWidth="1"/>
    <col min="6" max="6" width="3.875" style="553" customWidth="1"/>
    <col min="7" max="7" width="7.5" style="553" customWidth="1"/>
    <col min="8" max="8" width="4.375" style="553" customWidth="1"/>
    <col min="9" max="9" width="8.5" style="553" customWidth="1"/>
    <col min="10" max="10" width="2.625" style="553" customWidth="1"/>
    <col min="11" max="11" width="6.875" style="553" customWidth="1"/>
    <col min="12" max="12" width="4.25" style="553" customWidth="1"/>
    <col min="13" max="13" width="8.5" style="553" customWidth="1"/>
    <col min="14" max="14" width="2.625" style="553" customWidth="1"/>
    <col min="15" max="15" width="6.875" style="553" customWidth="1"/>
    <col min="16" max="16" width="4.25" style="553" customWidth="1"/>
    <col min="17" max="17" width="11.125" style="553" customWidth="1"/>
    <col min="18" max="16384" width="9" style="553"/>
  </cols>
  <sheetData>
    <row r="1" spans="1:17" ht="27.75" customHeight="1">
      <c r="A1" s="2230" t="s">
        <v>634</v>
      </c>
      <c r="B1" s="2230"/>
      <c r="C1" s="2230"/>
      <c r="D1" s="2230"/>
      <c r="E1" s="2230"/>
      <c r="F1" s="2230"/>
      <c r="G1" s="2230"/>
      <c r="H1" s="2230"/>
      <c r="I1" s="2230"/>
      <c r="J1" s="2230"/>
      <c r="K1" s="2230"/>
      <c r="L1" s="2230"/>
      <c r="M1" s="551"/>
      <c r="N1" s="551"/>
      <c r="O1" s="551"/>
      <c r="P1" s="551"/>
      <c r="Q1" s="551"/>
    </row>
    <row r="2" spans="1:17" ht="36.75" customHeight="1">
      <c r="A2" s="2231" t="s">
        <v>993</v>
      </c>
      <c r="B2" s="2231"/>
      <c r="C2" s="2231"/>
      <c r="D2" s="2231"/>
      <c r="E2" s="2231"/>
      <c r="F2" s="2231"/>
      <c r="G2" s="2231"/>
      <c r="H2" s="2231"/>
      <c r="I2" s="2231"/>
      <c r="J2" s="2231"/>
      <c r="K2" s="2231"/>
      <c r="L2" s="2231"/>
      <c r="M2" s="554"/>
      <c r="N2" s="554"/>
      <c r="O2" s="2021" t="s">
        <v>687</v>
      </c>
      <c r="P2" s="2022"/>
      <c r="Q2" s="90" t="s">
        <v>17</v>
      </c>
    </row>
    <row r="3" spans="1:17" ht="22.5" customHeight="1">
      <c r="A3" s="555"/>
      <c r="B3" s="556" t="s">
        <v>637</v>
      </c>
      <c r="C3" s="557"/>
      <c r="D3" s="558" t="str">
        <f>'1.xi den'!$G$3</f>
        <v>2022/12/03</v>
      </c>
      <c r="E3" s="557"/>
      <c r="F3" s="557"/>
      <c r="G3" s="557"/>
      <c r="H3" s="557"/>
      <c r="I3" s="2286"/>
      <c r="J3" s="2286"/>
      <c r="K3" s="2286"/>
      <c r="L3" s="605"/>
      <c r="M3" s="556"/>
      <c r="N3" s="556"/>
      <c r="O3" s="2236" t="str">
        <f>'1.xi den'!$N$3</f>
        <v>L.Yen</v>
      </c>
      <c r="P3" s="2237"/>
      <c r="Q3" s="606" t="s">
        <v>688</v>
      </c>
    </row>
    <row r="4" spans="1:17" s="607" customFormat="1" ht="39" customHeight="1">
      <c r="A4" s="2279" t="s">
        <v>689</v>
      </c>
      <c r="B4" s="2282" t="s">
        <v>690</v>
      </c>
      <c r="C4" s="2282" t="s">
        <v>691</v>
      </c>
      <c r="D4" s="2284" t="s">
        <v>692</v>
      </c>
      <c r="E4" s="2256" t="s">
        <v>992</v>
      </c>
      <c r="F4" s="2257"/>
      <c r="G4" s="2257"/>
      <c r="H4" s="2257"/>
      <c r="I4" s="2257"/>
      <c r="J4" s="2257"/>
      <c r="K4" s="2257"/>
      <c r="L4" s="2257"/>
      <c r="M4" s="2257"/>
      <c r="N4" s="2257"/>
      <c r="O4" s="2257"/>
      <c r="P4" s="2258"/>
      <c r="Q4" s="1970" t="s">
        <v>693</v>
      </c>
    </row>
    <row r="5" spans="1:17" s="607" customFormat="1" ht="25.5" customHeight="1">
      <c r="A5" s="2280"/>
      <c r="B5" s="2282"/>
      <c r="C5" s="2282"/>
      <c r="D5" s="2284"/>
      <c r="E5" s="2241">
        <v>0.33333333333333331</v>
      </c>
      <c r="F5" s="2242"/>
      <c r="G5" s="2242"/>
      <c r="H5" s="2242"/>
      <c r="I5" s="2243">
        <v>0.52083333333333337</v>
      </c>
      <c r="J5" s="2244"/>
      <c r="K5" s="2244"/>
      <c r="L5" s="2245"/>
      <c r="M5" s="2243">
        <v>0.66666666666666663</v>
      </c>
      <c r="N5" s="2244"/>
      <c r="O5" s="2244"/>
      <c r="P5" s="2245"/>
      <c r="Q5" s="1971"/>
    </row>
    <row r="6" spans="1:17" s="607" customFormat="1" ht="40.5" customHeight="1">
      <c r="A6" s="2281"/>
      <c r="B6" s="2283"/>
      <c r="C6" s="2283"/>
      <c r="D6" s="2285"/>
      <c r="E6" s="608" t="s">
        <v>694</v>
      </c>
      <c r="F6" s="2142" t="s">
        <v>695</v>
      </c>
      <c r="G6" s="2147"/>
      <c r="H6" s="2288"/>
      <c r="I6" s="608" t="s">
        <v>694</v>
      </c>
      <c r="J6" s="2142" t="s">
        <v>695</v>
      </c>
      <c r="K6" s="2147"/>
      <c r="L6" s="2288"/>
      <c r="M6" s="608" t="s">
        <v>694</v>
      </c>
      <c r="N6" s="2142" t="s">
        <v>695</v>
      </c>
      <c r="O6" s="2147"/>
      <c r="P6" s="2288"/>
      <c r="Q6" s="316" t="s">
        <v>696</v>
      </c>
    </row>
    <row r="7" spans="1:17" s="607" customFormat="1" ht="27.75" customHeight="1">
      <c r="A7" s="609">
        <v>1</v>
      </c>
      <c r="B7" s="610" t="s">
        <v>697</v>
      </c>
      <c r="C7" s="611" t="s">
        <v>698</v>
      </c>
      <c r="D7" s="566" t="s">
        <v>494</v>
      </c>
      <c r="E7" s="612">
        <f>'R.FILE GOC'!H25</f>
        <v>39</v>
      </c>
      <c r="F7" s="572" t="s">
        <v>699</v>
      </c>
      <c r="G7" s="573">
        <f>'R.FILE GOC'!K25</f>
        <v>2.33</v>
      </c>
      <c r="H7" s="247" t="s">
        <v>700</v>
      </c>
      <c r="I7" s="612">
        <f>'R.FILE GOC'!N25</f>
        <v>48</v>
      </c>
      <c r="J7" s="572" t="s">
        <v>699</v>
      </c>
      <c r="K7" s="573">
        <f>'R.FILE GOC'!Q25</f>
        <v>0</v>
      </c>
      <c r="L7" s="247" t="s">
        <v>700</v>
      </c>
      <c r="M7" s="612">
        <f>'R.FILE GOC'!T25</f>
        <v>47</v>
      </c>
      <c r="N7" s="572" t="s">
        <v>684</v>
      </c>
      <c r="O7" s="573">
        <f>'R.FILE GOC'!W25</f>
        <v>0</v>
      </c>
      <c r="P7" s="247" t="s">
        <v>685</v>
      </c>
      <c r="Q7" s="316" t="s">
        <v>701</v>
      </c>
    </row>
    <row r="8" spans="1:17" s="616" customFormat="1" ht="30" customHeight="1">
      <c r="A8" s="609">
        <v>2</v>
      </c>
      <c r="B8" s="613" t="s">
        <v>702</v>
      </c>
      <c r="C8" s="614" t="s">
        <v>703</v>
      </c>
      <c r="D8" s="615" t="s">
        <v>470</v>
      </c>
      <c r="E8" s="612">
        <f>'R.FILE GOC'!H26</f>
        <v>13.14</v>
      </c>
      <c r="F8" s="572" t="s">
        <v>704</v>
      </c>
      <c r="G8" s="573">
        <f>'R.FILE GOC'!K26</f>
        <v>0</v>
      </c>
      <c r="H8" s="247" t="s">
        <v>705</v>
      </c>
      <c r="I8" s="612">
        <f>'R.FILE GOC'!N26</f>
        <v>11.315000000000001</v>
      </c>
      <c r="J8" s="572" t="s">
        <v>704</v>
      </c>
      <c r="K8" s="573">
        <f>'R.FILE GOC'!Q26</f>
        <v>96.466406249999892</v>
      </c>
      <c r="L8" s="247" t="s">
        <v>705</v>
      </c>
      <c r="M8" s="612">
        <f>'R.FILE GOC'!T26</f>
        <v>12</v>
      </c>
      <c r="N8" s="572" t="s">
        <v>684</v>
      </c>
      <c r="O8" s="573">
        <f>'R.FILE GOC'!W26</f>
        <v>40.703125</v>
      </c>
      <c r="P8" s="247" t="s">
        <v>705</v>
      </c>
      <c r="Q8" s="316" t="s">
        <v>706</v>
      </c>
    </row>
    <row r="9" spans="1:17" s="616" customFormat="1" ht="27.75" customHeight="1">
      <c r="A9" s="609">
        <v>3</v>
      </c>
      <c r="B9" s="2289" t="s">
        <v>707</v>
      </c>
      <c r="C9" s="2292" t="s">
        <v>475</v>
      </c>
      <c r="D9" s="566" t="s">
        <v>654</v>
      </c>
      <c r="E9" s="612">
        <f>'R.FILE GOC'!H27</f>
        <v>56</v>
      </c>
      <c r="F9" s="572" t="s">
        <v>699</v>
      </c>
      <c r="G9" s="573">
        <f>'R.FILE GOC'!K27</f>
        <v>0</v>
      </c>
      <c r="H9" s="247" t="s">
        <v>700</v>
      </c>
      <c r="I9" s="612">
        <f>'R.FILE GOC'!N27</f>
        <v>54</v>
      </c>
      <c r="J9" s="572" t="s">
        <v>699</v>
      </c>
      <c r="K9" s="573">
        <f>'R.FILE GOC'!Q27</f>
        <v>0</v>
      </c>
      <c r="L9" s="247" t="s">
        <v>700</v>
      </c>
      <c r="M9" s="612">
        <f>'R.FILE GOC'!T27</f>
        <v>52</v>
      </c>
      <c r="N9" s="572" t="s">
        <v>684</v>
      </c>
      <c r="O9" s="573">
        <f>'R.FILE GOC'!W27</f>
        <v>0</v>
      </c>
      <c r="P9" s="247" t="s">
        <v>685</v>
      </c>
      <c r="Q9" s="316" t="s">
        <v>708</v>
      </c>
    </row>
    <row r="10" spans="1:17" s="616" customFormat="1" ht="27.75" customHeight="1">
      <c r="A10" s="609">
        <v>4</v>
      </c>
      <c r="B10" s="2290"/>
      <c r="C10" s="2292"/>
      <c r="D10" s="566" t="s">
        <v>658</v>
      </c>
      <c r="E10" s="612">
        <f>'R.FILE GOC'!H28</f>
        <v>7</v>
      </c>
      <c r="F10" s="572" t="s">
        <v>699</v>
      </c>
      <c r="G10" s="573">
        <f>'R.FILE GOC'!K28</f>
        <v>0</v>
      </c>
      <c r="H10" s="247" t="s">
        <v>700</v>
      </c>
      <c r="I10" s="612">
        <f>'R.FILE GOC'!N28</f>
        <v>7.2</v>
      </c>
      <c r="J10" s="572" t="s">
        <v>699</v>
      </c>
      <c r="K10" s="573">
        <f>'R.FILE GOC'!Q28</f>
        <v>0</v>
      </c>
      <c r="L10" s="247" t="s">
        <v>700</v>
      </c>
      <c r="M10" s="612">
        <f>'R.FILE GOC'!T28</f>
        <v>7</v>
      </c>
      <c r="N10" s="572" t="s">
        <v>684</v>
      </c>
      <c r="O10" s="573">
        <f>'R.FILE GOC'!W28</f>
        <v>0</v>
      </c>
      <c r="P10" s="247" t="s">
        <v>685</v>
      </c>
      <c r="Q10" s="316" t="s">
        <v>709</v>
      </c>
    </row>
    <row r="11" spans="1:17" s="616" customFormat="1" ht="27.75" customHeight="1">
      <c r="A11" s="609">
        <v>5</v>
      </c>
      <c r="B11" s="2291"/>
      <c r="C11" s="2292"/>
      <c r="D11" s="566" t="s">
        <v>660</v>
      </c>
      <c r="E11" s="80">
        <f>'R.FILE GOC'!H29</f>
        <v>0.14000000000000001</v>
      </c>
      <c r="F11" s="572" t="s">
        <v>699</v>
      </c>
      <c r="G11" s="617" t="str">
        <f>'R.FILE GOC'!K29</f>
        <v>N/A</v>
      </c>
      <c r="H11" s="80" t="s">
        <v>700</v>
      </c>
      <c r="I11" s="80">
        <f>'R.FILE GOC'!N29</f>
        <v>0.4</v>
      </c>
      <c r="J11" s="572" t="s">
        <v>699</v>
      </c>
      <c r="K11" s="617" t="str">
        <f>'R.FILE GOC'!Q29</f>
        <v>N/A</v>
      </c>
      <c r="L11" s="80" t="s">
        <v>700</v>
      </c>
      <c r="M11" s="80">
        <f>'R.FILE GOC'!T29</f>
        <v>0.32</v>
      </c>
      <c r="N11" s="572" t="s">
        <v>684</v>
      </c>
      <c r="O11" s="617" t="str">
        <f>'R.FILE GOC'!W29</f>
        <v>N/A</v>
      </c>
      <c r="P11" s="80" t="s">
        <v>685</v>
      </c>
      <c r="Q11" s="618"/>
    </row>
    <row r="12" spans="1:17" s="621" customFormat="1" ht="27.75" customHeight="1">
      <c r="A12" s="609">
        <v>6</v>
      </c>
      <c r="B12" s="2289" t="s">
        <v>710</v>
      </c>
      <c r="C12" s="611" t="s">
        <v>475</v>
      </c>
      <c r="D12" s="566" t="s">
        <v>485</v>
      </c>
      <c r="E12" s="612">
        <f>'R.FILE GOC'!H30</f>
        <v>0.95</v>
      </c>
      <c r="F12" s="572"/>
      <c r="G12" s="619">
        <f>'R.FILE GOC'!K30</f>
        <v>6.1700000000000053E-2</v>
      </c>
      <c r="H12" s="80" t="s">
        <v>700</v>
      </c>
      <c r="I12" s="612">
        <f>'R.FILE GOC'!N30</f>
        <v>0.9</v>
      </c>
      <c r="J12" s="572"/>
      <c r="K12" s="619">
        <f>'R.FILE GOC'!Q30</f>
        <v>0.12339999999999998</v>
      </c>
      <c r="L12" s="80" t="s">
        <v>700</v>
      </c>
      <c r="M12" s="612">
        <f>'R.FILE GOC'!T30</f>
        <v>0.9</v>
      </c>
      <c r="N12" s="572"/>
      <c r="O12" s="619">
        <f>'R.FILE GOC'!W30</f>
        <v>0.12339999999999998</v>
      </c>
      <c r="P12" s="80" t="s">
        <v>685</v>
      </c>
      <c r="Q12" s="620" t="s">
        <v>711</v>
      </c>
    </row>
    <row r="13" spans="1:17" s="621" customFormat="1" ht="27.75" customHeight="1">
      <c r="A13" s="609">
        <v>7</v>
      </c>
      <c r="B13" s="2291"/>
      <c r="C13" s="622" t="s">
        <v>712</v>
      </c>
      <c r="D13" s="1133" t="s">
        <v>1050</v>
      </c>
      <c r="E13" s="612">
        <f>'R.FILE GOC'!H31</f>
        <v>9</v>
      </c>
      <c r="F13" s="572" t="s">
        <v>699</v>
      </c>
      <c r="G13" s="573">
        <f>'R.FILE GOC'!K31</f>
        <v>0</v>
      </c>
      <c r="H13" s="247" t="s">
        <v>700</v>
      </c>
      <c r="I13" s="612">
        <f>'R.FILE GOC'!N31</f>
        <v>9</v>
      </c>
      <c r="J13" s="572" t="s">
        <v>699</v>
      </c>
      <c r="K13" s="573"/>
      <c r="L13" s="247" t="s">
        <v>700</v>
      </c>
      <c r="M13" s="612">
        <f>'R.FILE GOC'!T31</f>
        <v>9</v>
      </c>
      <c r="N13" s="572" t="s">
        <v>684</v>
      </c>
      <c r="O13" s="573"/>
      <c r="P13" s="247" t="s">
        <v>685</v>
      </c>
      <c r="Q13" s="247"/>
    </row>
    <row r="14" spans="1:17" s="616" customFormat="1" ht="30.75" customHeight="1">
      <c r="A14" s="2293" t="s">
        <v>713</v>
      </c>
      <c r="B14" s="2293"/>
      <c r="C14" s="2293"/>
      <c r="D14" s="2293"/>
      <c r="E14" s="2293"/>
      <c r="F14" s="2293"/>
      <c r="G14" s="2293"/>
      <c r="H14" s="2293"/>
      <c r="I14" s="2293"/>
      <c r="J14" s="2293"/>
      <c r="K14" s="2293"/>
      <c r="L14" s="2293"/>
      <c r="M14" s="2293"/>
      <c r="N14" s="2293"/>
      <c r="O14" s="2293"/>
      <c r="P14" s="2293"/>
      <c r="Q14" s="2293"/>
    </row>
    <row r="15" spans="1:17" s="616" customFormat="1" ht="37.5" customHeight="1">
      <c r="A15" s="247" t="s">
        <v>714</v>
      </c>
      <c r="B15" s="623" t="s">
        <v>715</v>
      </c>
      <c r="C15" s="623" t="s">
        <v>716</v>
      </c>
      <c r="D15" s="623" t="s">
        <v>717</v>
      </c>
      <c r="E15" s="2282" t="s">
        <v>991</v>
      </c>
      <c r="F15" s="2282"/>
      <c r="G15" s="2282"/>
      <c r="H15" s="2282"/>
      <c r="I15" s="2282"/>
      <c r="J15" s="2282"/>
      <c r="K15" s="2282"/>
      <c r="L15" s="2282"/>
      <c r="M15" s="2282"/>
      <c r="N15" s="2282"/>
      <c r="O15" s="2282"/>
      <c r="P15" s="2282"/>
      <c r="Q15" s="383"/>
    </row>
    <row r="16" spans="1:17" s="616" customFormat="1" ht="27.75" customHeight="1">
      <c r="A16" s="247">
        <v>1</v>
      </c>
      <c r="B16" s="956" t="s">
        <v>925</v>
      </c>
      <c r="C16" s="624" t="s">
        <v>719</v>
      </c>
      <c r="D16" s="566" t="s">
        <v>720</v>
      </c>
      <c r="E16" s="2287">
        <f>'R.FILE GOC'!K34</f>
        <v>60</v>
      </c>
      <c r="F16" s="2287"/>
      <c r="G16" s="2287"/>
      <c r="H16" s="2287"/>
      <c r="I16" s="2287">
        <f>'R.FILE GOC'!Q34</f>
        <v>61</v>
      </c>
      <c r="J16" s="2287"/>
      <c r="K16" s="2287"/>
      <c r="L16" s="2287"/>
      <c r="M16" s="2287">
        <f>'R.FILE GOC'!W34</f>
        <v>60</v>
      </c>
      <c r="N16" s="2287"/>
      <c r="O16" s="2287"/>
      <c r="P16" s="2287"/>
      <c r="Q16" s="573"/>
    </row>
    <row r="17" spans="1:17" s="616" customFormat="1" ht="27.75" customHeight="1">
      <c r="A17" s="247">
        <v>2</v>
      </c>
      <c r="B17" s="623" t="s">
        <v>721</v>
      </c>
      <c r="C17" s="624" t="s">
        <v>719</v>
      </c>
      <c r="D17" s="566" t="s">
        <v>722</v>
      </c>
      <c r="E17" s="2287">
        <f>'R.FILE GOC'!K35</f>
        <v>70</v>
      </c>
      <c r="F17" s="2287"/>
      <c r="G17" s="2287"/>
      <c r="H17" s="2287"/>
      <c r="I17" s="2287">
        <f>'R.FILE GOC'!Q35</f>
        <v>69</v>
      </c>
      <c r="J17" s="2287"/>
      <c r="K17" s="2287"/>
      <c r="L17" s="2287"/>
      <c r="M17" s="2287">
        <f>'R.FILE GOC'!W35</f>
        <v>67</v>
      </c>
      <c r="N17" s="2287"/>
      <c r="O17" s="2287"/>
      <c r="P17" s="2287"/>
      <c r="Q17" s="573"/>
    </row>
    <row r="18" spans="1:17" s="616" customFormat="1" ht="27.75" customHeight="1">
      <c r="A18" s="247">
        <v>3</v>
      </c>
      <c r="B18" s="623" t="s">
        <v>723</v>
      </c>
      <c r="C18" s="624" t="s">
        <v>719</v>
      </c>
      <c r="D18" s="566" t="s">
        <v>724</v>
      </c>
      <c r="E18" s="2287">
        <f>'R.FILE GOC'!K36</f>
        <v>89</v>
      </c>
      <c r="F18" s="2287"/>
      <c r="G18" s="2287"/>
      <c r="H18" s="2287"/>
      <c r="I18" s="2287">
        <f>'R.FILE GOC'!Q36</f>
        <v>78</v>
      </c>
      <c r="J18" s="2287"/>
      <c r="K18" s="2287"/>
      <c r="L18" s="2287"/>
      <c r="M18" s="2287">
        <f>'R.FILE GOC'!W36</f>
        <v>85</v>
      </c>
      <c r="N18" s="2287"/>
      <c r="O18" s="2287"/>
      <c r="P18" s="2287"/>
      <c r="Q18" s="573"/>
    </row>
    <row r="19" spans="1:17" ht="36.75" customHeight="1">
      <c r="A19" s="2231" t="s">
        <v>993</v>
      </c>
      <c r="B19" s="2231"/>
      <c r="C19" s="2231"/>
      <c r="D19" s="2231"/>
      <c r="E19" s="2231"/>
      <c r="F19" s="2231"/>
      <c r="G19" s="2231"/>
      <c r="H19" s="2231"/>
      <c r="I19" s="2231"/>
      <c r="J19" s="2231"/>
      <c r="K19" s="2231"/>
      <c r="L19" s="2231"/>
      <c r="M19" s="554"/>
      <c r="N19" s="554"/>
      <c r="O19" s="554"/>
      <c r="P19" s="554"/>
      <c r="Q19" s="625"/>
    </row>
    <row r="20" spans="1:17" ht="21.75" customHeight="1">
      <c r="A20" s="555"/>
      <c r="B20" s="556" t="s">
        <v>725</v>
      </c>
      <c r="C20" s="557"/>
      <c r="D20" s="557"/>
      <c r="E20" s="557"/>
      <c r="F20" s="557"/>
      <c r="G20" s="557"/>
      <c r="H20" s="557"/>
      <c r="I20" s="2286"/>
      <c r="J20" s="2286"/>
      <c r="K20" s="2286"/>
      <c r="L20" s="605"/>
      <c r="M20" s="2286"/>
      <c r="N20" s="2286"/>
      <c r="O20" s="2286"/>
      <c r="P20" s="605"/>
      <c r="Q20" s="626"/>
    </row>
    <row r="21" spans="1:17" s="607" customFormat="1" ht="37.5" customHeight="1">
      <c r="A21" s="2279" t="s">
        <v>726</v>
      </c>
      <c r="B21" s="2282" t="s">
        <v>690</v>
      </c>
      <c r="C21" s="2282" t="s">
        <v>691</v>
      </c>
      <c r="D21" s="2284" t="s">
        <v>692</v>
      </c>
      <c r="E21" s="2256" t="s">
        <v>992</v>
      </c>
      <c r="F21" s="2257"/>
      <c r="G21" s="2257"/>
      <c r="H21" s="2257"/>
      <c r="I21" s="2257"/>
      <c r="J21" s="2257"/>
      <c r="K21" s="2257"/>
      <c r="L21" s="2257"/>
      <c r="M21" s="2257"/>
      <c r="N21" s="2257"/>
      <c r="O21" s="2257"/>
      <c r="P21" s="2258"/>
      <c r="Q21" s="1950" t="s">
        <v>693</v>
      </c>
    </row>
    <row r="22" spans="1:17" s="607" customFormat="1" ht="20.25" customHeight="1">
      <c r="A22" s="2280"/>
      <c r="B22" s="2282"/>
      <c r="C22" s="2282"/>
      <c r="D22" s="2284"/>
      <c r="E22" s="2241">
        <v>0.83333333333333337</v>
      </c>
      <c r="F22" s="2242"/>
      <c r="G22" s="2242"/>
      <c r="H22" s="2242"/>
      <c r="I22" s="2243">
        <v>4.1666666666666664E-2</v>
      </c>
      <c r="J22" s="2244"/>
      <c r="K22" s="2244"/>
      <c r="L22" s="2245"/>
      <c r="M22" s="2243">
        <v>0.16666666666666666</v>
      </c>
      <c r="N22" s="2244"/>
      <c r="O22" s="2244"/>
      <c r="P22" s="2245"/>
      <c r="Q22" s="1950"/>
    </row>
    <row r="23" spans="1:17" s="607" customFormat="1" ht="36" customHeight="1">
      <c r="A23" s="2281"/>
      <c r="B23" s="2283"/>
      <c r="C23" s="2283"/>
      <c r="D23" s="2285"/>
      <c r="E23" s="608" t="s">
        <v>694</v>
      </c>
      <c r="F23" s="2142" t="s">
        <v>695</v>
      </c>
      <c r="G23" s="2147"/>
      <c r="H23" s="2288"/>
      <c r="I23" s="608" t="s">
        <v>694</v>
      </c>
      <c r="J23" s="2142" t="s">
        <v>695</v>
      </c>
      <c r="K23" s="2147"/>
      <c r="L23" s="2288"/>
      <c r="M23" s="608" t="s">
        <v>694</v>
      </c>
      <c r="N23" s="2142" t="s">
        <v>695</v>
      </c>
      <c r="O23" s="2147"/>
      <c r="P23" s="2288"/>
      <c r="Q23" s="316" t="s">
        <v>696</v>
      </c>
    </row>
    <row r="24" spans="1:17" s="607" customFormat="1" ht="30.75" customHeight="1">
      <c r="A24" s="609">
        <v>1</v>
      </c>
      <c r="B24" s="610" t="s">
        <v>697</v>
      </c>
      <c r="C24" s="611" t="s">
        <v>698</v>
      </c>
      <c r="D24" s="566" t="s">
        <v>494</v>
      </c>
      <c r="E24" s="612"/>
      <c r="F24" s="572"/>
      <c r="G24" s="573"/>
      <c r="H24" s="247"/>
      <c r="I24" s="612"/>
      <c r="J24" s="572"/>
      <c r="K24" s="573"/>
      <c r="L24" s="247"/>
      <c r="M24" s="612"/>
      <c r="N24" s="572"/>
      <c r="O24" s="573"/>
      <c r="P24" s="247"/>
      <c r="Q24" s="316" t="s">
        <v>701</v>
      </c>
    </row>
    <row r="25" spans="1:17" s="616" customFormat="1" ht="30.75" customHeight="1">
      <c r="A25" s="609">
        <v>2</v>
      </c>
      <c r="B25" s="613" t="s">
        <v>702</v>
      </c>
      <c r="C25" s="614" t="s">
        <v>728</v>
      </c>
      <c r="D25" s="615" t="s">
        <v>649</v>
      </c>
      <c r="E25" s="612"/>
      <c r="F25" s="572"/>
      <c r="G25" s="573"/>
      <c r="H25" s="247"/>
      <c r="I25" s="612"/>
      <c r="J25" s="572"/>
      <c r="K25" s="573"/>
      <c r="L25" s="247"/>
      <c r="M25" s="612"/>
      <c r="N25" s="572"/>
      <c r="O25" s="573"/>
      <c r="P25" s="247"/>
      <c r="Q25" s="316" t="s">
        <v>706</v>
      </c>
    </row>
    <row r="26" spans="1:17" s="616" customFormat="1" ht="30.75" customHeight="1">
      <c r="A26" s="609">
        <v>3</v>
      </c>
      <c r="B26" s="2289" t="s">
        <v>730</v>
      </c>
      <c r="C26" s="2292" t="s">
        <v>731</v>
      </c>
      <c r="D26" s="566" t="s">
        <v>654</v>
      </c>
      <c r="E26" s="612"/>
      <c r="F26" s="572"/>
      <c r="G26" s="573"/>
      <c r="H26" s="247"/>
      <c r="I26" s="612"/>
      <c r="J26" s="572"/>
      <c r="K26" s="573"/>
      <c r="L26" s="247"/>
      <c r="M26" s="612"/>
      <c r="N26" s="572"/>
      <c r="O26" s="573"/>
      <c r="P26" s="247"/>
      <c r="Q26" s="316" t="s">
        <v>708</v>
      </c>
    </row>
    <row r="27" spans="1:17" s="616" customFormat="1" ht="30.75" customHeight="1">
      <c r="A27" s="609">
        <v>4</v>
      </c>
      <c r="B27" s="2290"/>
      <c r="C27" s="2292"/>
      <c r="D27" s="566" t="s">
        <v>658</v>
      </c>
      <c r="E27" s="612"/>
      <c r="F27" s="572"/>
      <c r="G27" s="573"/>
      <c r="H27" s="247"/>
      <c r="I27" s="612"/>
      <c r="J27" s="572"/>
      <c r="K27" s="573"/>
      <c r="L27" s="247"/>
      <c r="M27" s="612"/>
      <c r="N27" s="572"/>
      <c r="O27" s="573"/>
      <c r="P27" s="247"/>
      <c r="Q27" s="316" t="s">
        <v>709</v>
      </c>
    </row>
    <row r="28" spans="1:17" s="616" customFormat="1" ht="30.75" customHeight="1">
      <c r="A28" s="609">
        <v>5</v>
      </c>
      <c r="B28" s="2291"/>
      <c r="C28" s="2292"/>
      <c r="D28" s="566" t="s">
        <v>660</v>
      </c>
      <c r="E28" s="80"/>
      <c r="F28" s="572"/>
      <c r="G28" s="617"/>
      <c r="H28" s="80"/>
      <c r="I28" s="80"/>
      <c r="J28" s="572"/>
      <c r="K28" s="617"/>
      <c r="L28" s="80"/>
      <c r="M28" s="80"/>
      <c r="N28" s="572"/>
      <c r="O28" s="617"/>
      <c r="P28" s="80"/>
      <c r="Q28" s="618"/>
    </row>
    <row r="29" spans="1:17" s="621" customFormat="1" ht="30.75" customHeight="1">
      <c r="A29" s="609">
        <v>6</v>
      </c>
      <c r="B29" s="2289" t="s">
        <v>710</v>
      </c>
      <c r="C29" s="611" t="s">
        <v>475</v>
      </c>
      <c r="D29" s="566" t="s">
        <v>485</v>
      </c>
      <c r="E29" s="612"/>
      <c r="F29" s="627"/>
      <c r="G29" s="619"/>
      <c r="H29" s="612"/>
      <c r="I29" s="612"/>
      <c r="J29" s="627"/>
      <c r="K29" s="619"/>
      <c r="L29" s="612"/>
      <c r="M29" s="612"/>
      <c r="N29" s="627"/>
      <c r="O29" s="619"/>
      <c r="P29" s="612"/>
      <c r="Q29" s="620" t="s">
        <v>711</v>
      </c>
    </row>
    <row r="30" spans="1:17" s="621" customFormat="1" ht="30.75" customHeight="1">
      <c r="A30" s="609">
        <v>7</v>
      </c>
      <c r="B30" s="2291"/>
      <c r="C30" s="622" t="s">
        <v>732</v>
      </c>
      <c r="D30" s="1133" t="s">
        <v>1050</v>
      </c>
      <c r="E30" s="612"/>
      <c r="F30" s="572"/>
      <c r="G30" s="573"/>
      <c r="H30" s="247"/>
      <c r="I30" s="612"/>
      <c r="J30" s="572"/>
      <c r="K30" s="573"/>
      <c r="L30" s="247"/>
      <c r="M30" s="612"/>
      <c r="N30" s="572"/>
      <c r="O30" s="573"/>
      <c r="P30" s="247"/>
      <c r="Q30" s="247"/>
    </row>
    <row r="31" spans="1:17" s="616" customFormat="1" ht="25.5" customHeight="1">
      <c r="A31" s="2293" t="s">
        <v>713</v>
      </c>
      <c r="B31" s="2293"/>
      <c r="C31" s="2293"/>
      <c r="D31" s="2293"/>
      <c r="E31" s="2293"/>
      <c r="F31" s="2293"/>
      <c r="G31" s="2293"/>
      <c r="H31" s="2293"/>
      <c r="I31" s="2293"/>
      <c r="J31" s="2293"/>
      <c r="K31" s="2293"/>
      <c r="L31" s="2293"/>
      <c r="M31" s="2293"/>
      <c r="N31" s="2293"/>
      <c r="O31" s="2293"/>
      <c r="P31" s="2293"/>
      <c r="Q31" s="2293"/>
    </row>
    <row r="32" spans="1:17" s="616" customFormat="1" ht="38.25" customHeight="1">
      <c r="A32" s="247" t="s">
        <v>733</v>
      </c>
      <c r="B32" s="623" t="s">
        <v>715</v>
      </c>
      <c r="C32" s="623" t="s">
        <v>716</v>
      </c>
      <c r="D32" s="623" t="s">
        <v>717</v>
      </c>
      <c r="E32" s="2282" t="s">
        <v>991</v>
      </c>
      <c r="F32" s="2282"/>
      <c r="G32" s="2282"/>
      <c r="H32" s="2282"/>
      <c r="I32" s="2282"/>
      <c r="J32" s="2282"/>
      <c r="K32" s="2282"/>
      <c r="L32" s="2282"/>
      <c r="M32" s="2282"/>
      <c r="N32" s="2282"/>
      <c r="O32" s="2282"/>
      <c r="P32" s="2282"/>
      <c r="Q32" s="383"/>
    </row>
    <row r="33" spans="1:17" s="616" customFormat="1" ht="30" customHeight="1">
      <c r="A33" s="247">
        <v>1</v>
      </c>
      <c r="B33" s="956" t="s">
        <v>927</v>
      </c>
      <c r="C33" s="624" t="s">
        <v>719</v>
      </c>
      <c r="D33" s="566" t="s">
        <v>720</v>
      </c>
      <c r="E33" s="2287"/>
      <c r="F33" s="2287"/>
      <c r="G33" s="2287"/>
      <c r="H33" s="2287"/>
      <c r="I33" s="2287"/>
      <c r="J33" s="2287"/>
      <c r="K33" s="2287"/>
      <c r="L33" s="2287"/>
      <c r="M33" s="2287"/>
      <c r="N33" s="2287"/>
      <c r="O33" s="2287"/>
      <c r="P33" s="2287"/>
      <c r="Q33" s="573"/>
    </row>
    <row r="34" spans="1:17" s="616" customFormat="1" ht="30" customHeight="1">
      <c r="A34" s="247">
        <v>2</v>
      </c>
      <c r="B34" s="623" t="s">
        <v>734</v>
      </c>
      <c r="C34" s="624" t="s">
        <v>719</v>
      </c>
      <c r="D34" s="566" t="s">
        <v>722</v>
      </c>
      <c r="E34" s="2287"/>
      <c r="F34" s="2287"/>
      <c r="G34" s="2287"/>
      <c r="H34" s="2287"/>
      <c r="I34" s="2287"/>
      <c r="J34" s="2287"/>
      <c r="K34" s="2287"/>
      <c r="L34" s="2287"/>
      <c r="M34" s="2287"/>
      <c r="N34" s="2287"/>
      <c r="O34" s="2287"/>
      <c r="P34" s="2287"/>
      <c r="Q34" s="573"/>
    </row>
    <row r="35" spans="1:17" s="616" customFormat="1" ht="30" customHeight="1">
      <c r="A35" s="247">
        <v>3</v>
      </c>
      <c r="B35" s="623" t="s">
        <v>723</v>
      </c>
      <c r="C35" s="624" t="s">
        <v>719</v>
      </c>
      <c r="D35" s="566" t="s">
        <v>724</v>
      </c>
      <c r="E35" s="2287"/>
      <c r="F35" s="2287"/>
      <c r="G35" s="2287"/>
      <c r="H35" s="2287"/>
      <c r="I35" s="2287"/>
      <c r="J35" s="2287"/>
      <c r="K35" s="2287"/>
      <c r="L35" s="2287"/>
      <c r="M35" s="2287"/>
      <c r="N35" s="2287"/>
      <c r="O35" s="2287"/>
      <c r="P35" s="2287"/>
      <c r="Q35" s="573"/>
    </row>
  </sheetData>
  <sheetProtection selectLockedCells="1"/>
  <mergeCells count="60">
    <mergeCell ref="E34:H34"/>
    <mergeCell ref="I34:L34"/>
    <mergeCell ref="M34:P34"/>
    <mergeCell ref="E35:H35"/>
    <mergeCell ref="I35:L35"/>
    <mergeCell ref="M35:P35"/>
    <mergeCell ref="B26:B28"/>
    <mergeCell ref="C26:C28"/>
    <mergeCell ref="B29:B30"/>
    <mergeCell ref="A31:Q31"/>
    <mergeCell ref="E32:P32"/>
    <mergeCell ref="E33:H33"/>
    <mergeCell ref="I33:L33"/>
    <mergeCell ref="M33:P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E17:H17"/>
    <mergeCell ref="I17:L17"/>
    <mergeCell ref="M17:P17"/>
    <mergeCell ref="E18:H18"/>
    <mergeCell ref="I18:L18"/>
    <mergeCell ref="M18:P18"/>
    <mergeCell ref="B9:B11"/>
    <mergeCell ref="C9:C11"/>
    <mergeCell ref="B12:B13"/>
    <mergeCell ref="A14:Q14"/>
    <mergeCell ref="E15:P15"/>
    <mergeCell ref="E16:H16"/>
    <mergeCell ref="I16:L16"/>
    <mergeCell ref="M16:P16"/>
    <mergeCell ref="Q4:Q5"/>
    <mergeCell ref="E5:H5"/>
    <mergeCell ref="I5:L5"/>
    <mergeCell ref="M5:P5"/>
    <mergeCell ref="F6:H6"/>
    <mergeCell ref="J6:L6"/>
    <mergeCell ref="N6:P6"/>
    <mergeCell ref="A1:L1"/>
    <mergeCell ref="A2:L2"/>
    <mergeCell ref="O2:P2"/>
    <mergeCell ref="I3:K3"/>
    <mergeCell ref="O3:P3"/>
    <mergeCell ref="A4:A6"/>
    <mergeCell ref="B4:B6"/>
    <mergeCell ref="C4:C6"/>
    <mergeCell ref="D4:D6"/>
    <mergeCell ref="E4:P4"/>
  </mergeCells>
  <phoneticPr fontId="6" type="noConversion"/>
  <conditionalFormatting sqref="E17:L17 E34:H34">
    <cfRule type="expression" dxfId="845" priority="17">
      <formula>E17&lt;65</formula>
    </cfRule>
    <cfRule type="expression" dxfId="844" priority="18">
      <formula>E17&gt;85</formula>
    </cfRule>
  </conditionalFormatting>
  <conditionalFormatting sqref="E18:L18 E35:H35">
    <cfRule type="expression" dxfId="843" priority="15">
      <formula>E18&lt;80</formula>
    </cfRule>
    <cfRule type="expression" dxfId="842" priority="16">
      <formula>E18&gt;90</formula>
    </cfRule>
  </conditionalFormatting>
  <conditionalFormatting sqref="E16 I16 E33">
    <cfRule type="expression" dxfId="841" priority="13">
      <formula>E16&lt;55</formula>
    </cfRule>
    <cfRule type="expression" dxfId="840" priority="14">
      <formula>E16&gt;65</formula>
    </cfRule>
  </conditionalFormatting>
  <conditionalFormatting sqref="M17:P17">
    <cfRule type="expression" dxfId="839" priority="11">
      <formula>M17&lt;65</formula>
    </cfRule>
    <cfRule type="expression" dxfId="838" priority="12">
      <formula>M17&gt;85</formula>
    </cfRule>
  </conditionalFormatting>
  <conditionalFormatting sqref="M18:P18">
    <cfRule type="expression" dxfId="837" priority="9">
      <formula>M18&lt;80</formula>
    </cfRule>
    <cfRule type="expression" dxfId="836" priority="10">
      <formula>M18&gt;90</formula>
    </cfRule>
  </conditionalFormatting>
  <conditionalFormatting sqref="M16">
    <cfRule type="expression" dxfId="835" priority="7">
      <formula>M16&lt;55</formula>
    </cfRule>
    <cfRule type="expression" dxfId="834" priority="8">
      <formula>M16&gt;65</formula>
    </cfRule>
  </conditionalFormatting>
  <conditionalFormatting sqref="I34:P34">
    <cfRule type="expression" dxfId="833" priority="5">
      <formula>I34&lt;65</formula>
    </cfRule>
    <cfRule type="expression" dxfId="832" priority="6">
      <formula>I34&gt;85</formula>
    </cfRule>
  </conditionalFormatting>
  <conditionalFormatting sqref="I35:P35">
    <cfRule type="expression" dxfId="831" priority="3">
      <formula>I35&lt;80</formula>
    </cfRule>
    <cfRule type="expression" dxfId="830" priority="4">
      <formula>I35&gt;90</formula>
    </cfRule>
  </conditionalFormatting>
  <conditionalFormatting sqref="I33 M33">
    <cfRule type="expression" dxfId="829" priority="1">
      <formula>I33&lt;55</formula>
    </cfRule>
    <cfRule type="expression" dxfId="828"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1.xml><?xml version="1.0" encoding="utf-8"?>
<worksheet xmlns="http://schemas.openxmlformats.org/spreadsheetml/2006/main" xmlns:r="http://schemas.openxmlformats.org/officeDocument/2006/relationships">
  <sheetPr codeName="Sheet25">
    <tabColor rgb="FFFFC000"/>
  </sheetPr>
  <dimension ref="A1:R42"/>
  <sheetViews>
    <sheetView topLeftCell="A15" zoomScale="70" zoomScaleNormal="70" workbookViewId="0">
      <selection activeCell="R39" sqref="R39"/>
    </sheetView>
  </sheetViews>
  <sheetFormatPr defaultRowHeight="13.5"/>
  <cols>
    <col min="1" max="1" width="5.5" style="553" customWidth="1"/>
    <col min="2" max="2" width="24.625" style="603" customWidth="1"/>
    <col min="3" max="3" width="11.5" style="603" hidden="1" customWidth="1"/>
    <col min="4" max="4" width="10" style="553" customWidth="1"/>
    <col min="5" max="5" width="15.5" style="553" customWidth="1"/>
    <col min="6" max="6" width="9.25" style="553" customWidth="1"/>
    <col min="7" max="7" width="3.875" style="553" customWidth="1"/>
    <col min="8" max="8" width="7.875" style="553" customWidth="1"/>
    <col min="9" max="9" width="4.375" style="553" customWidth="1"/>
    <col min="10" max="10" width="9.625" style="553" customWidth="1"/>
    <col min="11" max="11" width="2.625" style="553" customWidth="1"/>
    <col min="12" max="12" width="7.875" style="553" customWidth="1"/>
    <col min="13" max="13" width="4.25" style="553" customWidth="1"/>
    <col min="14" max="14" width="9.625" style="553" customWidth="1"/>
    <col min="15" max="15" width="2.625" style="553" customWidth="1"/>
    <col min="16" max="16" width="7.875" style="553" customWidth="1"/>
    <col min="17" max="17" width="4.25" style="553" customWidth="1"/>
    <col min="18" max="18" width="13.875" style="553" customWidth="1"/>
    <col min="19" max="16384" width="9" style="553"/>
  </cols>
  <sheetData>
    <row r="1" spans="1:18" ht="27.75" customHeight="1">
      <c r="A1" s="2230" t="s">
        <v>634</v>
      </c>
      <c r="B1" s="2230"/>
      <c r="C1" s="2230"/>
      <c r="D1" s="2230"/>
      <c r="E1" s="2230"/>
      <c r="F1" s="2230"/>
      <c r="G1" s="2230"/>
      <c r="H1" s="2230"/>
      <c r="I1" s="2230"/>
      <c r="J1" s="2230"/>
      <c r="K1" s="2230"/>
      <c r="L1" s="2230"/>
      <c r="M1" s="2230"/>
      <c r="N1" s="551"/>
      <c r="O1" s="551"/>
      <c r="P1" s="551"/>
      <c r="Q1" s="551"/>
      <c r="R1" s="551"/>
    </row>
    <row r="2" spans="1:18" ht="36.75" customHeight="1">
      <c r="A2" s="2231" t="s">
        <v>996</v>
      </c>
      <c r="B2" s="2231"/>
      <c r="C2" s="2231"/>
      <c r="D2" s="2231"/>
      <c r="E2" s="2231"/>
      <c r="F2" s="2231"/>
      <c r="G2" s="2231"/>
      <c r="H2" s="2231"/>
      <c r="I2" s="2231"/>
      <c r="J2" s="2231"/>
      <c r="K2" s="2231"/>
      <c r="L2" s="2231"/>
      <c r="M2" s="2231"/>
      <c r="N2" s="554"/>
      <c r="O2" s="554"/>
      <c r="P2" s="2021" t="s">
        <v>687</v>
      </c>
      <c r="Q2" s="2022"/>
      <c r="R2" s="90" t="s">
        <v>17</v>
      </c>
    </row>
    <row r="3" spans="1:18" ht="27" customHeight="1">
      <c r="A3" s="555"/>
      <c r="B3" s="556" t="s">
        <v>637</v>
      </c>
      <c r="C3" s="556"/>
      <c r="D3" s="557"/>
      <c r="E3" s="558" t="str">
        <f>'1.xi den'!$G$3</f>
        <v>2022/12/03</v>
      </c>
      <c r="F3" s="557"/>
      <c r="G3" s="557"/>
      <c r="H3" s="557"/>
      <c r="I3" s="557"/>
      <c r="J3" s="2286"/>
      <c r="K3" s="2286"/>
      <c r="L3" s="2286"/>
      <c r="M3" s="605"/>
      <c r="N3" s="556"/>
      <c r="O3" s="556"/>
      <c r="P3" s="2236" t="str">
        <f>'1.xi den'!$N$3</f>
        <v>L.Yen</v>
      </c>
      <c r="Q3" s="2237"/>
      <c r="R3" s="606" t="s">
        <v>688</v>
      </c>
    </row>
    <row r="4" spans="1:18" s="607" customFormat="1" ht="42" customHeight="1">
      <c r="A4" s="2279" t="s">
        <v>726</v>
      </c>
      <c r="B4" s="2282" t="s">
        <v>690</v>
      </c>
      <c r="C4" s="623"/>
      <c r="D4" s="2282" t="s">
        <v>691</v>
      </c>
      <c r="E4" s="2284" t="s">
        <v>692</v>
      </c>
      <c r="F4" s="2256" t="s">
        <v>995</v>
      </c>
      <c r="G4" s="2257"/>
      <c r="H4" s="2257"/>
      <c r="I4" s="2257"/>
      <c r="J4" s="2257"/>
      <c r="K4" s="2257"/>
      <c r="L4" s="2257"/>
      <c r="M4" s="2257"/>
      <c r="N4" s="2257"/>
      <c r="O4" s="2257"/>
      <c r="P4" s="2257"/>
      <c r="Q4" s="2258"/>
      <c r="R4" s="1970" t="s">
        <v>693</v>
      </c>
    </row>
    <row r="5" spans="1:18" s="607" customFormat="1" ht="24" customHeight="1">
      <c r="A5" s="2280"/>
      <c r="B5" s="2282"/>
      <c r="C5" s="623"/>
      <c r="D5" s="2282"/>
      <c r="E5" s="2284"/>
      <c r="F5" s="2241">
        <v>0.33333333333333331</v>
      </c>
      <c r="G5" s="2242"/>
      <c r="H5" s="2242"/>
      <c r="I5" s="2242"/>
      <c r="J5" s="2243">
        <v>0.52083333333333337</v>
      </c>
      <c r="K5" s="2244"/>
      <c r="L5" s="2244"/>
      <c r="M5" s="2245"/>
      <c r="N5" s="2243">
        <v>0.66666666666666663</v>
      </c>
      <c r="O5" s="2244"/>
      <c r="P5" s="2244"/>
      <c r="Q5" s="2245"/>
      <c r="R5" s="1971"/>
    </row>
    <row r="6" spans="1:18" s="607" customFormat="1" ht="42.75" customHeight="1">
      <c r="A6" s="2281"/>
      <c r="B6" s="2283"/>
      <c r="C6" s="247"/>
      <c r="D6" s="2283"/>
      <c r="E6" s="2285"/>
      <c r="F6" s="608" t="s">
        <v>694</v>
      </c>
      <c r="G6" s="2142" t="s">
        <v>695</v>
      </c>
      <c r="H6" s="2147"/>
      <c r="I6" s="2288"/>
      <c r="J6" s="608" t="s">
        <v>694</v>
      </c>
      <c r="K6" s="2142" t="s">
        <v>695</v>
      </c>
      <c r="L6" s="2147"/>
      <c r="M6" s="2288"/>
      <c r="N6" s="608" t="s">
        <v>694</v>
      </c>
      <c r="O6" s="2142" t="s">
        <v>695</v>
      </c>
      <c r="P6" s="2147"/>
      <c r="Q6" s="2288"/>
      <c r="R6" s="620" t="s">
        <v>735</v>
      </c>
    </row>
    <row r="7" spans="1:18" s="616" customFormat="1" ht="24" customHeight="1">
      <c r="A7" s="609">
        <v>1</v>
      </c>
      <c r="B7" s="610" t="s">
        <v>918</v>
      </c>
      <c r="C7" s="955" t="s">
        <v>698</v>
      </c>
      <c r="D7" s="955" t="s">
        <v>698</v>
      </c>
      <c r="E7" s="959" t="s">
        <v>494</v>
      </c>
      <c r="F7" s="567">
        <f>'R.FILE GOC'!H41</f>
        <v>0</v>
      </c>
      <c r="G7" s="568" t="s">
        <v>922</v>
      </c>
      <c r="H7" s="569">
        <f>'R.FILE GOC'!K41</f>
        <v>93.2</v>
      </c>
      <c r="I7" s="953" t="s">
        <v>923</v>
      </c>
      <c r="J7" s="567">
        <f>'R.FILE GOC'!N41</f>
        <v>0</v>
      </c>
      <c r="K7" s="568" t="s">
        <v>922</v>
      </c>
      <c r="L7" s="569">
        <f>'R.FILE GOC'!Q41</f>
        <v>93.2</v>
      </c>
      <c r="M7" s="953" t="s">
        <v>923</v>
      </c>
      <c r="N7" s="567">
        <f>'R.FILE GOC'!T41</f>
        <v>0</v>
      </c>
      <c r="O7" s="568" t="s">
        <v>922</v>
      </c>
      <c r="P7" s="569">
        <f>'R.FILE GOC'!W41</f>
        <v>93.2</v>
      </c>
      <c r="Q7" s="957" t="s">
        <v>700</v>
      </c>
      <c r="R7" s="620" t="s">
        <v>736</v>
      </c>
    </row>
    <row r="8" spans="1:18" s="616" customFormat="1" ht="21" customHeight="1">
      <c r="A8" s="609">
        <v>2</v>
      </c>
      <c r="B8" s="954" t="s">
        <v>702</v>
      </c>
      <c r="C8" s="614" t="s">
        <v>703</v>
      </c>
      <c r="D8" s="614" t="s">
        <v>703</v>
      </c>
      <c r="E8" s="958" t="s">
        <v>470</v>
      </c>
      <c r="F8" s="960">
        <f>'R.FILE GOC'!H42</f>
        <v>0</v>
      </c>
      <c r="G8" s="568" t="s">
        <v>922</v>
      </c>
      <c r="H8" s="569">
        <f>'R.FILE GOC'!K42</f>
        <v>1017.578125</v>
      </c>
      <c r="I8" s="953" t="s">
        <v>924</v>
      </c>
      <c r="J8" s="960">
        <f>'R.FILE GOC'!N42</f>
        <v>0</v>
      </c>
      <c r="K8" s="568" t="s">
        <v>922</v>
      </c>
      <c r="L8" s="569">
        <f>'R.FILE GOC'!Q42</f>
        <v>1017.578125</v>
      </c>
      <c r="M8" s="953" t="s">
        <v>924</v>
      </c>
      <c r="N8" s="960">
        <f>'R.FILE GOC'!T42</f>
        <v>0</v>
      </c>
      <c r="O8" s="568"/>
      <c r="P8" s="569">
        <f>'R.FILE GOC'!W42</f>
        <v>1017.578125</v>
      </c>
      <c r="Q8" s="247"/>
      <c r="R8" s="620"/>
    </row>
    <row r="9" spans="1:18" s="616" customFormat="1" ht="29.25" customHeight="1">
      <c r="A9" s="609">
        <v>3</v>
      </c>
      <c r="B9" s="2289" t="s">
        <v>737</v>
      </c>
      <c r="C9" s="613"/>
      <c r="D9" s="2292" t="s">
        <v>475</v>
      </c>
      <c r="E9" s="566" t="s">
        <v>654</v>
      </c>
      <c r="F9" s="612">
        <f>'R.FILE GOC'!H43</f>
        <v>0</v>
      </c>
      <c r="G9" s="572" t="s">
        <v>650</v>
      </c>
      <c r="H9" s="573">
        <f>'R.FILE GOC'!K43</f>
        <v>246.75</v>
      </c>
      <c r="I9" s="247" t="s">
        <v>727</v>
      </c>
      <c r="J9" s="612">
        <f>'R.FILE GOC'!N43</f>
        <v>0</v>
      </c>
      <c r="K9" s="572" t="s">
        <v>650</v>
      </c>
      <c r="L9" s="573">
        <f>'R.FILE GOC'!Q43</f>
        <v>246.75</v>
      </c>
      <c r="M9" s="247" t="s">
        <v>727</v>
      </c>
      <c r="N9" s="612">
        <f>'R.FILE GOC'!T43</f>
        <v>0</v>
      </c>
      <c r="O9" s="572" t="s">
        <v>650</v>
      </c>
      <c r="P9" s="573">
        <f>'R.FILE GOC'!W43</f>
        <v>246.75</v>
      </c>
      <c r="Q9" s="247" t="s">
        <v>727</v>
      </c>
      <c r="R9" s="620" t="s">
        <v>738</v>
      </c>
    </row>
    <row r="10" spans="1:18" s="616" customFormat="1" ht="29.25" customHeight="1">
      <c r="A10" s="609">
        <v>4</v>
      </c>
      <c r="B10" s="2290"/>
      <c r="C10" s="628"/>
      <c r="D10" s="2292"/>
      <c r="E10" s="566" t="s">
        <v>658</v>
      </c>
      <c r="F10" s="612">
        <f>'R.FILE GOC'!H44</f>
        <v>0</v>
      </c>
      <c r="G10" s="572" t="s">
        <v>650</v>
      </c>
      <c r="H10" s="573">
        <f>'R.FILE GOC'!K44</f>
        <v>32.077500000000001</v>
      </c>
      <c r="I10" s="247" t="s">
        <v>727</v>
      </c>
      <c r="J10" s="612">
        <f>'R.FILE GOC'!N44</f>
        <v>0</v>
      </c>
      <c r="K10" s="572" t="s">
        <v>650</v>
      </c>
      <c r="L10" s="573">
        <f>'R.FILE GOC'!Q44</f>
        <v>32.077500000000001</v>
      </c>
      <c r="M10" s="247" t="s">
        <v>727</v>
      </c>
      <c r="N10" s="612">
        <f>'R.FILE GOC'!T44</f>
        <v>0</v>
      </c>
      <c r="O10" s="572" t="s">
        <v>650</v>
      </c>
      <c r="P10" s="573">
        <f>'R.FILE GOC'!W44</f>
        <v>32.077500000000001</v>
      </c>
      <c r="Q10" s="247" t="s">
        <v>727</v>
      </c>
      <c r="R10" s="620" t="s">
        <v>739</v>
      </c>
    </row>
    <row r="11" spans="1:18" s="616" customFormat="1" ht="29.25" customHeight="1">
      <c r="A11" s="609">
        <v>5</v>
      </c>
      <c r="B11" s="2291"/>
      <c r="C11" s="629"/>
      <c r="D11" s="2292"/>
      <c r="E11" s="566" t="s">
        <v>660</v>
      </c>
      <c r="F11" s="80">
        <f>'R.FILE GOC'!H45</f>
        <v>0</v>
      </c>
      <c r="G11" s="572" t="s">
        <v>650</v>
      </c>
      <c r="H11" s="617" t="str">
        <f>'R.FILE GOC'!K45</f>
        <v>N/A</v>
      </c>
      <c r="I11" s="80" t="s">
        <v>727</v>
      </c>
      <c r="J11" s="80">
        <f>'R.FILE GOC'!N45</f>
        <v>0</v>
      </c>
      <c r="K11" s="572" t="s">
        <v>650</v>
      </c>
      <c r="L11" s="617" t="str">
        <f>'R.FILE GOC'!Q45</f>
        <v>N/A</v>
      </c>
      <c r="M11" s="80" t="s">
        <v>727</v>
      </c>
      <c r="N11" s="80">
        <f>'R.FILE GOC'!T45</f>
        <v>0</v>
      </c>
      <c r="O11" s="572" t="s">
        <v>650</v>
      </c>
      <c r="P11" s="617" t="str">
        <f>'R.FILE GOC'!W45</f>
        <v>N/A</v>
      </c>
      <c r="Q11" s="80" t="s">
        <v>727</v>
      </c>
      <c r="R11" s="620"/>
    </row>
    <row r="12" spans="1:18" s="616" customFormat="1" ht="29.25" hidden="1" customHeight="1">
      <c r="A12" s="609">
        <v>6</v>
      </c>
      <c r="B12" s="2289" t="s">
        <v>740</v>
      </c>
      <c r="C12" s="613"/>
      <c r="D12" s="2292" t="s">
        <v>475</v>
      </c>
      <c r="E12" s="566" t="s">
        <v>654</v>
      </c>
      <c r="F12" s="612" t="e">
        <f>'R.FILE GOC'!#REF!</f>
        <v>#REF!</v>
      </c>
      <c r="G12" s="572" t="s">
        <v>650</v>
      </c>
      <c r="H12" s="573" t="e">
        <f>'R.FILE GOC'!#REF!</f>
        <v>#REF!</v>
      </c>
      <c r="I12" s="247" t="s">
        <v>727</v>
      </c>
      <c r="J12" s="612" t="e">
        <f>'R.FILE GOC'!#REF!</f>
        <v>#REF!</v>
      </c>
      <c r="K12" s="572" t="s">
        <v>650</v>
      </c>
      <c r="L12" s="573" t="e">
        <f>'R.FILE GOC'!#REF!</f>
        <v>#REF!</v>
      </c>
      <c r="M12" s="247" t="s">
        <v>727</v>
      </c>
      <c r="N12" s="612" t="e">
        <f>'R.FILE GOC'!#REF!</f>
        <v>#REF!</v>
      </c>
      <c r="O12" s="572" t="s">
        <v>650</v>
      </c>
      <c r="P12" s="573" t="e">
        <f>'R.FILE GOC'!#REF!</f>
        <v>#REF!</v>
      </c>
      <c r="Q12" s="247" t="s">
        <v>727</v>
      </c>
      <c r="R12" s="620" t="s">
        <v>738</v>
      </c>
    </row>
    <row r="13" spans="1:18" s="616" customFormat="1" ht="29.25" hidden="1" customHeight="1">
      <c r="A13" s="609">
        <v>7</v>
      </c>
      <c r="B13" s="2290"/>
      <c r="C13" s="628"/>
      <c r="D13" s="2292"/>
      <c r="E13" s="566" t="s">
        <v>658</v>
      </c>
      <c r="F13" s="612" t="e">
        <f>'R.FILE GOC'!#REF!</f>
        <v>#REF!</v>
      </c>
      <c r="G13" s="572" t="s">
        <v>650</v>
      </c>
      <c r="H13" s="573" t="e">
        <f>'R.FILE GOC'!#REF!</f>
        <v>#REF!</v>
      </c>
      <c r="I13" s="247" t="s">
        <v>727</v>
      </c>
      <c r="J13" s="612" t="e">
        <f>'R.FILE GOC'!#REF!</f>
        <v>#REF!</v>
      </c>
      <c r="K13" s="572" t="s">
        <v>650</v>
      </c>
      <c r="L13" s="573" t="e">
        <f>'R.FILE GOC'!#REF!</f>
        <v>#REF!</v>
      </c>
      <c r="M13" s="247" t="s">
        <v>727</v>
      </c>
      <c r="N13" s="612" t="e">
        <f>'R.FILE GOC'!#REF!</f>
        <v>#REF!</v>
      </c>
      <c r="O13" s="572" t="s">
        <v>650</v>
      </c>
      <c r="P13" s="573" t="e">
        <f>'R.FILE GOC'!#REF!</f>
        <v>#REF!</v>
      </c>
      <c r="Q13" s="247" t="s">
        <v>727</v>
      </c>
      <c r="R13" s="620" t="s">
        <v>739</v>
      </c>
    </row>
    <row r="14" spans="1:18" s="616" customFormat="1" ht="29.25" hidden="1" customHeight="1">
      <c r="A14" s="609">
        <v>8</v>
      </c>
      <c r="B14" s="2291"/>
      <c r="C14" s="629"/>
      <c r="D14" s="2292"/>
      <c r="E14" s="566" t="s">
        <v>660</v>
      </c>
      <c r="F14" s="80" t="e">
        <f>'R.FILE GOC'!#REF!</f>
        <v>#REF!</v>
      </c>
      <c r="G14" s="572" t="s">
        <v>650</v>
      </c>
      <c r="H14" s="617" t="e">
        <f>'R.FILE GOC'!#REF!</f>
        <v>#REF!</v>
      </c>
      <c r="I14" s="80" t="s">
        <v>727</v>
      </c>
      <c r="J14" s="80" t="e">
        <f>'R.FILE GOC'!#REF!</f>
        <v>#REF!</v>
      </c>
      <c r="K14" s="572" t="s">
        <v>650</v>
      </c>
      <c r="L14" s="617" t="e">
        <f>'R.FILE GOC'!#REF!</f>
        <v>#REF!</v>
      </c>
      <c r="M14" s="80" t="s">
        <v>727</v>
      </c>
      <c r="N14" s="80" t="e">
        <f>'R.FILE GOC'!#REF!</f>
        <v>#REF!</v>
      </c>
      <c r="O14" s="572" t="s">
        <v>650</v>
      </c>
      <c r="P14" s="617" t="e">
        <f>'R.FILE GOC'!#REF!</f>
        <v>#REF!</v>
      </c>
      <c r="Q14" s="80" t="s">
        <v>727</v>
      </c>
      <c r="R14" s="620"/>
    </row>
    <row r="15" spans="1:18" s="621" customFormat="1" ht="29.25" customHeight="1">
      <c r="A15" s="609">
        <v>9</v>
      </c>
      <c r="B15" s="2289" t="s">
        <v>710</v>
      </c>
      <c r="C15" s="613"/>
      <c r="D15" s="611" t="s">
        <v>475</v>
      </c>
      <c r="E15" s="566" t="s">
        <v>485</v>
      </c>
      <c r="F15" s="612">
        <f>'R.FILE GOC'!H46</f>
        <v>0</v>
      </c>
      <c r="G15" s="627" t="s">
        <v>650</v>
      </c>
      <c r="H15" s="619">
        <f>'R.FILE GOC'!K46</f>
        <v>1.234</v>
      </c>
      <c r="I15" s="612" t="s">
        <v>727</v>
      </c>
      <c r="J15" s="612">
        <f>'R.FILE GOC'!N46</f>
        <v>0</v>
      </c>
      <c r="K15" s="627" t="s">
        <v>650</v>
      </c>
      <c r="L15" s="619">
        <f>'R.FILE GOC'!Q46</f>
        <v>1.234</v>
      </c>
      <c r="M15" s="612" t="s">
        <v>727</v>
      </c>
      <c r="N15" s="612">
        <f>'R.FILE GOC'!T46</f>
        <v>0</v>
      </c>
      <c r="O15" s="627" t="s">
        <v>650</v>
      </c>
      <c r="P15" s="619">
        <f>'R.FILE GOC'!W46</f>
        <v>1.234</v>
      </c>
      <c r="Q15" s="612" t="s">
        <v>727</v>
      </c>
      <c r="R15" s="620" t="s">
        <v>711</v>
      </c>
    </row>
    <row r="16" spans="1:18" s="621" customFormat="1" ht="29.25" customHeight="1">
      <c r="A16" s="609">
        <v>10</v>
      </c>
      <c r="B16" s="2291"/>
      <c r="C16" s="629"/>
      <c r="D16" s="622" t="s">
        <v>732</v>
      </c>
      <c r="E16" s="1133" t="s">
        <v>1050</v>
      </c>
      <c r="F16" s="612">
        <f>'R.FILE GOC'!H47</f>
        <v>0</v>
      </c>
      <c r="G16" s="572" t="s">
        <v>650</v>
      </c>
      <c r="H16" s="573"/>
      <c r="I16" s="247" t="s">
        <v>727</v>
      </c>
      <c r="J16" s="612">
        <f>'R.FILE GOC'!N47</f>
        <v>0</v>
      </c>
      <c r="K16" s="572" t="s">
        <v>650</v>
      </c>
      <c r="L16" s="573"/>
      <c r="M16" s="247" t="s">
        <v>727</v>
      </c>
      <c r="N16" s="612">
        <f>'R.FILE GOC'!T47</f>
        <v>0</v>
      </c>
      <c r="O16" s="572" t="s">
        <v>650</v>
      </c>
      <c r="P16" s="573"/>
      <c r="Q16" s="247" t="s">
        <v>727</v>
      </c>
      <c r="R16" s="247"/>
    </row>
    <row r="17" spans="1:18" s="616" customFormat="1" ht="29.25" customHeight="1">
      <c r="A17" s="2293" t="s">
        <v>713</v>
      </c>
      <c r="B17" s="2293"/>
      <c r="C17" s="2293"/>
      <c r="D17" s="2293"/>
      <c r="E17" s="2293"/>
      <c r="F17" s="2293"/>
      <c r="G17" s="2293"/>
      <c r="H17" s="2293"/>
      <c r="I17" s="2293"/>
      <c r="J17" s="2293"/>
      <c r="K17" s="2293"/>
      <c r="L17" s="2293"/>
      <c r="M17" s="2293"/>
      <c r="N17" s="2293"/>
      <c r="O17" s="2293"/>
      <c r="P17" s="2293"/>
      <c r="Q17" s="2293"/>
      <c r="R17" s="2293"/>
    </row>
    <row r="18" spans="1:18" s="616" customFormat="1" ht="29.25" customHeight="1">
      <c r="A18" s="247" t="s">
        <v>733</v>
      </c>
      <c r="B18" s="623" t="s">
        <v>715</v>
      </c>
      <c r="C18" s="623"/>
      <c r="D18" s="623" t="s">
        <v>716</v>
      </c>
      <c r="E18" s="623" t="s">
        <v>717</v>
      </c>
      <c r="F18" s="2282" t="s">
        <v>991</v>
      </c>
      <c r="G18" s="2282"/>
      <c r="H18" s="2282"/>
      <c r="I18" s="2282"/>
      <c r="J18" s="2282"/>
      <c r="K18" s="2282"/>
      <c r="L18" s="2282"/>
      <c r="M18" s="2282"/>
      <c r="N18" s="2282"/>
      <c r="O18" s="2282"/>
      <c r="P18" s="2282"/>
      <c r="Q18" s="2282"/>
      <c r="R18" s="1379"/>
    </row>
    <row r="19" spans="1:18" s="616" customFormat="1" ht="29.25" customHeight="1">
      <c r="A19" s="247">
        <v>1</v>
      </c>
      <c r="B19" s="956" t="s">
        <v>925</v>
      </c>
      <c r="C19" s="623"/>
      <c r="D19" s="624" t="s">
        <v>719</v>
      </c>
      <c r="E19" s="959" t="s">
        <v>720</v>
      </c>
      <c r="F19" s="2287">
        <f>'R.FILE GOC'!K50</f>
        <v>0</v>
      </c>
      <c r="G19" s="2287"/>
      <c r="H19" s="2287"/>
      <c r="I19" s="2287"/>
      <c r="J19" s="2287">
        <f>'R.FILE GOC'!Q50</f>
        <v>0</v>
      </c>
      <c r="K19" s="2287"/>
      <c r="L19" s="2287"/>
      <c r="M19" s="2287"/>
      <c r="N19" s="2287">
        <f>'R.FILE GOC'!W50</f>
        <v>0</v>
      </c>
      <c r="O19" s="2287"/>
      <c r="P19" s="2287"/>
      <c r="Q19" s="2287"/>
      <c r="R19" s="573"/>
    </row>
    <row r="20" spans="1:18" s="616" customFormat="1" ht="29.25" customHeight="1">
      <c r="A20" s="247">
        <v>2</v>
      </c>
      <c r="B20" s="956" t="s">
        <v>926</v>
      </c>
      <c r="C20" s="623"/>
      <c r="D20" s="624" t="s">
        <v>719</v>
      </c>
      <c r="E20" s="566" t="s">
        <v>722</v>
      </c>
      <c r="F20" s="2287">
        <f>'R.FILE GOC'!K51</f>
        <v>0</v>
      </c>
      <c r="G20" s="2287"/>
      <c r="H20" s="2287"/>
      <c r="I20" s="2287"/>
      <c r="J20" s="2287">
        <f>'R.FILE GOC'!Q51</f>
        <v>0</v>
      </c>
      <c r="K20" s="2287"/>
      <c r="L20" s="2287"/>
      <c r="M20" s="2287"/>
      <c r="N20" s="2287">
        <f>'R.FILE GOC'!W51</f>
        <v>0</v>
      </c>
      <c r="O20" s="2287"/>
      <c r="P20" s="2287"/>
      <c r="Q20" s="2287"/>
      <c r="R20" s="573"/>
    </row>
    <row r="21" spans="1:18" s="616" customFormat="1" ht="29.25" customHeight="1">
      <c r="A21" s="247">
        <v>3</v>
      </c>
      <c r="B21" s="623" t="s">
        <v>723</v>
      </c>
      <c r="C21" s="623"/>
      <c r="D21" s="624" t="s">
        <v>719</v>
      </c>
      <c r="E21" s="566" t="s">
        <v>724</v>
      </c>
      <c r="F21" s="2287">
        <f>'R.FILE GOC'!K52</f>
        <v>0</v>
      </c>
      <c r="G21" s="2287"/>
      <c r="H21" s="2287"/>
      <c r="I21" s="2287"/>
      <c r="J21" s="2287">
        <f>'R.FILE GOC'!Q52</f>
        <v>0</v>
      </c>
      <c r="K21" s="2287"/>
      <c r="L21" s="2287"/>
      <c r="M21" s="2287"/>
      <c r="N21" s="2287">
        <f>'R.FILE GOC'!W52</f>
        <v>0</v>
      </c>
      <c r="O21" s="2287"/>
      <c r="P21" s="2287"/>
      <c r="Q21" s="2287"/>
      <c r="R21" s="573"/>
    </row>
    <row r="22" spans="1:18" ht="27.75" customHeight="1">
      <c r="A22" s="2230" t="s">
        <v>634</v>
      </c>
      <c r="B22" s="2230"/>
      <c r="C22" s="2230"/>
      <c r="D22" s="2230"/>
      <c r="E22" s="2230"/>
      <c r="F22" s="2230"/>
      <c r="G22" s="2230"/>
      <c r="H22" s="2230"/>
      <c r="I22" s="2230"/>
      <c r="J22" s="2230"/>
      <c r="K22" s="2230"/>
      <c r="L22" s="2230"/>
      <c r="M22" s="2230"/>
      <c r="N22" s="551"/>
      <c r="O22" s="551"/>
      <c r="P22" s="551"/>
      <c r="Q22" s="551"/>
      <c r="R22" s="551"/>
    </row>
    <row r="23" spans="1:18" ht="36.75" customHeight="1">
      <c r="A23" s="2231" t="s">
        <v>920</v>
      </c>
      <c r="B23" s="2231"/>
      <c r="C23" s="2231"/>
      <c r="D23" s="2231"/>
      <c r="E23" s="2231"/>
      <c r="F23" s="2231"/>
      <c r="G23" s="2231"/>
      <c r="H23" s="2231"/>
      <c r="I23" s="2231"/>
      <c r="J23" s="2231"/>
      <c r="K23" s="2231"/>
      <c r="L23" s="2231"/>
      <c r="M23" s="2231"/>
      <c r="N23" s="554"/>
      <c r="O23" s="554"/>
      <c r="P23" s="554"/>
      <c r="Q23" s="554"/>
      <c r="R23" s="554"/>
    </row>
    <row r="24" spans="1:18" ht="27" customHeight="1">
      <c r="A24" s="555"/>
      <c r="B24" s="556" t="s">
        <v>725</v>
      </c>
      <c r="C24" s="556"/>
      <c r="D24" s="557"/>
      <c r="E24" s="557"/>
      <c r="F24" s="557"/>
      <c r="G24" s="557"/>
      <c r="H24" s="557"/>
      <c r="I24" s="557"/>
      <c r="J24" s="2286"/>
      <c r="K24" s="2286"/>
      <c r="L24" s="2286"/>
      <c r="M24" s="605"/>
      <c r="N24" s="2286"/>
      <c r="O24" s="2286"/>
      <c r="P24" s="2286"/>
      <c r="Q24" s="605"/>
      <c r="R24" s="605"/>
    </row>
    <row r="25" spans="1:18" s="607" customFormat="1" ht="42" customHeight="1">
      <c r="A25" s="2279" t="s">
        <v>726</v>
      </c>
      <c r="B25" s="2282" t="s">
        <v>690</v>
      </c>
      <c r="C25" s="623"/>
      <c r="D25" s="2282" t="s">
        <v>691</v>
      </c>
      <c r="E25" s="2284" t="s">
        <v>692</v>
      </c>
      <c r="F25" s="2256" t="s">
        <v>995</v>
      </c>
      <c r="G25" s="2257"/>
      <c r="H25" s="2257"/>
      <c r="I25" s="2257"/>
      <c r="J25" s="2257"/>
      <c r="K25" s="2257"/>
      <c r="L25" s="2257"/>
      <c r="M25" s="2257"/>
      <c r="N25" s="2257"/>
      <c r="O25" s="2257"/>
      <c r="P25" s="2257"/>
      <c r="Q25" s="2258"/>
      <c r="R25" s="1970" t="s">
        <v>693</v>
      </c>
    </row>
    <row r="26" spans="1:18" s="607" customFormat="1" ht="21" customHeight="1">
      <c r="A26" s="2280"/>
      <c r="B26" s="2282"/>
      <c r="C26" s="623"/>
      <c r="D26" s="2282"/>
      <c r="E26" s="2284"/>
      <c r="F26" s="2241">
        <v>0.83333333333333337</v>
      </c>
      <c r="G26" s="2242"/>
      <c r="H26" s="2242"/>
      <c r="I26" s="2242"/>
      <c r="J26" s="2243">
        <v>4.1666666666666664E-2</v>
      </c>
      <c r="K26" s="2244"/>
      <c r="L26" s="2244"/>
      <c r="M26" s="2245"/>
      <c r="N26" s="2243">
        <v>0.16666666666666666</v>
      </c>
      <c r="O26" s="2244"/>
      <c r="P26" s="2244"/>
      <c r="Q26" s="2245"/>
      <c r="R26" s="1971"/>
    </row>
    <row r="27" spans="1:18" s="607" customFormat="1" ht="40.5" customHeight="1">
      <c r="A27" s="2281"/>
      <c r="B27" s="2283"/>
      <c r="C27" s="247"/>
      <c r="D27" s="2283"/>
      <c r="E27" s="2285"/>
      <c r="F27" s="608" t="s">
        <v>694</v>
      </c>
      <c r="G27" s="2142" t="s">
        <v>695</v>
      </c>
      <c r="H27" s="2147"/>
      <c r="I27" s="2288"/>
      <c r="J27" s="608" t="s">
        <v>694</v>
      </c>
      <c r="K27" s="2142" t="s">
        <v>695</v>
      </c>
      <c r="L27" s="2147"/>
      <c r="M27" s="2288"/>
      <c r="N27" s="608" t="s">
        <v>694</v>
      </c>
      <c r="O27" s="2142" t="s">
        <v>695</v>
      </c>
      <c r="P27" s="2147"/>
      <c r="Q27" s="2288"/>
      <c r="R27" s="631" t="s">
        <v>735</v>
      </c>
    </row>
    <row r="28" spans="1:18" s="616" customFormat="1" ht="30" customHeight="1">
      <c r="A28" s="609">
        <v>1</v>
      </c>
      <c r="B28" s="610" t="s">
        <v>918</v>
      </c>
      <c r="C28" s="955" t="s">
        <v>698</v>
      </c>
      <c r="D28" s="955" t="s">
        <v>698</v>
      </c>
      <c r="E28" s="959" t="s">
        <v>494</v>
      </c>
      <c r="F28" s="567">
        <f>'R.FILE GOC'!Z41</f>
        <v>0</v>
      </c>
      <c r="G28" s="568" t="s">
        <v>922</v>
      </c>
      <c r="H28" s="569">
        <f>'R.FILE GOC'!AC41</f>
        <v>93.2</v>
      </c>
      <c r="I28" s="953" t="s">
        <v>923</v>
      </c>
      <c r="J28" s="567">
        <f>'R.FILE GOC'!AF41</f>
        <v>0</v>
      </c>
      <c r="K28" s="568" t="s">
        <v>922</v>
      </c>
      <c r="L28" s="569">
        <f>'R.FILE GOC'!AI41</f>
        <v>93.2</v>
      </c>
      <c r="M28" s="953" t="s">
        <v>923</v>
      </c>
      <c r="N28" s="567">
        <f>'R.FILE GOC'!AL41</f>
        <v>0</v>
      </c>
      <c r="O28" s="568" t="s">
        <v>922</v>
      </c>
      <c r="P28" s="569">
        <f>'R.FILE GOC'!AO41</f>
        <v>93.2</v>
      </c>
      <c r="Q28" s="957" t="s">
        <v>700</v>
      </c>
      <c r="R28" s="631" t="s">
        <v>741</v>
      </c>
    </row>
    <row r="29" spans="1:18" s="616" customFormat="1" ht="23.25" customHeight="1">
      <c r="A29" s="609">
        <v>2</v>
      </c>
      <c r="B29" s="954" t="s">
        <v>702</v>
      </c>
      <c r="C29" s="614" t="s">
        <v>703</v>
      </c>
      <c r="D29" s="614" t="s">
        <v>703</v>
      </c>
      <c r="E29" s="958" t="s">
        <v>470</v>
      </c>
      <c r="F29" s="960">
        <f>'R.FILE GOC'!Z42</f>
        <v>0</v>
      </c>
      <c r="G29" s="568" t="s">
        <v>922</v>
      </c>
      <c r="H29" s="569">
        <f>'R.FILE GOC'!AC42</f>
        <v>1017.578125</v>
      </c>
      <c r="I29" s="953" t="s">
        <v>924</v>
      </c>
      <c r="J29" s="960">
        <f>'R.FILE GOC'!AF42</f>
        <v>0</v>
      </c>
      <c r="K29" s="568" t="s">
        <v>922</v>
      </c>
      <c r="L29" s="569">
        <f>'R.FILE GOC'!AI42</f>
        <v>1017.578125</v>
      </c>
      <c r="M29" s="953" t="s">
        <v>924</v>
      </c>
      <c r="N29" s="960">
        <f>'R.FILE GOC'!AL42</f>
        <v>0</v>
      </c>
      <c r="O29" s="568" t="s">
        <v>922</v>
      </c>
      <c r="P29" s="569">
        <f>'R.FILE GOC'!AO42</f>
        <v>1017.578125</v>
      </c>
      <c r="Q29" s="247" t="s">
        <v>729</v>
      </c>
      <c r="R29" s="631"/>
    </row>
    <row r="30" spans="1:18" s="616" customFormat="1" ht="30" customHeight="1">
      <c r="A30" s="609">
        <v>3</v>
      </c>
      <c r="B30" s="2289" t="s">
        <v>737</v>
      </c>
      <c r="C30" s="613"/>
      <c r="D30" s="2292" t="s">
        <v>475</v>
      </c>
      <c r="E30" s="566" t="s">
        <v>654</v>
      </c>
      <c r="F30" s="612">
        <f>'R.FILE GOC'!Z43</f>
        <v>0</v>
      </c>
      <c r="G30" s="572" t="s">
        <v>650</v>
      </c>
      <c r="H30" s="573">
        <f>'R.FILE GOC'!AC43</f>
        <v>246.75</v>
      </c>
      <c r="I30" s="247" t="s">
        <v>727</v>
      </c>
      <c r="J30" s="612">
        <f>'R.FILE GOC'!AF43</f>
        <v>0</v>
      </c>
      <c r="K30" s="572" t="s">
        <v>650</v>
      </c>
      <c r="L30" s="573">
        <f>'R.FILE GOC'!AI43</f>
        <v>246.75</v>
      </c>
      <c r="M30" s="247" t="s">
        <v>727</v>
      </c>
      <c r="N30" s="612">
        <f>'R.FILE GOC'!AL43</f>
        <v>0</v>
      </c>
      <c r="O30" s="572" t="s">
        <v>650</v>
      </c>
      <c r="P30" s="573">
        <f>'R.FILE GOC'!AO43</f>
        <v>246.75</v>
      </c>
      <c r="Q30" s="247" t="s">
        <v>727</v>
      </c>
      <c r="R30" s="631" t="s">
        <v>739</v>
      </c>
    </row>
    <row r="31" spans="1:18" s="616" customFormat="1" ht="30" customHeight="1">
      <c r="A31" s="609">
        <v>4</v>
      </c>
      <c r="B31" s="2290"/>
      <c r="C31" s="628"/>
      <c r="D31" s="2292"/>
      <c r="E31" s="566" t="s">
        <v>658</v>
      </c>
      <c r="F31" s="612">
        <f>'R.FILE GOC'!Z44</f>
        <v>0</v>
      </c>
      <c r="G31" s="572" t="s">
        <v>650</v>
      </c>
      <c r="H31" s="573">
        <f>'R.FILE GOC'!AC44</f>
        <v>32.077500000000001</v>
      </c>
      <c r="I31" s="247" t="s">
        <v>727</v>
      </c>
      <c r="J31" s="612">
        <f>'R.FILE GOC'!AF44</f>
        <v>0</v>
      </c>
      <c r="K31" s="572" t="s">
        <v>650</v>
      </c>
      <c r="L31" s="573">
        <f>'R.FILE GOC'!AI44</f>
        <v>32.077500000000001</v>
      </c>
      <c r="M31" s="247" t="s">
        <v>727</v>
      </c>
      <c r="N31" s="612">
        <f>'R.FILE GOC'!AL44</f>
        <v>0</v>
      </c>
      <c r="O31" s="572" t="s">
        <v>650</v>
      </c>
      <c r="P31" s="573">
        <f>'R.FILE GOC'!AO44</f>
        <v>32.077500000000001</v>
      </c>
      <c r="Q31" s="247" t="s">
        <v>727</v>
      </c>
      <c r="R31" s="632"/>
    </row>
    <row r="32" spans="1:18" s="616" customFormat="1" ht="30" customHeight="1">
      <c r="A32" s="609">
        <v>5</v>
      </c>
      <c r="B32" s="2291"/>
      <c r="C32" s="629"/>
      <c r="D32" s="2292"/>
      <c r="E32" s="566" t="s">
        <v>660</v>
      </c>
      <c r="F32" s="80">
        <f>'R.FILE GOC'!Z45</f>
        <v>0</v>
      </c>
      <c r="G32" s="572" t="s">
        <v>650</v>
      </c>
      <c r="H32" s="617" t="str">
        <f>'R.FILE GOC'!AC45</f>
        <v>N/A</v>
      </c>
      <c r="I32" s="80" t="s">
        <v>727</v>
      </c>
      <c r="J32" s="80">
        <f>'R.FILE GOC'!AF45</f>
        <v>0</v>
      </c>
      <c r="K32" s="572" t="s">
        <v>650</v>
      </c>
      <c r="L32" s="617" t="str">
        <f>'R.FILE GOC'!AI45</f>
        <v>N/A</v>
      </c>
      <c r="M32" s="80" t="s">
        <v>727</v>
      </c>
      <c r="N32" s="80">
        <f>'R.FILE GOC'!AL45</f>
        <v>0</v>
      </c>
      <c r="O32" s="572" t="s">
        <v>650</v>
      </c>
      <c r="P32" s="617" t="str">
        <f>'R.FILE GOC'!AO45</f>
        <v>N/A</v>
      </c>
      <c r="Q32" s="80" t="s">
        <v>727</v>
      </c>
      <c r="R32" s="631" t="s">
        <v>738</v>
      </c>
    </row>
    <row r="33" spans="1:18" s="616" customFormat="1" ht="30" hidden="1" customHeight="1">
      <c r="A33" s="609">
        <v>6</v>
      </c>
      <c r="B33" s="2289" t="s">
        <v>740</v>
      </c>
      <c r="C33" s="613"/>
      <c r="D33" s="2292" t="s">
        <v>475</v>
      </c>
      <c r="E33" s="566" t="s">
        <v>654</v>
      </c>
      <c r="F33" s="612" t="e">
        <f>'R.FILE GOC'!#REF!</f>
        <v>#REF!</v>
      </c>
      <c r="G33" s="572" t="s">
        <v>650</v>
      </c>
      <c r="H33" s="573" t="e">
        <f>'R.FILE GOC'!#REF!</f>
        <v>#REF!</v>
      </c>
      <c r="I33" s="247" t="s">
        <v>727</v>
      </c>
      <c r="J33" s="612" t="e">
        <f>'R.FILE GOC'!#REF!</f>
        <v>#REF!</v>
      </c>
      <c r="K33" s="572" t="s">
        <v>650</v>
      </c>
      <c r="L33" s="573" t="e">
        <f>'R.FILE GOC'!#REF!</f>
        <v>#REF!</v>
      </c>
      <c r="M33" s="247" t="s">
        <v>727</v>
      </c>
      <c r="N33" s="612" t="e">
        <f>'R.FILE GOC'!#REF!</f>
        <v>#REF!</v>
      </c>
      <c r="O33" s="572" t="s">
        <v>650</v>
      </c>
      <c r="P33" s="573" t="e">
        <f>'R.FILE GOC'!#REF!</f>
        <v>#REF!</v>
      </c>
      <c r="Q33" s="247" t="s">
        <v>727</v>
      </c>
      <c r="R33" s="631" t="s">
        <v>739</v>
      </c>
    </row>
    <row r="34" spans="1:18" s="616" customFormat="1" ht="30" hidden="1" customHeight="1">
      <c r="A34" s="609">
        <v>7</v>
      </c>
      <c r="B34" s="2290"/>
      <c r="C34" s="628"/>
      <c r="D34" s="2292"/>
      <c r="E34" s="566" t="s">
        <v>658</v>
      </c>
      <c r="F34" s="612" t="e">
        <f>'R.FILE GOC'!#REF!</f>
        <v>#REF!</v>
      </c>
      <c r="G34" s="572" t="s">
        <v>650</v>
      </c>
      <c r="H34" s="573" t="e">
        <f>'R.FILE GOC'!#REF!</f>
        <v>#REF!</v>
      </c>
      <c r="I34" s="247" t="s">
        <v>727</v>
      </c>
      <c r="J34" s="612" t="e">
        <f>'R.FILE GOC'!#REF!</f>
        <v>#REF!</v>
      </c>
      <c r="K34" s="572" t="s">
        <v>650</v>
      </c>
      <c r="L34" s="573" t="e">
        <f>'R.FILE GOC'!#REF!</f>
        <v>#REF!</v>
      </c>
      <c r="M34" s="247" t="s">
        <v>727</v>
      </c>
      <c r="N34" s="612" t="e">
        <f>'R.FILE GOC'!#REF!</f>
        <v>#REF!</v>
      </c>
      <c r="O34" s="572" t="s">
        <v>650</v>
      </c>
      <c r="P34" s="573" t="e">
        <f>'R.FILE GOC'!#REF!</f>
        <v>#REF!</v>
      </c>
      <c r="Q34" s="247" t="s">
        <v>727</v>
      </c>
      <c r="R34" s="631"/>
    </row>
    <row r="35" spans="1:18" s="616" customFormat="1" ht="30" hidden="1" customHeight="1">
      <c r="A35" s="609">
        <v>8</v>
      </c>
      <c r="B35" s="2291"/>
      <c r="C35" s="629"/>
      <c r="D35" s="2292"/>
      <c r="E35" s="566" t="s">
        <v>660</v>
      </c>
      <c r="F35" s="80" t="e">
        <f>'R.FILE GOC'!#REF!</f>
        <v>#REF!</v>
      </c>
      <c r="G35" s="572" t="s">
        <v>650</v>
      </c>
      <c r="H35" s="617" t="e">
        <f>'R.FILE GOC'!#REF!</f>
        <v>#REF!</v>
      </c>
      <c r="I35" s="80" t="s">
        <v>727</v>
      </c>
      <c r="J35" s="80" t="e">
        <f>'R.FILE GOC'!#REF!</f>
        <v>#REF!</v>
      </c>
      <c r="K35" s="572" t="s">
        <v>650</v>
      </c>
      <c r="L35" s="617" t="e">
        <f>'R.FILE GOC'!#REF!</f>
        <v>#REF!</v>
      </c>
      <c r="M35" s="80" t="s">
        <v>727</v>
      </c>
      <c r="N35" s="80" t="e">
        <f>'R.FILE GOC'!#REF!</f>
        <v>#REF!</v>
      </c>
      <c r="O35" s="572" t="s">
        <v>650</v>
      </c>
      <c r="P35" s="617" t="e">
        <f>'R.FILE GOC'!#REF!</f>
        <v>#REF!</v>
      </c>
      <c r="Q35" s="80" t="s">
        <v>727</v>
      </c>
      <c r="R35" s="631" t="s">
        <v>738</v>
      </c>
    </row>
    <row r="36" spans="1:18" s="621" customFormat="1" ht="30" customHeight="1">
      <c r="A36" s="609">
        <v>9</v>
      </c>
      <c r="B36" s="2289" t="s">
        <v>710</v>
      </c>
      <c r="C36" s="613"/>
      <c r="D36" s="611" t="s">
        <v>475</v>
      </c>
      <c r="E36" s="566" t="s">
        <v>485</v>
      </c>
      <c r="F36" s="612">
        <f>'R.FILE GOC'!Z46</f>
        <v>0</v>
      </c>
      <c r="G36" s="627" t="s">
        <v>650</v>
      </c>
      <c r="H36" s="619">
        <f>'R.FILE GOC'!AC46</f>
        <v>1.234</v>
      </c>
      <c r="I36" s="612" t="s">
        <v>727</v>
      </c>
      <c r="J36" s="612">
        <f>'R.FILE GOC'!AF46</f>
        <v>0</v>
      </c>
      <c r="K36" s="627" t="s">
        <v>650</v>
      </c>
      <c r="L36" s="619">
        <f>'R.FILE GOC'!AI46</f>
        <v>1.234</v>
      </c>
      <c r="M36" s="612" t="s">
        <v>727</v>
      </c>
      <c r="N36" s="612">
        <f>'R.FILE GOC'!AL46</f>
        <v>0</v>
      </c>
      <c r="O36" s="627" t="s">
        <v>650</v>
      </c>
      <c r="P36" s="619">
        <f>'R.FILE GOC'!AO46</f>
        <v>1.234</v>
      </c>
      <c r="Q36" s="612" t="s">
        <v>727</v>
      </c>
      <c r="R36" s="620" t="s">
        <v>711</v>
      </c>
    </row>
    <row r="37" spans="1:18" s="621" customFormat="1" ht="30" customHeight="1">
      <c r="A37" s="609">
        <v>10</v>
      </c>
      <c r="B37" s="2291"/>
      <c r="C37" s="629"/>
      <c r="D37" s="622" t="s">
        <v>732</v>
      </c>
      <c r="E37" s="1133" t="s">
        <v>1050</v>
      </c>
      <c r="F37" s="612">
        <f>'R.FILE GOC'!Z47</f>
        <v>0</v>
      </c>
      <c r="G37" s="572" t="s">
        <v>650</v>
      </c>
      <c r="H37" s="573"/>
      <c r="I37" s="247" t="s">
        <v>727</v>
      </c>
      <c r="J37" s="612">
        <f>'R.FILE GOC'!AF47</f>
        <v>0</v>
      </c>
      <c r="K37" s="572" t="s">
        <v>650</v>
      </c>
      <c r="L37" s="573"/>
      <c r="M37" s="247" t="s">
        <v>727</v>
      </c>
      <c r="N37" s="612">
        <f>'R.FILE GOC'!AL47</f>
        <v>0</v>
      </c>
      <c r="O37" s="572" t="s">
        <v>650</v>
      </c>
      <c r="P37" s="573"/>
      <c r="Q37" s="247" t="s">
        <v>727</v>
      </c>
      <c r="R37" s="247"/>
    </row>
    <row r="38" spans="1:18" s="616" customFormat="1" ht="30" customHeight="1">
      <c r="A38" s="2293" t="s">
        <v>713</v>
      </c>
      <c r="B38" s="2293"/>
      <c r="C38" s="2293"/>
      <c r="D38" s="2293"/>
      <c r="E38" s="2293"/>
      <c r="F38" s="2293"/>
      <c r="G38" s="2293"/>
      <c r="H38" s="2293"/>
      <c r="I38" s="2293"/>
      <c r="J38" s="2293"/>
      <c r="K38" s="2293"/>
      <c r="L38" s="2293"/>
      <c r="M38" s="2293"/>
      <c r="N38" s="2293"/>
      <c r="O38" s="2293"/>
      <c r="P38" s="2293"/>
      <c r="Q38" s="2293"/>
      <c r="R38" s="2293"/>
    </row>
    <row r="39" spans="1:18" s="616" customFormat="1" ht="30" customHeight="1">
      <c r="A39" s="247" t="s">
        <v>733</v>
      </c>
      <c r="B39" s="623" t="s">
        <v>715</v>
      </c>
      <c r="C39" s="623"/>
      <c r="D39" s="623" t="s">
        <v>716</v>
      </c>
      <c r="E39" s="623" t="s">
        <v>717</v>
      </c>
      <c r="F39" s="2282" t="s">
        <v>991</v>
      </c>
      <c r="G39" s="2282"/>
      <c r="H39" s="2282"/>
      <c r="I39" s="2282"/>
      <c r="J39" s="2282"/>
      <c r="K39" s="2282"/>
      <c r="L39" s="2282"/>
      <c r="M39" s="2282"/>
      <c r="N39" s="2282"/>
      <c r="O39" s="2282"/>
      <c r="P39" s="2282"/>
      <c r="Q39" s="2282"/>
      <c r="R39" s="1379"/>
    </row>
    <row r="40" spans="1:18" s="616" customFormat="1" ht="30" customHeight="1">
      <c r="A40" s="247">
        <v>1</v>
      </c>
      <c r="B40" s="956" t="s">
        <v>925</v>
      </c>
      <c r="C40" s="623"/>
      <c r="D40" s="624" t="s">
        <v>719</v>
      </c>
      <c r="E40" s="959" t="s">
        <v>720</v>
      </c>
      <c r="F40" s="2287">
        <f>'R.FILE GOC'!AC50</f>
        <v>0</v>
      </c>
      <c r="G40" s="2287"/>
      <c r="H40" s="2287"/>
      <c r="I40" s="2287"/>
      <c r="J40" s="2287">
        <f>'R.FILE GOC'!AI50</f>
        <v>0</v>
      </c>
      <c r="K40" s="2287"/>
      <c r="L40" s="2287"/>
      <c r="M40" s="2287"/>
      <c r="N40" s="2287">
        <f>'R.FILE GOC'!AO50</f>
        <v>0</v>
      </c>
      <c r="O40" s="2287"/>
      <c r="P40" s="2287"/>
      <c r="Q40" s="2287"/>
      <c r="R40" s="316"/>
    </row>
    <row r="41" spans="1:18" s="616" customFormat="1" ht="30" customHeight="1">
      <c r="A41" s="247">
        <v>2</v>
      </c>
      <c r="B41" s="956" t="s">
        <v>926</v>
      </c>
      <c r="C41" s="623"/>
      <c r="D41" s="624" t="s">
        <v>719</v>
      </c>
      <c r="E41" s="566" t="s">
        <v>722</v>
      </c>
      <c r="F41" s="2269">
        <f>'R.FILE GOC'!AC51</f>
        <v>0</v>
      </c>
      <c r="G41" s="2270"/>
      <c r="H41" s="2270"/>
      <c r="I41" s="2270"/>
      <c r="J41" s="2269">
        <f>'R.FILE GOC'!AI51</f>
        <v>0</v>
      </c>
      <c r="K41" s="2270"/>
      <c r="L41" s="2270"/>
      <c r="M41" s="2270"/>
      <c r="N41" s="2269">
        <f>'R.FILE GOC'!AO51</f>
        <v>0</v>
      </c>
      <c r="O41" s="2270"/>
      <c r="P41" s="2270"/>
      <c r="Q41" s="2270"/>
      <c r="R41" s="80"/>
    </row>
    <row r="42" spans="1:18" s="616" customFormat="1" ht="30" customHeight="1">
      <c r="A42" s="247">
        <v>3</v>
      </c>
      <c r="B42" s="623" t="s">
        <v>723</v>
      </c>
      <c r="C42" s="623"/>
      <c r="D42" s="624" t="s">
        <v>719</v>
      </c>
      <c r="E42" s="566" t="s">
        <v>724</v>
      </c>
      <c r="F42" s="2269">
        <f>'R.FILE GOC'!AC52</f>
        <v>0</v>
      </c>
      <c r="G42" s="2270"/>
      <c r="H42" s="2270"/>
      <c r="I42" s="2270"/>
      <c r="J42" s="2269">
        <f>'R.FILE GOC'!AI52</f>
        <v>0</v>
      </c>
      <c r="K42" s="2270"/>
      <c r="L42" s="2270"/>
      <c r="M42" s="2270"/>
      <c r="N42" s="2269">
        <f>'R.FILE GOC'!AO52</f>
        <v>0</v>
      </c>
      <c r="O42" s="2270"/>
      <c r="P42" s="2270"/>
      <c r="Q42" s="2270"/>
      <c r="R42" s="316"/>
    </row>
  </sheetData>
  <sheetProtection selectLockedCells="1"/>
  <mergeCells count="65">
    <mergeCell ref="F41:I41"/>
    <mergeCell ref="J41:M41"/>
    <mergeCell ref="N41:Q41"/>
    <mergeCell ref="F42:I42"/>
    <mergeCell ref="J42:M42"/>
    <mergeCell ref="N42:Q42"/>
    <mergeCell ref="A38:R38"/>
    <mergeCell ref="F39:Q39"/>
    <mergeCell ref="F40:I40"/>
    <mergeCell ref="J40:M40"/>
    <mergeCell ref="N40:Q40"/>
    <mergeCell ref="B30:B32"/>
    <mergeCell ref="D30:D32"/>
    <mergeCell ref="B33:B35"/>
    <mergeCell ref="D33:D35"/>
    <mergeCell ref="B36:B37"/>
    <mergeCell ref="A25:A27"/>
    <mergeCell ref="B25:B27"/>
    <mergeCell ref="D25:D27"/>
    <mergeCell ref="E25:E27"/>
    <mergeCell ref="F25:Q25"/>
    <mergeCell ref="K27:M27"/>
    <mergeCell ref="O27:Q27"/>
    <mergeCell ref="R25:R26"/>
    <mergeCell ref="F26:I26"/>
    <mergeCell ref="J26:M26"/>
    <mergeCell ref="N26:Q26"/>
    <mergeCell ref="G27:I27"/>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A1:M1"/>
    <mergeCell ref="A2:M2"/>
    <mergeCell ref="P2:Q2"/>
    <mergeCell ref="J3:L3"/>
    <mergeCell ref="P3:Q3"/>
  </mergeCells>
  <phoneticPr fontId="6" type="noConversion"/>
  <conditionalFormatting sqref="F20:Q20 F41:I41">
    <cfRule type="expression" dxfId="827" priority="65">
      <formula>F20&lt;65</formula>
    </cfRule>
    <cfRule type="expression" dxfId="826" priority="66">
      <formula>F20&gt;85</formula>
    </cfRule>
  </conditionalFormatting>
  <conditionalFormatting sqref="F42:I42 F21:Q21">
    <cfRule type="expression" dxfId="825" priority="63">
      <formula>F21&lt;80</formula>
    </cfRule>
    <cfRule type="expression" dxfId="824" priority="64">
      <formula>F21&gt;90</formula>
    </cfRule>
  </conditionalFormatting>
  <conditionalFormatting sqref="J41:Q41">
    <cfRule type="expression" dxfId="823" priority="61">
      <formula>J41&lt;65</formula>
    </cfRule>
    <cfRule type="expression" dxfId="822" priority="62">
      <formula>J41&gt;85</formula>
    </cfRule>
  </conditionalFormatting>
  <conditionalFormatting sqref="J42:Q42">
    <cfRule type="expression" dxfId="821" priority="59">
      <formula>J42&lt;80</formula>
    </cfRule>
    <cfRule type="expression" dxfId="820" priority="60">
      <formula>J42&gt;90</formula>
    </cfRule>
  </conditionalFormatting>
  <conditionalFormatting sqref="F8 J8">
    <cfRule type="expression" dxfId="819" priority="57">
      <formula>F8&lt;10</formula>
    </cfRule>
    <cfRule type="expression" dxfId="818" priority="58">
      <formula>F8&gt;15</formula>
    </cfRule>
  </conditionalFormatting>
  <conditionalFormatting sqref="N8">
    <cfRule type="expression" dxfId="817" priority="55">
      <formula>N8&lt;10</formula>
    </cfRule>
    <cfRule type="expression" dxfId="816" priority="56">
      <formula>N8&gt;15</formula>
    </cfRule>
  </conditionalFormatting>
  <conditionalFormatting sqref="J8">
    <cfRule type="expression" dxfId="815" priority="53">
      <formula>J8&lt;10</formula>
    </cfRule>
    <cfRule type="expression" dxfId="814" priority="54">
      <formula>J8&gt;15</formula>
    </cfRule>
  </conditionalFormatting>
  <conditionalFormatting sqref="N8">
    <cfRule type="expression" dxfId="813" priority="51">
      <formula>N8&lt;10</formula>
    </cfRule>
    <cfRule type="expression" dxfId="812" priority="52">
      <formula>N8&gt;15</formula>
    </cfRule>
  </conditionalFormatting>
  <conditionalFormatting sqref="F8">
    <cfRule type="expression" dxfId="811" priority="49">
      <formula>F8&lt;10</formula>
    </cfRule>
    <cfRule type="expression" dxfId="810" priority="50">
      <formula>F8&gt;15</formula>
    </cfRule>
  </conditionalFormatting>
  <conditionalFormatting sqref="F8 J8">
    <cfRule type="expression" dxfId="809" priority="47">
      <formula>F8&lt;10</formula>
    </cfRule>
    <cfRule type="expression" dxfId="808" priority="48">
      <formula>F8&gt;15</formula>
    </cfRule>
  </conditionalFormatting>
  <conditionalFormatting sqref="N8">
    <cfRule type="expression" dxfId="807" priority="45">
      <formula>N8&lt;10</formula>
    </cfRule>
    <cfRule type="expression" dxfId="806" priority="46">
      <formula>N8&gt;15</formula>
    </cfRule>
  </conditionalFormatting>
  <conditionalFormatting sqref="F8">
    <cfRule type="expression" dxfId="805" priority="43">
      <formula>F8&lt;10</formula>
    </cfRule>
    <cfRule type="expression" dxfId="804" priority="44">
      <formula>F8&gt;15</formula>
    </cfRule>
  </conditionalFormatting>
  <conditionalFormatting sqref="F8">
    <cfRule type="expression" dxfId="803" priority="42">
      <formula>F8&lt;1</formula>
    </cfRule>
  </conditionalFormatting>
  <conditionalFormatting sqref="J8">
    <cfRule type="expression" dxfId="802" priority="40">
      <formula>J8&lt;10</formula>
    </cfRule>
    <cfRule type="expression" dxfId="801" priority="41">
      <formula>J8&gt;15</formula>
    </cfRule>
  </conditionalFormatting>
  <conditionalFormatting sqref="J8">
    <cfRule type="expression" dxfId="800" priority="39">
      <formula>J8&lt;1</formula>
    </cfRule>
  </conditionalFormatting>
  <conditionalFormatting sqref="N8">
    <cfRule type="expression" dxfId="799" priority="37">
      <formula>N8&lt;10</formula>
    </cfRule>
    <cfRule type="expression" dxfId="798" priority="38">
      <formula>N8&gt;15</formula>
    </cfRule>
  </conditionalFormatting>
  <conditionalFormatting sqref="N8">
    <cfRule type="expression" dxfId="797" priority="35">
      <formula>N8&lt;10</formula>
    </cfRule>
    <cfRule type="expression" dxfId="796" priority="36">
      <formula>N8&gt;15</formula>
    </cfRule>
  </conditionalFormatting>
  <conditionalFormatting sqref="N8">
    <cfRule type="expression" dxfId="795" priority="34">
      <formula>N8&lt;1</formula>
    </cfRule>
  </conditionalFormatting>
  <conditionalFormatting sqref="F29 J29">
    <cfRule type="expression" dxfId="794" priority="32">
      <formula>F29&lt;10</formula>
    </cfRule>
    <cfRule type="expression" dxfId="793" priority="33">
      <formula>F29&gt;15</formula>
    </cfRule>
  </conditionalFormatting>
  <conditionalFormatting sqref="N29">
    <cfRule type="expression" dxfId="792" priority="30">
      <formula>N29&lt;10</formula>
    </cfRule>
    <cfRule type="expression" dxfId="791" priority="31">
      <formula>N29&gt;15</formula>
    </cfRule>
  </conditionalFormatting>
  <conditionalFormatting sqref="J29">
    <cfRule type="expression" dxfId="790" priority="28">
      <formula>J29&lt;10</formula>
    </cfRule>
    <cfRule type="expression" dxfId="789" priority="29">
      <formula>J29&gt;15</formula>
    </cfRule>
  </conditionalFormatting>
  <conditionalFormatting sqref="N29">
    <cfRule type="expression" dxfId="788" priority="26">
      <formula>N29&lt;10</formula>
    </cfRule>
    <cfRule type="expression" dxfId="787" priority="27">
      <formula>N29&gt;15</formula>
    </cfRule>
  </conditionalFormatting>
  <conditionalFormatting sqref="F29">
    <cfRule type="expression" dxfId="786" priority="24">
      <formula>F29&lt;10</formula>
    </cfRule>
    <cfRule type="expression" dxfId="785" priority="25">
      <formula>F29&gt;15</formula>
    </cfRule>
  </conditionalFormatting>
  <conditionalFormatting sqref="F29 J29">
    <cfRule type="expression" dxfId="784" priority="22">
      <formula>F29&lt;10</formula>
    </cfRule>
    <cfRule type="expression" dxfId="783" priority="23">
      <formula>F29&gt;15</formula>
    </cfRule>
  </conditionalFormatting>
  <conditionalFormatting sqref="N29">
    <cfRule type="expression" dxfId="782" priority="20">
      <formula>N29&lt;10</formula>
    </cfRule>
    <cfRule type="expression" dxfId="781" priority="21">
      <formula>N29&gt;15</formula>
    </cfRule>
  </conditionalFormatting>
  <conditionalFormatting sqref="F29">
    <cfRule type="expression" dxfId="780" priority="18">
      <formula>F29&lt;10</formula>
    </cfRule>
    <cfRule type="expression" dxfId="779" priority="19">
      <formula>F29&gt;15</formula>
    </cfRule>
  </conditionalFormatting>
  <conditionalFormatting sqref="F29">
    <cfRule type="expression" dxfId="778" priority="17">
      <formula>F29&lt;1</formula>
    </cfRule>
  </conditionalFormatting>
  <conditionalFormatting sqref="J29">
    <cfRule type="expression" dxfId="777" priority="15">
      <formula>J29&lt;10</formula>
    </cfRule>
    <cfRule type="expression" dxfId="776" priority="16">
      <formula>J29&gt;15</formula>
    </cfRule>
  </conditionalFormatting>
  <conditionalFormatting sqref="J29">
    <cfRule type="expression" dxfId="775" priority="14">
      <formula>J29&lt;1</formula>
    </cfRule>
  </conditionalFormatting>
  <conditionalFormatting sqref="N29">
    <cfRule type="expression" dxfId="774" priority="12">
      <formula>N29&lt;10</formula>
    </cfRule>
    <cfRule type="expression" dxfId="773" priority="13">
      <formula>N29&gt;15</formula>
    </cfRule>
  </conditionalFormatting>
  <conditionalFormatting sqref="N29">
    <cfRule type="expression" dxfId="772" priority="10">
      <formula>N29&lt;10</formula>
    </cfRule>
    <cfRule type="expression" dxfId="771" priority="11">
      <formula>N29&gt;15</formula>
    </cfRule>
  </conditionalFormatting>
  <conditionalFormatting sqref="N29">
    <cfRule type="expression" dxfId="770" priority="9">
      <formula>N29&lt;1</formula>
    </cfRule>
  </conditionalFormatting>
  <conditionalFormatting sqref="F40">
    <cfRule type="expression" dxfId="769" priority="7">
      <formula>F40&lt;55</formula>
    </cfRule>
    <cfRule type="expression" dxfId="768" priority="8">
      <formula>F40&gt;65</formula>
    </cfRule>
  </conditionalFormatting>
  <conditionalFormatting sqref="J40 N40">
    <cfRule type="expression" dxfId="767" priority="5">
      <formula>J40&lt;55</formula>
    </cfRule>
    <cfRule type="expression" dxfId="766" priority="6">
      <formula>J40&gt;65</formula>
    </cfRule>
  </conditionalFormatting>
  <conditionalFormatting sqref="F19">
    <cfRule type="expression" dxfId="765" priority="3">
      <formula>F19&lt;55</formula>
    </cfRule>
    <cfRule type="expression" dxfId="764" priority="4">
      <formula>F19&gt;65</formula>
    </cfRule>
  </conditionalFormatting>
  <conditionalFormatting sqref="J19 N19">
    <cfRule type="expression" dxfId="763" priority="1">
      <formula>J19&lt;55</formula>
    </cfRule>
    <cfRule type="expression" dxfId="762"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2.xml><?xml version="1.0" encoding="utf-8"?>
<worksheet xmlns="http://schemas.openxmlformats.org/spreadsheetml/2006/main" xmlns:r="http://schemas.openxmlformats.org/officeDocument/2006/relationships">
  <sheetPr codeName="Sheet26">
    <tabColor rgb="FFFFC000"/>
  </sheetPr>
  <dimension ref="A1:R33"/>
  <sheetViews>
    <sheetView topLeftCell="A7" zoomScale="55" zoomScaleNormal="55" workbookViewId="0">
      <selection activeCell="X26" sqref="X26"/>
    </sheetView>
  </sheetViews>
  <sheetFormatPr defaultRowHeight="16.5"/>
  <cols>
    <col min="1" max="1" width="5.25" style="633" customWidth="1"/>
    <col min="2" max="2" width="31.25" style="657" customWidth="1"/>
    <col min="3" max="3" width="8.375" style="633" customWidth="1"/>
    <col min="4" max="4" width="13.125" style="633" customWidth="1"/>
    <col min="5" max="5" width="9.5" style="633" customWidth="1"/>
    <col min="6" max="6" width="3.375" style="633" customWidth="1"/>
    <col min="7" max="7" width="6.375" style="633" customWidth="1"/>
    <col min="8" max="8" width="3.625" style="633" customWidth="1"/>
    <col min="9" max="9" width="9" style="633" customWidth="1"/>
    <col min="10" max="10" width="3.625" style="633" customWidth="1"/>
    <col min="11" max="12" width="5.625" style="633" customWidth="1"/>
    <col min="13" max="14" width="5.375" style="633" customWidth="1"/>
    <col min="15" max="15" width="5.375" style="658" customWidth="1"/>
    <col min="16" max="16" width="5.375" style="633" customWidth="1"/>
    <col min="17" max="18" width="6.375" style="633" customWidth="1"/>
    <col min="19" max="16384" width="9" style="633"/>
  </cols>
  <sheetData>
    <row r="1" spans="1:18" ht="33.75" customHeight="1">
      <c r="A1" s="2302" t="s">
        <v>152</v>
      </c>
      <c r="B1" s="2302"/>
      <c r="C1" s="2302"/>
      <c r="D1" s="2302"/>
      <c r="E1" s="2302"/>
      <c r="F1" s="2302"/>
      <c r="G1" s="2302"/>
      <c r="H1" s="2302"/>
      <c r="I1" s="2302"/>
      <c r="J1" s="2302"/>
      <c r="K1" s="2302"/>
      <c r="L1" s="2302"/>
      <c r="M1" s="2302"/>
      <c r="N1" s="2302"/>
      <c r="O1" s="1448"/>
      <c r="P1" s="1448"/>
      <c r="Q1" s="1448"/>
      <c r="R1" s="1448"/>
    </row>
    <row r="2" spans="1:18" ht="45.75" customHeight="1">
      <c r="A2" s="2303" t="s">
        <v>742</v>
      </c>
      <c r="B2" s="2303"/>
      <c r="C2" s="2303"/>
      <c r="D2" s="2303"/>
      <c r="E2" s="2303"/>
      <c r="F2" s="2303"/>
      <c r="G2" s="2303"/>
      <c r="H2" s="2303"/>
      <c r="I2" s="2303"/>
      <c r="J2" s="2303"/>
      <c r="K2" s="2303"/>
      <c r="L2" s="2303"/>
      <c r="M2" s="2303"/>
      <c r="N2" s="2304"/>
      <c r="O2" s="2029" t="s">
        <v>687</v>
      </c>
      <c r="P2" s="2031"/>
      <c r="Q2" s="2029" t="s">
        <v>17</v>
      </c>
      <c r="R2" s="2031"/>
    </row>
    <row r="3" spans="1:18" ht="31.5" customHeight="1">
      <c r="A3" s="634"/>
      <c r="B3" s="236" t="str">
        <f>'2.RL E'!E3</f>
        <v>2022/12/03</v>
      </c>
      <c r="C3" s="634"/>
      <c r="D3" s="636"/>
      <c r="E3" s="634"/>
      <c r="F3" s="634"/>
      <c r="G3" s="634"/>
      <c r="H3" s="637"/>
      <c r="I3" s="637"/>
      <c r="J3" s="637"/>
      <c r="K3" s="637"/>
      <c r="L3" s="637"/>
      <c r="M3" s="637"/>
      <c r="N3" s="637"/>
      <c r="O3" s="2297" t="str">
        <f>'1.xi den'!N3</f>
        <v>L.Yen</v>
      </c>
      <c r="P3" s="2298"/>
      <c r="Q3" s="2297" t="s">
        <v>743</v>
      </c>
      <c r="R3" s="2298"/>
    </row>
    <row r="4" spans="1:18" s="641" customFormat="1" ht="43.5" customHeight="1">
      <c r="A4" s="2309" t="s">
        <v>7</v>
      </c>
      <c r="B4" s="2310" t="s">
        <v>744</v>
      </c>
      <c r="C4" s="2310" t="s">
        <v>20</v>
      </c>
      <c r="D4" s="2311" t="s">
        <v>745</v>
      </c>
      <c r="E4" s="638" t="s">
        <v>746</v>
      </c>
      <c r="F4" s="639"/>
      <c r="G4" s="639"/>
      <c r="H4" s="639"/>
      <c r="I4" s="639"/>
      <c r="J4" s="639"/>
      <c r="K4" s="639"/>
      <c r="L4" s="640"/>
      <c r="M4" s="2313" t="s">
        <v>747</v>
      </c>
      <c r="N4" s="2314"/>
      <c r="O4" s="2314"/>
      <c r="P4" s="2301"/>
      <c r="Q4" s="2321" t="s">
        <v>693</v>
      </c>
      <c r="R4" s="2322"/>
    </row>
    <row r="5" spans="1:18" s="641" customFormat="1" ht="24" customHeight="1">
      <c r="A5" s="2309"/>
      <c r="B5" s="2310"/>
      <c r="C5" s="2310"/>
      <c r="D5" s="2311"/>
      <c r="E5" s="2299">
        <v>0.33333333333333331</v>
      </c>
      <c r="F5" s="2030"/>
      <c r="G5" s="2030"/>
      <c r="H5" s="2031"/>
      <c r="I5" s="2299">
        <v>0.83333333333333337</v>
      </c>
      <c r="J5" s="2030"/>
      <c r="K5" s="2030"/>
      <c r="L5" s="2031"/>
      <c r="M5" s="2299">
        <v>0.33333333333333331</v>
      </c>
      <c r="N5" s="2031"/>
      <c r="O5" s="2300">
        <v>0.83333333333333337</v>
      </c>
      <c r="P5" s="2301"/>
      <c r="Q5" s="2323"/>
      <c r="R5" s="2324"/>
    </row>
    <row r="6" spans="1:18" s="641" customFormat="1" ht="55.5" customHeight="1">
      <c r="A6" s="2309"/>
      <c r="B6" s="2309"/>
      <c r="C6" s="2309"/>
      <c r="D6" s="2312"/>
      <c r="E6" s="1440" t="s">
        <v>748</v>
      </c>
      <c r="F6" s="2318" t="s">
        <v>749</v>
      </c>
      <c r="G6" s="2319"/>
      <c r="H6" s="2320"/>
      <c r="I6" s="1440" t="s">
        <v>748</v>
      </c>
      <c r="J6" s="2318" t="s">
        <v>749</v>
      </c>
      <c r="K6" s="2319"/>
      <c r="L6" s="2320"/>
      <c r="M6" s="642" t="s">
        <v>750</v>
      </c>
      <c r="N6" s="643" t="s">
        <v>751</v>
      </c>
      <c r="O6" s="642" t="s">
        <v>750</v>
      </c>
      <c r="P6" s="643" t="s">
        <v>751</v>
      </c>
      <c r="Q6" s="2325"/>
      <c r="R6" s="2326"/>
    </row>
    <row r="7" spans="1:18" ht="39.75" customHeight="1">
      <c r="A7" s="1441">
        <v>1</v>
      </c>
      <c r="B7" s="1441" t="s">
        <v>752</v>
      </c>
      <c r="C7" s="1441" t="s">
        <v>4</v>
      </c>
      <c r="D7" s="644" t="s">
        <v>573</v>
      </c>
      <c r="E7" s="37">
        <f>'R.FILE GOC'!H89</f>
        <v>24.2</v>
      </c>
      <c r="F7" s="1449" t="s">
        <v>8</v>
      </c>
      <c r="G7" s="1450">
        <f>'R.FILE GOC'!K89</f>
        <v>1.3056000000000012</v>
      </c>
      <c r="H7" s="1451" t="s">
        <v>9</v>
      </c>
      <c r="I7" s="37"/>
      <c r="J7" s="1449"/>
      <c r="K7" s="1450"/>
      <c r="L7" s="1451"/>
      <c r="M7" s="645"/>
      <c r="N7" s="646"/>
      <c r="O7" s="645"/>
      <c r="P7" s="646"/>
      <c r="Q7" s="2315" t="s">
        <v>12</v>
      </c>
      <c r="R7" s="2316"/>
    </row>
    <row r="8" spans="1:18" ht="39.75" customHeight="1">
      <c r="A8" s="1441">
        <v>2</v>
      </c>
      <c r="B8" s="1441" t="s">
        <v>753</v>
      </c>
      <c r="C8" s="1441" t="s">
        <v>4</v>
      </c>
      <c r="D8" s="644" t="s">
        <v>573</v>
      </c>
      <c r="E8" s="37">
        <f>'R.FILE GOC'!H90</f>
        <v>25</v>
      </c>
      <c r="F8" s="1449" t="s">
        <v>8</v>
      </c>
      <c r="G8" s="1450">
        <f>'R.FILE GOC'!K90</f>
        <v>0</v>
      </c>
      <c r="H8" s="1451" t="s">
        <v>9</v>
      </c>
      <c r="I8" s="37"/>
      <c r="J8" s="1449"/>
      <c r="K8" s="1450"/>
      <c r="L8" s="1451"/>
      <c r="M8" s="645"/>
      <c r="N8" s="646"/>
      <c r="O8" s="645"/>
      <c r="P8" s="646"/>
      <c r="Q8" s="2315" t="s">
        <v>12</v>
      </c>
      <c r="R8" s="2316"/>
    </row>
    <row r="9" spans="1:18" ht="39.75" customHeight="1">
      <c r="A9" s="1441">
        <v>3</v>
      </c>
      <c r="B9" s="1441" t="s">
        <v>754</v>
      </c>
      <c r="C9" s="1441" t="s">
        <v>58</v>
      </c>
      <c r="D9" s="644" t="s">
        <v>579</v>
      </c>
      <c r="E9" s="37">
        <f>'R.FILE GOC'!H91</f>
        <v>247.2</v>
      </c>
      <c r="F9" s="1449" t="s">
        <v>8</v>
      </c>
      <c r="G9" s="1450">
        <f>'R.FILE GOC'!K91</f>
        <v>4.569600000000019</v>
      </c>
      <c r="H9" s="1451" t="s">
        <v>1284</v>
      </c>
      <c r="I9" s="37"/>
      <c r="J9" s="1449"/>
      <c r="K9" s="1450"/>
      <c r="L9" s="1451"/>
      <c r="M9" s="645"/>
      <c r="N9" s="646"/>
      <c r="O9" s="645"/>
      <c r="P9" s="646"/>
      <c r="Q9" s="2315" t="s">
        <v>16</v>
      </c>
      <c r="R9" s="2316"/>
    </row>
    <row r="10" spans="1:18" ht="39.75" customHeight="1">
      <c r="A10" s="1441">
        <v>4</v>
      </c>
      <c r="B10" s="1442" t="s">
        <v>1285</v>
      </c>
      <c r="C10" s="1441" t="s">
        <v>4</v>
      </c>
      <c r="D10" s="644" t="s">
        <v>581</v>
      </c>
      <c r="E10" s="37">
        <f>'R.FILE GOC'!H92</f>
        <v>134.6</v>
      </c>
      <c r="F10" s="1449" t="s">
        <v>8</v>
      </c>
      <c r="G10" s="1450">
        <f>'R.FILE GOC'!K92</f>
        <v>0</v>
      </c>
      <c r="H10" s="1451" t="s">
        <v>9</v>
      </c>
      <c r="I10" s="37"/>
      <c r="J10" s="1449"/>
      <c r="K10" s="1450"/>
      <c r="L10" s="1451"/>
      <c r="M10" s="645"/>
      <c r="N10" s="646"/>
      <c r="O10" s="645"/>
      <c r="P10" s="646"/>
      <c r="Q10" s="2315" t="s">
        <v>755</v>
      </c>
      <c r="R10" s="2316"/>
    </row>
    <row r="11" spans="1:18" ht="39.75" customHeight="1">
      <c r="A11" s="1441">
        <v>5</v>
      </c>
      <c r="B11" s="1442" t="s">
        <v>1286</v>
      </c>
      <c r="C11" s="1441" t="s">
        <v>4</v>
      </c>
      <c r="D11" s="647" t="s">
        <v>583</v>
      </c>
      <c r="E11" s="37">
        <f>'R.FILE GOC'!H93</f>
        <v>4.9000000000000004</v>
      </c>
      <c r="F11" s="1449" t="s">
        <v>8</v>
      </c>
      <c r="G11" s="1450" t="str">
        <f>'R.FILE GOC'!K93</f>
        <v>N/A</v>
      </c>
      <c r="H11" s="1451" t="s">
        <v>9</v>
      </c>
      <c r="I11" s="37"/>
      <c r="J11" s="1449"/>
      <c r="K11" s="1450"/>
      <c r="L11" s="1451"/>
      <c r="M11" s="645"/>
      <c r="N11" s="646"/>
      <c r="O11" s="645"/>
      <c r="P11" s="646"/>
      <c r="Q11" s="2315" t="s">
        <v>756</v>
      </c>
      <c r="R11" s="2316"/>
    </row>
    <row r="12" spans="1:18" ht="39.75" customHeight="1">
      <c r="A12" s="1441">
        <v>6</v>
      </c>
      <c r="B12" s="1442" t="s">
        <v>1287</v>
      </c>
      <c r="C12" s="1441" t="s">
        <v>4</v>
      </c>
      <c r="D12" s="644" t="s">
        <v>581</v>
      </c>
      <c r="E12" s="37">
        <f>'R.FILE GOC'!H94</f>
        <v>138</v>
      </c>
      <c r="F12" s="1449" t="s">
        <v>8</v>
      </c>
      <c r="G12" s="1450">
        <f>'R.FILE GOC'!K94</f>
        <v>0</v>
      </c>
      <c r="H12" s="1451" t="s">
        <v>9</v>
      </c>
      <c r="I12" s="37"/>
      <c r="J12" s="1449"/>
      <c r="K12" s="1450"/>
      <c r="L12" s="1451"/>
      <c r="M12" s="645"/>
      <c r="N12" s="646"/>
      <c r="O12" s="645"/>
      <c r="P12" s="646"/>
      <c r="Q12" s="2315" t="s">
        <v>755</v>
      </c>
      <c r="R12" s="2316"/>
    </row>
    <row r="13" spans="1:18" ht="39.75" customHeight="1">
      <c r="A13" s="1441">
        <v>7</v>
      </c>
      <c r="B13" s="1442" t="s">
        <v>1288</v>
      </c>
      <c r="C13" s="1441" t="s">
        <v>4</v>
      </c>
      <c r="D13" s="647" t="s">
        <v>583</v>
      </c>
      <c r="E13" s="37">
        <f>'R.FILE GOC'!H95</f>
        <v>4.4000000000000004</v>
      </c>
      <c r="F13" s="1449" t="s">
        <v>8</v>
      </c>
      <c r="G13" s="1450" t="str">
        <f>'R.FILE GOC'!K95</f>
        <v>N/A</v>
      </c>
      <c r="H13" s="1451" t="s">
        <v>9</v>
      </c>
      <c r="I13" s="37"/>
      <c r="J13" s="1449"/>
      <c r="K13" s="1450"/>
      <c r="L13" s="1451"/>
      <c r="M13" s="645"/>
      <c r="N13" s="646"/>
      <c r="O13" s="645"/>
      <c r="P13" s="646"/>
      <c r="Q13" s="2315" t="s">
        <v>756</v>
      </c>
      <c r="R13" s="2316"/>
    </row>
    <row r="14" spans="1:18" ht="39.75" customHeight="1">
      <c r="A14" s="1441">
        <v>8</v>
      </c>
      <c r="B14" s="1442" t="s">
        <v>1289</v>
      </c>
      <c r="C14" s="1441" t="s">
        <v>4</v>
      </c>
      <c r="D14" s="644" t="s">
        <v>581</v>
      </c>
      <c r="E14" s="37">
        <f>'R.FILE GOC'!H96</f>
        <v>135</v>
      </c>
      <c r="F14" s="1449" t="s">
        <v>8</v>
      </c>
      <c r="G14" s="1450">
        <f>'R.FILE GOC'!K96</f>
        <v>0</v>
      </c>
      <c r="H14" s="1451" t="s">
        <v>9</v>
      </c>
      <c r="I14" s="37"/>
      <c r="J14" s="1449"/>
      <c r="K14" s="1450"/>
      <c r="L14" s="1451"/>
      <c r="M14" s="645"/>
      <c r="N14" s="646"/>
      <c r="O14" s="645"/>
      <c r="P14" s="646"/>
      <c r="Q14" s="2315" t="s">
        <v>755</v>
      </c>
      <c r="R14" s="2316"/>
    </row>
    <row r="15" spans="1:18" ht="39.75" customHeight="1">
      <c r="A15" s="1441">
        <v>9</v>
      </c>
      <c r="B15" s="1442" t="s">
        <v>1290</v>
      </c>
      <c r="C15" s="1441" t="s">
        <v>4</v>
      </c>
      <c r="D15" s="647" t="s">
        <v>583</v>
      </c>
      <c r="E15" s="37">
        <f>'R.FILE GOC'!H97</f>
        <v>4.5</v>
      </c>
      <c r="F15" s="1449" t="s">
        <v>8</v>
      </c>
      <c r="G15" s="1450" t="str">
        <f>'R.FILE GOC'!K97</f>
        <v>N/A</v>
      </c>
      <c r="H15" s="1451" t="s">
        <v>9</v>
      </c>
      <c r="I15" s="37"/>
      <c r="J15" s="1449"/>
      <c r="K15" s="1450"/>
      <c r="L15" s="1451"/>
      <c r="M15" s="645"/>
      <c r="N15" s="646"/>
      <c r="O15" s="645"/>
      <c r="P15" s="646"/>
      <c r="Q15" s="2315" t="s">
        <v>756</v>
      </c>
      <c r="R15" s="2316"/>
    </row>
    <row r="16" spans="1:18" ht="39.75" customHeight="1">
      <c r="A16" s="2305">
        <v>10</v>
      </c>
      <c r="B16" s="2307" t="s">
        <v>757</v>
      </c>
      <c r="C16" s="1441" t="s">
        <v>4</v>
      </c>
      <c r="D16" s="644" t="s">
        <v>590</v>
      </c>
      <c r="E16" s="37">
        <f>'R.FILE GOC'!H98</f>
        <v>10.816000000000001</v>
      </c>
      <c r="F16" s="1449" t="s">
        <v>8</v>
      </c>
      <c r="G16" s="1450">
        <f>'R.FILE GOC'!K98</f>
        <v>0</v>
      </c>
      <c r="H16" s="1451" t="s">
        <v>9</v>
      </c>
      <c r="I16" s="37"/>
      <c r="J16" s="1449"/>
      <c r="K16" s="1450"/>
      <c r="L16" s="1451"/>
      <c r="M16" s="645"/>
      <c r="N16" s="646"/>
      <c r="O16" s="645"/>
      <c r="P16" s="646"/>
      <c r="Q16" s="2315" t="s">
        <v>758</v>
      </c>
      <c r="R16" s="2316"/>
    </row>
    <row r="17" spans="1:18" ht="33" customHeight="1">
      <c r="A17" s="2306"/>
      <c r="B17" s="2308"/>
      <c r="C17" s="1441" t="s">
        <v>5</v>
      </c>
      <c r="D17" s="644" t="s">
        <v>592</v>
      </c>
      <c r="E17" s="699">
        <f>'R.FILE GOC'!H99</f>
        <v>7</v>
      </c>
      <c r="F17" s="1452"/>
      <c r="G17" s="1452"/>
      <c r="H17" s="1452"/>
      <c r="I17" s="699"/>
      <c r="J17" s="1453"/>
      <c r="K17" s="1453"/>
      <c r="L17" s="1454"/>
      <c r="M17" s="645"/>
      <c r="N17" s="646"/>
      <c r="O17" s="645"/>
      <c r="P17" s="646"/>
      <c r="Q17" s="2317"/>
      <c r="R17" s="2316"/>
    </row>
    <row r="18" spans="1:18" ht="0.75" customHeight="1">
      <c r="A18" s="1441">
        <v>11</v>
      </c>
      <c r="B18" s="649" t="s">
        <v>759</v>
      </c>
      <c r="C18" s="1443" t="s">
        <v>5</v>
      </c>
      <c r="D18" s="1442" t="s">
        <v>595</v>
      </c>
      <c r="E18" s="1455">
        <f>'R.FILE GOC'!H100</f>
        <v>0</v>
      </c>
      <c r="F18" s="1452"/>
      <c r="G18" s="1452"/>
      <c r="H18" s="1452"/>
      <c r="I18" s="1455"/>
      <c r="J18" s="1453"/>
      <c r="K18" s="1453"/>
      <c r="L18" s="1454"/>
      <c r="M18" s="645"/>
      <c r="N18" s="646"/>
      <c r="O18" s="650"/>
      <c r="P18" s="646"/>
      <c r="Q18" s="2327"/>
      <c r="R18" s="2328"/>
    </row>
    <row r="19" spans="1:18" ht="32.25" hidden="1" customHeight="1">
      <c r="A19" s="1441">
        <v>12</v>
      </c>
      <c r="B19" s="651" t="s">
        <v>760</v>
      </c>
      <c r="C19" s="1443" t="s">
        <v>5</v>
      </c>
      <c r="D19" s="1442" t="s">
        <v>598</v>
      </c>
      <c r="E19" s="1455">
        <f>'R.FILE GOC'!H101</f>
        <v>0</v>
      </c>
      <c r="F19" s="1452"/>
      <c r="G19" s="1452"/>
      <c r="H19" s="1452"/>
      <c r="I19" s="1455"/>
      <c r="J19" s="1456"/>
      <c r="K19" s="1456"/>
      <c r="L19" s="1457"/>
      <c r="M19" s="645"/>
      <c r="N19" s="646"/>
      <c r="O19" s="650"/>
      <c r="P19" s="646"/>
      <c r="Q19" s="2327"/>
      <c r="R19" s="2328"/>
    </row>
    <row r="20" spans="1:18" ht="32.25" customHeight="1">
      <c r="A20" s="1441">
        <v>13</v>
      </c>
      <c r="B20" s="649" t="s">
        <v>761</v>
      </c>
      <c r="C20" s="1443" t="s">
        <v>5</v>
      </c>
      <c r="D20" s="1442" t="s">
        <v>595</v>
      </c>
      <c r="E20" s="699">
        <f>'R.FILE GOC'!H102</f>
        <v>5.62</v>
      </c>
      <c r="F20" s="1452"/>
      <c r="G20" s="1452"/>
      <c r="H20" s="1452"/>
      <c r="I20" s="699"/>
      <c r="J20" s="1456"/>
      <c r="K20" s="1456"/>
      <c r="L20" s="1457"/>
      <c r="M20" s="645"/>
      <c r="N20" s="646"/>
      <c r="O20" s="650"/>
      <c r="P20" s="646"/>
      <c r="Q20" s="2327"/>
      <c r="R20" s="2328"/>
    </row>
    <row r="21" spans="1:18" ht="31.5" customHeight="1">
      <c r="A21" s="1441"/>
      <c r="B21" s="652" t="s">
        <v>155</v>
      </c>
      <c r="C21" s="653"/>
      <c r="D21" s="653"/>
      <c r="E21" s="653"/>
      <c r="F21" s="653"/>
      <c r="G21" s="653"/>
      <c r="H21" s="653"/>
      <c r="I21" s="653"/>
      <c r="J21" s="653"/>
      <c r="K21" s="653"/>
      <c r="L21" s="653"/>
      <c r="M21" s="653"/>
      <c r="N21" s="653"/>
      <c r="O21" s="653"/>
      <c r="P21" s="653"/>
      <c r="Q21" s="653"/>
      <c r="R21" s="654"/>
    </row>
    <row r="22" spans="1:18" ht="43.5" customHeight="1">
      <c r="A22" s="2305" t="s">
        <v>7</v>
      </c>
      <c r="B22" s="2329" t="s">
        <v>23</v>
      </c>
      <c r="C22" s="2329" t="s">
        <v>24</v>
      </c>
      <c r="D22" s="2329" t="s">
        <v>25</v>
      </c>
      <c r="E22" s="2310" t="s">
        <v>48</v>
      </c>
      <c r="F22" s="2310"/>
      <c r="G22" s="2331" t="s">
        <v>65</v>
      </c>
      <c r="H22" s="2331"/>
      <c r="I22" s="2310" t="s">
        <v>48</v>
      </c>
      <c r="J22" s="2310"/>
      <c r="K22" s="2331" t="s">
        <v>65</v>
      </c>
      <c r="L22" s="2331"/>
      <c r="M22" s="2332"/>
      <c r="N22" s="2332"/>
      <c r="O22" s="2329"/>
      <c r="P22" s="2332"/>
      <c r="Q22" s="2336"/>
      <c r="R22" s="2337"/>
    </row>
    <row r="23" spans="1:18" ht="22.5" customHeight="1">
      <c r="A23" s="2306"/>
      <c r="B23" s="2330"/>
      <c r="C23" s="2330"/>
      <c r="D23" s="2330"/>
      <c r="E23" s="2299">
        <v>0.33333333333333331</v>
      </c>
      <c r="F23" s="2030"/>
      <c r="G23" s="2030"/>
      <c r="H23" s="2031"/>
      <c r="I23" s="2299">
        <v>0.83333333333333337</v>
      </c>
      <c r="J23" s="2030"/>
      <c r="K23" s="2030"/>
      <c r="L23" s="2031"/>
      <c r="M23" s="2333"/>
      <c r="N23" s="2333"/>
      <c r="O23" s="2330"/>
      <c r="P23" s="2333"/>
      <c r="Q23" s="2338"/>
      <c r="R23" s="2339"/>
    </row>
    <row r="24" spans="1:18" ht="36.75" customHeight="1">
      <c r="A24" s="1441">
        <v>1</v>
      </c>
      <c r="B24" s="1441" t="s">
        <v>752</v>
      </c>
      <c r="C24" s="655" t="s">
        <v>28</v>
      </c>
      <c r="D24" s="656" t="s">
        <v>762</v>
      </c>
      <c r="E24" s="1866">
        <v>60</v>
      </c>
      <c r="F24" s="1867"/>
      <c r="G24" s="1866">
        <f>'R.FILE GOC'!K105</f>
        <v>61</v>
      </c>
      <c r="H24" s="1867"/>
      <c r="I24" s="1869"/>
      <c r="J24" s="1869"/>
      <c r="K24" s="1869"/>
      <c r="L24" s="1869"/>
      <c r="M24" s="1432"/>
      <c r="N24" s="1432"/>
      <c r="O24" s="2334"/>
      <c r="P24" s="2335"/>
      <c r="Q24" s="2327"/>
      <c r="R24" s="2328"/>
    </row>
    <row r="25" spans="1:18" ht="36.75" customHeight="1">
      <c r="A25" s="1441">
        <v>2</v>
      </c>
      <c r="B25" s="1441" t="s">
        <v>753</v>
      </c>
      <c r="C25" s="655" t="s">
        <v>28</v>
      </c>
      <c r="D25" s="656" t="s">
        <v>762</v>
      </c>
      <c r="E25" s="1866">
        <v>60</v>
      </c>
      <c r="F25" s="1867"/>
      <c r="G25" s="1866">
        <f>'R.FILE GOC'!K106</f>
        <v>61</v>
      </c>
      <c r="H25" s="1867"/>
      <c r="I25" s="1869"/>
      <c r="J25" s="1869"/>
      <c r="K25" s="1869"/>
      <c r="L25" s="1869"/>
      <c r="M25" s="1432"/>
      <c r="N25" s="1432"/>
      <c r="O25" s="2334"/>
      <c r="P25" s="2335"/>
      <c r="Q25" s="2327"/>
      <c r="R25" s="2328"/>
    </row>
    <row r="26" spans="1:18" ht="36.75" customHeight="1">
      <c r="A26" s="1441">
        <v>3</v>
      </c>
      <c r="B26" s="1442" t="s">
        <v>1291</v>
      </c>
      <c r="C26" s="655" t="s">
        <v>28</v>
      </c>
      <c r="D26" s="656" t="s">
        <v>763</v>
      </c>
      <c r="E26" s="1866">
        <f>'R.FILE GOC'!H107</f>
        <v>22</v>
      </c>
      <c r="F26" s="1867"/>
      <c r="G26" s="1866">
        <f>'R.FILE GOC'!K107</f>
        <v>21</v>
      </c>
      <c r="H26" s="1867"/>
      <c r="I26" s="1866"/>
      <c r="J26" s="1867"/>
      <c r="K26" s="1866"/>
      <c r="L26" s="1867"/>
      <c r="M26" s="1432"/>
      <c r="N26" s="1432"/>
      <c r="O26" s="2334"/>
      <c r="P26" s="2335"/>
      <c r="Q26" s="2327"/>
      <c r="R26" s="2328"/>
    </row>
    <row r="27" spans="1:18" ht="36.75" customHeight="1">
      <c r="A27" s="1441">
        <v>4</v>
      </c>
      <c r="B27" s="1442" t="s">
        <v>1292</v>
      </c>
      <c r="C27" s="655" t="s">
        <v>28</v>
      </c>
      <c r="D27" s="656" t="s">
        <v>763</v>
      </c>
      <c r="E27" s="1866">
        <f>'R.FILE GOC'!H108</f>
        <v>19</v>
      </c>
      <c r="F27" s="1867"/>
      <c r="G27" s="1866">
        <v>20</v>
      </c>
      <c r="H27" s="1867"/>
      <c r="I27" s="1866"/>
      <c r="J27" s="1867"/>
      <c r="K27" s="1866"/>
      <c r="L27" s="1867"/>
      <c r="M27" s="1432"/>
      <c r="N27" s="1432"/>
      <c r="O27" s="2334"/>
      <c r="P27" s="2335"/>
      <c r="Q27" s="2327"/>
      <c r="R27" s="2328"/>
    </row>
    <row r="28" spans="1:18" ht="36.75" customHeight="1">
      <c r="A28" s="1441">
        <v>5</v>
      </c>
      <c r="B28" s="1442" t="s">
        <v>1293</v>
      </c>
      <c r="C28" s="655" t="s">
        <v>28</v>
      </c>
      <c r="D28" s="656" t="s">
        <v>763</v>
      </c>
      <c r="E28" s="1866">
        <f>'R.FILE GOC'!H109</f>
        <v>21</v>
      </c>
      <c r="F28" s="1867"/>
      <c r="G28" s="1866">
        <f>'R.FILE GOC'!K109</f>
        <v>19</v>
      </c>
      <c r="H28" s="1867"/>
      <c r="I28" s="1866"/>
      <c r="J28" s="1867"/>
      <c r="K28" s="1866"/>
      <c r="L28" s="1867"/>
      <c r="M28" s="1432"/>
      <c r="N28" s="1432"/>
      <c r="O28" s="2334"/>
      <c r="P28" s="2335"/>
      <c r="Q28" s="2327"/>
      <c r="R28" s="2328"/>
    </row>
    <row r="29" spans="1:18" ht="36.75" customHeight="1">
      <c r="A29" s="1441">
        <v>6</v>
      </c>
      <c r="B29" s="1442" t="s">
        <v>764</v>
      </c>
      <c r="C29" s="655" t="s">
        <v>28</v>
      </c>
      <c r="D29" s="656" t="s">
        <v>765</v>
      </c>
      <c r="E29" s="1866">
        <f>'R.FILE GOC'!H110</f>
        <v>39</v>
      </c>
      <c r="F29" s="1867"/>
      <c r="G29" s="1866">
        <f>'R.FILE GOC'!K110</f>
        <v>37</v>
      </c>
      <c r="H29" s="1867"/>
      <c r="I29" s="1869"/>
      <c r="J29" s="1869"/>
      <c r="K29" s="1869"/>
      <c r="L29" s="1869"/>
      <c r="M29" s="1432"/>
      <c r="N29" s="1432"/>
      <c r="O29" s="2334"/>
      <c r="P29" s="2335"/>
      <c r="Q29" s="2327"/>
      <c r="R29" s="2328"/>
    </row>
    <row r="30" spans="1:18" ht="1.5" customHeight="1">
      <c r="A30" s="1441">
        <v>7</v>
      </c>
      <c r="B30" s="649" t="s">
        <v>759</v>
      </c>
      <c r="C30" s="655" t="s">
        <v>28</v>
      </c>
      <c r="D30" s="656" t="s">
        <v>766</v>
      </c>
      <c r="E30" s="1866">
        <f>'R.FILE GOC'!H111</f>
        <v>0</v>
      </c>
      <c r="F30" s="1867"/>
      <c r="G30" s="1866">
        <f>'R.FILE GOC'!K111</f>
        <v>0</v>
      </c>
      <c r="H30" s="1867"/>
      <c r="I30" s="1866"/>
      <c r="J30" s="1867"/>
      <c r="K30" s="1866"/>
      <c r="L30" s="1867"/>
      <c r="M30" s="1432"/>
      <c r="N30" s="1432"/>
      <c r="O30" s="2340"/>
      <c r="P30" s="2341"/>
      <c r="Q30" s="2327"/>
      <c r="R30" s="2328"/>
    </row>
    <row r="31" spans="1:18" ht="36.75" hidden="1" customHeight="1">
      <c r="A31" s="1441">
        <v>8</v>
      </c>
      <c r="B31" s="651" t="s">
        <v>760</v>
      </c>
      <c r="C31" s="655" t="s">
        <v>28</v>
      </c>
      <c r="D31" s="656" t="s">
        <v>766</v>
      </c>
      <c r="E31" s="2295">
        <f>'R.FILE GOC'!H112</f>
        <v>0</v>
      </c>
      <c r="F31" s="2296"/>
      <c r="G31" s="2295">
        <f>'R.FILE GOC'!K112</f>
        <v>0</v>
      </c>
      <c r="H31" s="2296"/>
      <c r="I31" s="2294"/>
      <c r="J31" s="2294"/>
      <c r="K31" s="2294"/>
      <c r="L31" s="2294"/>
      <c r="M31" s="1432"/>
      <c r="N31" s="1432"/>
      <c r="O31" s="2340"/>
      <c r="P31" s="2341"/>
      <c r="Q31" s="2327"/>
      <c r="R31" s="2328"/>
    </row>
    <row r="32" spans="1:18" ht="36.75" customHeight="1">
      <c r="A32" s="1441">
        <v>9</v>
      </c>
      <c r="B32" s="649" t="s">
        <v>761</v>
      </c>
      <c r="C32" s="655" t="s">
        <v>28</v>
      </c>
      <c r="D32" s="656" t="s">
        <v>767</v>
      </c>
      <c r="E32" s="1866">
        <f>'R.FILE GOC'!H113</f>
        <v>64</v>
      </c>
      <c r="F32" s="1867"/>
      <c r="G32" s="1866">
        <f>'R.FILE GOC'!K113</f>
        <v>61</v>
      </c>
      <c r="H32" s="1867"/>
      <c r="I32" s="1869"/>
      <c r="J32" s="1869"/>
      <c r="K32" s="1869"/>
      <c r="L32" s="1869"/>
      <c r="M32" s="1432"/>
      <c r="N32" s="1432"/>
      <c r="O32" s="2340"/>
      <c r="P32" s="2341"/>
      <c r="Q32" s="2327"/>
      <c r="R32" s="2328"/>
    </row>
    <row r="33" spans="1:18" ht="36.75" customHeight="1">
      <c r="A33" s="1441">
        <v>11</v>
      </c>
      <c r="B33" s="1442" t="s">
        <v>768</v>
      </c>
      <c r="C33" s="655" t="s">
        <v>28</v>
      </c>
      <c r="D33" s="656" t="s">
        <v>769</v>
      </c>
      <c r="E33" s="1870" t="str">
        <f>'R.FILE GOC'!H114</f>
        <v>\</v>
      </c>
      <c r="F33" s="1871"/>
      <c r="G33" s="1866">
        <v>105</v>
      </c>
      <c r="H33" s="1867"/>
      <c r="I33" s="1875"/>
      <c r="J33" s="1875"/>
      <c r="K33" s="1869"/>
      <c r="L33" s="1869"/>
      <c r="M33" s="1432"/>
      <c r="N33" s="1432"/>
      <c r="O33" s="2340"/>
      <c r="P33" s="2341"/>
      <c r="Q33" s="2327"/>
      <c r="R33" s="2328"/>
    </row>
  </sheetData>
  <mergeCells count="109">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I24:J24"/>
    <mergeCell ref="K24:L24"/>
    <mergeCell ref="I25:J25"/>
    <mergeCell ref="K25:L2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2:R2"/>
    <mergeCell ref="O3:P3"/>
    <mergeCell ref="Q3:R3"/>
    <mergeCell ref="E5:H5"/>
    <mergeCell ref="I5:L5"/>
    <mergeCell ref="M5:N5"/>
    <mergeCell ref="O5:P5"/>
    <mergeCell ref="A1:N1"/>
    <mergeCell ref="A2:N2"/>
    <mergeCell ref="O2:P2"/>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I26:J26"/>
    <mergeCell ref="K26:L26"/>
    <mergeCell ref="I27:J27"/>
    <mergeCell ref="K27:L27"/>
    <mergeCell ref="I28:J28"/>
    <mergeCell ref="K28:L28"/>
    <mergeCell ref="E29:F29"/>
    <mergeCell ref="E30:F30"/>
    <mergeCell ref="E31:F31"/>
    <mergeCell ref="I32:J32"/>
    <mergeCell ref="K32:L32"/>
    <mergeCell ref="I33:J33"/>
    <mergeCell ref="K33:L33"/>
    <mergeCell ref="I29:J29"/>
    <mergeCell ref="K29:L29"/>
    <mergeCell ref="I30:J30"/>
    <mergeCell ref="K30:L30"/>
    <mergeCell ref="I31:J31"/>
    <mergeCell ref="K31:L31"/>
  </mergeCells>
  <phoneticPr fontId="6" type="noConversion"/>
  <conditionalFormatting sqref="E7:E8 I7:I8">
    <cfRule type="expression" dxfId="761" priority="67">
      <formula>E7&lt;20</formula>
    </cfRule>
    <cfRule type="expression" dxfId="760" priority="68">
      <formula>E7&gt;30</formula>
    </cfRule>
  </conditionalFormatting>
  <conditionalFormatting sqref="E9 I9">
    <cfRule type="expression" dxfId="759" priority="65">
      <formula>E9&lt;210</formula>
    </cfRule>
    <cfRule type="expression" dxfId="758" priority="66">
      <formula>E9&gt;290</formula>
    </cfRule>
  </conditionalFormatting>
  <conditionalFormatting sqref="E10 E12 E14 I10 I12 I14">
    <cfRule type="expression" dxfId="757" priority="63">
      <formula>E10&lt;120</formula>
    </cfRule>
    <cfRule type="expression" dxfId="756" priority="64">
      <formula>E10&gt;150</formula>
    </cfRule>
  </conditionalFormatting>
  <conditionalFormatting sqref="E11 E13 E15 I11 I13 I15">
    <cfRule type="expression" dxfId="755" priority="61">
      <formula>E11&lt;1</formula>
    </cfRule>
    <cfRule type="expression" dxfId="754" priority="62">
      <formula>E11&gt;5</formula>
    </cfRule>
  </conditionalFormatting>
  <conditionalFormatting sqref="E16 I16">
    <cfRule type="expression" dxfId="753" priority="59">
      <formula>E16&lt;8</formula>
    </cfRule>
    <cfRule type="expression" dxfId="752" priority="60">
      <formula>E16&gt;12</formula>
    </cfRule>
  </conditionalFormatting>
  <conditionalFormatting sqref="E17">
    <cfRule type="expression" dxfId="751" priority="57">
      <formula>E17&lt;6</formula>
    </cfRule>
    <cfRule type="expression" dxfId="750" priority="58">
      <formula>E17&gt;8</formula>
    </cfRule>
  </conditionalFormatting>
  <conditionalFormatting sqref="E20">
    <cfRule type="expression" dxfId="749" priority="55">
      <formula>E20&lt;5.4</formula>
    </cfRule>
    <cfRule type="expression" dxfId="748" priority="56">
      <formula>E20&gt;5.8</formula>
    </cfRule>
  </conditionalFormatting>
  <conditionalFormatting sqref="E24">
    <cfRule type="expression" dxfId="747" priority="53">
      <formula>E24&lt;45</formula>
    </cfRule>
    <cfRule type="expression" dxfId="746" priority="54">
      <formula>E24&gt;65</formula>
    </cfRule>
  </conditionalFormatting>
  <conditionalFormatting sqref="E25">
    <cfRule type="expression" dxfId="745" priority="51">
      <formula>E25&lt;45</formula>
    </cfRule>
    <cfRule type="expression" dxfId="744" priority="52">
      <formula>E25&gt;65</formula>
    </cfRule>
  </conditionalFormatting>
  <conditionalFormatting sqref="E29">
    <cfRule type="expression" dxfId="743" priority="49">
      <formula>E29&lt;30</formula>
    </cfRule>
    <cfRule type="expression" dxfId="742" priority="50">
      <formula>E29&gt;60</formula>
    </cfRule>
  </conditionalFormatting>
  <conditionalFormatting sqref="E32">
    <cfRule type="expression" dxfId="741" priority="47">
      <formula>E32&lt;55</formula>
    </cfRule>
    <cfRule type="expression" dxfId="740" priority="48">
      <formula>E32&gt;65</formula>
    </cfRule>
  </conditionalFormatting>
  <conditionalFormatting sqref="G33">
    <cfRule type="expression" dxfId="739" priority="45">
      <formula>G33&lt;100</formula>
    </cfRule>
    <cfRule type="expression" dxfId="738" priority="46">
      <formula>G33&gt;110</formula>
    </cfRule>
  </conditionalFormatting>
  <conditionalFormatting sqref="G24">
    <cfRule type="expression" dxfId="737" priority="43">
      <formula>G24&lt;45</formula>
    </cfRule>
    <cfRule type="expression" dxfId="736" priority="44">
      <formula>G24&gt;65</formula>
    </cfRule>
  </conditionalFormatting>
  <conditionalFormatting sqref="G25">
    <cfRule type="expression" dxfId="735" priority="41">
      <formula>G25&lt;45</formula>
    </cfRule>
    <cfRule type="expression" dxfId="734" priority="42">
      <formula>G25&gt;65</formula>
    </cfRule>
  </conditionalFormatting>
  <conditionalFormatting sqref="G29">
    <cfRule type="expression" dxfId="733" priority="39">
      <formula>G29&lt;30</formula>
    </cfRule>
    <cfRule type="expression" dxfId="732" priority="40">
      <formula>G29&gt;60</formula>
    </cfRule>
  </conditionalFormatting>
  <conditionalFormatting sqref="G32">
    <cfRule type="expression" dxfId="731" priority="37">
      <formula>G32&lt;55</formula>
    </cfRule>
    <cfRule type="expression" dxfId="730" priority="38">
      <formula>G32&gt;65</formula>
    </cfRule>
  </conditionalFormatting>
  <conditionalFormatting sqref="I17">
    <cfRule type="expression" dxfId="729" priority="35">
      <formula>I17&lt;6</formula>
    </cfRule>
    <cfRule type="expression" dxfId="728" priority="36">
      <formula>I17&gt;8</formula>
    </cfRule>
  </conditionalFormatting>
  <conditionalFormatting sqref="I20">
    <cfRule type="expression" dxfId="727" priority="33">
      <formula>I20&lt;5.4</formula>
    </cfRule>
    <cfRule type="expression" dxfId="726" priority="34">
      <formula>I20&gt;5.8</formula>
    </cfRule>
  </conditionalFormatting>
  <conditionalFormatting sqref="I24">
    <cfRule type="expression" dxfId="725" priority="31">
      <formula>I24&lt;45</formula>
    </cfRule>
    <cfRule type="expression" dxfId="724" priority="32">
      <formula>I24&gt;65</formula>
    </cfRule>
  </conditionalFormatting>
  <conditionalFormatting sqref="I25">
    <cfRule type="expression" dxfId="723" priority="29">
      <formula>I25&lt;45</formula>
    </cfRule>
    <cfRule type="expression" dxfId="722" priority="30">
      <formula>I25&gt;65</formula>
    </cfRule>
  </conditionalFormatting>
  <conditionalFormatting sqref="I29">
    <cfRule type="expression" dxfId="721" priority="27">
      <formula>I29&lt;30</formula>
    </cfRule>
    <cfRule type="expression" dxfId="720" priority="28">
      <formula>I29&gt;60</formula>
    </cfRule>
  </conditionalFormatting>
  <conditionalFormatting sqref="I32">
    <cfRule type="expression" dxfId="719" priority="25">
      <formula>I32&lt;55</formula>
    </cfRule>
    <cfRule type="expression" dxfId="718" priority="26">
      <formula>I32&gt;65</formula>
    </cfRule>
  </conditionalFormatting>
  <conditionalFormatting sqref="K33">
    <cfRule type="expression" dxfId="717" priority="23">
      <formula>K33&lt;100</formula>
    </cfRule>
    <cfRule type="expression" dxfId="716" priority="24">
      <formula>K33&gt;110</formula>
    </cfRule>
  </conditionalFormatting>
  <conditionalFormatting sqref="K24">
    <cfRule type="expression" dxfId="715" priority="21">
      <formula>K24&lt;45</formula>
    </cfRule>
    <cfRule type="expression" dxfId="714" priority="22">
      <formula>K24&gt;65</formula>
    </cfRule>
  </conditionalFormatting>
  <conditionalFormatting sqref="K25">
    <cfRule type="expression" dxfId="713" priority="19">
      <formula>K25&lt;45</formula>
    </cfRule>
    <cfRule type="expression" dxfId="712" priority="20">
      <formula>K25&gt;65</formula>
    </cfRule>
  </conditionalFormatting>
  <conditionalFormatting sqref="K29">
    <cfRule type="expression" dxfId="711" priority="17">
      <formula>K29&lt;30</formula>
    </cfRule>
    <cfRule type="expression" dxfId="710" priority="18">
      <formula>K29&gt;60</formula>
    </cfRule>
  </conditionalFormatting>
  <conditionalFormatting sqref="K32">
    <cfRule type="expression" dxfId="709" priority="15">
      <formula>K32&lt;55</formula>
    </cfRule>
    <cfRule type="expression" dxfId="708" priority="16">
      <formula>K32&gt;65</formula>
    </cfRule>
  </conditionalFormatting>
  <conditionalFormatting sqref="E26">
    <cfRule type="expression" dxfId="707" priority="13">
      <formula>E26&lt;18</formula>
    </cfRule>
    <cfRule type="expression" dxfId="706" priority="14">
      <formula>E26&gt;25</formula>
    </cfRule>
  </conditionalFormatting>
  <conditionalFormatting sqref="E27:E28">
    <cfRule type="expression" dxfId="705" priority="11">
      <formula>E27&lt;18</formula>
    </cfRule>
    <cfRule type="expression" dxfId="704" priority="12">
      <formula>E27&gt;25</formula>
    </cfRule>
  </conditionalFormatting>
  <conditionalFormatting sqref="G26:G28 I26:I28 K26:K28">
    <cfRule type="expression" dxfId="703" priority="9">
      <formula>G26&lt;18</formula>
    </cfRule>
    <cfRule type="expression" dxfId="702" priority="10">
      <formula>G26&gt;25</formula>
    </cfRule>
  </conditionalFormatting>
  <conditionalFormatting sqref="E30">
    <cfRule type="expression" dxfId="701" priority="7">
      <formula>E30&lt;42</formula>
    </cfRule>
    <cfRule type="expression" dxfId="700" priority="8">
      <formula>E30&gt;47</formula>
    </cfRule>
  </conditionalFormatting>
  <conditionalFormatting sqref="G30">
    <cfRule type="expression" dxfId="699" priority="5">
      <formula>G30&lt;42</formula>
    </cfRule>
    <cfRule type="expression" dxfId="698" priority="6">
      <formula>G30&gt;47</formula>
    </cfRule>
  </conditionalFormatting>
  <conditionalFormatting sqref="I30">
    <cfRule type="expression" dxfId="697" priority="3">
      <formula>I30&lt;42</formula>
    </cfRule>
    <cfRule type="expression" dxfId="696" priority="4">
      <formula>I30&gt;47</formula>
    </cfRule>
  </conditionalFormatting>
  <conditionalFormatting sqref="K30">
    <cfRule type="expression" dxfId="695" priority="1">
      <formula>K30&lt;42</formula>
    </cfRule>
    <cfRule type="expression" dxfId="694" priority="2">
      <formula>K30&gt;47</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3.xml><?xml version="1.0" encoding="utf-8"?>
<worksheet xmlns="http://schemas.openxmlformats.org/spreadsheetml/2006/main" xmlns:r="http://schemas.openxmlformats.org/officeDocument/2006/relationships">
  <sheetPr codeName="Sheet27">
    <tabColor rgb="FFFF0000"/>
  </sheetPr>
  <dimension ref="A1:P34"/>
  <sheetViews>
    <sheetView zoomScale="55" zoomScaleNormal="55" workbookViewId="0">
      <selection activeCell="A3" sqref="A3:K12"/>
    </sheetView>
  </sheetViews>
  <sheetFormatPr defaultRowHeight="15"/>
  <cols>
    <col min="1" max="1" width="6.625" style="287" customWidth="1"/>
    <col min="2" max="2" width="8.875" style="689" customWidth="1"/>
    <col min="3" max="3" width="6.125" style="689" customWidth="1"/>
    <col min="4" max="4" width="2.875" style="689" customWidth="1"/>
    <col min="5" max="5" width="11.25" style="689" customWidth="1"/>
    <col min="6" max="6" width="9.25" style="287" customWidth="1"/>
    <col min="7" max="7" width="17" style="690" customWidth="1"/>
    <col min="8" max="8" width="12.875" style="287" customWidth="1"/>
    <col min="9" max="9" width="3.75" style="287" customWidth="1"/>
    <col min="10" max="10" width="10.125" style="287" customWidth="1"/>
    <col min="11" max="11" width="3.75" style="287" customWidth="1"/>
    <col min="12" max="12" width="12.875" style="287" customWidth="1"/>
    <col min="13" max="13" width="5" style="287" customWidth="1"/>
    <col min="14" max="14" width="8.5" style="287" customWidth="1"/>
    <col min="15" max="15" width="6.125" style="287" customWidth="1"/>
    <col min="16" max="16" width="15.625" style="287" customWidth="1"/>
    <col min="17" max="16384" width="9" style="287"/>
  </cols>
  <sheetData>
    <row r="1" spans="1:16" ht="36" customHeight="1">
      <c r="A1" s="2342" t="s">
        <v>613</v>
      </c>
      <c r="B1" s="2342"/>
      <c r="C1" s="2342"/>
      <c r="D1" s="2342"/>
      <c r="E1" s="2342"/>
      <c r="F1" s="2342"/>
      <c r="G1" s="2342"/>
      <c r="H1" s="2342"/>
      <c r="I1" s="2342"/>
      <c r="J1" s="2342"/>
      <c r="K1" s="659"/>
      <c r="L1" s="660"/>
      <c r="M1" s="660"/>
      <c r="N1" s="659"/>
      <c r="O1" s="659"/>
      <c r="P1" s="659"/>
    </row>
    <row r="2" spans="1:16" ht="56.25" customHeight="1">
      <c r="A2" s="2343" t="s">
        <v>770</v>
      </c>
      <c r="B2" s="2343"/>
      <c r="C2" s="2343"/>
      <c r="D2" s="2343"/>
      <c r="E2" s="2343"/>
      <c r="F2" s="2343"/>
      <c r="G2" s="2343"/>
      <c r="H2" s="2343"/>
      <c r="I2" s="2343"/>
      <c r="J2" s="2343"/>
      <c r="K2" s="2343"/>
      <c r="L2" s="2343"/>
      <c r="M2" s="2344"/>
      <c r="N2" s="2345" t="s">
        <v>96</v>
      </c>
      <c r="O2" s="1926"/>
      <c r="P2" s="661" t="s">
        <v>97</v>
      </c>
    </row>
    <row r="3" spans="1:16" ht="38.25" customHeight="1">
      <c r="A3" s="662"/>
      <c r="B3" s="663"/>
      <c r="C3" s="664"/>
      <c r="D3" s="664"/>
      <c r="E3" s="665"/>
      <c r="F3" s="666"/>
      <c r="G3" s="667" t="str">
        <f>'1.xi den'!$G$3</f>
        <v>2022/12/03</v>
      </c>
      <c r="H3" s="668"/>
      <c r="I3" s="668"/>
      <c r="J3" s="668"/>
      <c r="K3" s="668"/>
      <c r="L3" s="668"/>
      <c r="M3" s="668"/>
      <c r="N3" s="2346" t="str">
        <f>'1.xi den'!$N$3</f>
        <v>L.Yen</v>
      </c>
      <c r="O3" s="2347"/>
      <c r="P3" s="669" t="s">
        <v>11</v>
      </c>
    </row>
    <row r="4" spans="1:16" s="673" customFormat="1" ht="43.5" customHeight="1">
      <c r="A4" s="2348" t="s">
        <v>7</v>
      </c>
      <c r="B4" s="2349" t="s">
        <v>79</v>
      </c>
      <c r="C4" s="2350"/>
      <c r="D4" s="2350"/>
      <c r="E4" s="2351"/>
      <c r="F4" s="2358" t="s">
        <v>101</v>
      </c>
      <c r="G4" s="1959" t="s">
        <v>67</v>
      </c>
      <c r="H4" s="670" t="s">
        <v>771</v>
      </c>
      <c r="I4" s="671"/>
      <c r="J4" s="671"/>
      <c r="K4" s="671"/>
      <c r="L4" s="671"/>
      <c r="M4" s="671"/>
      <c r="N4" s="671"/>
      <c r="O4" s="672"/>
      <c r="P4" s="2362" t="s">
        <v>98</v>
      </c>
    </row>
    <row r="5" spans="1:16" s="673" customFormat="1" ht="43.5" customHeight="1">
      <c r="A5" s="2348"/>
      <c r="B5" s="2352"/>
      <c r="C5" s="2353"/>
      <c r="D5" s="2353"/>
      <c r="E5" s="2354"/>
      <c r="F5" s="2358"/>
      <c r="G5" s="1959"/>
      <c r="H5" s="2365">
        <v>0.375</v>
      </c>
      <c r="I5" s="2358"/>
      <c r="J5" s="2358"/>
      <c r="K5" s="2358"/>
      <c r="L5" s="2366">
        <v>0.54166666666666663</v>
      </c>
      <c r="M5" s="2367"/>
      <c r="N5" s="2367"/>
      <c r="O5" s="2368"/>
      <c r="P5" s="2363"/>
    </row>
    <row r="6" spans="1:16" s="673" customFormat="1" ht="43.5" customHeight="1">
      <c r="A6" s="2348"/>
      <c r="B6" s="2355"/>
      <c r="C6" s="2356"/>
      <c r="D6" s="2356"/>
      <c r="E6" s="2357"/>
      <c r="F6" s="2348"/>
      <c r="G6" s="1960"/>
      <c r="H6" s="674" t="s">
        <v>616</v>
      </c>
      <c r="I6" s="2358" t="s">
        <v>1</v>
      </c>
      <c r="J6" s="2358"/>
      <c r="K6" s="2358"/>
      <c r="L6" s="674" t="s">
        <v>616</v>
      </c>
      <c r="M6" s="2369" t="s">
        <v>1</v>
      </c>
      <c r="N6" s="2370"/>
      <c r="O6" s="2371"/>
      <c r="P6" s="2364"/>
    </row>
    <row r="7" spans="1:16" ht="43.5" customHeight="1">
      <c r="A7" s="675">
        <v>1</v>
      </c>
      <c r="B7" s="2037" t="s">
        <v>915</v>
      </c>
      <c r="C7" s="2059"/>
      <c r="D7" s="2059" t="s">
        <v>108</v>
      </c>
      <c r="E7" s="2038"/>
      <c r="F7" s="54" t="s">
        <v>4</v>
      </c>
      <c r="G7" s="127" t="s">
        <v>519</v>
      </c>
      <c r="H7" s="356">
        <f>'R.GUI MAIL'!H57</f>
        <v>16.399999999999999</v>
      </c>
      <c r="I7" s="69" t="s">
        <v>8</v>
      </c>
      <c r="J7" s="676">
        <f>'R.GUI MAIL'!K57</f>
        <v>0</v>
      </c>
      <c r="K7" s="677" t="s">
        <v>9</v>
      </c>
      <c r="L7" s="356">
        <f>'R.GUI MAIL'!N57</f>
        <v>16.3</v>
      </c>
      <c r="M7" s="69" t="s">
        <v>8</v>
      </c>
      <c r="N7" s="676">
        <f>'R.GUI MAIL'!Q57</f>
        <v>0</v>
      </c>
      <c r="O7" s="677" t="s">
        <v>9</v>
      </c>
      <c r="P7" s="678"/>
    </row>
    <row r="8" spans="1:16" ht="43.5" customHeight="1">
      <c r="A8" s="675">
        <v>2</v>
      </c>
      <c r="B8" s="2037" t="s">
        <v>916</v>
      </c>
      <c r="C8" s="2059" t="s">
        <v>522</v>
      </c>
      <c r="D8" s="2059" t="s">
        <v>522</v>
      </c>
      <c r="E8" s="2038" t="s">
        <v>522</v>
      </c>
      <c r="F8" s="54" t="s">
        <v>4</v>
      </c>
      <c r="G8" s="14" t="s">
        <v>263</v>
      </c>
      <c r="H8" s="64">
        <f>'R.GUI MAIL'!H58</f>
        <v>67.496000000000009</v>
      </c>
      <c r="I8" s="69" t="s">
        <v>8</v>
      </c>
      <c r="J8" s="676">
        <f>'R.GUI MAIL'!K58</f>
        <v>0</v>
      </c>
      <c r="K8" s="677" t="s">
        <v>9</v>
      </c>
      <c r="L8" s="64">
        <f>'R.GUI MAIL'!N58</f>
        <v>66.847000000000008</v>
      </c>
      <c r="M8" s="69" t="s">
        <v>8</v>
      </c>
      <c r="N8" s="676">
        <f>'R.GUI MAIL'!Q58</f>
        <v>0</v>
      </c>
      <c r="O8" s="677" t="s">
        <v>9</v>
      </c>
      <c r="P8" s="474"/>
    </row>
    <row r="9" spans="1:16" ht="43.5" customHeight="1">
      <c r="A9" s="675">
        <v>3</v>
      </c>
      <c r="B9" s="2037" t="s">
        <v>917</v>
      </c>
      <c r="C9" s="2059" t="s">
        <v>620</v>
      </c>
      <c r="D9" s="2059" t="s">
        <v>620</v>
      </c>
      <c r="E9" s="2038" t="s">
        <v>620</v>
      </c>
      <c r="F9" s="54" t="s">
        <v>4</v>
      </c>
      <c r="G9" s="14" t="s">
        <v>263</v>
      </c>
      <c r="H9" s="64">
        <f>'R.GUI MAIL'!H59</f>
        <v>58.410000000000004</v>
      </c>
      <c r="I9" s="69" t="s">
        <v>8</v>
      </c>
      <c r="J9" s="676">
        <f>'R.GUI MAIL'!K59</f>
        <v>0</v>
      </c>
      <c r="K9" s="677" t="s">
        <v>10</v>
      </c>
      <c r="L9" s="64">
        <f>'R.GUI MAIL'!N59</f>
        <v>57.761000000000003</v>
      </c>
      <c r="M9" s="69" t="s">
        <v>8</v>
      </c>
      <c r="N9" s="676">
        <f>'R.GUI MAIL'!Q59</f>
        <v>0</v>
      </c>
      <c r="O9" s="677" t="s">
        <v>10</v>
      </c>
      <c r="P9" s="474"/>
    </row>
    <row r="10" spans="1:16" ht="43.5" hidden="1" customHeight="1">
      <c r="A10" s="675">
        <v>4</v>
      </c>
      <c r="B10" s="1896" t="s">
        <v>621</v>
      </c>
      <c r="C10" s="1897" t="s">
        <v>622</v>
      </c>
      <c r="D10" s="1897" t="s">
        <v>622</v>
      </c>
      <c r="E10" s="1898" t="s">
        <v>622</v>
      </c>
      <c r="F10" s="52" t="s">
        <v>475</v>
      </c>
      <c r="G10" s="57" t="s">
        <v>1052</v>
      </c>
      <c r="H10" s="356">
        <f>'R.GUI MAIL'!H60</f>
        <v>0</v>
      </c>
      <c r="I10" s="69" t="s">
        <v>8</v>
      </c>
      <c r="J10" s="676">
        <f>'R.GUI MAIL'!K60</f>
        <v>124.63199999999999</v>
      </c>
      <c r="K10" s="677" t="s">
        <v>9</v>
      </c>
      <c r="L10" s="356">
        <f>'R.GUI MAIL'!N60</f>
        <v>0</v>
      </c>
      <c r="M10" s="69" t="s">
        <v>8</v>
      </c>
      <c r="N10" s="676">
        <f>'R.GUI MAIL'!Q60</f>
        <v>124.63199999999999</v>
      </c>
      <c r="O10" s="677" t="s">
        <v>9</v>
      </c>
      <c r="P10" s="678"/>
    </row>
    <row r="11" spans="1:16" ht="43.5" customHeight="1">
      <c r="A11" s="675">
        <v>5</v>
      </c>
      <c r="B11" s="2372" t="s">
        <v>623</v>
      </c>
      <c r="C11" s="2373" t="s">
        <v>624</v>
      </c>
      <c r="D11" s="2373" t="s">
        <v>624</v>
      </c>
      <c r="E11" s="2374" t="s">
        <v>624</v>
      </c>
      <c r="F11" s="52" t="s">
        <v>475</v>
      </c>
      <c r="G11" s="57" t="s">
        <v>529</v>
      </c>
      <c r="H11" s="481">
        <f>'R.GUI MAIL'!H61</f>
        <v>0.48</v>
      </c>
      <c r="I11" s="69" t="s">
        <v>8</v>
      </c>
      <c r="J11" s="676">
        <f>'R.GUI MAIL'!K61</f>
        <v>0</v>
      </c>
      <c r="K11" s="677" t="s">
        <v>9</v>
      </c>
      <c r="L11" s="481">
        <f>'R.GUI MAIL'!N61</f>
        <v>0.5</v>
      </c>
      <c r="M11" s="69" t="s">
        <v>8</v>
      </c>
      <c r="N11" s="676">
        <f>'R.GUI MAIL'!Q61</f>
        <v>0</v>
      </c>
      <c r="O11" s="677" t="s">
        <v>9</v>
      </c>
      <c r="P11" s="474"/>
    </row>
    <row r="12" spans="1:16" ht="43.5" customHeight="1">
      <c r="A12" s="675">
        <v>6</v>
      </c>
      <c r="B12" s="2375" t="s">
        <v>625</v>
      </c>
      <c r="C12" s="2376" t="s">
        <v>626</v>
      </c>
      <c r="D12" s="2376" t="s">
        <v>626</v>
      </c>
      <c r="E12" s="2377" t="s">
        <v>626</v>
      </c>
      <c r="F12" s="489" t="s">
        <v>475</v>
      </c>
      <c r="G12" s="1590" t="s">
        <v>532</v>
      </c>
      <c r="H12" s="1591">
        <f>'R.GUI MAIL'!H62</f>
        <v>19.2</v>
      </c>
      <c r="I12" s="1592" t="s">
        <v>8</v>
      </c>
      <c r="J12" s="1593">
        <f>'R.GUI MAIL'!K62</f>
        <v>32.076000000000008</v>
      </c>
      <c r="K12" s="1594" t="s">
        <v>9</v>
      </c>
      <c r="L12" s="1591">
        <f>'R.GUI MAIL'!N62</f>
        <v>20</v>
      </c>
      <c r="M12" s="1592" t="s">
        <v>8</v>
      </c>
      <c r="N12" s="1593">
        <f>'R.GUI MAIL'!Q62</f>
        <v>24.3</v>
      </c>
      <c r="O12" s="1594" t="s">
        <v>9</v>
      </c>
      <c r="P12" s="1595"/>
    </row>
    <row r="13" spans="1:16" ht="43.5" customHeight="1">
      <c r="A13" s="1596">
        <v>7</v>
      </c>
      <c r="B13" s="2359" t="s">
        <v>627</v>
      </c>
      <c r="C13" s="2360" t="s">
        <v>628</v>
      </c>
      <c r="D13" s="2360" t="s">
        <v>628</v>
      </c>
      <c r="E13" s="2361" t="s">
        <v>628</v>
      </c>
      <c r="F13" s="1597" t="s">
        <v>475</v>
      </c>
      <c r="G13" s="1598" t="s">
        <v>535</v>
      </c>
      <c r="H13" s="1599">
        <f>'R.GUI MAIL'!H63</f>
        <v>8.3000000000000007</v>
      </c>
      <c r="I13" s="1600" t="s">
        <v>8</v>
      </c>
      <c r="J13" s="1601">
        <f>'R.GUI MAIL'!K63</f>
        <v>0</v>
      </c>
      <c r="K13" s="1602" t="s">
        <v>9</v>
      </c>
      <c r="L13" s="1599">
        <f>'R.GUI MAIL'!N63</f>
        <v>8</v>
      </c>
      <c r="M13" s="1600" t="s">
        <v>8</v>
      </c>
      <c r="N13" s="1601">
        <f>'R.GUI MAIL'!Q63</f>
        <v>0</v>
      </c>
      <c r="O13" s="1602" t="s">
        <v>9</v>
      </c>
      <c r="P13" s="1603"/>
    </row>
    <row r="14" spans="1:16" ht="43.5" customHeight="1">
      <c r="A14" s="1339">
        <v>8</v>
      </c>
      <c r="B14" s="1896" t="s">
        <v>629</v>
      </c>
      <c r="C14" s="1897" t="s">
        <v>537</v>
      </c>
      <c r="D14" s="1897" t="s">
        <v>537</v>
      </c>
      <c r="E14" s="1898" t="s">
        <v>537</v>
      </c>
      <c r="F14" s="1255" t="s">
        <v>5</v>
      </c>
      <c r="G14" s="57" t="s">
        <v>538</v>
      </c>
      <c r="H14" s="356">
        <f>'R.GUI MAIL'!H64</f>
        <v>8</v>
      </c>
      <c r="I14" s="69"/>
      <c r="J14" s="676"/>
      <c r="K14" s="677"/>
      <c r="L14" s="356">
        <f>'R.GUI MAIL'!N64</f>
        <v>7.8</v>
      </c>
      <c r="M14" s="69"/>
      <c r="N14" s="676"/>
      <c r="O14" s="677"/>
      <c r="P14" s="474"/>
    </row>
    <row r="15" spans="1:16" ht="43.5" customHeight="1">
      <c r="A15" s="675">
        <v>9</v>
      </c>
      <c r="B15" s="2372" t="s">
        <v>630</v>
      </c>
      <c r="C15" s="2373" t="s">
        <v>628</v>
      </c>
      <c r="D15" s="2373" t="s">
        <v>628</v>
      </c>
      <c r="E15" s="2374" t="s">
        <v>628</v>
      </c>
      <c r="F15" s="52" t="s">
        <v>5</v>
      </c>
      <c r="G15" s="57" t="s">
        <v>541</v>
      </c>
      <c r="H15" s="679">
        <f>'R.GUI MAIL'!H65</f>
        <v>5.5</v>
      </c>
      <c r="I15" s="69"/>
      <c r="J15" s="676"/>
      <c r="K15" s="677"/>
      <c r="L15" s="679">
        <f>'R.GUI MAIL'!N65</f>
        <v>5.5</v>
      </c>
      <c r="M15" s="69"/>
      <c r="N15" s="676"/>
      <c r="O15" s="677"/>
      <c r="P15" s="474"/>
    </row>
    <row r="16" spans="1:16" ht="43.5" hidden="1" customHeight="1">
      <c r="A16" s="675">
        <v>10</v>
      </c>
      <c r="B16" s="2372" t="s">
        <v>631</v>
      </c>
      <c r="C16" s="2373" t="s">
        <v>628</v>
      </c>
      <c r="D16" s="2373" t="s">
        <v>628</v>
      </c>
      <c r="E16" s="2374" t="s">
        <v>628</v>
      </c>
      <c r="F16" s="52" t="s">
        <v>5</v>
      </c>
      <c r="G16" s="57" t="s">
        <v>541</v>
      </c>
      <c r="H16" s="680">
        <f>'R.GUI MAIL'!H66</f>
        <v>0</v>
      </c>
      <c r="I16" s="69"/>
      <c r="J16" s="676"/>
      <c r="K16" s="677"/>
      <c r="L16" s="680">
        <f>'R.GUI MAIL'!N66</f>
        <v>0</v>
      </c>
      <c r="M16" s="69"/>
      <c r="N16" s="676"/>
      <c r="O16" s="677"/>
      <c r="P16" s="474"/>
    </row>
    <row r="17" spans="1:16" ht="43.5" customHeight="1">
      <c r="A17" s="675">
        <v>11</v>
      </c>
      <c r="B17" s="2372" t="s">
        <v>415</v>
      </c>
      <c r="C17" s="2373"/>
      <c r="D17" s="2373"/>
      <c r="E17" s="2374"/>
      <c r="F17" s="52" t="s">
        <v>3</v>
      </c>
      <c r="G17" s="681" t="s">
        <v>416</v>
      </c>
      <c r="H17" s="682">
        <f>IFERROR('ED-XI DEN'!L15*100,"")</f>
        <v>7.8643278743037639</v>
      </c>
      <c r="I17" s="69" t="s">
        <v>8</v>
      </c>
      <c r="J17" s="676">
        <f>'R.GUI MAIL'!K67</f>
        <v>163.76367528472861</v>
      </c>
      <c r="K17" s="677" t="s">
        <v>10</v>
      </c>
      <c r="L17" s="474" t="s">
        <v>1053</v>
      </c>
      <c r="M17" s="69"/>
      <c r="N17" s="676"/>
      <c r="O17" s="677"/>
      <c r="P17" s="474"/>
    </row>
    <row r="18" spans="1:16" ht="43.5" customHeight="1">
      <c r="A18" s="675">
        <v>12</v>
      </c>
      <c r="B18" s="2372" t="s">
        <v>417</v>
      </c>
      <c r="C18" s="2373"/>
      <c r="D18" s="2373"/>
      <c r="E18" s="2374"/>
      <c r="F18" s="52" t="s">
        <v>3</v>
      </c>
      <c r="G18" s="681" t="s">
        <v>418</v>
      </c>
      <c r="H18" s="682">
        <f>IFERROR('ED-XI DEN'!L16*100,"")</f>
        <v>8.6380074844838344</v>
      </c>
      <c r="I18" s="69" t="s">
        <v>8</v>
      </c>
      <c r="J18" s="676">
        <f>'R.GUI MAIL'!K68</f>
        <v>77.157728231096002</v>
      </c>
      <c r="K18" s="677" t="s">
        <v>10</v>
      </c>
      <c r="L18" s="474" t="s">
        <v>1053</v>
      </c>
      <c r="M18" s="69"/>
      <c r="N18" s="676"/>
      <c r="O18" s="677"/>
      <c r="P18" s="474"/>
    </row>
    <row r="19" spans="1:16" ht="43.5" hidden="1" customHeight="1">
      <c r="A19" s="675">
        <v>13</v>
      </c>
      <c r="B19" s="2372" t="s">
        <v>419</v>
      </c>
      <c r="C19" s="2373"/>
      <c r="D19" s="2373"/>
      <c r="E19" s="2374"/>
      <c r="F19" s="52" t="s">
        <v>3</v>
      </c>
      <c r="G19" s="681" t="s">
        <v>416</v>
      </c>
      <c r="H19" s="683" t="str">
        <f>IFERROR('ED-XI DEN'!L17*100,"")</f>
        <v/>
      </c>
      <c r="I19" s="69"/>
      <c r="J19" s="676" t="str">
        <f>'R.GUI MAIL'!K69</f>
        <v/>
      </c>
      <c r="K19" s="677"/>
      <c r="L19" s="474" t="str">
        <f t="shared" ref="L19:L20" si="0">H19</f>
        <v/>
      </c>
      <c r="M19" s="69"/>
      <c r="N19" s="676" t="str">
        <f>J19</f>
        <v/>
      </c>
      <c r="O19" s="677"/>
      <c r="P19" s="474"/>
    </row>
    <row r="20" spans="1:16" ht="43.5" hidden="1" customHeight="1">
      <c r="A20" s="675">
        <v>14</v>
      </c>
      <c r="B20" s="2372" t="s">
        <v>420</v>
      </c>
      <c r="C20" s="2373"/>
      <c r="D20" s="2373"/>
      <c r="E20" s="2374"/>
      <c r="F20" s="52" t="s">
        <v>3</v>
      </c>
      <c r="G20" s="681" t="s">
        <v>418</v>
      </c>
      <c r="H20" s="683" t="str">
        <f>IFERROR('ED-XI DEN'!L18*100,"")</f>
        <v/>
      </c>
      <c r="I20" s="69"/>
      <c r="J20" s="676" t="str">
        <f>'R.GUI MAIL'!K70</f>
        <v/>
      </c>
      <c r="K20" s="677"/>
      <c r="L20" s="474" t="str">
        <f t="shared" si="0"/>
        <v/>
      </c>
      <c r="M20" s="69"/>
      <c r="N20" s="676" t="str">
        <f>J20</f>
        <v/>
      </c>
      <c r="O20" s="677"/>
      <c r="P20" s="474"/>
    </row>
    <row r="21" spans="1:16" ht="43.5" customHeight="1">
      <c r="A21" s="675">
        <v>15</v>
      </c>
      <c r="B21" s="2372" t="s">
        <v>421</v>
      </c>
      <c r="C21" s="2373" t="s">
        <v>421</v>
      </c>
      <c r="D21" s="2373" t="s">
        <v>421</v>
      </c>
      <c r="E21" s="2374" t="s">
        <v>421</v>
      </c>
      <c r="F21" s="52" t="s">
        <v>3</v>
      </c>
      <c r="G21" s="57" t="s">
        <v>422</v>
      </c>
      <c r="H21" s="684">
        <f>IFERROR('ED-XI DEN'!L19*100,"")</f>
        <v>6.8477270845408622</v>
      </c>
      <c r="I21" s="69"/>
      <c r="J21" s="676"/>
      <c r="K21" s="677"/>
      <c r="L21" s="474" t="s">
        <v>1053</v>
      </c>
      <c r="M21" s="69"/>
      <c r="N21" s="676"/>
      <c r="O21" s="677"/>
      <c r="P21" s="474"/>
    </row>
    <row r="22" spans="1:16" ht="43.5" customHeight="1">
      <c r="A22" s="675">
        <v>16</v>
      </c>
      <c r="B22" s="2372" t="s">
        <v>424</v>
      </c>
      <c r="C22" s="2373" t="s">
        <v>424</v>
      </c>
      <c r="D22" s="2373" t="s">
        <v>424</v>
      </c>
      <c r="E22" s="2374" t="s">
        <v>424</v>
      </c>
      <c r="F22" s="52" t="s">
        <v>3</v>
      </c>
      <c r="G22" s="57" t="s">
        <v>425</v>
      </c>
      <c r="H22" s="354">
        <f>IFERROR('ED-XI DEN'!L20*100,"")</f>
        <v>0.81368316174028488</v>
      </c>
      <c r="I22" s="69"/>
      <c r="J22" s="676"/>
      <c r="K22" s="677"/>
      <c r="L22" s="474" t="s">
        <v>1053</v>
      </c>
      <c r="M22" s="69"/>
      <c r="N22" s="676"/>
      <c r="O22" s="677"/>
      <c r="P22" s="474"/>
    </row>
    <row r="23" spans="1:16" ht="55.5" customHeight="1">
      <c r="A23" s="56"/>
      <c r="B23" s="540"/>
      <c r="C23" s="541"/>
      <c r="D23" s="541"/>
      <c r="E23" s="541"/>
      <c r="F23" s="541"/>
      <c r="G23" s="541"/>
      <c r="H23" s="542" t="s">
        <v>117</v>
      </c>
      <c r="I23" s="541"/>
      <c r="J23" s="541"/>
      <c r="K23" s="541"/>
      <c r="L23" s="541"/>
      <c r="M23" s="541"/>
      <c r="N23" s="541"/>
      <c r="O23" s="541"/>
      <c r="P23" s="543"/>
    </row>
    <row r="24" spans="1:16" ht="43.5" customHeight="1">
      <c r="A24" s="685" t="s">
        <v>7</v>
      </c>
      <c r="B24" s="2379" t="s">
        <v>64</v>
      </c>
      <c r="C24" s="2380"/>
      <c r="D24" s="2380"/>
      <c r="E24" s="2381"/>
      <c r="F24" s="686" t="s">
        <v>66</v>
      </c>
      <c r="G24" s="291" t="s">
        <v>67</v>
      </c>
      <c r="H24" s="687" t="s">
        <v>48</v>
      </c>
      <c r="I24" s="1952" t="s">
        <v>65</v>
      </c>
      <c r="J24" s="2378"/>
      <c r="K24" s="2378"/>
      <c r="L24" s="687" t="s">
        <v>48</v>
      </c>
      <c r="M24" s="1952" t="s">
        <v>65</v>
      </c>
      <c r="N24" s="2378"/>
      <c r="O24" s="1953"/>
      <c r="P24" s="688" t="s">
        <v>98</v>
      </c>
    </row>
    <row r="25" spans="1:16" ht="43.5" customHeight="1">
      <c r="A25" s="685">
        <v>1</v>
      </c>
      <c r="B25" s="1964" t="s">
        <v>518</v>
      </c>
      <c r="C25" s="1965"/>
      <c r="D25" s="1965"/>
      <c r="E25" s="1966"/>
      <c r="F25" s="290" t="s">
        <v>216</v>
      </c>
      <c r="G25" s="57" t="s">
        <v>772</v>
      </c>
      <c r="H25" s="546">
        <f>'R.FILE GOC'!H75</f>
        <v>48</v>
      </c>
      <c r="I25" s="1891">
        <f>'R.GUI MAIL'!K75</f>
        <v>48</v>
      </c>
      <c r="J25" s="1892"/>
      <c r="K25" s="1940"/>
      <c r="L25" s="546">
        <f>'R.FILE GOC'!N75</f>
        <v>0</v>
      </c>
      <c r="M25" s="1891">
        <f>'R.GUI MAIL'!Q75</f>
        <v>0</v>
      </c>
      <c r="N25" s="1892"/>
      <c r="O25" s="1940"/>
      <c r="P25" s="474"/>
    </row>
    <row r="26" spans="1:16" ht="43.5" customHeight="1">
      <c r="A26" s="685">
        <v>2</v>
      </c>
      <c r="B26" s="1964" t="s">
        <v>522</v>
      </c>
      <c r="C26" s="1965" t="s">
        <v>522</v>
      </c>
      <c r="D26" s="1965" t="s">
        <v>522</v>
      </c>
      <c r="E26" s="1966" t="s">
        <v>522</v>
      </c>
      <c r="F26" s="290" t="s">
        <v>216</v>
      </c>
      <c r="G26" s="57" t="s">
        <v>772</v>
      </c>
      <c r="H26" s="546">
        <f>'R.FILE GOC'!H76</f>
        <v>48</v>
      </c>
      <c r="I26" s="1891">
        <f>'R.GUI MAIL'!K76</f>
        <v>48</v>
      </c>
      <c r="J26" s="1892"/>
      <c r="K26" s="1940"/>
      <c r="L26" s="546">
        <f>'R.FILE GOC'!N76</f>
        <v>0</v>
      </c>
      <c r="M26" s="1891">
        <f>'R.GUI MAIL'!Q76</f>
        <v>0</v>
      </c>
      <c r="N26" s="1892"/>
      <c r="O26" s="1940"/>
      <c r="P26" s="474"/>
    </row>
    <row r="27" spans="1:16" ht="43.5" customHeight="1">
      <c r="A27" s="685">
        <v>3</v>
      </c>
      <c r="B27" s="1964" t="s">
        <v>524</v>
      </c>
      <c r="C27" s="1965" t="s">
        <v>524</v>
      </c>
      <c r="D27" s="1965" t="s">
        <v>524</v>
      </c>
      <c r="E27" s="1966" t="s">
        <v>524</v>
      </c>
      <c r="F27" s="290" t="s">
        <v>216</v>
      </c>
      <c r="G27" s="57" t="s">
        <v>772</v>
      </c>
      <c r="H27" s="546">
        <f>'R.FILE GOC'!H77</f>
        <v>46</v>
      </c>
      <c r="I27" s="1891">
        <f>'R.GUI MAIL'!K77</f>
        <v>45</v>
      </c>
      <c r="J27" s="1892"/>
      <c r="K27" s="1940"/>
      <c r="L27" s="546">
        <f>'R.FILE GOC'!N77</f>
        <v>0</v>
      </c>
      <c r="M27" s="1891">
        <f>'R.GUI MAIL'!Q77</f>
        <v>0</v>
      </c>
      <c r="N27" s="1892"/>
      <c r="O27" s="1940"/>
      <c r="P27" s="474"/>
    </row>
    <row r="28" spans="1:16" ht="43.5" customHeight="1">
      <c r="A28" s="685">
        <v>4</v>
      </c>
      <c r="B28" s="1964" t="s">
        <v>555</v>
      </c>
      <c r="C28" s="1965" t="s">
        <v>555</v>
      </c>
      <c r="D28" s="1965" t="s">
        <v>555</v>
      </c>
      <c r="E28" s="1966" t="s">
        <v>555</v>
      </c>
      <c r="F28" s="290" t="s">
        <v>216</v>
      </c>
      <c r="G28" s="57" t="s">
        <v>773</v>
      </c>
      <c r="H28" s="546">
        <f>'R.FILE GOC'!H78</f>
        <v>36</v>
      </c>
      <c r="I28" s="1891">
        <f>'R.GUI MAIL'!K78</f>
        <v>29</v>
      </c>
      <c r="J28" s="1892"/>
      <c r="K28" s="1940"/>
      <c r="L28" s="546">
        <f>'R.FILE GOC'!N78</f>
        <v>0</v>
      </c>
      <c r="M28" s="1891">
        <f>'R.GUI MAIL'!Q78</f>
        <v>0</v>
      </c>
      <c r="N28" s="1892"/>
      <c r="O28" s="1940"/>
      <c r="P28" s="474"/>
    </row>
    <row r="29" spans="1:16" ht="43.5" customHeight="1">
      <c r="A29" s="685">
        <v>5</v>
      </c>
      <c r="B29" s="1964" t="s">
        <v>632</v>
      </c>
      <c r="C29" s="1965"/>
      <c r="D29" s="1965"/>
      <c r="E29" s="1966"/>
      <c r="F29" s="290" t="s">
        <v>216</v>
      </c>
      <c r="G29" s="57" t="s">
        <v>774</v>
      </c>
      <c r="H29" s="546">
        <f>'R.FILE GOC'!H79</f>
        <v>31</v>
      </c>
      <c r="I29" s="1891">
        <f>'R.GUI MAIL'!K79</f>
        <v>28</v>
      </c>
      <c r="J29" s="1892"/>
      <c r="K29" s="1940"/>
      <c r="L29" s="546">
        <f>'R.FILE GOC'!N79</f>
        <v>0</v>
      </c>
      <c r="M29" s="1891">
        <f>'R.GUI MAIL'!Q79</f>
        <v>0</v>
      </c>
      <c r="N29" s="1892"/>
      <c r="O29" s="1940"/>
      <c r="P29" s="474"/>
    </row>
    <row r="30" spans="1:16" ht="43.5" hidden="1" customHeight="1">
      <c r="A30" s="685"/>
      <c r="B30" s="1964" t="s">
        <v>633</v>
      </c>
      <c r="C30" s="1965"/>
      <c r="D30" s="1965"/>
      <c r="E30" s="1966"/>
      <c r="F30" s="290" t="s">
        <v>216</v>
      </c>
      <c r="G30" s="57" t="s">
        <v>774</v>
      </c>
      <c r="H30" s="546">
        <f>'R.FILE GOC'!H80</f>
        <v>0</v>
      </c>
      <c r="I30" s="1891">
        <f>'R.GUI MAIL'!K80</f>
        <v>0</v>
      </c>
      <c r="J30" s="1892"/>
      <c r="K30" s="1940"/>
      <c r="L30" s="546">
        <f>'R.FILE GOC'!N80</f>
        <v>0</v>
      </c>
      <c r="M30" s="1891">
        <f>'R.GUI MAIL'!Q80</f>
        <v>0</v>
      </c>
      <c r="N30" s="1892"/>
      <c r="O30" s="1940"/>
      <c r="P30" s="474"/>
    </row>
    <row r="31" spans="1:16" ht="43.5" customHeight="1">
      <c r="A31" s="685">
        <v>6</v>
      </c>
      <c r="B31" s="1964" t="s">
        <v>563</v>
      </c>
      <c r="C31" s="1965" t="s">
        <v>563</v>
      </c>
      <c r="D31" s="1965" t="s">
        <v>563</v>
      </c>
      <c r="E31" s="1966" t="s">
        <v>563</v>
      </c>
      <c r="F31" s="290" t="s">
        <v>216</v>
      </c>
      <c r="G31" s="57" t="s">
        <v>775</v>
      </c>
      <c r="H31" s="289" t="str">
        <f>'R.FILE GOC'!H81</f>
        <v>\</v>
      </c>
      <c r="I31" s="1891">
        <f>'R.GUI MAIL'!K81</f>
        <v>30</v>
      </c>
      <c r="J31" s="1892"/>
      <c r="K31" s="1892"/>
      <c r="L31" s="289" t="str">
        <f>'R.FILE GOC'!N81</f>
        <v>\</v>
      </c>
      <c r="M31" s="1891">
        <f>'R.GUI MAIL'!Q81</f>
        <v>0</v>
      </c>
      <c r="N31" s="1892"/>
      <c r="O31" s="1892"/>
      <c r="P31" s="474"/>
    </row>
    <row r="32" spans="1:16" ht="45" hidden="1" customHeight="1">
      <c r="A32" s="56"/>
      <c r="B32" s="547"/>
      <c r="C32" s="548"/>
      <c r="D32" s="548"/>
      <c r="E32" s="548"/>
      <c r="F32" s="548"/>
      <c r="G32" s="548"/>
      <c r="H32" s="549" t="s">
        <v>565</v>
      </c>
      <c r="I32" s="548"/>
      <c r="J32" s="548"/>
      <c r="K32" s="548"/>
      <c r="L32" s="548"/>
      <c r="M32" s="548"/>
      <c r="N32" s="548"/>
      <c r="O32" s="548"/>
      <c r="P32" s="550"/>
    </row>
    <row r="33" spans="1:16" ht="45" hidden="1" customHeight="1">
      <c r="A33" s="685">
        <v>1</v>
      </c>
      <c r="B33" s="1896" t="s">
        <v>565</v>
      </c>
      <c r="C33" s="1897"/>
      <c r="D33" s="1897"/>
      <c r="E33" s="1898"/>
      <c r="F33" s="291" t="s">
        <v>566</v>
      </c>
      <c r="G33" s="291" t="s">
        <v>567</v>
      </c>
      <c r="H33" s="1952">
        <f>'R.FILE GOC'!H83</f>
        <v>0</v>
      </c>
      <c r="I33" s="2378"/>
      <c r="J33" s="2378"/>
      <c r="K33" s="2378"/>
      <c r="L33" s="1952">
        <f>'R.FILE GOC'!N83</f>
        <v>0</v>
      </c>
      <c r="M33" s="2378"/>
      <c r="N33" s="2378"/>
      <c r="O33" s="1953"/>
      <c r="P33" s="688"/>
    </row>
    <row r="34" spans="1:16" ht="45" hidden="1" customHeight="1">
      <c r="A34" s="685">
        <v>2</v>
      </c>
      <c r="B34" s="1964" t="s">
        <v>568</v>
      </c>
      <c r="C34" s="1965"/>
      <c r="D34" s="1965"/>
      <c r="E34" s="1966"/>
      <c r="F34" s="291" t="s">
        <v>566</v>
      </c>
      <c r="G34" s="57" t="s">
        <v>569</v>
      </c>
      <c r="H34" s="1952">
        <f>'R.FILE GOC'!H84</f>
        <v>0</v>
      </c>
      <c r="I34" s="2378"/>
      <c r="J34" s="2378"/>
      <c r="K34" s="2378"/>
      <c r="L34" s="1952">
        <f>'R.FILE GOC'!N84</f>
        <v>0</v>
      </c>
      <c r="M34" s="2378"/>
      <c r="N34" s="2378"/>
      <c r="O34" s="1953"/>
      <c r="P34" s="474"/>
    </row>
  </sheetData>
  <sheetProtection formatCells="0" formatColumns="0" formatRows="0" insertColumns="0" insertRows="0" insertHyperlinks="0" deleteColumns="0" deleteRows="0" selectLockedCells="1" sort="0" autoFilter="0" pivotTables="0"/>
  <mergeCells count="59">
    <mergeCell ref="B34:E34"/>
    <mergeCell ref="H34:K34"/>
    <mergeCell ref="L34:O34"/>
    <mergeCell ref="B31:E31"/>
    <mergeCell ref="I31:K31"/>
    <mergeCell ref="M31:O31"/>
    <mergeCell ref="B33:E33"/>
    <mergeCell ref="H33:K33"/>
    <mergeCell ref="L33:O33"/>
    <mergeCell ref="B29:E29"/>
    <mergeCell ref="I29:K29"/>
    <mergeCell ref="M29:O29"/>
    <mergeCell ref="B30:E30"/>
    <mergeCell ref="I30:K30"/>
    <mergeCell ref="M30:O30"/>
    <mergeCell ref="B27:E27"/>
    <mergeCell ref="I27:K27"/>
    <mergeCell ref="M27:O27"/>
    <mergeCell ref="B28:E28"/>
    <mergeCell ref="I28:K28"/>
    <mergeCell ref="M28:O28"/>
    <mergeCell ref="B25:E25"/>
    <mergeCell ref="I25:K25"/>
    <mergeCell ref="M25:O25"/>
    <mergeCell ref="B26:E26"/>
    <mergeCell ref="I26:K26"/>
    <mergeCell ref="M26:O26"/>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A1:J1"/>
    <mergeCell ref="A2:M2"/>
    <mergeCell ref="N2:O2"/>
    <mergeCell ref="N3:O3"/>
    <mergeCell ref="A4:A6"/>
    <mergeCell ref="B4:E6"/>
    <mergeCell ref="F4:F6"/>
    <mergeCell ref="G4:G6"/>
  </mergeCells>
  <phoneticPr fontId="6" type="noConversion"/>
  <conditionalFormatting sqref="H10">
    <cfRule type="expression" dxfId="693" priority="185">
      <formula>H10&lt;5</formula>
    </cfRule>
    <cfRule type="expression" dxfId="692" priority="186">
      <formula>H10&gt;15</formula>
    </cfRule>
  </conditionalFormatting>
  <conditionalFormatting sqref="H11">
    <cfRule type="expression" dxfId="691" priority="184">
      <formula>H11&gt;1.5</formula>
    </cfRule>
  </conditionalFormatting>
  <conditionalFormatting sqref="H12">
    <cfRule type="expression" dxfId="690" priority="182">
      <formula>H12&lt;20</formula>
    </cfRule>
    <cfRule type="expression" dxfId="689" priority="183">
      <formula>H12&gt;25</formula>
    </cfRule>
  </conditionalFormatting>
  <conditionalFormatting sqref="H13">
    <cfRule type="expression" dxfId="688" priority="180">
      <formula>H13&lt;6</formula>
    </cfRule>
    <cfRule type="expression" dxfId="687" priority="181">
      <formula>H13&gt;9</formula>
    </cfRule>
  </conditionalFormatting>
  <conditionalFormatting sqref="H14">
    <cfRule type="expression" dxfId="686" priority="178">
      <formula>H14&lt;7</formula>
    </cfRule>
    <cfRule type="expression" dxfId="685" priority="179">
      <formula>H14&gt;10</formula>
    </cfRule>
  </conditionalFormatting>
  <conditionalFormatting sqref="H15">
    <cfRule type="expression" dxfId="684" priority="176">
      <formula>H15&lt;5.3</formula>
    </cfRule>
    <cfRule type="expression" dxfId="683" priority="177">
      <formula>H15&gt;6</formula>
    </cfRule>
  </conditionalFormatting>
  <conditionalFormatting sqref="H16">
    <cfRule type="expression" dxfId="682" priority="174">
      <formula>H16&lt;5.3</formula>
    </cfRule>
    <cfRule type="expression" dxfId="681" priority="175">
      <formula>H16&gt;6</formula>
    </cfRule>
  </conditionalFormatting>
  <conditionalFormatting sqref="H17">
    <cfRule type="expression" dxfId="680" priority="172">
      <formula>H17&lt;12</formula>
    </cfRule>
    <cfRule type="expression" dxfId="679" priority="173">
      <formula>H17&gt;18</formula>
    </cfRule>
  </conditionalFormatting>
  <conditionalFormatting sqref="H19">
    <cfRule type="expression" dxfId="678" priority="170">
      <formula>H19&lt;12</formula>
    </cfRule>
    <cfRule type="expression" dxfId="677" priority="171">
      <formula>H19&gt;18</formula>
    </cfRule>
  </conditionalFormatting>
  <conditionalFormatting sqref="H18">
    <cfRule type="expression" dxfId="676" priority="168">
      <formula>H18&lt;8</formula>
    </cfRule>
    <cfRule type="expression" dxfId="675" priority="169">
      <formula>H18&gt;16</formula>
    </cfRule>
  </conditionalFormatting>
  <conditionalFormatting sqref="H20">
    <cfRule type="expression" dxfId="674" priority="166">
      <formula>H20&lt;8</formula>
    </cfRule>
    <cfRule type="expression" dxfId="673" priority="167">
      <formula>H20&gt;16</formula>
    </cfRule>
  </conditionalFormatting>
  <conditionalFormatting sqref="L10">
    <cfRule type="expression" dxfId="672" priority="164">
      <formula>L10&lt;5</formula>
    </cfRule>
    <cfRule type="expression" dxfId="671" priority="165">
      <formula>L10&gt;15</formula>
    </cfRule>
  </conditionalFormatting>
  <conditionalFormatting sqref="L11">
    <cfRule type="expression" dxfId="670" priority="163">
      <formula>L11&gt;1.5</formula>
    </cfRule>
  </conditionalFormatting>
  <conditionalFormatting sqref="L12">
    <cfRule type="expression" dxfId="669" priority="161">
      <formula>L12&lt;20</formula>
    </cfRule>
    <cfRule type="expression" dxfId="668" priority="162">
      <formula>L12&gt;25</formula>
    </cfRule>
  </conditionalFormatting>
  <conditionalFormatting sqref="L13">
    <cfRule type="expression" dxfId="667" priority="159">
      <formula>L13&lt;6</formula>
    </cfRule>
    <cfRule type="expression" dxfId="666" priority="160">
      <formula>L13&gt;9</formula>
    </cfRule>
  </conditionalFormatting>
  <conditionalFormatting sqref="L14">
    <cfRule type="expression" dxfId="665" priority="157">
      <formula>L14&lt;7</formula>
    </cfRule>
    <cfRule type="expression" dxfId="664" priority="158">
      <formula>L14&gt;10</formula>
    </cfRule>
  </conditionalFormatting>
  <conditionalFormatting sqref="L15">
    <cfRule type="expression" dxfId="663" priority="155">
      <formula>L15&lt;5.3</formula>
    </cfRule>
    <cfRule type="expression" dxfId="662" priority="156">
      <formula>L15&gt;6</formula>
    </cfRule>
  </conditionalFormatting>
  <conditionalFormatting sqref="L16">
    <cfRule type="expression" dxfId="661" priority="153">
      <formula>L16&lt;5.3</formula>
    </cfRule>
    <cfRule type="expression" dxfId="660" priority="154">
      <formula>L16&gt;6</formula>
    </cfRule>
  </conditionalFormatting>
  <conditionalFormatting sqref="L25">
    <cfRule type="expression" dxfId="659" priority="143">
      <formula>L25&lt;51</formula>
    </cfRule>
    <cfRule type="expression" dxfId="658" priority="144">
      <formula>L25&gt;59</formula>
    </cfRule>
  </conditionalFormatting>
  <conditionalFormatting sqref="L25">
    <cfRule type="expression" dxfId="657" priority="142">
      <formula>L25&lt;1</formula>
    </cfRule>
  </conditionalFormatting>
  <conditionalFormatting sqref="L26:L27">
    <cfRule type="expression" dxfId="656" priority="140">
      <formula>L26&lt;51</formula>
    </cfRule>
    <cfRule type="expression" dxfId="655" priority="141">
      <formula>L26&gt;59</formula>
    </cfRule>
  </conditionalFormatting>
  <conditionalFormatting sqref="L26:L27">
    <cfRule type="expression" dxfId="654" priority="139">
      <formula>L26&lt;1</formula>
    </cfRule>
  </conditionalFormatting>
  <conditionalFormatting sqref="L28">
    <cfRule type="expression" dxfId="653" priority="137">
      <formula>L28&lt;30</formula>
    </cfRule>
    <cfRule type="expression" dxfId="652" priority="138">
      <formula>L28&gt;40</formula>
    </cfRule>
  </conditionalFormatting>
  <conditionalFormatting sqref="L28">
    <cfRule type="expression" dxfId="651" priority="136">
      <formula>L28&lt;1</formula>
    </cfRule>
  </conditionalFormatting>
  <conditionalFormatting sqref="L29">
    <cfRule type="expression" dxfId="650" priority="134">
      <formula>L29&lt;26</formula>
    </cfRule>
    <cfRule type="expression" dxfId="649" priority="135">
      <formula>L29&gt;32</formula>
    </cfRule>
  </conditionalFormatting>
  <conditionalFormatting sqref="L29">
    <cfRule type="expression" dxfId="648" priority="133">
      <formula>L29&lt;1</formula>
    </cfRule>
  </conditionalFormatting>
  <conditionalFormatting sqref="L30">
    <cfRule type="expression" dxfId="647" priority="131">
      <formula>L30&lt;26</formula>
    </cfRule>
    <cfRule type="expression" dxfId="646" priority="132">
      <formula>L30&gt;32</formula>
    </cfRule>
  </conditionalFormatting>
  <conditionalFormatting sqref="L30">
    <cfRule type="expression" dxfId="645" priority="130">
      <formula>L30&lt;1</formula>
    </cfRule>
  </conditionalFormatting>
  <conditionalFormatting sqref="H25">
    <cfRule type="expression" dxfId="644" priority="128">
      <formula>H25&lt;51</formula>
    </cfRule>
    <cfRule type="expression" dxfId="643" priority="129">
      <formula>H25&gt;59</formula>
    </cfRule>
  </conditionalFormatting>
  <conditionalFormatting sqref="H25">
    <cfRule type="expression" dxfId="642" priority="127">
      <formula>H25&lt;1</formula>
    </cfRule>
  </conditionalFormatting>
  <conditionalFormatting sqref="H26:H27">
    <cfRule type="expression" dxfId="641" priority="125">
      <formula>H26&lt;51</formula>
    </cfRule>
    <cfRule type="expression" dxfId="640" priority="126">
      <formula>H26&gt;59</formula>
    </cfRule>
  </conditionalFormatting>
  <conditionalFormatting sqref="H26:H27">
    <cfRule type="expression" dxfId="639" priority="124">
      <formula>H26&lt;1</formula>
    </cfRule>
  </conditionalFormatting>
  <conditionalFormatting sqref="H28">
    <cfRule type="expression" dxfId="638" priority="122">
      <formula>H28&lt;30</formula>
    </cfRule>
    <cfRule type="expression" dxfId="637" priority="123">
      <formula>H28&gt;40</formula>
    </cfRule>
  </conditionalFormatting>
  <conditionalFormatting sqref="H28">
    <cfRule type="expression" dxfId="636" priority="121">
      <formula>H28&lt;1</formula>
    </cfRule>
  </conditionalFormatting>
  <conditionalFormatting sqref="H29">
    <cfRule type="expression" dxfId="635" priority="119">
      <formula>H29&lt;26</formula>
    </cfRule>
    <cfRule type="expression" dxfId="634" priority="120">
      <formula>H29&gt;32</formula>
    </cfRule>
  </conditionalFormatting>
  <conditionalFormatting sqref="H29">
    <cfRule type="expression" dxfId="633" priority="118">
      <formula>H29&lt;1</formula>
    </cfRule>
  </conditionalFormatting>
  <conditionalFormatting sqref="H30">
    <cfRule type="expression" dxfId="632" priority="116">
      <formula>H30&lt;26</formula>
    </cfRule>
    <cfRule type="expression" dxfId="631" priority="117">
      <formula>H30&gt;32</formula>
    </cfRule>
  </conditionalFormatting>
  <conditionalFormatting sqref="H30">
    <cfRule type="expression" dxfId="630" priority="115">
      <formula>H30&lt;1</formula>
    </cfRule>
  </conditionalFormatting>
  <conditionalFormatting sqref="I25:K25">
    <cfRule type="expression" dxfId="629" priority="105">
      <formula>I25&lt;51</formula>
    </cfRule>
    <cfRule type="expression" dxfId="628" priority="106">
      <formula>I25&gt;59</formula>
    </cfRule>
  </conditionalFormatting>
  <conditionalFormatting sqref="I25:K25">
    <cfRule type="expression" dxfId="627" priority="104">
      <formula>I25&lt;1</formula>
    </cfRule>
  </conditionalFormatting>
  <conditionalFormatting sqref="I26:K27">
    <cfRule type="expression" dxfId="626" priority="102">
      <formula>I26&lt;51</formula>
    </cfRule>
    <cfRule type="expression" dxfId="625" priority="103">
      <formula>I26&gt;59</formula>
    </cfRule>
  </conditionalFormatting>
  <conditionalFormatting sqref="I26:K27">
    <cfRule type="expression" dxfId="624" priority="101">
      <formula>I26&lt;1</formula>
    </cfRule>
  </conditionalFormatting>
  <conditionalFormatting sqref="I28:K28">
    <cfRule type="expression" dxfId="623" priority="99">
      <formula>I28&lt;30</formula>
    </cfRule>
    <cfRule type="expression" dxfId="622" priority="100">
      <formula>I28&gt;40</formula>
    </cfRule>
  </conditionalFormatting>
  <conditionalFormatting sqref="I28:K28">
    <cfRule type="expression" dxfId="621" priority="98">
      <formula>I28&lt;1</formula>
    </cfRule>
  </conditionalFormatting>
  <conditionalFormatting sqref="I29:K29">
    <cfRule type="expression" dxfId="620" priority="96">
      <formula>I29&lt;26</formula>
    </cfRule>
    <cfRule type="expression" dxfId="619" priority="97">
      <formula>I29&gt;32</formula>
    </cfRule>
  </conditionalFormatting>
  <conditionalFormatting sqref="I29:K29">
    <cfRule type="expression" dxfId="618" priority="95">
      <formula>I29&lt;1</formula>
    </cfRule>
  </conditionalFormatting>
  <conditionalFormatting sqref="I30:K30">
    <cfRule type="expression" dxfId="617" priority="93">
      <formula>I30&lt;26</formula>
    </cfRule>
    <cfRule type="expression" dxfId="616" priority="94">
      <formula>I30&gt;32</formula>
    </cfRule>
  </conditionalFormatting>
  <conditionalFormatting sqref="I30:K30">
    <cfRule type="expression" dxfId="615" priority="92">
      <formula>I30&lt;1</formula>
    </cfRule>
  </conditionalFormatting>
  <conditionalFormatting sqref="I25:K25">
    <cfRule type="expression" dxfId="614" priority="90">
      <formula>I25&lt;51</formula>
    </cfRule>
    <cfRule type="expression" dxfId="613" priority="91">
      <formula>I25&gt;59</formula>
    </cfRule>
  </conditionalFormatting>
  <conditionalFormatting sqref="I25:K25">
    <cfRule type="expression" dxfId="612" priority="89">
      <formula>I25&lt;1</formula>
    </cfRule>
  </conditionalFormatting>
  <conditionalFormatting sqref="I26:K27">
    <cfRule type="expression" dxfId="611" priority="87">
      <formula>I26&lt;51</formula>
    </cfRule>
    <cfRule type="expression" dxfId="610" priority="88">
      <formula>I26&gt;59</formula>
    </cfRule>
  </conditionalFormatting>
  <conditionalFormatting sqref="I26:K27">
    <cfRule type="expression" dxfId="609" priority="86">
      <formula>I26&lt;1</formula>
    </cfRule>
  </conditionalFormatting>
  <conditionalFormatting sqref="I28:K28">
    <cfRule type="expression" dxfId="608" priority="84">
      <formula>I28&lt;30</formula>
    </cfRule>
    <cfRule type="expression" dxfId="607" priority="85">
      <formula>I28&gt;40</formula>
    </cfRule>
  </conditionalFormatting>
  <conditionalFormatting sqref="I28:K28">
    <cfRule type="expression" dxfId="606" priority="83">
      <formula>I28&lt;1</formula>
    </cfRule>
  </conditionalFormatting>
  <conditionalFormatting sqref="I29:K29">
    <cfRule type="expression" dxfId="605" priority="81">
      <formula>I29&lt;26</formula>
    </cfRule>
    <cfRule type="expression" dxfId="604" priority="82">
      <formula>I29&gt;32</formula>
    </cfRule>
  </conditionalFormatting>
  <conditionalFormatting sqref="I29:K29">
    <cfRule type="expression" dxfId="603" priority="80">
      <formula>I29&lt;1</formula>
    </cfRule>
  </conditionalFormatting>
  <conditionalFormatting sqref="I30:K30">
    <cfRule type="expression" dxfId="602" priority="78">
      <formula>I30&lt;26</formula>
    </cfRule>
    <cfRule type="expression" dxfId="601" priority="79">
      <formula>I30&gt;32</formula>
    </cfRule>
  </conditionalFormatting>
  <conditionalFormatting sqref="I30:K30">
    <cfRule type="expression" dxfId="600" priority="77">
      <formula>I30&lt;1</formula>
    </cfRule>
  </conditionalFormatting>
  <conditionalFormatting sqref="I31">
    <cfRule type="expression" dxfId="599" priority="75">
      <formula>I31&lt;170</formula>
    </cfRule>
    <cfRule type="expression" dxfId="598" priority="76">
      <formula>I31&gt;220</formula>
    </cfRule>
  </conditionalFormatting>
  <conditionalFormatting sqref="I31">
    <cfRule type="expression" dxfId="597" priority="74">
      <formula>I31&lt;1</formula>
    </cfRule>
  </conditionalFormatting>
  <conditionalFormatting sqref="M25:O25">
    <cfRule type="expression" dxfId="596" priority="72">
      <formula>M25&lt;51</formula>
    </cfRule>
    <cfRule type="expression" dxfId="595" priority="73">
      <formula>M25&gt;59</formula>
    </cfRule>
  </conditionalFormatting>
  <conditionalFormatting sqref="M25:O25">
    <cfRule type="expression" dxfId="594" priority="71">
      <formula>M25&lt;1</formula>
    </cfRule>
  </conditionalFormatting>
  <conditionalFormatting sqref="M26:O27">
    <cfRule type="expression" dxfId="593" priority="69">
      <formula>M26&lt;51</formula>
    </cfRule>
    <cfRule type="expression" dxfId="592" priority="70">
      <formula>M26&gt;59</formula>
    </cfRule>
  </conditionalFormatting>
  <conditionalFormatting sqref="M26:O27">
    <cfRule type="expression" dxfId="591" priority="68">
      <formula>M26&lt;1</formula>
    </cfRule>
  </conditionalFormatting>
  <conditionalFormatting sqref="M28:O28">
    <cfRule type="expression" dxfId="590" priority="66">
      <formula>M28&lt;30</formula>
    </cfRule>
    <cfRule type="expression" dxfId="589" priority="67">
      <formula>M28&gt;40</formula>
    </cfRule>
  </conditionalFormatting>
  <conditionalFormatting sqref="M28:O28">
    <cfRule type="expression" dxfId="588" priority="65">
      <formula>M28&lt;1</formula>
    </cfRule>
  </conditionalFormatting>
  <conditionalFormatting sqref="M29:O29">
    <cfRule type="expression" dxfId="587" priority="63">
      <formula>M29&lt;26</formula>
    </cfRule>
    <cfRule type="expression" dxfId="586" priority="64">
      <formula>M29&gt;32</formula>
    </cfRule>
  </conditionalFormatting>
  <conditionalFormatting sqref="M29:O29">
    <cfRule type="expression" dxfId="585" priority="62">
      <formula>M29&lt;1</formula>
    </cfRule>
  </conditionalFormatting>
  <conditionalFormatting sqref="M30:O30">
    <cfRule type="expression" dxfId="584" priority="60">
      <formula>M30&lt;26</formula>
    </cfRule>
    <cfRule type="expression" dxfId="583" priority="61">
      <formula>M30&gt;32</formula>
    </cfRule>
  </conditionalFormatting>
  <conditionalFormatting sqref="M30:O30">
    <cfRule type="expression" dxfId="582" priority="59">
      <formula>M30&lt;1</formula>
    </cfRule>
  </conditionalFormatting>
  <conditionalFormatting sqref="M25:O25">
    <cfRule type="expression" dxfId="581" priority="57">
      <formula>M25&lt;51</formula>
    </cfRule>
    <cfRule type="expression" dxfId="580" priority="58">
      <formula>M25&gt;59</formula>
    </cfRule>
  </conditionalFormatting>
  <conditionalFormatting sqref="M25:O25">
    <cfRule type="expression" dxfId="579" priority="56">
      <formula>M25&lt;1</formula>
    </cfRule>
  </conditionalFormatting>
  <conditionalFormatting sqref="M26:O27">
    <cfRule type="expression" dxfId="578" priority="54">
      <formula>M26&lt;51</formula>
    </cfRule>
    <cfRule type="expression" dxfId="577" priority="55">
      <formula>M26&gt;59</formula>
    </cfRule>
  </conditionalFormatting>
  <conditionalFormatting sqref="M26:O27">
    <cfRule type="expression" dxfId="576" priority="53">
      <formula>M26&lt;1</formula>
    </cfRule>
  </conditionalFormatting>
  <conditionalFormatting sqref="M28:O28">
    <cfRule type="expression" dxfId="575" priority="51">
      <formula>M28&lt;30</formula>
    </cfRule>
    <cfRule type="expression" dxfId="574" priority="52">
      <formula>M28&gt;40</formula>
    </cfRule>
  </conditionalFormatting>
  <conditionalFormatting sqref="M28:O28">
    <cfRule type="expression" dxfId="573" priority="50">
      <formula>M28&lt;1</formula>
    </cfRule>
  </conditionalFormatting>
  <conditionalFormatting sqref="M29:O29">
    <cfRule type="expression" dxfId="572" priority="48">
      <formula>M29&lt;26</formula>
    </cfRule>
    <cfRule type="expression" dxfId="571" priority="49">
      <formula>M29&gt;32</formula>
    </cfRule>
  </conditionalFormatting>
  <conditionalFormatting sqref="M29:O29">
    <cfRule type="expression" dxfId="570" priority="47">
      <formula>M29&lt;1</formula>
    </cfRule>
  </conditionalFormatting>
  <conditionalFormatting sqref="M30:O30">
    <cfRule type="expression" dxfId="569" priority="45">
      <formula>M30&lt;26</formula>
    </cfRule>
    <cfRule type="expression" dxfId="568" priority="46">
      <formula>M30&gt;32</formula>
    </cfRule>
  </conditionalFormatting>
  <conditionalFormatting sqref="M30:O30">
    <cfRule type="expression" dxfId="567" priority="44">
      <formula>M30&lt;1</formula>
    </cfRule>
  </conditionalFormatting>
  <conditionalFormatting sqref="M31">
    <cfRule type="expression" dxfId="566" priority="42">
      <formula>M31&lt;170</formula>
    </cfRule>
    <cfRule type="expression" dxfId="565" priority="43">
      <formula>M31&gt;220</formula>
    </cfRule>
  </conditionalFormatting>
  <conditionalFormatting sqref="M31">
    <cfRule type="expression" dxfId="564" priority="41">
      <formula>M31&lt;1</formula>
    </cfRule>
  </conditionalFormatting>
  <conditionalFormatting sqref="H7">
    <cfRule type="expression" dxfId="563" priority="7">
      <formula>H7&lt;10</formula>
    </cfRule>
    <cfRule type="expression" dxfId="562" priority="8">
      <formula>H7&gt;20</formula>
    </cfRule>
  </conditionalFormatting>
  <conditionalFormatting sqref="L7">
    <cfRule type="expression" dxfId="561" priority="5">
      <formula>L7&lt;10</formula>
    </cfRule>
    <cfRule type="expression" dxfId="560" priority="6">
      <formula>L7&gt;20</formula>
    </cfRule>
  </conditionalFormatting>
  <conditionalFormatting sqref="H8:H9">
    <cfRule type="expression" dxfId="559" priority="4" stopIfTrue="1">
      <formula>H8&lt;40</formula>
    </cfRule>
  </conditionalFormatting>
  <conditionalFormatting sqref="H8:H9">
    <cfRule type="expression" dxfId="558" priority="3" stopIfTrue="1">
      <formula>H8&gt;60</formula>
    </cfRule>
  </conditionalFormatting>
  <conditionalFormatting sqref="L8:L9">
    <cfRule type="expression" dxfId="557" priority="2" stopIfTrue="1">
      <formula>L8&lt;40</formula>
    </cfRule>
  </conditionalFormatting>
  <conditionalFormatting sqref="L8:L9">
    <cfRule type="expression" dxfId="556" priority="1" stopIfTrue="1">
      <formula>L8&gt;60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4.xml><?xml version="1.0" encoding="utf-8"?>
<worksheet xmlns="http://schemas.openxmlformats.org/spreadsheetml/2006/main" xmlns:r="http://schemas.openxmlformats.org/officeDocument/2006/relationships">
  <sheetPr codeName="Sheet28">
    <tabColor rgb="FFFF0000"/>
  </sheetPr>
  <dimension ref="A1:S46"/>
  <sheetViews>
    <sheetView topLeftCell="A13" zoomScale="55" zoomScaleNormal="55" workbookViewId="0">
      <selection sqref="A1:O1"/>
    </sheetView>
  </sheetViews>
  <sheetFormatPr defaultRowHeight="13.5"/>
  <cols>
    <col min="1" max="1" width="3.875" style="553" customWidth="1"/>
    <col min="2" max="2" width="20.5" style="603" customWidth="1"/>
    <col min="3" max="3" width="5" style="603" customWidth="1"/>
    <col min="4" max="4" width="7.625" style="553" customWidth="1"/>
    <col min="5" max="5" width="13.625" style="553" customWidth="1"/>
    <col min="6" max="6" width="8.75" style="553" customWidth="1"/>
    <col min="7" max="7" width="2.375" style="553" customWidth="1"/>
    <col min="8" max="8" width="7.25" style="604" customWidth="1"/>
    <col min="9" max="9" width="3.125" style="604" customWidth="1"/>
    <col min="10" max="10" width="8.125" style="604" customWidth="1"/>
    <col min="11" max="11" width="2.5" style="604" customWidth="1"/>
    <col min="12" max="12" width="6.5" style="604" customWidth="1"/>
    <col min="13" max="13" width="3.75" style="604" customWidth="1"/>
    <col min="14" max="14" width="8.125" style="604" customWidth="1"/>
    <col min="15" max="15" width="2.5" style="604" customWidth="1"/>
    <col min="16" max="16" width="6.5" style="604" customWidth="1"/>
    <col min="17" max="17" width="3.75" style="604" customWidth="1"/>
    <col min="18" max="18" width="7.375" style="552" customWidth="1"/>
    <col min="19" max="19" width="5.75" style="552" customWidth="1"/>
    <col min="20" max="16384" width="9" style="553"/>
  </cols>
  <sheetData>
    <row r="1" spans="1:19" ht="33" customHeight="1">
      <c r="A1" s="2230" t="s">
        <v>634</v>
      </c>
      <c r="B1" s="2230"/>
      <c r="C1" s="2230"/>
      <c r="D1" s="2230"/>
      <c r="E1" s="2230"/>
      <c r="F1" s="2230"/>
      <c r="G1" s="2230"/>
      <c r="H1" s="2230"/>
      <c r="I1" s="2230"/>
      <c r="J1" s="2230"/>
      <c r="K1" s="2230"/>
      <c r="L1" s="2230"/>
      <c r="M1" s="2230"/>
      <c r="N1" s="2230"/>
      <c r="O1" s="2230"/>
      <c r="P1" s="691"/>
      <c r="Q1" s="691"/>
    </row>
    <row r="2" spans="1:19" ht="39.75" customHeight="1">
      <c r="A2" s="2231" t="s">
        <v>990</v>
      </c>
      <c r="B2" s="2231"/>
      <c r="C2" s="2231"/>
      <c r="D2" s="2231"/>
      <c r="E2" s="2231"/>
      <c r="F2" s="2231"/>
      <c r="G2" s="2231"/>
      <c r="H2" s="2231"/>
      <c r="I2" s="2231"/>
      <c r="J2" s="2231"/>
      <c r="K2" s="2231"/>
      <c r="L2" s="2231"/>
      <c r="M2" s="2231"/>
      <c r="N2" s="2231"/>
      <c r="O2" s="2382"/>
      <c r="P2" s="2232" t="s">
        <v>635</v>
      </c>
      <c r="Q2" s="2233"/>
      <c r="R2" s="2234" t="s">
        <v>636</v>
      </c>
      <c r="S2" s="2235"/>
    </row>
    <row r="3" spans="1:19" ht="22.5" customHeight="1">
      <c r="A3" s="555"/>
      <c r="B3" s="556" t="s">
        <v>776</v>
      </c>
      <c r="C3" s="556"/>
      <c r="D3" s="557"/>
      <c r="E3" s="558" t="str">
        <f>'1.xi den'!$G$3</f>
        <v>2022/12/03</v>
      </c>
      <c r="F3" s="555"/>
      <c r="G3" s="555"/>
      <c r="H3" s="555"/>
      <c r="I3" s="555"/>
      <c r="J3" s="559"/>
      <c r="K3" s="559"/>
      <c r="L3" s="559"/>
      <c r="M3" s="559"/>
      <c r="N3" s="559"/>
      <c r="O3" s="559"/>
      <c r="P3" s="2236" t="str">
        <f>'1.xi den'!$N$3</f>
        <v>L.Yen</v>
      </c>
      <c r="Q3" s="2237"/>
      <c r="R3" s="2238" t="s">
        <v>638</v>
      </c>
      <c r="S3" s="2239"/>
    </row>
    <row r="4" spans="1:19" s="561" customFormat="1" ht="33" customHeight="1">
      <c r="A4" s="2250" t="s">
        <v>639</v>
      </c>
      <c r="B4" s="2040" t="s">
        <v>690</v>
      </c>
      <c r="C4" s="2383"/>
      <c r="D4" s="2282" t="s">
        <v>691</v>
      </c>
      <c r="E4" s="2254" t="s">
        <v>641</v>
      </c>
      <c r="F4" s="2256" t="s">
        <v>642</v>
      </c>
      <c r="G4" s="2257"/>
      <c r="H4" s="2257"/>
      <c r="I4" s="2257"/>
      <c r="J4" s="2257"/>
      <c r="K4" s="2257"/>
      <c r="L4" s="2257"/>
      <c r="M4" s="2257"/>
      <c r="N4" s="2257"/>
      <c r="O4" s="2257"/>
      <c r="P4" s="2257"/>
      <c r="Q4" s="2258"/>
      <c r="R4" s="2240" t="s">
        <v>643</v>
      </c>
      <c r="S4" s="2240"/>
    </row>
    <row r="5" spans="1:19" s="561" customFormat="1" ht="15.75" customHeight="1">
      <c r="A5" s="2251"/>
      <c r="B5" s="2141"/>
      <c r="C5" s="2384"/>
      <c r="D5" s="2282"/>
      <c r="E5" s="2254"/>
      <c r="F5" s="2241">
        <v>0.33333333333333331</v>
      </c>
      <c r="G5" s="2242"/>
      <c r="H5" s="2242"/>
      <c r="I5" s="2242"/>
      <c r="J5" s="2243">
        <v>0.52083333333333337</v>
      </c>
      <c r="K5" s="2244"/>
      <c r="L5" s="2244"/>
      <c r="M5" s="2245"/>
      <c r="N5" s="2243">
        <v>0.66666666666666663</v>
      </c>
      <c r="O5" s="2244"/>
      <c r="P5" s="2244"/>
      <c r="Q5" s="2245"/>
      <c r="R5" s="2240"/>
      <c r="S5" s="2240"/>
    </row>
    <row r="6" spans="1:19" s="561" customFormat="1" ht="44.25" customHeight="1">
      <c r="A6" s="2252"/>
      <c r="B6" s="2385"/>
      <c r="C6" s="2386"/>
      <c r="D6" s="2283"/>
      <c r="E6" s="2255"/>
      <c r="F6" s="563" t="s">
        <v>644</v>
      </c>
      <c r="G6" s="2246" t="s">
        <v>645</v>
      </c>
      <c r="H6" s="2247"/>
      <c r="I6" s="2248"/>
      <c r="J6" s="563" t="s">
        <v>644</v>
      </c>
      <c r="K6" s="2259" t="s">
        <v>645</v>
      </c>
      <c r="L6" s="2260"/>
      <c r="M6" s="2261"/>
      <c r="N6" s="563" t="s">
        <v>644</v>
      </c>
      <c r="O6" s="2259" t="s">
        <v>645</v>
      </c>
      <c r="P6" s="2260"/>
      <c r="Q6" s="2261"/>
      <c r="R6" s="2249" t="s">
        <v>646</v>
      </c>
      <c r="S6" s="2249"/>
    </row>
    <row r="7" spans="1:19" ht="29.25" customHeight="1">
      <c r="A7" s="562">
        <v>1</v>
      </c>
      <c r="B7" s="2313" t="s">
        <v>442</v>
      </c>
      <c r="C7" s="2301"/>
      <c r="D7" s="614" t="s">
        <v>703</v>
      </c>
      <c r="E7" s="564" t="s">
        <v>649</v>
      </c>
      <c r="F7" s="692">
        <f>'R.GUI MAIL'!H6</f>
        <v>0</v>
      </c>
      <c r="G7" s="568" t="s">
        <v>650</v>
      </c>
      <c r="H7" s="569">
        <f>'R.GUI MAIL'!K6</f>
        <v>292.1875</v>
      </c>
      <c r="I7" s="562" t="s">
        <v>10</v>
      </c>
      <c r="J7" s="692">
        <f>'R.GUI MAIL'!N6</f>
        <v>0</v>
      </c>
      <c r="K7" s="568" t="s">
        <v>650</v>
      </c>
      <c r="L7" s="569">
        <f>'R.GUI MAIL'!Q6</f>
        <v>292.1875</v>
      </c>
      <c r="M7" s="562" t="s">
        <v>10</v>
      </c>
      <c r="N7" s="692">
        <f>'R.GUI MAIL'!T6</f>
        <v>0</v>
      </c>
      <c r="O7" s="568" t="s">
        <v>650</v>
      </c>
      <c r="P7" s="569">
        <f>'R.GUI MAIL'!W6</f>
        <v>292.1875</v>
      </c>
      <c r="Q7" s="562" t="s">
        <v>10</v>
      </c>
      <c r="R7" s="2262" t="s">
        <v>651</v>
      </c>
      <c r="S7" s="2262"/>
    </row>
    <row r="8" spans="1:19" ht="26.25" hidden="1" customHeight="1">
      <c r="A8" s="562"/>
      <c r="B8" s="2313" t="s">
        <v>443</v>
      </c>
      <c r="C8" s="2301"/>
      <c r="D8" s="614" t="s">
        <v>703</v>
      </c>
      <c r="E8" s="564" t="s">
        <v>649</v>
      </c>
      <c r="F8" s="571">
        <f>'R.GUI MAIL'!H7</f>
        <v>0</v>
      </c>
      <c r="G8" s="572" t="s">
        <v>650</v>
      </c>
      <c r="H8" s="573">
        <f>'R.GUI MAIL'!K7</f>
        <v>292.1875</v>
      </c>
      <c r="I8" s="247" t="s">
        <v>10</v>
      </c>
      <c r="J8" s="571">
        <f>'R.GUI MAIL'!N7</f>
        <v>0</v>
      </c>
      <c r="K8" s="572" t="s">
        <v>650</v>
      </c>
      <c r="L8" s="573">
        <f>'R.GUI MAIL'!Q7</f>
        <v>292.1875</v>
      </c>
      <c r="M8" s="247" t="s">
        <v>10</v>
      </c>
      <c r="N8" s="571">
        <f>'R.GUI MAIL'!T7</f>
        <v>0</v>
      </c>
      <c r="O8" s="572" t="s">
        <v>650</v>
      </c>
      <c r="P8" s="573">
        <f>'R.GUI MAIL'!W7</f>
        <v>292.1875</v>
      </c>
      <c r="Q8" s="247" t="s">
        <v>10</v>
      </c>
      <c r="R8" s="2262" t="s">
        <v>651</v>
      </c>
      <c r="S8" s="2262"/>
    </row>
    <row r="9" spans="1:19" ht="29.25" customHeight="1">
      <c r="A9" s="562">
        <v>2</v>
      </c>
      <c r="B9" s="2387" t="s">
        <v>734</v>
      </c>
      <c r="C9" s="2390">
        <f>R.HN!B4</f>
        <v>3</v>
      </c>
      <c r="D9" s="2292" t="s">
        <v>475</v>
      </c>
      <c r="E9" s="564" t="s">
        <v>777</v>
      </c>
      <c r="F9" s="692">
        <f>'R.GUI MAIL'!H8</f>
        <v>0</v>
      </c>
      <c r="G9" s="568" t="s">
        <v>655</v>
      </c>
      <c r="H9" s="569">
        <f>'R.GUI MAIL'!K8</f>
        <v>69.400000000000006</v>
      </c>
      <c r="I9" s="562" t="s">
        <v>656</v>
      </c>
      <c r="J9" s="692">
        <f>'R.GUI MAIL'!N8</f>
        <v>0</v>
      </c>
      <c r="K9" s="568" t="s">
        <v>655</v>
      </c>
      <c r="L9" s="569">
        <f>'R.GUI MAIL'!Q8</f>
        <v>69.400000000000006</v>
      </c>
      <c r="M9" s="562" t="s">
        <v>656</v>
      </c>
      <c r="N9" s="692">
        <f>'R.GUI MAIL'!T8</f>
        <v>0</v>
      </c>
      <c r="O9" s="568" t="s">
        <v>655</v>
      </c>
      <c r="P9" s="569">
        <f>'R.GUI MAIL'!W8</f>
        <v>69.400000000000006</v>
      </c>
      <c r="Q9" s="562" t="s">
        <v>656</v>
      </c>
      <c r="R9" s="2262" t="s">
        <v>657</v>
      </c>
      <c r="S9" s="2262"/>
    </row>
    <row r="10" spans="1:19" ht="29.25" customHeight="1">
      <c r="A10" s="562">
        <v>3</v>
      </c>
      <c r="B10" s="2388"/>
      <c r="C10" s="2391"/>
      <c r="D10" s="2292"/>
      <c r="E10" s="564" t="s">
        <v>778</v>
      </c>
      <c r="F10" s="692">
        <f>'R.GUI MAIL'!H9</f>
        <v>0</v>
      </c>
      <c r="G10" s="568" t="s">
        <v>655</v>
      </c>
      <c r="H10" s="569">
        <f>'R.GUI MAIL'!K9</f>
        <v>4.5110000000000001</v>
      </c>
      <c r="I10" s="562" t="s">
        <v>656</v>
      </c>
      <c r="J10" s="692">
        <f>'R.GUI MAIL'!N9</f>
        <v>0</v>
      </c>
      <c r="K10" s="568" t="s">
        <v>655</v>
      </c>
      <c r="L10" s="569">
        <f>'R.GUI MAIL'!Q9</f>
        <v>4.5110000000000001</v>
      </c>
      <c r="M10" s="562" t="s">
        <v>656</v>
      </c>
      <c r="N10" s="692">
        <f>'R.GUI MAIL'!T9</f>
        <v>0</v>
      </c>
      <c r="O10" s="568" t="s">
        <v>655</v>
      </c>
      <c r="P10" s="569">
        <f>'R.GUI MAIL'!W9</f>
        <v>4.5110000000000001</v>
      </c>
      <c r="Q10" s="562" t="s">
        <v>656</v>
      </c>
      <c r="R10" s="2262" t="s">
        <v>659</v>
      </c>
      <c r="S10" s="2262"/>
    </row>
    <row r="11" spans="1:19" ht="29.25" customHeight="1">
      <c r="A11" s="562">
        <v>4</v>
      </c>
      <c r="B11" s="2389"/>
      <c r="C11" s="2392"/>
      <c r="D11" s="2292"/>
      <c r="E11" s="564" t="s">
        <v>660</v>
      </c>
      <c r="F11" s="693">
        <f>'R.GUI MAIL'!H10</f>
        <v>0</v>
      </c>
      <c r="G11" s="568" t="s">
        <v>655</v>
      </c>
      <c r="H11" s="569">
        <f>'R.GUI MAIL'!K10</f>
        <v>0</v>
      </c>
      <c r="I11" s="562" t="s">
        <v>656</v>
      </c>
      <c r="J11" s="693">
        <f>'R.GUI MAIL'!N10</f>
        <v>0</v>
      </c>
      <c r="K11" s="568" t="s">
        <v>655</v>
      </c>
      <c r="L11" s="569">
        <f>'R.GUI MAIL'!Q10</f>
        <v>0</v>
      </c>
      <c r="M11" s="562" t="s">
        <v>656</v>
      </c>
      <c r="N11" s="693">
        <f>'R.GUI MAIL'!T10</f>
        <v>0</v>
      </c>
      <c r="O11" s="568" t="s">
        <v>655</v>
      </c>
      <c r="P11" s="569">
        <f>'R.GUI MAIL'!W10</f>
        <v>0</v>
      </c>
      <c r="Q11" s="562" t="s">
        <v>656</v>
      </c>
      <c r="R11" s="2262"/>
      <c r="S11" s="2262"/>
    </row>
    <row r="12" spans="1:19" ht="29.25" customHeight="1">
      <c r="A12" s="562">
        <v>5</v>
      </c>
      <c r="B12" s="2387" t="s">
        <v>779</v>
      </c>
      <c r="C12" s="2390">
        <f>R.HN!B7</f>
        <v>4</v>
      </c>
      <c r="D12" s="2292" t="s">
        <v>475</v>
      </c>
      <c r="E12" s="564" t="s">
        <v>777</v>
      </c>
      <c r="F12" s="692">
        <f>'R.GUI MAIL'!H11</f>
        <v>0</v>
      </c>
      <c r="G12" s="568" t="s">
        <v>655</v>
      </c>
      <c r="H12" s="569">
        <f>'R.GUI MAIL'!K11</f>
        <v>69.400000000000006</v>
      </c>
      <c r="I12" s="562"/>
      <c r="J12" s="692">
        <f>'R.GUI MAIL'!N11</f>
        <v>0</v>
      </c>
      <c r="K12" s="568" t="s">
        <v>655</v>
      </c>
      <c r="L12" s="569">
        <f>'R.GUI MAIL'!Q11</f>
        <v>69.400000000000006</v>
      </c>
      <c r="M12" s="562" t="s">
        <v>656</v>
      </c>
      <c r="N12" s="692">
        <f>'R.GUI MAIL'!T11</f>
        <v>0</v>
      </c>
      <c r="O12" s="568" t="s">
        <v>655</v>
      </c>
      <c r="P12" s="569">
        <f>'R.GUI MAIL'!W11</f>
        <v>69.400000000000006</v>
      </c>
      <c r="Q12" s="562" t="s">
        <v>656</v>
      </c>
      <c r="R12" s="2262" t="s">
        <v>657</v>
      </c>
      <c r="S12" s="2262"/>
    </row>
    <row r="13" spans="1:19" ht="29.25" customHeight="1">
      <c r="A13" s="562">
        <v>6</v>
      </c>
      <c r="B13" s="2388"/>
      <c r="C13" s="2391"/>
      <c r="D13" s="2292"/>
      <c r="E13" s="564" t="s">
        <v>778</v>
      </c>
      <c r="F13" s="692">
        <f>'R.GUI MAIL'!H12</f>
        <v>0</v>
      </c>
      <c r="G13" s="568" t="s">
        <v>655</v>
      </c>
      <c r="H13" s="569">
        <f>'R.GUI MAIL'!K12</f>
        <v>4.5110000000000001</v>
      </c>
      <c r="I13" s="562"/>
      <c r="J13" s="692">
        <f>'R.GUI MAIL'!N12</f>
        <v>0</v>
      </c>
      <c r="K13" s="568" t="s">
        <v>655</v>
      </c>
      <c r="L13" s="569">
        <f>'R.GUI MAIL'!Q12</f>
        <v>4.5110000000000001</v>
      </c>
      <c r="M13" s="562" t="s">
        <v>656</v>
      </c>
      <c r="N13" s="692">
        <f>'R.GUI MAIL'!T12</f>
        <v>0</v>
      </c>
      <c r="O13" s="568" t="s">
        <v>655</v>
      </c>
      <c r="P13" s="569">
        <f>'R.GUI MAIL'!W12</f>
        <v>4.5110000000000001</v>
      </c>
      <c r="Q13" s="562" t="s">
        <v>656</v>
      </c>
      <c r="R13" s="2262" t="s">
        <v>659</v>
      </c>
      <c r="S13" s="2262"/>
    </row>
    <row r="14" spans="1:19" ht="29.25" customHeight="1">
      <c r="A14" s="562">
        <v>7</v>
      </c>
      <c r="B14" s="2389"/>
      <c r="C14" s="2392"/>
      <c r="D14" s="2292"/>
      <c r="E14" s="564" t="s">
        <v>660</v>
      </c>
      <c r="F14" s="693">
        <f>'R.GUI MAIL'!H13</f>
        <v>0</v>
      </c>
      <c r="G14" s="568" t="s">
        <v>8</v>
      </c>
      <c r="H14" s="569">
        <f>'R.GUI MAIL'!K13</f>
        <v>0</v>
      </c>
      <c r="I14" s="562"/>
      <c r="J14" s="693">
        <f>'R.GUI MAIL'!N13</f>
        <v>0</v>
      </c>
      <c r="K14" s="568" t="s">
        <v>655</v>
      </c>
      <c r="L14" s="569">
        <f>'R.GUI MAIL'!Q13</f>
        <v>0</v>
      </c>
      <c r="M14" s="562" t="s">
        <v>656</v>
      </c>
      <c r="N14" s="693">
        <f>'R.GUI MAIL'!T13</f>
        <v>0</v>
      </c>
      <c r="O14" s="568" t="s">
        <v>655</v>
      </c>
      <c r="P14" s="569">
        <f>'R.GUI MAIL'!W13</f>
        <v>0</v>
      </c>
      <c r="Q14" s="562" t="s">
        <v>656</v>
      </c>
      <c r="R14" s="2262"/>
      <c r="S14" s="2262"/>
    </row>
    <row r="15" spans="1:19" s="582" customFormat="1" ht="29.25" customHeight="1">
      <c r="A15" s="562">
        <v>8</v>
      </c>
      <c r="B15" s="2387" t="s">
        <v>710</v>
      </c>
      <c r="C15" s="2390"/>
      <c r="D15" s="611" t="s">
        <v>475</v>
      </c>
      <c r="E15" s="566" t="s">
        <v>485</v>
      </c>
      <c r="F15" s="692">
        <f>'R.GUI MAIL'!H14</f>
        <v>0</v>
      </c>
      <c r="G15" s="568" t="s">
        <v>663</v>
      </c>
      <c r="H15" s="580">
        <f>'R.GUI MAIL'!K14</f>
        <v>4.3680000000000003</v>
      </c>
      <c r="I15" s="581" t="s">
        <v>664</v>
      </c>
      <c r="J15" s="692">
        <f>'R.GUI MAIL'!N14</f>
        <v>0</v>
      </c>
      <c r="K15" s="568" t="s">
        <v>663</v>
      </c>
      <c r="L15" s="580">
        <f>'R.GUI MAIL'!Q14</f>
        <v>4.3680000000000003</v>
      </c>
      <c r="M15" s="581" t="s">
        <v>664</v>
      </c>
      <c r="N15" s="692">
        <f>'R.GUI MAIL'!T14</f>
        <v>0</v>
      </c>
      <c r="O15" s="568" t="s">
        <v>663</v>
      </c>
      <c r="P15" s="580">
        <f>'R.GUI MAIL'!W14</f>
        <v>4.3680000000000003</v>
      </c>
      <c r="Q15" s="581" t="s">
        <v>664</v>
      </c>
      <c r="R15" s="2262"/>
      <c r="S15" s="2262"/>
    </row>
    <row r="16" spans="1:19" s="582" customFormat="1" ht="29.25" customHeight="1">
      <c r="A16" s="562">
        <v>9</v>
      </c>
      <c r="B16" s="2389"/>
      <c r="C16" s="2392"/>
      <c r="D16" s="622" t="s">
        <v>732</v>
      </c>
      <c r="E16" s="564" t="s">
        <v>666</v>
      </c>
      <c r="F16" s="692">
        <f>'R.GUI MAIL'!H15</f>
        <v>0</v>
      </c>
      <c r="G16" s="568" t="s">
        <v>663</v>
      </c>
      <c r="H16" s="569"/>
      <c r="I16" s="581"/>
      <c r="J16" s="692">
        <f>'R.GUI MAIL'!N15</f>
        <v>0</v>
      </c>
      <c r="K16" s="568" t="s">
        <v>663</v>
      </c>
      <c r="L16" s="569"/>
      <c r="M16" s="581"/>
      <c r="N16" s="692">
        <f>'R.GUI MAIL'!T15</f>
        <v>0</v>
      </c>
      <c r="O16" s="568" t="s">
        <v>663</v>
      </c>
      <c r="P16" s="569"/>
      <c r="Q16" s="581"/>
      <c r="R16" s="2262"/>
      <c r="S16" s="2262"/>
    </row>
    <row r="17" spans="1:19" s="582" customFormat="1" ht="25.5" customHeight="1">
      <c r="A17" s="2253" t="s">
        <v>667</v>
      </c>
      <c r="B17" s="2253"/>
      <c r="C17" s="2253"/>
      <c r="D17" s="2253"/>
      <c r="E17" s="2253"/>
      <c r="F17" s="2253"/>
      <c r="G17" s="2253"/>
      <c r="H17" s="2253"/>
      <c r="I17" s="2253"/>
      <c r="J17" s="2253"/>
      <c r="K17" s="2253"/>
      <c r="L17" s="2253"/>
      <c r="M17" s="2253"/>
      <c r="N17" s="2253"/>
      <c r="O17" s="2253"/>
      <c r="P17" s="2253"/>
      <c r="Q17" s="2253"/>
      <c r="R17" s="2253"/>
      <c r="S17" s="2253"/>
    </row>
    <row r="18" spans="1:19" s="582" customFormat="1" ht="40.5" customHeight="1">
      <c r="A18" s="562" t="s">
        <v>668</v>
      </c>
      <c r="B18" s="2313" t="s">
        <v>669</v>
      </c>
      <c r="C18" s="2301"/>
      <c r="D18" s="560" t="s">
        <v>670</v>
      </c>
      <c r="E18" s="560" t="s">
        <v>671</v>
      </c>
      <c r="F18" s="2253" t="s">
        <v>48</v>
      </c>
      <c r="G18" s="2253"/>
      <c r="H18" s="2253" t="s">
        <v>65</v>
      </c>
      <c r="I18" s="2253"/>
      <c r="J18" s="2253" t="s">
        <v>48</v>
      </c>
      <c r="K18" s="2253"/>
      <c r="L18" s="2253" t="s">
        <v>65</v>
      </c>
      <c r="M18" s="2253"/>
      <c r="N18" s="2253" t="s">
        <v>48</v>
      </c>
      <c r="O18" s="2253"/>
      <c r="P18" s="2253" t="s">
        <v>65</v>
      </c>
      <c r="Q18" s="2253"/>
      <c r="R18" s="2267" t="s">
        <v>643</v>
      </c>
      <c r="S18" s="2268"/>
    </row>
    <row r="19" spans="1:19" s="582" customFormat="1" ht="27" customHeight="1">
      <c r="A19" s="562">
        <v>1</v>
      </c>
      <c r="B19" s="2313" t="s">
        <v>489</v>
      </c>
      <c r="C19" s="2301"/>
      <c r="D19" s="586" t="s">
        <v>673</v>
      </c>
      <c r="E19" s="587" t="s">
        <v>674</v>
      </c>
      <c r="F19" s="1866">
        <f>'R.FILE GOC'!H18</f>
        <v>0</v>
      </c>
      <c r="G19" s="1867"/>
      <c r="H19" s="1866">
        <f>'R.FILE GOC'!K18</f>
        <v>0</v>
      </c>
      <c r="I19" s="1867"/>
      <c r="J19" s="1866">
        <f>'R.FILE GOC'!N18</f>
        <v>0</v>
      </c>
      <c r="K19" s="1867"/>
      <c r="L19" s="1866">
        <f>'R.FILE GOC'!Q18</f>
        <v>0</v>
      </c>
      <c r="M19" s="1867"/>
      <c r="N19" s="1866">
        <f>'R.GUI MAIL'!T18</f>
        <v>0</v>
      </c>
      <c r="O19" s="1867"/>
      <c r="P19" s="1866">
        <f>'R.FILE GOC'!W18</f>
        <v>0</v>
      </c>
      <c r="Q19" s="1867"/>
      <c r="R19" s="588"/>
      <c r="S19" s="588"/>
    </row>
    <row r="20" spans="1:19" s="582" customFormat="1" ht="27" customHeight="1">
      <c r="A20" s="562">
        <v>2</v>
      </c>
      <c r="B20" s="2313" t="s">
        <v>491</v>
      </c>
      <c r="C20" s="2301"/>
      <c r="D20" s="586" t="s">
        <v>673</v>
      </c>
      <c r="E20" s="587" t="s">
        <v>674</v>
      </c>
      <c r="F20" s="1866">
        <f>'R.FILE GOC'!H19</f>
        <v>0</v>
      </c>
      <c r="G20" s="1867"/>
      <c r="H20" s="1866">
        <f>'R.FILE GOC'!K19</f>
        <v>0</v>
      </c>
      <c r="I20" s="1867"/>
      <c r="J20" s="1866">
        <f>'R.FILE GOC'!N19</f>
        <v>0</v>
      </c>
      <c r="K20" s="1867"/>
      <c r="L20" s="1866">
        <f>'R.FILE GOC'!Q19</f>
        <v>0</v>
      </c>
      <c r="M20" s="1867"/>
      <c r="N20" s="1866">
        <f>'R.GUI MAIL'!T19</f>
        <v>0</v>
      </c>
      <c r="O20" s="1867"/>
      <c r="P20" s="1866">
        <f>'R.FILE GOC'!W19</f>
        <v>0</v>
      </c>
      <c r="Q20" s="1867"/>
      <c r="R20" s="589"/>
      <c r="S20" s="589"/>
    </row>
    <row r="21" spans="1:19" s="582" customFormat="1" ht="27" customHeight="1">
      <c r="A21" s="562">
        <v>3</v>
      </c>
      <c r="B21" s="2313" t="s">
        <v>484</v>
      </c>
      <c r="C21" s="2301"/>
      <c r="D21" s="586" t="s">
        <v>673</v>
      </c>
      <c r="E21" s="587" t="s">
        <v>675</v>
      </c>
      <c r="F21" s="1866">
        <f>'R.FILE GOC'!H20</f>
        <v>0</v>
      </c>
      <c r="G21" s="1867"/>
      <c r="H21" s="1866">
        <f>'R.FILE GOC'!K20</f>
        <v>0</v>
      </c>
      <c r="I21" s="1867"/>
      <c r="J21" s="1866">
        <f>'R.FILE GOC'!N20</f>
        <v>0</v>
      </c>
      <c r="K21" s="1867"/>
      <c r="L21" s="1866">
        <f>'R.FILE GOC'!Q20</f>
        <v>0</v>
      </c>
      <c r="M21" s="1867"/>
      <c r="N21" s="1866">
        <f>'R.GUI MAIL'!T20</f>
        <v>0</v>
      </c>
      <c r="O21" s="1867"/>
      <c r="P21" s="1866">
        <f>'R.FILE GOC'!W20</f>
        <v>0</v>
      </c>
      <c r="Q21" s="1867"/>
      <c r="R21" s="589"/>
      <c r="S21" s="589"/>
    </row>
    <row r="22" spans="1:19" s="582" customFormat="1" ht="27" customHeight="1">
      <c r="A22" s="590"/>
      <c r="B22" s="591"/>
      <c r="C22" s="591"/>
      <c r="D22" s="592"/>
      <c r="E22" s="593"/>
      <c r="F22" s="2274"/>
      <c r="G22" s="2274"/>
      <c r="H22" s="2274"/>
      <c r="I22" s="2274"/>
      <c r="J22" s="2274"/>
      <c r="K22" s="2274"/>
      <c r="L22" s="2274"/>
      <c r="M22" s="2274"/>
      <c r="N22" s="2274"/>
      <c r="O22" s="2274"/>
      <c r="P22" s="2274"/>
      <c r="Q22" s="2274"/>
      <c r="R22" s="594"/>
      <c r="S22" s="594"/>
    </row>
    <row r="23" spans="1:19" s="582" customFormat="1" ht="27.75" customHeight="1">
      <c r="A23" s="596"/>
      <c r="B23" s="597"/>
      <c r="C23" s="597"/>
      <c r="D23" s="598"/>
      <c r="E23" s="597"/>
      <c r="F23" s="597"/>
      <c r="G23" s="597"/>
      <c r="H23" s="597"/>
      <c r="I23" s="597"/>
      <c r="J23" s="597"/>
      <c r="K23" s="597"/>
      <c r="L23" s="597"/>
      <c r="M23" s="597"/>
      <c r="N23" s="597"/>
      <c r="O23" s="597"/>
      <c r="P23" s="597"/>
      <c r="Q23" s="597"/>
      <c r="R23" s="552"/>
      <c r="S23" s="552"/>
    </row>
    <row r="24" spans="1:19" ht="39" customHeight="1">
      <c r="A24" s="2231" t="s">
        <v>990</v>
      </c>
      <c r="B24" s="2231"/>
      <c r="C24" s="2231"/>
      <c r="D24" s="2231"/>
      <c r="E24" s="2231"/>
      <c r="F24" s="2231"/>
      <c r="G24" s="2231"/>
      <c r="H24" s="2231"/>
      <c r="I24" s="2231"/>
      <c r="J24" s="2231"/>
      <c r="K24" s="2231"/>
      <c r="L24" s="2231"/>
      <c r="M24" s="2231"/>
      <c r="N24" s="2231"/>
      <c r="O24" s="2231"/>
      <c r="P24" s="2231"/>
      <c r="Q24" s="2231"/>
      <c r="R24" s="2275"/>
      <c r="S24" s="2275"/>
    </row>
    <row r="25" spans="1:19" ht="23.25" customHeight="1">
      <c r="A25" s="556"/>
      <c r="B25" s="556" t="s">
        <v>676</v>
      </c>
      <c r="C25" s="556"/>
      <c r="D25" s="557"/>
      <c r="E25" s="558"/>
      <c r="F25" s="555"/>
      <c r="G25" s="555"/>
      <c r="H25" s="555"/>
      <c r="I25" s="555"/>
      <c r="J25" s="555"/>
      <c r="K25" s="555"/>
      <c r="L25" s="555"/>
      <c r="M25" s="555"/>
      <c r="N25" s="555"/>
      <c r="O25" s="555"/>
      <c r="P25" s="555"/>
      <c r="Q25" s="555"/>
      <c r="R25" s="2273"/>
      <c r="S25" s="2273"/>
    </row>
    <row r="26" spans="1:19" s="561" customFormat="1" ht="32.25" customHeight="1">
      <c r="A26" s="2251" t="s">
        <v>677</v>
      </c>
      <c r="B26" s="2040" t="s">
        <v>690</v>
      </c>
      <c r="C26" s="2383"/>
      <c r="D26" s="2282" t="s">
        <v>691</v>
      </c>
      <c r="E26" s="2278" t="s">
        <v>641</v>
      </c>
      <c r="F26" s="2256" t="s">
        <v>642</v>
      </c>
      <c r="G26" s="2257"/>
      <c r="H26" s="2257"/>
      <c r="I26" s="2257"/>
      <c r="J26" s="2257"/>
      <c r="K26" s="2257"/>
      <c r="L26" s="2257"/>
      <c r="M26" s="2257"/>
      <c r="N26" s="2257"/>
      <c r="O26" s="2257"/>
      <c r="P26" s="2257"/>
      <c r="Q26" s="2258"/>
      <c r="R26" s="2276" t="s">
        <v>643</v>
      </c>
      <c r="S26" s="2276"/>
    </row>
    <row r="27" spans="1:19" s="561" customFormat="1" ht="16.5" customHeight="1">
      <c r="A27" s="2251"/>
      <c r="B27" s="2141"/>
      <c r="C27" s="2384"/>
      <c r="D27" s="2282"/>
      <c r="E27" s="2254"/>
      <c r="F27" s="2241">
        <v>0.83333333333333337</v>
      </c>
      <c r="G27" s="2242"/>
      <c r="H27" s="2242"/>
      <c r="I27" s="2242"/>
      <c r="J27" s="2243">
        <v>4.1666666666666664E-2</v>
      </c>
      <c r="K27" s="2244"/>
      <c r="L27" s="2244"/>
      <c r="M27" s="2245"/>
      <c r="N27" s="2243">
        <v>0.16666666666666666</v>
      </c>
      <c r="O27" s="2244"/>
      <c r="P27" s="2244"/>
      <c r="Q27" s="2245"/>
      <c r="R27" s="2240"/>
      <c r="S27" s="2240"/>
    </row>
    <row r="28" spans="1:19" s="561" customFormat="1" ht="38.25" customHeight="1">
      <c r="A28" s="2252"/>
      <c r="B28" s="2385"/>
      <c r="C28" s="2386"/>
      <c r="D28" s="2283"/>
      <c r="E28" s="2255"/>
      <c r="F28" s="563" t="s">
        <v>644</v>
      </c>
      <c r="G28" s="2246" t="s">
        <v>645</v>
      </c>
      <c r="H28" s="2247"/>
      <c r="I28" s="2248"/>
      <c r="J28" s="563" t="s">
        <v>644</v>
      </c>
      <c r="K28" s="2259" t="s">
        <v>645</v>
      </c>
      <c r="L28" s="2260"/>
      <c r="M28" s="2261"/>
      <c r="N28" s="563" t="s">
        <v>644</v>
      </c>
      <c r="O28" s="2259" t="s">
        <v>645</v>
      </c>
      <c r="P28" s="2260"/>
      <c r="Q28" s="2261"/>
      <c r="R28" s="2249" t="s">
        <v>678</v>
      </c>
      <c r="S28" s="2249"/>
    </row>
    <row r="29" spans="1:19" ht="28.5" customHeight="1">
      <c r="A29" s="562">
        <v>1</v>
      </c>
      <c r="B29" s="2313" t="s">
        <v>442</v>
      </c>
      <c r="C29" s="2301"/>
      <c r="D29" s="614" t="s">
        <v>703</v>
      </c>
      <c r="E29" s="564" t="s">
        <v>649</v>
      </c>
      <c r="F29" s="692">
        <f>'R.GUI MAIL'!Z6</f>
        <v>0</v>
      </c>
      <c r="G29" s="568" t="s">
        <v>663</v>
      </c>
      <c r="H29" s="569">
        <f>'R.GUI MAIL'!AC6</f>
        <v>292.1875</v>
      </c>
      <c r="I29" s="562" t="s">
        <v>10</v>
      </c>
      <c r="J29" s="692">
        <f>'R.GUI MAIL'!AF6</f>
        <v>0</v>
      </c>
      <c r="K29" s="568" t="s">
        <v>663</v>
      </c>
      <c r="L29" s="569">
        <f>'R.GUI MAIL'!AI6</f>
        <v>292.1875</v>
      </c>
      <c r="M29" s="562" t="s">
        <v>10</v>
      </c>
      <c r="N29" s="692">
        <f>'R.GUI MAIL'!AL6</f>
        <v>0</v>
      </c>
      <c r="O29" s="568" t="s">
        <v>663</v>
      </c>
      <c r="P29" s="569">
        <f>'R.GUI MAIL'!AO6</f>
        <v>292.1875</v>
      </c>
      <c r="Q29" s="562" t="s">
        <v>10</v>
      </c>
      <c r="R29" s="2262" t="s">
        <v>679</v>
      </c>
      <c r="S29" s="2262"/>
    </row>
    <row r="30" spans="1:19" ht="28.5" hidden="1" customHeight="1">
      <c r="A30" s="562"/>
      <c r="B30" s="2313" t="s">
        <v>443</v>
      </c>
      <c r="C30" s="2301"/>
      <c r="D30" s="614" t="s">
        <v>703</v>
      </c>
      <c r="E30" s="564" t="s">
        <v>649</v>
      </c>
      <c r="F30" s="571">
        <f>'R.GUI MAIL'!Z7</f>
        <v>0</v>
      </c>
      <c r="G30" s="572" t="s">
        <v>663</v>
      </c>
      <c r="H30" s="573">
        <f>'R.GUI MAIL'!AC7</f>
        <v>292.1875</v>
      </c>
      <c r="I30" s="247" t="s">
        <v>10</v>
      </c>
      <c r="J30" s="571">
        <f>'R.GUI MAIL'!AF7</f>
        <v>0</v>
      </c>
      <c r="K30" s="572" t="s">
        <v>663</v>
      </c>
      <c r="L30" s="573">
        <f>'R.GUI MAIL'!AI7</f>
        <v>292.1875</v>
      </c>
      <c r="M30" s="247" t="s">
        <v>10</v>
      </c>
      <c r="N30" s="571">
        <f>'R.GUI MAIL'!AL7</f>
        <v>0</v>
      </c>
      <c r="O30" s="572" t="s">
        <v>663</v>
      </c>
      <c r="P30" s="573">
        <f>'R.GUI MAIL'!AO7</f>
        <v>292.1875</v>
      </c>
      <c r="Q30" s="247" t="s">
        <v>10</v>
      </c>
      <c r="R30" s="2262" t="s">
        <v>679</v>
      </c>
      <c r="S30" s="2262"/>
    </row>
    <row r="31" spans="1:19" ht="28.5" customHeight="1">
      <c r="A31" s="562">
        <v>2</v>
      </c>
      <c r="B31" s="2387" t="s">
        <v>734</v>
      </c>
      <c r="C31" s="2390">
        <f>R.HN!B4</f>
        <v>3</v>
      </c>
      <c r="D31" s="2292" t="s">
        <v>475</v>
      </c>
      <c r="E31" s="564" t="s">
        <v>777</v>
      </c>
      <c r="F31" s="692">
        <f>'R.GUI MAIL'!Z8</f>
        <v>0</v>
      </c>
      <c r="G31" s="568" t="s">
        <v>663</v>
      </c>
      <c r="H31" s="569">
        <f>'R.GUI MAIL'!AC8</f>
        <v>69.400000000000006</v>
      </c>
      <c r="I31" s="562" t="s">
        <v>664</v>
      </c>
      <c r="J31" s="692">
        <f>'R.GUI MAIL'!AF8</f>
        <v>0</v>
      </c>
      <c r="K31" s="568" t="s">
        <v>663</v>
      </c>
      <c r="L31" s="569">
        <f>'R.GUI MAIL'!AI8</f>
        <v>69.400000000000006</v>
      </c>
      <c r="M31" s="562" t="s">
        <v>664</v>
      </c>
      <c r="N31" s="692">
        <f>'R.GUI MAIL'!AL8</f>
        <v>0</v>
      </c>
      <c r="O31" s="568" t="s">
        <v>663</v>
      </c>
      <c r="P31" s="569">
        <f>'R.GUI MAIL'!AO8</f>
        <v>69.400000000000006</v>
      </c>
      <c r="Q31" s="562" t="s">
        <v>664</v>
      </c>
      <c r="R31" s="2262" t="s">
        <v>682</v>
      </c>
      <c r="S31" s="2262"/>
    </row>
    <row r="32" spans="1:19" ht="28.5" customHeight="1">
      <c r="A32" s="562">
        <v>3</v>
      </c>
      <c r="B32" s="2388"/>
      <c r="C32" s="2391"/>
      <c r="D32" s="2292"/>
      <c r="E32" s="564" t="s">
        <v>778</v>
      </c>
      <c r="F32" s="692">
        <f>'R.GUI MAIL'!Z9</f>
        <v>0</v>
      </c>
      <c r="G32" s="568" t="s">
        <v>663</v>
      </c>
      <c r="H32" s="569">
        <f>'R.GUI MAIL'!AC9</f>
        <v>4.5110000000000001</v>
      </c>
      <c r="I32" s="562" t="s">
        <v>664</v>
      </c>
      <c r="J32" s="692">
        <f>'R.GUI MAIL'!AF9</f>
        <v>0</v>
      </c>
      <c r="K32" s="568" t="s">
        <v>663</v>
      </c>
      <c r="L32" s="569">
        <f>'R.GUI MAIL'!AI9</f>
        <v>4.5110000000000001</v>
      </c>
      <c r="M32" s="562" t="s">
        <v>664</v>
      </c>
      <c r="N32" s="692">
        <f>'R.GUI MAIL'!AL9</f>
        <v>0</v>
      </c>
      <c r="O32" s="568" t="s">
        <v>663</v>
      </c>
      <c r="P32" s="569">
        <f>'R.GUI MAIL'!AO9</f>
        <v>4.5110000000000001</v>
      </c>
      <c r="Q32" s="562" t="s">
        <v>664</v>
      </c>
      <c r="R32" s="2262" t="s">
        <v>683</v>
      </c>
      <c r="S32" s="2262"/>
    </row>
    <row r="33" spans="1:19" ht="28.5" customHeight="1">
      <c r="A33" s="562">
        <v>4</v>
      </c>
      <c r="B33" s="2389"/>
      <c r="C33" s="2392"/>
      <c r="D33" s="2292"/>
      <c r="E33" s="564" t="s">
        <v>660</v>
      </c>
      <c r="F33" s="693">
        <f>'R.GUI MAIL'!Z10</f>
        <v>0</v>
      </c>
      <c r="G33" s="568" t="s">
        <v>684</v>
      </c>
      <c r="H33" s="569">
        <f>'R.GUI MAIL'!AC10</f>
        <v>0</v>
      </c>
      <c r="I33" s="578" t="s">
        <v>685</v>
      </c>
      <c r="J33" s="693">
        <f>'R.GUI MAIL'!AF10</f>
        <v>0</v>
      </c>
      <c r="K33" s="568" t="s">
        <v>684</v>
      </c>
      <c r="L33" s="569">
        <f>'R.GUI MAIL'!AI10</f>
        <v>0</v>
      </c>
      <c r="M33" s="578" t="s">
        <v>685</v>
      </c>
      <c r="N33" s="693">
        <f>'R.GUI MAIL'!AL10</f>
        <v>0</v>
      </c>
      <c r="O33" s="568" t="s">
        <v>684</v>
      </c>
      <c r="P33" s="569">
        <f>'R.GUI MAIL'!AO10</f>
        <v>0</v>
      </c>
      <c r="Q33" s="578" t="s">
        <v>685</v>
      </c>
      <c r="R33" s="2262"/>
      <c r="S33" s="2262"/>
    </row>
    <row r="34" spans="1:19" ht="28.5" customHeight="1">
      <c r="A34" s="562">
        <v>5</v>
      </c>
      <c r="B34" s="2387" t="s">
        <v>779</v>
      </c>
      <c r="C34" s="2390">
        <f>R.HN!B7</f>
        <v>4</v>
      </c>
      <c r="D34" s="2292" t="s">
        <v>475</v>
      </c>
      <c r="E34" s="564" t="s">
        <v>777</v>
      </c>
      <c r="F34" s="692">
        <f>'R.GUI MAIL'!Z11</f>
        <v>0</v>
      </c>
      <c r="G34" s="568" t="s">
        <v>684</v>
      </c>
      <c r="H34" s="569">
        <f>'R.GUI MAIL'!AC11</f>
        <v>69.400000000000006</v>
      </c>
      <c r="I34" s="578" t="s">
        <v>685</v>
      </c>
      <c r="J34" s="692">
        <f>'R.GUI MAIL'!AF11</f>
        <v>0</v>
      </c>
      <c r="K34" s="568" t="s">
        <v>684</v>
      </c>
      <c r="L34" s="569">
        <f>'R.GUI MAIL'!AI11</f>
        <v>69.400000000000006</v>
      </c>
      <c r="M34" s="578" t="s">
        <v>685</v>
      </c>
      <c r="N34" s="692">
        <f>'R.GUI MAIL'!AL11</f>
        <v>0</v>
      </c>
      <c r="O34" s="568" t="s">
        <v>684</v>
      </c>
      <c r="P34" s="569">
        <f>'R.GUI MAIL'!AO11</f>
        <v>69.400000000000006</v>
      </c>
      <c r="Q34" s="578" t="s">
        <v>685</v>
      </c>
      <c r="R34" s="2262" t="s">
        <v>682</v>
      </c>
      <c r="S34" s="2262"/>
    </row>
    <row r="35" spans="1:19" ht="28.5" customHeight="1">
      <c r="A35" s="562">
        <v>6</v>
      </c>
      <c r="B35" s="2388"/>
      <c r="C35" s="2391"/>
      <c r="D35" s="2292"/>
      <c r="E35" s="564" t="s">
        <v>778</v>
      </c>
      <c r="F35" s="692">
        <f>'R.GUI MAIL'!Z12</f>
        <v>0</v>
      </c>
      <c r="G35" s="568" t="s">
        <v>684</v>
      </c>
      <c r="H35" s="569">
        <f>'R.GUI MAIL'!AC12</f>
        <v>4.5110000000000001</v>
      </c>
      <c r="I35" s="578" t="s">
        <v>685</v>
      </c>
      <c r="J35" s="692">
        <f>'R.GUI MAIL'!AF12</f>
        <v>0</v>
      </c>
      <c r="K35" s="568" t="s">
        <v>684</v>
      </c>
      <c r="L35" s="569">
        <f>'R.GUI MAIL'!AI12</f>
        <v>4.5110000000000001</v>
      </c>
      <c r="M35" s="578" t="s">
        <v>685</v>
      </c>
      <c r="N35" s="692">
        <f>'R.GUI MAIL'!AL12</f>
        <v>0</v>
      </c>
      <c r="O35" s="568" t="s">
        <v>684</v>
      </c>
      <c r="P35" s="569">
        <f>'R.GUI MAIL'!AO12</f>
        <v>4.5110000000000001</v>
      </c>
      <c r="Q35" s="578" t="s">
        <v>685</v>
      </c>
      <c r="R35" s="2262" t="s">
        <v>683</v>
      </c>
      <c r="S35" s="2262"/>
    </row>
    <row r="36" spans="1:19" ht="28.5" customHeight="1">
      <c r="A36" s="562">
        <v>7</v>
      </c>
      <c r="B36" s="2389"/>
      <c r="C36" s="2392"/>
      <c r="D36" s="2292"/>
      <c r="E36" s="564" t="s">
        <v>660</v>
      </c>
      <c r="F36" s="693">
        <f>'R.GUI MAIL'!Z13</f>
        <v>0</v>
      </c>
      <c r="G36" s="568" t="s">
        <v>684</v>
      </c>
      <c r="H36" s="569">
        <f>'R.GUI MAIL'!AC13</f>
        <v>0</v>
      </c>
      <c r="I36" s="578" t="s">
        <v>685</v>
      </c>
      <c r="J36" s="693">
        <f>'R.GUI MAIL'!AF13</f>
        <v>0</v>
      </c>
      <c r="K36" s="568" t="s">
        <v>684</v>
      </c>
      <c r="L36" s="569">
        <f>'R.GUI MAIL'!AI13</f>
        <v>0</v>
      </c>
      <c r="M36" s="578" t="s">
        <v>685</v>
      </c>
      <c r="N36" s="693">
        <f>'R.GUI MAIL'!AL13</f>
        <v>0</v>
      </c>
      <c r="O36" s="568" t="s">
        <v>684</v>
      </c>
      <c r="P36" s="569">
        <f>'R.GUI MAIL'!AO13</f>
        <v>0</v>
      </c>
      <c r="Q36" s="578" t="s">
        <v>685</v>
      </c>
      <c r="R36" s="2262"/>
      <c r="S36" s="2262"/>
    </row>
    <row r="37" spans="1:19" s="582" customFormat="1" ht="28.5" customHeight="1">
      <c r="A37" s="562">
        <v>8</v>
      </c>
      <c r="B37" s="2387" t="s">
        <v>710</v>
      </c>
      <c r="C37" s="2390"/>
      <c r="D37" s="611" t="s">
        <v>475</v>
      </c>
      <c r="E37" s="566" t="s">
        <v>485</v>
      </c>
      <c r="F37" s="692">
        <f>'R.GUI MAIL'!Z14</f>
        <v>0</v>
      </c>
      <c r="G37" s="568" t="s">
        <v>663</v>
      </c>
      <c r="H37" s="580">
        <f>'R.GUI MAIL'!AC14</f>
        <v>4.3680000000000003</v>
      </c>
      <c r="I37" s="581" t="s">
        <v>664</v>
      </c>
      <c r="J37" s="692">
        <f>'R.GUI MAIL'!AF14</f>
        <v>0</v>
      </c>
      <c r="K37" s="568" t="s">
        <v>663</v>
      </c>
      <c r="L37" s="580">
        <f>'R.GUI MAIL'!AI14</f>
        <v>4.3680000000000003</v>
      </c>
      <c r="M37" s="581" t="s">
        <v>664</v>
      </c>
      <c r="N37" s="692">
        <f>'R.GUI MAIL'!AL14</f>
        <v>0</v>
      </c>
      <c r="O37" s="568" t="s">
        <v>663</v>
      </c>
      <c r="P37" s="580">
        <f>'R.GUI MAIL'!AO14</f>
        <v>4.3680000000000003</v>
      </c>
      <c r="Q37" s="581" t="s">
        <v>664</v>
      </c>
      <c r="R37" s="2262"/>
      <c r="S37" s="2262"/>
    </row>
    <row r="38" spans="1:19" s="582" customFormat="1" ht="28.5" customHeight="1">
      <c r="A38" s="562">
        <v>9</v>
      </c>
      <c r="B38" s="2389"/>
      <c r="C38" s="2392"/>
      <c r="D38" s="622" t="s">
        <v>732</v>
      </c>
      <c r="E38" s="564" t="s">
        <v>666</v>
      </c>
      <c r="F38" s="692">
        <f>'R.GUI MAIL'!Z15</f>
        <v>0</v>
      </c>
      <c r="G38" s="568"/>
      <c r="H38" s="569"/>
      <c r="I38" s="581"/>
      <c r="J38" s="692">
        <f>'R.GUI MAIL'!AF15</f>
        <v>0</v>
      </c>
      <c r="K38" s="568"/>
      <c r="L38" s="569"/>
      <c r="M38" s="581"/>
      <c r="N38" s="692">
        <f>'R.GUI MAIL'!AL15</f>
        <v>0</v>
      </c>
      <c r="O38" s="568"/>
      <c r="P38" s="569"/>
      <c r="Q38" s="581"/>
      <c r="R38" s="2262"/>
      <c r="S38" s="2262"/>
    </row>
    <row r="39" spans="1:19" s="582" customFormat="1" ht="27" customHeight="1">
      <c r="A39" s="2253" t="s">
        <v>667</v>
      </c>
      <c r="B39" s="2253"/>
      <c r="C39" s="2253"/>
      <c r="D39" s="2253"/>
      <c r="E39" s="2253"/>
      <c r="F39" s="2253"/>
      <c r="G39" s="2253"/>
      <c r="H39" s="2253"/>
      <c r="I39" s="2253"/>
      <c r="J39" s="2253"/>
      <c r="K39" s="2253"/>
      <c r="L39" s="2253"/>
      <c r="M39" s="2253"/>
      <c r="N39" s="2253"/>
      <c r="O39" s="2253"/>
      <c r="P39" s="2253"/>
      <c r="Q39" s="2253"/>
      <c r="R39" s="2253"/>
      <c r="S39" s="2253"/>
    </row>
    <row r="40" spans="1:19" s="582" customFormat="1" ht="34.5" customHeight="1">
      <c r="A40" s="562" t="s">
        <v>686</v>
      </c>
      <c r="B40" s="2313" t="s">
        <v>669</v>
      </c>
      <c r="C40" s="2301"/>
      <c r="D40" s="560" t="s">
        <v>670</v>
      </c>
      <c r="E40" s="560" t="s">
        <v>671</v>
      </c>
      <c r="F40" s="2253" t="s">
        <v>48</v>
      </c>
      <c r="G40" s="2253"/>
      <c r="H40" s="2253" t="s">
        <v>65</v>
      </c>
      <c r="I40" s="2253"/>
      <c r="J40" s="2253" t="s">
        <v>48</v>
      </c>
      <c r="K40" s="2253"/>
      <c r="L40" s="2253" t="s">
        <v>65</v>
      </c>
      <c r="M40" s="2253"/>
      <c r="N40" s="2253" t="s">
        <v>48</v>
      </c>
      <c r="O40" s="2253"/>
      <c r="P40" s="2253" t="s">
        <v>65</v>
      </c>
      <c r="Q40" s="2253"/>
      <c r="R40" s="2267" t="s">
        <v>643</v>
      </c>
      <c r="S40" s="2268"/>
    </row>
    <row r="41" spans="1:19" s="582" customFormat="1" ht="27.75" customHeight="1">
      <c r="A41" s="562">
        <v>1</v>
      </c>
      <c r="B41" s="2313" t="s">
        <v>489</v>
      </c>
      <c r="C41" s="2301"/>
      <c r="D41" s="586" t="s">
        <v>673</v>
      </c>
      <c r="E41" s="587" t="s">
        <v>674</v>
      </c>
      <c r="F41" s="1866">
        <f>'R.GUI MAIL'!Z18</f>
        <v>0</v>
      </c>
      <c r="G41" s="1867"/>
      <c r="H41" s="1866">
        <f>'R.FILE GOC'!AC18</f>
        <v>0</v>
      </c>
      <c r="I41" s="1867"/>
      <c r="J41" s="1866">
        <f>'R.GUI MAIL'!AF18</f>
        <v>0</v>
      </c>
      <c r="K41" s="1867"/>
      <c r="L41" s="1866">
        <f>'R.FILE GOC'!AI18</f>
        <v>0</v>
      </c>
      <c r="M41" s="1867"/>
      <c r="N41" s="1866">
        <f>'R.GUI MAIL'!AL18</f>
        <v>0</v>
      </c>
      <c r="O41" s="1867"/>
      <c r="P41" s="1866">
        <f>'R.FILE GOC'!AO18</f>
        <v>0</v>
      </c>
      <c r="Q41" s="1867"/>
      <c r="R41" s="588"/>
      <c r="S41" s="588"/>
    </row>
    <row r="42" spans="1:19" s="582" customFormat="1" ht="27.75" customHeight="1">
      <c r="A42" s="562">
        <v>2</v>
      </c>
      <c r="B42" s="2313" t="s">
        <v>491</v>
      </c>
      <c r="C42" s="2301"/>
      <c r="D42" s="586" t="s">
        <v>673</v>
      </c>
      <c r="E42" s="587" t="s">
        <v>674</v>
      </c>
      <c r="F42" s="1866">
        <f>'R.GUI MAIL'!Z19</f>
        <v>0</v>
      </c>
      <c r="G42" s="1867"/>
      <c r="H42" s="1866">
        <f>'R.FILE GOC'!AC19</f>
        <v>0</v>
      </c>
      <c r="I42" s="1867"/>
      <c r="J42" s="1866">
        <f>'R.GUI MAIL'!AF19</f>
        <v>0</v>
      </c>
      <c r="K42" s="1867"/>
      <c r="L42" s="1866">
        <f>'R.FILE GOC'!AI19</f>
        <v>0</v>
      </c>
      <c r="M42" s="1867"/>
      <c r="N42" s="1866">
        <f>'R.GUI MAIL'!AL19</f>
        <v>0</v>
      </c>
      <c r="O42" s="1867"/>
      <c r="P42" s="1866">
        <f>'R.FILE GOC'!AO19</f>
        <v>0</v>
      </c>
      <c r="Q42" s="1867"/>
      <c r="R42" s="588"/>
      <c r="S42" s="588"/>
    </row>
    <row r="43" spans="1:19" s="582" customFormat="1" ht="27.75" customHeight="1">
      <c r="A43" s="562">
        <v>3</v>
      </c>
      <c r="B43" s="2313" t="s">
        <v>484</v>
      </c>
      <c r="C43" s="2301"/>
      <c r="D43" s="586" t="s">
        <v>673</v>
      </c>
      <c r="E43" s="587" t="s">
        <v>675</v>
      </c>
      <c r="F43" s="1866">
        <f>'R.GUI MAIL'!Z20</f>
        <v>0</v>
      </c>
      <c r="G43" s="1867"/>
      <c r="H43" s="1866">
        <f>'R.FILE GOC'!AC20</f>
        <v>0</v>
      </c>
      <c r="I43" s="1867"/>
      <c r="J43" s="1866">
        <f>'R.GUI MAIL'!AF20</f>
        <v>0</v>
      </c>
      <c r="K43" s="1867"/>
      <c r="L43" s="1866">
        <f>'R.FILE GOC'!AI20</f>
        <v>0</v>
      </c>
      <c r="M43" s="1867"/>
      <c r="N43" s="1866">
        <f>'R.GUI MAIL'!AL20</f>
        <v>0</v>
      </c>
      <c r="O43" s="1867"/>
      <c r="P43" s="1866">
        <f>'R.FILE GOC'!AO20</f>
        <v>0</v>
      </c>
      <c r="Q43" s="1867"/>
      <c r="R43" s="589"/>
      <c r="S43" s="589"/>
    </row>
    <row r="44" spans="1:19" s="582" customFormat="1" ht="27.75" customHeight="1">
      <c r="A44" s="590"/>
      <c r="B44" s="591"/>
      <c r="C44" s="591"/>
      <c r="D44" s="592"/>
      <c r="E44" s="593"/>
      <c r="F44" s="2145"/>
      <c r="G44" s="2145"/>
      <c r="H44" s="2145"/>
      <c r="I44" s="2145"/>
      <c r="J44" s="2393"/>
      <c r="K44" s="2393"/>
      <c r="L44" s="2393"/>
      <c r="M44" s="2393"/>
      <c r="N44" s="2393"/>
      <c r="O44" s="2393"/>
      <c r="P44" s="2393"/>
      <c r="Q44" s="2393"/>
      <c r="R44" s="594"/>
      <c r="S44" s="594"/>
    </row>
    <row r="45" spans="1:19" ht="20.25" customHeight="1">
      <c r="A45" s="596"/>
      <c r="B45" s="597"/>
      <c r="C45" s="597"/>
      <c r="D45" s="598"/>
      <c r="E45" s="597"/>
      <c r="F45" s="597"/>
      <c r="G45" s="597"/>
      <c r="H45" s="597"/>
      <c r="I45" s="597"/>
      <c r="J45" s="597"/>
      <c r="K45" s="597"/>
      <c r="L45" s="597"/>
      <c r="M45" s="597"/>
      <c r="N45" s="597"/>
      <c r="O45" s="597"/>
      <c r="P45" s="597"/>
      <c r="Q45" s="597"/>
    </row>
    <row r="46" spans="1:19" ht="12.75" customHeight="1">
      <c r="A46" s="599"/>
      <c r="B46" s="597"/>
      <c r="C46" s="597"/>
      <c r="D46" s="590"/>
      <c r="E46" s="597"/>
      <c r="F46" s="600"/>
      <c r="G46" s="601"/>
      <c r="H46" s="590"/>
      <c r="I46" s="602"/>
      <c r="J46" s="602"/>
      <c r="K46" s="602"/>
      <c r="L46" s="602"/>
      <c r="M46" s="602"/>
      <c r="N46" s="602"/>
      <c r="O46" s="602"/>
      <c r="P46" s="602"/>
      <c r="Q46" s="602"/>
    </row>
  </sheetData>
  <sheetProtection selectLockedCells="1"/>
  <mergeCells count="139">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 ref="B37:C38"/>
    <mergeCell ref="R37:S37"/>
    <mergeCell ref="R38:S38"/>
    <mergeCell ref="A39:S39"/>
    <mergeCell ref="B40:C40"/>
    <mergeCell ref="F40:G40"/>
    <mergeCell ref="H40:I40"/>
    <mergeCell ref="J40:K40"/>
    <mergeCell ref="L40:M40"/>
    <mergeCell ref="N40:O40"/>
    <mergeCell ref="P40:Q40"/>
    <mergeCell ref="R40:S40"/>
    <mergeCell ref="B34:B36"/>
    <mergeCell ref="C34:C36"/>
    <mergeCell ref="D34:D36"/>
    <mergeCell ref="R34:S34"/>
    <mergeCell ref="R35:S35"/>
    <mergeCell ref="R36:S36"/>
    <mergeCell ref="B31:B33"/>
    <mergeCell ref="C31:C33"/>
    <mergeCell ref="D31:D33"/>
    <mergeCell ref="R31:S31"/>
    <mergeCell ref="R32:S32"/>
    <mergeCell ref="R33:S33"/>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B19:C19"/>
    <mergeCell ref="F19:G19"/>
    <mergeCell ref="H19:I19"/>
    <mergeCell ref="J19:K19"/>
    <mergeCell ref="L19:M19"/>
    <mergeCell ref="N19:O19"/>
    <mergeCell ref="P19:Q19"/>
    <mergeCell ref="F22:I22"/>
    <mergeCell ref="J22:M22"/>
    <mergeCell ref="N22:Q22"/>
    <mergeCell ref="B15:C16"/>
    <mergeCell ref="R15:S15"/>
    <mergeCell ref="R16:S16"/>
    <mergeCell ref="A17:S17"/>
    <mergeCell ref="B18:C18"/>
    <mergeCell ref="F18:G18"/>
    <mergeCell ref="H18:I18"/>
    <mergeCell ref="J18:K18"/>
    <mergeCell ref="L18:M18"/>
    <mergeCell ref="N18:O18"/>
    <mergeCell ref="P18:Q18"/>
    <mergeCell ref="R18:S18"/>
    <mergeCell ref="B12:B14"/>
    <mergeCell ref="C12:C14"/>
    <mergeCell ref="D12:D14"/>
    <mergeCell ref="R12:S12"/>
    <mergeCell ref="R13:S13"/>
    <mergeCell ref="R14:S14"/>
    <mergeCell ref="B9:B11"/>
    <mergeCell ref="C9:C11"/>
    <mergeCell ref="D9:D11"/>
    <mergeCell ref="R9:S9"/>
    <mergeCell ref="R10:S10"/>
    <mergeCell ref="R11:S11"/>
    <mergeCell ref="B7:C7"/>
    <mergeCell ref="R7:S7"/>
    <mergeCell ref="B8:C8"/>
    <mergeCell ref="R8:S8"/>
    <mergeCell ref="A4:A6"/>
    <mergeCell ref="B4:C6"/>
    <mergeCell ref="D4:D6"/>
    <mergeCell ref="E4:E6"/>
    <mergeCell ref="F4:Q4"/>
    <mergeCell ref="R4:S5"/>
    <mergeCell ref="F5:I5"/>
    <mergeCell ref="J5:M5"/>
    <mergeCell ref="N5:Q5"/>
    <mergeCell ref="G6:I6"/>
    <mergeCell ref="A1:O1"/>
    <mergeCell ref="A2:O2"/>
    <mergeCell ref="P2:Q2"/>
    <mergeCell ref="R2:S2"/>
    <mergeCell ref="P3:Q3"/>
    <mergeCell ref="R3:S3"/>
    <mergeCell ref="K6:M6"/>
    <mergeCell ref="O6:Q6"/>
    <mergeCell ref="R6:S6"/>
  </mergeCells>
  <phoneticPr fontId="6" type="noConversion"/>
  <conditionalFormatting sqref="F7:F8 J7:J8">
    <cfRule type="expression" dxfId="555" priority="140">
      <formula>F7&lt;10</formula>
    </cfRule>
    <cfRule type="expression" dxfId="554" priority="141">
      <formula>F7&gt;15</formula>
    </cfRule>
  </conditionalFormatting>
  <conditionalFormatting sqref="F9 F12 J9 J12">
    <cfRule type="expression" dxfId="553" priority="138">
      <formula>F9&lt;40</formula>
    </cfRule>
    <cfRule type="expression" dxfId="552" priority="139">
      <formula>F9&gt;60</formula>
    </cfRule>
  </conditionalFormatting>
  <conditionalFormatting sqref="F10 F13 J10 J13">
    <cfRule type="expression" dxfId="551" priority="136">
      <formula>F10&lt;5.2</formula>
    </cfRule>
    <cfRule type="expression" dxfId="550" priority="137">
      <formula>F10&gt;7.8</formula>
    </cfRule>
  </conditionalFormatting>
  <conditionalFormatting sqref="F11 F14 J11 J14">
    <cfRule type="expression" dxfId="549" priority="135">
      <formula>F11&gt;0.4</formula>
    </cfRule>
  </conditionalFormatting>
  <conditionalFormatting sqref="F15 J15">
    <cfRule type="expression" dxfId="548" priority="133">
      <formula>F15&lt;0.8</formula>
    </cfRule>
    <cfRule type="expression" dxfId="547" priority="134">
      <formula>F15&gt;1.2</formula>
    </cfRule>
  </conditionalFormatting>
  <conditionalFormatting sqref="F16 J16">
    <cfRule type="expression" dxfId="546" priority="131">
      <formula>F16&lt;8</formula>
    </cfRule>
    <cfRule type="expression" dxfId="545" priority="132">
      <formula>F16&gt;10</formula>
    </cfRule>
  </conditionalFormatting>
  <conditionalFormatting sqref="N29:N30">
    <cfRule type="expression" dxfId="544" priority="125">
      <formula>N29&lt;10</formula>
    </cfRule>
    <cfRule type="expression" dxfId="543" priority="126">
      <formula>N29&gt;15</formula>
    </cfRule>
  </conditionalFormatting>
  <conditionalFormatting sqref="N31 N34">
    <cfRule type="expression" dxfId="542" priority="123">
      <formula>N31&lt;40</formula>
    </cfRule>
    <cfRule type="expression" dxfId="541" priority="124">
      <formula>N31&gt;60</formula>
    </cfRule>
  </conditionalFormatting>
  <conditionalFormatting sqref="N32 N35">
    <cfRule type="expression" dxfId="540" priority="121">
      <formula>N32&lt;5.2</formula>
    </cfRule>
    <cfRule type="expression" dxfId="539" priority="122">
      <formula>N32&gt;7.8</formula>
    </cfRule>
  </conditionalFormatting>
  <conditionalFormatting sqref="N33 N36">
    <cfRule type="expression" dxfId="538" priority="120">
      <formula>N33&gt;0.4</formula>
    </cfRule>
  </conditionalFormatting>
  <conditionalFormatting sqref="N37">
    <cfRule type="expression" dxfId="537" priority="118">
      <formula>N37&lt;0.8</formula>
    </cfRule>
    <cfRule type="expression" dxfId="536" priority="119">
      <formula>N37&gt;1.2</formula>
    </cfRule>
  </conditionalFormatting>
  <conditionalFormatting sqref="N38">
    <cfRule type="expression" dxfId="535" priority="116">
      <formula>N38&lt;8</formula>
    </cfRule>
    <cfRule type="expression" dxfId="534" priority="117">
      <formula>N38&gt;10</formula>
    </cfRule>
  </conditionalFormatting>
  <conditionalFormatting sqref="N7:N8">
    <cfRule type="expression" dxfId="533" priority="106">
      <formula>N7&lt;10</formula>
    </cfRule>
    <cfRule type="expression" dxfId="532" priority="107">
      <formula>N7&gt;15</formula>
    </cfRule>
  </conditionalFormatting>
  <conditionalFormatting sqref="N9 N12">
    <cfRule type="expression" dxfId="531" priority="104">
      <formula>N9&lt;40</formula>
    </cfRule>
    <cfRule type="expression" dxfId="530" priority="105">
      <formula>N9&gt;60</formula>
    </cfRule>
  </conditionalFormatting>
  <conditionalFormatting sqref="N10 N13">
    <cfRule type="expression" dxfId="529" priority="102">
      <formula>N10&lt;5.2</formula>
    </cfRule>
    <cfRule type="expression" dxfId="528" priority="103">
      <formula>N10&gt;7.8</formula>
    </cfRule>
  </conditionalFormatting>
  <conditionalFormatting sqref="N11 N14">
    <cfRule type="expression" dxfId="527" priority="101">
      <formula>N11&gt;0.4</formula>
    </cfRule>
  </conditionalFormatting>
  <conditionalFormatting sqref="N15">
    <cfRule type="expression" dxfId="526" priority="99">
      <formula>N15&lt;0.8</formula>
    </cfRule>
    <cfRule type="expression" dxfId="525" priority="100">
      <formula>N15&gt;1.2</formula>
    </cfRule>
  </conditionalFormatting>
  <conditionalFormatting sqref="N16">
    <cfRule type="expression" dxfId="524" priority="97">
      <formula>N16&lt;8</formula>
    </cfRule>
    <cfRule type="expression" dxfId="523" priority="98">
      <formula>N16&gt;10</formula>
    </cfRule>
  </conditionalFormatting>
  <conditionalFormatting sqref="J29:J30">
    <cfRule type="expression" dxfId="522" priority="95">
      <formula>J29&lt;10</formula>
    </cfRule>
    <cfRule type="expression" dxfId="521" priority="96">
      <formula>J29&gt;15</formula>
    </cfRule>
  </conditionalFormatting>
  <conditionalFormatting sqref="J31 J34">
    <cfRule type="expression" dxfId="520" priority="93">
      <formula>J31&lt;40</formula>
    </cfRule>
    <cfRule type="expression" dxfId="519" priority="94">
      <formula>J31&gt;60</formula>
    </cfRule>
  </conditionalFormatting>
  <conditionalFormatting sqref="J32 J35">
    <cfRule type="expression" dxfId="518" priority="91">
      <formula>J32&lt;5.2</formula>
    </cfRule>
    <cfRule type="expression" dxfId="517" priority="92">
      <formula>J32&gt;7.8</formula>
    </cfRule>
  </conditionalFormatting>
  <conditionalFormatting sqref="J33 J36">
    <cfRule type="expression" dxfId="516" priority="90">
      <formula>J33&gt;0.4</formula>
    </cfRule>
  </conditionalFormatting>
  <conditionalFormatting sqref="J37">
    <cfRule type="expression" dxfId="515" priority="88">
      <formula>J37&lt;0.8</formula>
    </cfRule>
    <cfRule type="expression" dxfId="514" priority="89">
      <formula>J37&gt;1.2</formula>
    </cfRule>
  </conditionalFormatting>
  <conditionalFormatting sqref="J38">
    <cfRule type="expression" dxfId="513" priority="86">
      <formula>J38&lt;8</formula>
    </cfRule>
    <cfRule type="expression" dxfId="512" priority="87">
      <formula>J38&gt;10</formula>
    </cfRule>
  </conditionalFormatting>
  <conditionalFormatting sqref="F29:F30">
    <cfRule type="expression" dxfId="511" priority="80">
      <formula>F29&lt;10</formula>
    </cfRule>
    <cfRule type="expression" dxfId="510" priority="81">
      <formula>F29&gt;15</formula>
    </cfRule>
  </conditionalFormatting>
  <conditionalFormatting sqref="F31 F34">
    <cfRule type="expression" dxfId="509" priority="78">
      <formula>F31&lt;40</formula>
    </cfRule>
    <cfRule type="expression" dxfId="508" priority="79">
      <formula>F31&gt;60</formula>
    </cfRule>
  </conditionalFormatting>
  <conditionalFormatting sqref="F32 F35">
    <cfRule type="expression" dxfId="507" priority="76">
      <formula>F32&lt;5.2</formula>
    </cfRule>
    <cfRule type="expression" dxfId="506" priority="77">
      <formula>F32&gt;7.8</formula>
    </cfRule>
  </conditionalFormatting>
  <conditionalFormatting sqref="F33 F36">
    <cfRule type="expression" dxfId="505" priority="75">
      <formula>F33&gt;0.4</formula>
    </cfRule>
  </conditionalFormatting>
  <conditionalFormatting sqref="F37">
    <cfRule type="expression" dxfId="504" priority="73">
      <formula>F37&lt;0.8</formula>
    </cfRule>
    <cfRule type="expression" dxfId="503" priority="74">
      <formula>F37&gt;1.2</formula>
    </cfRule>
  </conditionalFormatting>
  <conditionalFormatting sqref="F38">
    <cfRule type="expression" dxfId="502" priority="71">
      <formula>F38&lt;8</formula>
    </cfRule>
    <cfRule type="expression" dxfId="501" priority="72">
      <formula>F38&gt;10</formula>
    </cfRule>
  </conditionalFormatting>
  <conditionalFormatting sqref="J8">
    <cfRule type="expression" dxfId="500" priority="61">
      <formula>J8&lt;10</formula>
    </cfRule>
    <cfRule type="expression" dxfId="499" priority="62">
      <formula>J8&gt;15</formula>
    </cfRule>
  </conditionalFormatting>
  <conditionalFormatting sqref="N8">
    <cfRule type="expression" dxfId="498" priority="59">
      <formula>N8&lt;10</formula>
    </cfRule>
    <cfRule type="expression" dxfId="497" priority="60">
      <formula>N8&gt;15</formula>
    </cfRule>
  </conditionalFormatting>
  <conditionalFormatting sqref="F8">
    <cfRule type="expression" dxfId="496" priority="57">
      <formula>F8&lt;10</formula>
    </cfRule>
    <cfRule type="expression" dxfId="495" priority="58">
      <formula>F8&gt;15</formula>
    </cfRule>
  </conditionalFormatting>
  <conditionalFormatting sqref="F8 J8">
    <cfRule type="expression" dxfId="494" priority="55">
      <formula>F8&lt;10</formula>
    </cfRule>
    <cfRule type="expression" dxfId="493" priority="56">
      <formula>F8&gt;15</formula>
    </cfRule>
  </conditionalFormatting>
  <conditionalFormatting sqref="N8">
    <cfRule type="expression" dxfId="492" priority="53">
      <formula>N8&lt;10</formula>
    </cfRule>
    <cfRule type="expression" dxfId="491" priority="54">
      <formula>N8&gt;15</formula>
    </cfRule>
  </conditionalFormatting>
  <conditionalFormatting sqref="F8">
    <cfRule type="expression" dxfId="490" priority="51">
      <formula>F8&lt;10</formula>
    </cfRule>
    <cfRule type="expression" dxfId="489" priority="52">
      <formula>F8&gt;15</formula>
    </cfRule>
  </conditionalFormatting>
  <conditionalFormatting sqref="F8">
    <cfRule type="expression" dxfId="488" priority="50">
      <formula>F8&lt;1</formula>
    </cfRule>
  </conditionalFormatting>
  <conditionalFormatting sqref="J8">
    <cfRule type="expression" dxfId="487" priority="48">
      <formula>J8&lt;10</formula>
    </cfRule>
    <cfRule type="expression" dxfId="486" priority="49">
      <formula>J8&gt;15</formula>
    </cfRule>
  </conditionalFormatting>
  <conditionalFormatting sqref="J8">
    <cfRule type="expression" dxfId="485" priority="47">
      <formula>J8&lt;1</formula>
    </cfRule>
  </conditionalFormatting>
  <conditionalFormatting sqref="N8">
    <cfRule type="expression" dxfId="484" priority="45">
      <formula>N8&lt;10</formula>
    </cfRule>
    <cfRule type="expression" dxfId="483" priority="46">
      <formula>N8&gt;15</formula>
    </cfRule>
  </conditionalFormatting>
  <conditionalFormatting sqref="N8">
    <cfRule type="expression" dxfId="482" priority="43">
      <formula>N8&lt;10</formula>
    </cfRule>
    <cfRule type="expression" dxfId="481" priority="44">
      <formula>N8&gt;15</formula>
    </cfRule>
  </conditionalFormatting>
  <conditionalFormatting sqref="N8">
    <cfRule type="expression" dxfId="480" priority="42">
      <formula>N8&lt;1</formula>
    </cfRule>
  </conditionalFormatting>
  <conditionalFormatting sqref="F30 J30">
    <cfRule type="expression" dxfId="479" priority="40">
      <formula>F30&lt;10</formula>
    </cfRule>
    <cfRule type="expression" dxfId="478" priority="41">
      <formula>F30&gt;15</formula>
    </cfRule>
  </conditionalFormatting>
  <conditionalFormatting sqref="N30">
    <cfRule type="expression" dxfId="477" priority="38">
      <formula>N30&lt;10</formula>
    </cfRule>
    <cfRule type="expression" dxfId="476" priority="39">
      <formula>N30&gt;15</formula>
    </cfRule>
  </conditionalFormatting>
  <conditionalFormatting sqref="J30">
    <cfRule type="expression" dxfId="475" priority="36">
      <formula>J30&lt;10</formula>
    </cfRule>
    <cfRule type="expression" dxfId="474" priority="37">
      <formula>J30&gt;15</formula>
    </cfRule>
  </conditionalFormatting>
  <conditionalFormatting sqref="N30">
    <cfRule type="expression" dxfId="473" priority="34">
      <formula>N30&lt;10</formula>
    </cfRule>
    <cfRule type="expression" dxfId="472" priority="35">
      <formula>N30&gt;15</formula>
    </cfRule>
  </conditionalFormatting>
  <conditionalFormatting sqref="F30">
    <cfRule type="expression" dxfId="471" priority="32">
      <formula>F30&lt;10</formula>
    </cfRule>
    <cfRule type="expression" dxfId="470" priority="33">
      <formula>F30&gt;15</formula>
    </cfRule>
  </conditionalFormatting>
  <conditionalFormatting sqref="F30 J30">
    <cfRule type="expression" dxfId="469" priority="30">
      <formula>F30&lt;10</formula>
    </cfRule>
    <cfRule type="expression" dxfId="468" priority="31">
      <formula>F30&gt;15</formula>
    </cfRule>
  </conditionalFormatting>
  <conditionalFormatting sqref="N30">
    <cfRule type="expression" dxfId="467" priority="28">
      <formula>N30&lt;10</formula>
    </cfRule>
    <cfRule type="expression" dxfId="466" priority="29">
      <formula>N30&gt;15</formula>
    </cfRule>
  </conditionalFormatting>
  <conditionalFormatting sqref="F30">
    <cfRule type="expression" dxfId="465" priority="26">
      <formula>F30&lt;10</formula>
    </cfRule>
    <cfRule type="expression" dxfId="464" priority="27">
      <formula>F30&gt;15</formula>
    </cfRule>
  </conditionalFormatting>
  <conditionalFormatting sqref="F30">
    <cfRule type="expression" dxfId="463" priority="25">
      <formula>F30&lt;1</formula>
    </cfRule>
  </conditionalFormatting>
  <conditionalFormatting sqref="J30">
    <cfRule type="expression" dxfId="462" priority="23">
      <formula>J30&lt;10</formula>
    </cfRule>
    <cfRule type="expression" dxfId="461" priority="24">
      <formula>J30&gt;15</formula>
    </cfRule>
  </conditionalFormatting>
  <conditionalFormatting sqref="J30">
    <cfRule type="expression" dxfId="460" priority="22">
      <formula>J30&lt;1</formula>
    </cfRule>
  </conditionalFormatting>
  <conditionalFormatting sqref="N30">
    <cfRule type="expression" dxfId="459" priority="20">
      <formula>N30&lt;10</formula>
    </cfRule>
    <cfRule type="expression" dxfId="458" priority="21">
      <formula>N30&gt;15</formula>
    </cfRule>
  </conditionalFormatting>
  <conditionalFormatting sqref="N30">
    <cfRule type="expression" dxfId="457" priority="18">
      <formula>N30&lt;10</formula>
    </cfRule>
    <cfRule type="expression" dxfId="456" priority="19">
      <formula>N30&gt;15</formula>
    </cfRule>
  </conditionalFormatting>
  <conditionalFormatting sqref="N30">
    <cfRule type="expression" dxfId="455" priority="17">
      <formula>N30&lt;1</formula>
    </cfRule>
  </conditionalFormatting>
  <conditionalFormatting sqref="F41:G42">
    <cfRule type="expression" dxfId="454" priority="15">
      <formula>F41&lt;65</formula>
    </cfRule>
    <cfRule type="expression" dxfId="453" priority="16">
      <formula>F41&gt;85</formula>
    </cfRule>
  </conditionalFormatting>
  <conditionalFormatting sqref="F43:G43">
    <cfRule type="expression" dxfId="452" priority="13">
      <formula>F43&lt;80</formula>
    </cfRule>
    <cfRule type="expression" dxfId="451" priority="14">
      <formula>F43&gt;90</formula>
    </cfRule>
  </conditionalFormatting>
  <conditionalFormatting sqref="H41:Q42">
    <cfRule type="expression" dxfId="450" priority="11">
      <formula>H41&lt;65</formula>
    </cfRule>
    <cfRule type="expression" dxfId="449" priority="12">
      <formula>H41&gt;85</formula>
    </cfRule>
  </conditionalFormatting>
  <conditionalFormatting sqref="H43:Q43">
    <cfRule type="expression" dxfId="448" priority="9">
      <formula>H43&lt;80</formula>
    </cfRule>
    <cfRule type="expression" dxfId="447" priority="10">
      <formula>H43&gt;90</formula>
    </cfRule>
  </conditionalFormatting>
  <conditionalFormatting sqref="F19:G20">
    <cfRule type="expression" dxfId="446" priority="7">
      <formula>F19&lt;65</formula>
    </cfRule>
    <cfRule type="expression" dxfId="445" priority="8">
      <formula>F19&gt;85</formula>
    </cfRule>
  </conditionalFormatting>
  <conditionalFormatting sqref="F21:G21">
    <cfRule type="expression" dxfId="444" priority="5">
      <formula>F21&lt;80</formula>
    </cfRule>
    <cfRule type="expression" dxfId="443" priority="6">
      <formula>F21&gt;90</formula>
    </cfRule>
  </conditionalFormatting>
  <conditionalFormatting sqref="H19:Q20">
    <cfRule type="expression" dxfId="442" priority="3">
      <formula>H19&lt;65</formula>
    </cfRule>
    <cfRule type="expression" dxfId="441" priority="4">
      <formula>H19&gt;85</formula>
    </cfRule>
  </conditionalFormatting>
  <conditionalFormatting sqref="H21:Q21">
    <cfRule type="expression" dxfId="440" priority="1">
      <formula>H21&lt;80</formula>
    </cfRule>
    <cfRule type="expression" dxfId="439"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activeCell="S14" sqref="S14"/>
    </sheetView>
  </sheetViews>
  <sheetFormatPr defaultRowHeight="13.5"/>
  <cols>
    <col min="1" max="1" width="5.5" style="553" customWidth="1"/>
    <col min="2" max="2" width="23.375" style="603" customWidth="1"/>
    <col min="3" max="3" width="6.5" style="553" customWidth="1"/>
    <col min="4" max="4" width="14" style="553" customWidth="1"/>
    <col min="5" max="5" width="7.375" style="553" customWidth="1"/>
    <col min="6" max="6" width="3.25" style="553" customWidth="1"/>
    <col min="7" max="7" width="6.5" style="553" customWidth="1"/>
    <col min="8" max="8" width="4.375" style="553" customWidth="1"/>
    <col min="9" max="9" width="8.5" style="553" customWidth="1"/>
    <col min="10" max="10" width="2.625" style="553" customWidth="1"/>
    <col min="11" max="11" width="6.875" style="553" customWidth="1"/>
    <col min="12" max="12" width="4.25" style="553" customWidth="1"/>
    <col min="13" max="13" width="8.5" style="553" customWidth="1"/>
    <col min="14" max="14" width="2.625" style="553" customWidth="1"/>
    <col min="15" max="15" width="6.875" style="553" customWidth="1"/>
    <col min="16" max="16" width="4.25" style="553" customWidth="1"/>
    <col min="17" max="17" width="11.125" style="553" customWidth="1"/>
    <col min="18" max="16384" width="9" style="553"/>
  </cols>
  <sheetData>
    <row r="1" spans="1:17" ht="27.75" customHeight="1">
      <c r="A1" s="2230" t="s">
        <v>634</v>
      </c>
      <c r="B1" s="2230"/>
      <c r="C1" s="2230"/>
      <c r="D1" s="2230"/>
      <c r="E1" s="2230"/>
      <c r="F1" s="2230"/>
      <c r="G1" s="2230"/>
      <c r="H1" s="2230"/>
      <c r="I1" s="2230"/>
      <c r="J1" s="2230"/>
      <c r="K1" s="2230"/>
      <c r="L1" s="2230"/>
      <c r="M1" s="551"/>
      <c r="N1" s="551"/>
      <c r="O1" s="551"/>
      <c r="P1" s="551"/>
      <c r="Q1" s="551"/>
    </row>
    <row r="2" spans="1:17" ht="36.75" customHeight="1">
      <c r="A2" s="2231" t="s">
        <v>997</v>
      </c>
      <c r="B2" s="2231"/>
      <c r="C2" s="2231"/>
      <c r="D2" s="2231"/>
      <c r="E2" s="2231"/>
      <c r="F2" s="2231"/>
      <c r="G2" s="2231"/>
      <c r="H2" s="2231"/>
      <c r="I2" s="2231"/>
      <c r="J2" s="2231"/>
      <c r="K2" s="2231"/>
      <c r="L2" s="2231"/>
      <c r="M2" s="554"/>
      <c r="N2" s="554"/>
      <c r="O2" s="2021" t="s">
        <v>687</v>
      </c>
      <c r="P2" s="2022"/>
      <c r="Q2" s="90" t="s">
        <v>17</v>
      </c>
    </row>
    <row r="3" spans="1:17" ht="22.5" customHeight="1">
      <c r="A3" s="555"/>
      <c r="B3" s="556" t="s">
        <v>637</v>
      </c>
      <c r="C3" s="557"/>
      <c r="D3" s="558" t="str">
        <f>'1.xi den'!$G$3</f>
        <v>2022/12/03</v>
      </c>
      <c r="E3" s="557"/>
      <c r="F3" s="557"/>
      <c r="G3" s="557"/>
      <c r="H3" s="557"/>
      <c r="I3" s="2286"/>
      <c r="J3" s="2286"/>
      <c r="K3" s="2286"/>
      <c r="L3" s="605"/>
      <c r="M3" s="556"/>
      <c r="N3" s="556"/>
      <c r="O3" s="2236" t="str">
        <f>'1.xi den'!$N$3</f>
        <v>L.Yen</v>
      </c>
      <c r="P3" s="2237"/>
      <c r="Q3" s="606" t="s">
        <v>688</v>
      </c>
    </row>
    <row r="4" spans="1:17" s="607" customFormat="1" ht="39" customHeight="1">
      <c r="A4" s="2279" t="s">
        <v>689</v>
      </c>
      <c r="B4" s="2282" t="s">
        <v>690</v>
      </c>
      <c r="C4" s="2282" t="s">
        <v>691</v>
      </c>
      <c r="D4" s="2284" t="s">
        <v>692</v>
      </c>
      <c r="E4" s="2256" t="s">
        <v>998</v>
      </c>
      <c r="F4" s="2257"/>
      <c r="G4" s="2257"/>
      <c r="H4" s="2257"/>
      <c r="I4" s="2257"/>
      <c r="J4" s="2257"/>
      <c r="K4" s="2257"/>
      <c r="L4" s="2257"/>
      <c r="M4" s="2257"/>
      <c r="N4" s="2257"/>
      <c r="O4" s="2257"/>
      <c r="P4" s="2258"/>
      <c r="Q4" s="1970" t="s">
        <v>693</v>
      </c>
    </row>
    <row r="5" spans="1:17" s="607" customFormat="1" ht="25.5" customHeight="1">
      <c r="A5" s="2280"/>
      <c r="B5" s="2282"/>
      <c r="C5" s="2282"/>
      <c r="D5" s="2284"/>
      <c r="E5" s="2241">
        <v>0.33333333333333331</v>
      </c>
      <c r="F5" s="2242"/>
      <c r="G5" s="2242"/>
      <c r="H5" s="2242"/>
      <c r="I5" s="2243">
        <v>0.52083333333333337</v>
      </c>
      <c r="J5" s="2244"/>
      <c r="K5" s="2244"/>
      <c r="L5" s="2245"/>
      <c r="M5" s="2243">
        <v>0.66666666666666663</v>
      </c>
      <c r="N5" s="2244"/>
      <c r="O5" s="2244"/>
      <c r="P5" s="2245"/>
      <c r="Q5" s="1971"/>
    </row>
    <row r="6" spans="1:17" s="607" customFormat="1" ht="40.5" customHeight="1">
      <c r="A6" s="2281"/>
      <c r="B6" s="2283"/>
      <c r="C6" s="2283"/>
      <c r="D6" s="2285"/>
      <c r="E6" s="608" t="s">
        <v>694</v>
      </c>
      <c r="F6" s="2142" t="s">
        <v>695</v>
      </c>
      <c r="G6" s="2147"/>
      <c r="H6" s="2288"/>
      <c r="I6" s="608" t="s">
        <v>694</v>
      </c>
      <c r="J6" s="2142" t="s">
        <v>695</v>
      </c>
      <c r="K6" s="2147"/>
      <c r="L6" s="2288"/>
      <c r="M6" s="608" t="s">
        <v>694</v>
      </c>
      <c r="N6" s="2142" t="s">
        <v>695</v>
      </c>
      <c r="O6" s="2147"/>
      <c r="P6" s="2288"/>
      <c r="Q6" s="316" t="s">
        <v>696</v>
      </c>
    </row>
    <row r="7" spans="1:17" s="607" customFormat="1" ht="27.75" customHeight="1">
      <c r="A7" s="609">
        <v>1</v>
      </c>
      <c r="B7" s="610" t="s">
        <v>697</v>
      </c>
      <c r="C7" s="611" t="s">
        <v>698</v>
      </c>
      <c r="D7" s="566" t="s">
        <v>780</v>
      </c>
      <c r="E7" s="692">
        <f>'R.GUI MAIL'!H25</f>
        <v>39</v>
      </c>
      <c r="F7" s="572" t="s">
        <v>699</v>
      </c>
      <c r="G7" s="573">
        <f>'R.GUI MAIL'!K25</f>
        <v>2.33</v>
      </c>
      <c r="H7" s="247" t="s">
        <v>700</v>
      </c>
      <c r="I7" s="692">
        <f>'R.GUI MAIL'!N25</f>
        <v>48</v>
      </c>
      <c r="J7" s="572" t="s">
        <v>699</v>
      </c>
      <c r="K7" s="573">
        <f>'R.GUI MAIL'!Q25</f>
        <v>0</v>
      </c>
      <c r="L7" s="247" t="s">
        <v>700</v>
      </c>
      <c r="M7" s="692">
        <f>'R.GUI MAIL'!T25</f>
        <v>0</v>
      </c>
      <c r="N7" s="572" t="s">
        <v>684</v>
      </c>
      <c r="O7" s="573">
        <f>'R.GUI MAIL'!W25</f>
        <v>93.2</v>
      </c>
      <c r="P7" s="247" t="s">
        <v>685</v>
      </c>
      <c r="Q7" s="316" t="s">
        <v>701</v>
      </c>
    </row>
    <row r="8" spans="1:17" s="616" customFormat="1" ht="27.75" customHeight="1">
      <c r="A8" s="609">
        <v>2</v>
      </c>
      <c r="B8" s="613" t="s">
        <v>702</v>
      </c>
      <c r="C8" s="614" t="s">
        <v>703</v>
      </c>
      <c r="D8" s="615" t="s">
        <v>781</v>
      </c>
      <c r="E8" s="692">
        <f>'R.GUI MAIL'!H26</f>
        <v>13.14</v>
      </c>
      <c r="F8" s="572" t="s">
        <v>704</v>
      </c>
      <c r="G8" s="573">
        <f>'R.GUI MAIL'!K26</f>
        <v>0</v>
      </c>
      <c r="H8" s="247" t="s">
        <v>705</v>
      </c>
      <c r="I8" s="692">
        <f>'R.GUI MAIL'!N26</f>
        <v>11.315000000000001</v>
      </c>
      <c r="J8" s="572" t="s">
        <v>704</v>
      </c>
      <c r="K8" s="573">
        <f>'R.GUI MAIL'!Q26</f>
        <v>96.466406249999892</v>
      </c>
      <c r="L8" s="247" t="s">
        <v>705</v>
      </c>
      <c r="M8" s="692">
        <f>'R.GUI MAIL'!T26</f>
        <v>0</v>
      </c>
      <c r="N8" s="572" t="s">
        <v>684</v>
      </c>
      <c r="O8" s="573">
        <f>'R.GUI MAIL'!W26</f>
        <v>1017.578125</v>
      </c>
      <c r="P8" s="247" t="s">
        <v>705</v>
      </c>
      <c r="Q8" s="316" t="s">
        <v>736</v>
      </c>
    </row>
    <row r="9" spans="1:17" s="616" customFormat="1" ht="27.75" customHeight="1">
      <c r="A9" s="609">
        <v>3</v>
      </c>
      <c r="B9" s="2289" t="s">
        <v>707</v>
      </c>
      <c r="C9" s="2292" t="s">
        <v>475</v>
      </c>
      <c r="D9" s="566" t="s">
        <v>782</v>
      </c>
      <c r="E9" s="692">
        <f>'R.GUI MAIL'!H27</f>
        <v>56</v>
      </c>
      <c r="F9" s="572" t="s">
        <v>699</v>
      </c>
      <c r="G9" s="573">
        <f>'R.GUI MAIL'!K27</f>
        <v>0</v>
      </c>
      <c r="H9" s="247" t="s">
        <v>700</v>
      </c>
      <c r="I9" s="692">
        <f>'R.GUI MAIL'!N27</f>
        <v>54</v>
      </c>
      <c r="J9" s="572" t="s">
        <v>699</v>
      </c>
      <c r="K9" s="573">
        <f>'R.GUI MAIL'!Q27</f>
        <v>0</v>
      </c>
      <c r="L9" s="247" t="s">
        <v>700</v>
      </c>
      <c r="M9" s="692">
        <f>'R.GUI MAIL'!T27</f>
        <v>0</v>
      </c>
      <c r="N9" s="572" t="s">
        <v>684</v>
      </c>
      <c r="O9" s="573">
        <f>'R.GUI MAIL'!W27</f>
        <v>246.75</v>
      </c>
      <c r="P9" s="247" t="s">
        <v>685</v>
      </c>
      <c r="Q9" s="316" t="s">
        <v>738</v>
      </c>
    </row>
    <row r="10" spans="1:17" s="616" customFormat="1" ht="27.75" customHeight="1">
      <c r="A10" s="609">
        <v>4</v>
      </c>
      <c r="B10" s="2290"/>
      <c r="C10" s="2292"/>
      <c r="D10" s="566" t="s">
        <v>778</v>
      </c>
      <c r="E10" s="692">
        <f>'R.GUI MAIL'!H28</f>
        <v>8.2352941176470598</v>
      </c>
      <c r="F10" s="572" t="s">
        <v>699</v>
      </c>
      <c r="G10" s="573">
        <f>'R.GUI MAIL'!K28</f>
        <v>0</v>
      </c>
      <c r="H10" s="247" t="s">
        <v>700</v>
      </c>
      <c r="I10" s="692">
        <f>'R.GUI MAIL'!N28</f>
        <v>9.3103448275862064</v>
      </c>
      <c r="J10" s="572" t="s">
        <v>699</v>
      </c>
      <c r="K10" s="573">
        <f>'R.GUI MAIL'!Q28</f>
        <v>0</v>
      </c>
      <c r="L10" s="247" t="s">
        <v>700</v>
      </c>
      <c r="M10" s="692">
        <f>'R.GUI MAIL'!T28</f>
        <v>0</v>
      </c>
      <c r="N10" s="572" t="s">
        <v>684</v>
      </c>
      <c r="O10" s="573">
        <f>'R.GUI MAIL'!W28</f>
        <v>32.077500000000001</v>
      </c>
      <c r="P10" s="247" t="s">
        <v>685</v>
      </c>
      <c r="Q10" s="316" t="s">
        <v>739</v>
      </c>
    </row>
    <row r="11" spans="1:17" s="616" customFormat="1" ht="27.75" customHeight="1">
      <c r="A11" s="609">
        <v>5</v>
      </c>
      <c r="B11" s="2291"/>
      <c r="C11" s="2292"/>
      <c r="D11" s="566" t="s">
        <v>660</v>
      </c>
      <c r="E11" s="693">
        <f>'R.GUI MAIL'!H29</f>
        <v>0.14000000000000001</v>
      </c>
      <c r="F11" s="572" t="s">
        <v>699</v>
      </c>
      <c r="G11" s="573">
        <f>'R.GUI MAIL'!K29</f>
        <v>0</v>
      </c>
      <c r="H11" s="80" t="s">
        <v>700</v>
      </c>
      <c r="I11" s="693">
        <f>'R.GUI MAIL'!N29</f>
        <v>0.4</v>
      </c>
      <c r="J11" s="572" t="s">
        <v>699</v>
      </c>
      <c r="K11" s="573">
        <f>'R.GUI MAIL'!Q29</f>
        <v>0</v>
      </c>
      <c r="L11" s="80" t="s">
        <v>700</v>
      </c>
      <c r="M11" s="693">
        <f>'R.GUI MAIL'!T29</f>
        <v>0</v>
      </c>
      <c r="N11" s="572" t="s">
        <v>684</v>
      </c>
      <c r="O11" s="573">
        <f>'R.GUI MAIL'!W29</f>
        <v>0</v>
      </c>
      <c r="P11" s="80" t="s">
        <v>685</v>
      </c>
      <c r="Q11" s="618"/>
    </row>
    <row r="12" spans="1:17" s="621" customFormat="1" ht="27.75" customHeight="1">
      <c r="A12" s="609">
        <v>6</v>
      </c>
      <c r="B12" s="2289" t="s">
        <v>710</v>
      </c>
      <c r="C12" s="611" t="s">
        <v>475</v>
      </c>
      <c r="D12" s="566" t="s">
        <v>485</v>
      </c>
      <c r="E12" s="692">
        <f>'R.GUI MAIL'!H30</f>
        <v>0.95</v>
      </c>
      <c r="F12" s="572"/>
      <c r="G12" s="619">
        <f>'R.GUI MAIL'!K30</f>
        <v>6.1700000000000053E-2</v>
      </c>
      <c r="H12" s="80" t="s">
        <v>700</v>
      </c>
      <c r="I12" s="692">
        <f>'R.GUI MAIL'!N30</f>
        <v>0.9</v>
      </c>
      <c r="J12" s="572"/>
      <c r="K12" s="619">
        <f>'R.GUI MAIL'!Q30</f>
        <v>0.12339999999999998</v>
      </c>
      <c r="L12" s="80" t="s">
        <v>700</v>
      </c>
      <c r="M12" s="692">
        <f>'R.GUI MAIL'!T30</f>
        <v>0</v>
      </c>
      <c r="N12" s="572"/>
      <c r="O12" s="619">
        <f>'R.GUI MAIL'!W30</f>
        <v>1.234</v>
      </c>
      <c r="P12" s="80" t="s">
        <v>685</v>
      </c>
      <c r="Q12" s="620" t="s">
        <v>711</v>
      </c>
    </row>
    <row r="13" spans="1:17" s="621" customFormat="1" ht="27.75" customHeight="1">
      <c r="A13" s="609">
        <v>7</v>
      </c>
      <c r="B13" s="2291"/>
      <c r="C13" s="622" t="s">
        <v>712</v>
      </c>
      <c r="D13" s="1133" t="s">
        <v>1050</v>
      </c>
      <c r="E13" s="692">
        <f>'R.GUI MAIL'!H31</f>
        <v>9</v>
      </c>
      <c r="F13" s="572" t="s">
        <v>699</v>
      </c>
      <c r="G13" s="573">
        <f>'R.GUI MAIL'!K31</f>
        <v>0</v>
      </c>
      <c r="H13" s="247" t="s">
        <v>700</v>
      </c>
      <c r="I13" s="692">
        <f>'R.GUI MAIL'!N31</f>
        <v>9</v>
      </c>
      <c r="J13" s="572" t="s">
        <v>699</v>
      </c>
      <c r="K13" s="573">
        <f>'R.GUI MAIL'!Q31</f>
        <v>0</v>
      </c>
      <c r="L13" s="247" t="s">
        <v>700</v>
      </c>
      <c r="M13" s="692">
        <f>'R.GUI MAIL'!T31</f>
        <v>0</v>
      </c>
      <c r="N13" s="572" t="s">
        <v>684</v>
      </c>
      <c r="O13" s="573">
        <f>'R.GUI MAIL'!W31</f>
        <v>0</v>
      </c>
      <c r="P13" s="247" t="s">
        <v>685</v>
      </c>
      <c r="Q13" s="247"/>
    </row>
    <row r="14" spans="1:17" s="616" customFormat="1" ht="30.75" customHeight="1">
      <c r="A14" s="2293" t="s">
        <v>713</v>
      </c>
      <c r="B14" s="2293"/>
      <c r="C14" s="2293"/>
      <c r="D14" s="2293"/>
      <c r="E14" s="2293"/>
      <c r="F14" s="2293"/>
      <c r="G14" s="2293"/>
      <c r="H14" s="2293"/>
      <c r="I14" s="2293"/>
      <c r="J14" s="2293"/>
      <c r="K14" s="2293"/>
      <c r="L14" s="2293"/>
      <c r="M14" s="2293"/>
      <c r="N14" s="2293"/>
      <c r="O14" s="2293"/>
      <c r="P14" s="2293"/>
      <c r="Q14" s="2293"/>
    </row>
    <row r="15" spans="1:17" s="616" customFormat="1" ht="37.5" customHeight="1">
      <c r="A15" s="247" t="s">
        <v>714</v>
      </c>
      <c r="B15" s="623" t="s">
        <v>715</v>
      </c>
      <c r="C15" s="623" t="s">
        <v>716</v>
      </c>
      <c r="D15" s="623" t="s">
        <v>717</v>
      </c>
      <c r="E15" s="2253" t="s">
        <v>48</v>
      </c>
      <c r="F15" s="2253"/>
      <c r="G15" s="2253" t="s">
        <v>65</v>
      </c>
      <c r="H15" s="2253"/>
      <c r="I15" s="2253" t="s">
        <v>48</v>
      </c>
      <c r="J15" s="2253"/>
      <c r="K15" s="2253" t="s">
        <v>65</v>
      </c>
      <c r="L15" s="2253"/>
      <c r="M15" s="2253" t="s">
        <v>48</v>
      </c>
      <c r="N15" s="2253"/>
      <c r="O15" s="2253" t="s">
        <v>65</v>
      </c>
      <c r="P15" s="2253"/>
      <c r="Q15" s="383"/>
    </row>
    <row r="16" spans="1:17" s="616" customFormat="1" ht="27.75" customHeight="1">
      <c r="A16" s="247">
        <v>1</v>
      </c>
      <c r="B16" s="623" t="s">
        <v>718</v>
      </c>
      <c r="C16" s="624" t="s">
        <v>719</v>
      </c>
      <c r="D16" s="566" t="s">
        <v>720</v>
      </c>
      <c r="E16" s="2394">
        <f>'R.FILE GOC'!H34</f>
        <v>0</v>
      </c>
      <c r="F16" s="2395"/>
      <c r="G16" s="1891">
        <f>'R.FILE GOC'!K34</f>
        <v>60</v>
      </c>
      <c r="H16" s="1892"/>
      <c r="I16" s="2394">
        <f>'R.FILE GOC'!N34</f>
        <v>0</v>
      </c>
      <c r="J16" s="2395"/>
      <c r="K16" s="1891">
        <f>'R.FILE GOC'!Q34</f>
        <v>61</v>
      </c>
      <c r="L16" s="1892"/>
      <c r="M16" s="2394">
        <f>'R.GUI MAIL'!T34</f>
        <v>0</v>
      </c>
      <c r="N16" s="2395"/>
      <c r="O16" s="1893">
        <f>'R.FILE GOC'!W34</f>
        <v>60</v>
      </c>
      <c r="P16" s="1893"/>
      <c r="Q16" s="573"/>
    </row>
    <row r="17" spans="1:17" s="616" customFormat="1" ht="27.75" customHeight="1">
      <c r="A17" s="247">
        <v>2</v>
      </c>
      <c r="B17" s="623" t="s">
        <v>721</v>
      </c>
      <c r="C17" s="624" t="s">
        <v>719</v>
      </c>
      <c r="D17" s="566" t="s">
        <v>722</v>
      </c>
      <c r="E17" s="2394">
        <f>'R.FILE GOC'!H35</f>
        <v>0</v>
      </c>
      <c r="F17" s="2395"/>
      <c r="G17" s="1891">
        <f>'R.FILE GOC'!K35</f>
        <v>70</v>
      </c>
      <c r="H17" s="1892"/>
      <c r="I17" s="2394">
        <f>'R.FILE GOC'!N35</f>
        <v>0</v>
      </c>
      <c r="J17" s="2395"/>
      <c r="K17" s="1891">
        <f>'R.FILE GOC'!Q35</f>
        <v>69</v>
      </c>
      <c r="L17" s="1892"/>
      <c r="M17" s="2394">
        <f>'R.GUI MAIL'!T35</f>
        <v>0</v>
      </c>
      <c r="N17" s="2395"/>
      <c r="O17" s="1893">
        <f>'R.FILE GOC'!W35</f>
        <v>67</v>
      </c>
      <c r="P17" s="1893"/>
      <c r="Q17" s="573"/>
    </row>
    <row r="18" spans="1:17" s="616" customFormat="1" ht="27.75" customHeight="1">
      <c r="A18" s="247">
        <v>3</v>
      </c>
      <c r="B18" s="623" t="s">
        <v>723</v>
      </c>
      <c r="C18" s="624" t="s">
        <v>719</v>
      </c>
      <c r="D18" s="566" t="s">
        <v>724</v>
      </c>
      <c r="E18" s="2394">
        <f>'R.FILE GOC'!H36</f>
        <v>0</v>
      </c>
      <c r="F18" s="2395"/>
      <c r="G18" s="1891">
        <f>'R.FILE GOC'!K36</f>
        <v>89</v>
      </c>
      <c r="H18" s="1892"/>
      <c r="I18" s="2394">
        <f>'R.FILE GOC'!N36</f>
        <v>0</v>
      </c>
      <c r="J18" s="2395"/>
      <c r="K18" s="1891">
        <f>'R.FILE GOC'!Q36</f>
        <v>78</v>
      </c>
      <c r="L18" s="1892"/>
      <c r="M18" s="2394">
        <f>'R.GUI MAIL'!T36</f>
        <v>0</v>
      </c>
      <c r="N18" s="2395"/>
      <c r="O18" s="1893">
        <f>'R.FILE GOC'!W36</f>
        <v>85</v>
      </c>
      <c r="P18" s="1893"/>
      <c r="Q18" s="573"/>
    </row>
    <row r="19" spans="1:17" ht="36.75" customHeight="1">
      <c r="A19" s="2231" t="s">
        <v>997</v>
      </c>
      <c r="B19" s="2231"/>
      <c r="C19" s="2231"/>
      <c r="D19" s="2231"/>
      <c r="E19" s="2231"/>
      <c r="F19" s="2231"/>
      <c r="G19" s="2231"/>
      <c r="H19" s="2231"/>
      <c r="I19" s="2231"/>
      <c r="J19" s="2231"/>
      <c r="K19" s="2231"/>
      <c r="L19" s="2231"/>
      <c r="M19" s="554"/>
      <c r="N19" s="554"/>
      <c r="O19" s="554"/>
      <c r="P19" s="554"/>
      <c r="Q19" s="625"/>
    </row>
    <row r="20" spans="1:17" ht="21.75" customHeight="1">
      <c r="A20" s="555"/>
      <c r="B20" s="556" t="s">
        <v>725</v>
      </c>
      <c r="C20" s="557"/>
      <c r="D20" s="557"/>
      <c r="E20" s="557"/>
      <c r="F20" s="557"/>
      <c r="G20" s="557"/>
      <c r="H20" s="557"/>
      <c r="I20" s="2286"/>
      <c r="J20" s="2286"/>
      <c r="K20" s="2286"/>
      <c r="L20" s="605"/>
      <c r="M20" s="2286"/>
      <c r="N20" s="2286"/>
      <c r="O20" s="2286"/>
      <c r="P20" s="605"/>
      <c r="Q20" s="626"/>
    </row>
    <row r="21" spans="1:17" s="607" customFormat="1" ht="37.5" customHeight="1">
      <c r="A21" s="2279" t="s">
        <v>726</v>
      </c>
      <c r="B21" s="2282" t="s">
        <v>690</v>
      </c>
      <c r="C21" s="2282" t="s">
        <v>691</v>
      </c>
      <c r="D21" s="2284" t="s">
        <v>692</v>
      </c>
      <c r="E21" s="2256" t="s">
        <v>992</v>
      </c>
      <c r="F21" s="2257"/>
      <c r="G21" s="2257"/>
      <c r="H21" s="2257"/>
      <c r="I21" s="2257"/>
      <c r="J21" s="2257"/>
      <c r="K21" s="2257"/>
      <c r="L21" s="2257"/>
      <c r="M21" s="2257"/>
      <c r="N21" s="2257"/>
      <c r="O21" s="2257"/>
      <c r="P21" s="2258"/>
      <c r="Q21" s="1950" t="s">
        <v>693</v>
      </c>
    </row>
    <row r="22" spans="1:17" s="607" customFormat="1" ht="20.25" customHeight="1">
      <c r="A22" s="2280"/>
      <c r="B22" s="2282"/>
      <c r="C22" s="2282"/>
      <c r="D22" s="2284"/>
      <c r="E22" s="2241">
        <v>0.83333333333333337</v>
      </c>
      <c r="F22" s="2242"/>
      <c r="G22" s="2242"/>
      <c r="H22" s="2242"/>
      <c r="I22" s="2243">
        <v>4.1666666666666664E-2</v>
      </c>
      <c r="J22" s="2244"/>
      <c r="K22" s="2244"/>
      <c r="L22" s="2245"/>
      <c r="M22" s="2243">
        <v>0.16666666666666666</v>
      </c>
      <c r="N22" s="2244"/>
      <c r="O22" s="2244"/>
      <c r="P22" s="2245"/>
      <c r="Q22" s="1950"/>
    </row>
    <row r="23" spans="1:17" s="607" customFormat="1" ht="36" customHeight="1">
      <c r="A23" s="2281"/>
      <c r="B23" s="2283"/>
      <c r="C23" s="2283"/>
      <c r="D23" s="2285"/>
      <c r="E23" s="608" t="s">
        <v>694</v>
      </c>
      <c r="F23" s="2142" t="s">
        <v>695</v>
      </c>
      <c r="G23" s="2147"/>
      <c r="H23" s="2288"/>
      <c r="I23" s="608" t="s">
        <v>694</v>
      </c>
      <c r="J23" s="2142" t="s">
        <v>695</v>
      </c>
      <c r="K23" s="2147"/>
      <c r="L23" s="2288"/>
      <c r="M23" s="608" t="s">
        <v>694</v>
      </c>
      <c r="N23" s="2142" t="s">
        <v>695</v>
      </c>
      <c r="O23" s="2147"/>
      <c r="P23" s="2288"/>
      <c r="Q23" s="316" t="s">
        <v>696</v>
      </c>
    </row>
    <row r="24" spans="1:17" s="607" customFormat="1" ht="30.75" customHeight="1">
      <c r="A24" s="609">
        <v>1</v>
      </c>
      <c r="B24" s="610" t="s">
        <v>697</v>
      </c>
      <c r="C24" s="611" t="s">
        <v>698</v>
      </c>
      <c r="D24" s="566" t="s">
        <v>780</v>
      </c>
      <c r="E24" s="692">
        <f>'R.GUI MAIL'!Z25</f>
        <v>0</v>
      </c>
      <c r="F24" s="572" t="s">
        <v>650</v>
      </c>
      <c r="G24" s="573">
        <f>'R.GUI MAIL'!AC25</f>
        <v>93.2</v>
      </c>
      <c r="H24" s="247" t="s">
        <v>727</v>
      </c>
      <c r="I24" s="692">
        <f>'R.GUI MAIL'!AF25</f>
        <v>0</v>
      </c>
      <c r="J24" s="572" t="s">
        <v>650</v>
      </c>
      <c r="K24" s="573">
        <f>'R.GUI MAIL'!AI25</f>
        <v>93.2</v>
      </c>
      <c r="L24" s="573" t="s">
        <v>727</v>
      </c>
      <c r="M24" s="692">
        <f>'R.GUI MAIL'!AL25</f>
        <v>0</v>
      </c>
      <c r="N24" s="572" t="s">
        <v>650</v>
      </c>
      <c r="O24" s="573">
        <f>'R.GUI MAIL'!AO25</f>
        <v>93.2</v>
      </c>
      <c r="P24" s="247" t="s">
        <v>727</v>
      </c>
      <c r="Q24" s="316" t="s">
        <v>701</v>
      </c>
    </row>
    <row r="25" spans="1:17" s="616" customFormat="1" ht="30.75" customHeight="1">
      <c r="A25" s="609">
        <v>2</v>
      </c>
      <c r="B25" s="613" t="s">
        <v>702</v>
      </c>
      <c r="C25" s="614" t="s">
        <v>728</v>
      </c>
      <c r="D25" s="615" t="s">
        <v>781</v>
      </c>
      <c r="E25" s="692">
        <f>'R.GUI MAIL'!Z26</f>
        <v>0</v>
      </c>
      <c r="F25" s="572" t="s">
        <v>650</v>
      </c>
      <c r="G25" s="573">
        <f>'R.GUI MAIL'!AC26</f>
        <v>1017.578125</v>
      </c>
      <c r="H25" s="247" t="s">
        <v>729</v>
      </c>
      <c r="I25" s="692">
        <f>'R.GUI MAIL'!AF26</f>
        <v>0</v>
      </c>
      <c r="J25" s="572" t="s">
        <v>650</v>
      </c>
      <c r="K25" s="573">
        <f>'R.GUI MAIL'!AI26</f>
        <v>1017.578125</v>
      </c>
      <c r="L25" s="573" t="s">
        <v>729</v>
      </c>
      <c r="M25" s="692">
        <f>'R.GUI MAIL'!AL26</f>
        <v>0</v>
      </c>
      <c r="N25" s="572" t="s">
        <v>650</v>
      </c>
      <c r="O25" s="573">
        <f>'R.GUI MAIL'!AO26</f>
        <v>1017.578125</v>
      </c>
      <c r="P25" s="247" t="s">
        <v>729</v>
      </c>
      <c r="Q25" s="316" t="s">
        <v>736</v>
      </c>
    </row>
    <row r="26" spans="1:17" s="616" customFormat="1" ht="30.75" customHeight="1">
      <c r="A26" s="609">
        <v>3</v>
      </c>
      <c r="B26" s="2289" t="s">
        <v>730</v>
      </c>
      <c r="C26" s="2292" t="s">
        <v>731</v>
      </c>
      <c r="D26" s="566" t="s">
        <v>782</v>
      </c>
      <c r="E26" s="692">
        <f>'R.GUI MAIL'!Z27</f>
        <v>0</v>
      </c>
      <c r="F26" s="572" t="s">
        <v>650</v>
      </c>
      <c r="G26" s="573">
        <f>'R.GUI MAIL'!AC27</f>
        <v>246.75</v>
      </c>
      <c r="H26" s="247" t="s">
        <v>727</v>
      </c>
      <c r="I26" s="692">
        <f>'R.GUI MAIL'!AF27</f>
        <v>0</v>
      </c>
      <c r="J26" s="572" t="s">
        <v>650</v>
      </c>
      <c r="K26" s="573">
        <f>'R.GUI MAIL'!AI27</f>
        <v>246.75</v>
      </c>
      <c r="L26" s="573" t="s">
        <v>727</v>
      </c>
      <c r="M26" s="692">
        <f>'R.GUI MAIL'!AL27</f>
        <v>0</v>
      </c>
      <c r="N26" s="572" t="s">
        <v>650</v>
      </c>
      <c r="O26" s="573">
        <f>'R.GUI MAIL'!AO27</f>
        <v>246.75</v>
      </c>
      <c r="P26" s="247" t="s">
        <v>727</v>
      </c>
      <c r="Q26" s="316" t="s">
        <v>738</v>
      </c>
    </row>
    <row r="27" spans="1:17" s="616" customFormat="1" ht="30.75" customHeight="1">
      <c r="A27" s="609">
        <v>4</v>
      </c>
      <c r="B27" s="2290"/>
      <c r="C27" s="2292"/>
      <c r="D27" s="566" t="s">
        <v>778</v>
      </c>
      <c r="E27" s="692">
        <f>'R.GUI MAIL'!Z28</f>
        <v>0</v>
      </c>
      <c r="F27" s="572" t="s">
        <v>650</v>
      </c>
      <c r="G27" s="573">
        <f>'R.GUI MAIL'!AC28</f>
        <v>32.077500000000001</v>
      </c>
      <c r="H27" s="247" t="s">
        <v>727</v>
      </c>
      <c r="I27" s="692">
        <f>'R.GUI MAIL'!AF28</f>
        <v>0</v>
      </c>
      <c r="J27" s="572" t="s">
        <v>650</v>
      </c>
      <c r="K27" s="573">
        <f>'R.GUI MAIL'!AI28</f>
        <v>32.077500000000001</v>
      </c>
      <c r="L27" s="573" t="s">
        <v>727</v>
      </c>
      <c r="M27" s="692">
        <f>'R.GUI MAIL'!AL28</f>
        <v>0</v>
      </c>
      <c r="N27" s="572" t="s">
        <v>650</v>
      </c>
      <c r="O27" s="573">
        <f>'R.GUI MAIL'!AO28</f>
        <v>32.077500000000001</v>
      </c>
      <c r="P27" s="247" t="s">
        <v>727</v>
      </c>
      <c r="Q27" s="316" t="s">
        <v>739</v>
      </c>
    </row>
    <row r="28" spans="1:17" s="616" customFormat="1" ht="30.75" customHeight="1">
      <c r="A28" s="609">
        <v>5</v>
      </c>
      <c r="B28" s="2291"/>
      <c r="C28" s="2292"/>
      <c r="D28" s="566" t="s">
        <v>660</v>
      </c>
      <c r="E28" s="693">
        <f>'R.GUI MAIL'!Z29</f>
        <v>0</v>
      </c>
      <c r="F28" s="572" t="s">
        <v>650</v>
      </c>
      <c r="G28" s="573">
        <f>'R.GUI MAIL'!AC29</f>
        <v>0</v>
      </c>
      <c r="H28" s="80" t="s">
        <v>727</v>
      </c>
      <c r="I28" s="693">
        <f>'R.GUI MAIL'!AF29</f>
        <v>0</v>
      </c>
      <c r="J28" s="572" t="s">
        <v>650</v>
      </c>
      <c r="K28" s="573">
        <f>'R.GUI MAIL'!AI29</f>
        <v>0</v>
      </c>
      <c r="L28" s="573" t="s">
        <v>727</v>
      </c>
      <c r="M28" s="693">
        <f>'R.GUI MAIL'!AL29</f>
        <v>0</v>
      </c>
      <c r="N28" s="572" t="s">
        <v>650</v>
      </c>
      <c r="O28" s="573">
        <f>'R.GUI MAIL'!AO29</f>
        <v>0</v>
      </c>
      <c r="P28" s="80" t="s">
        <v>727</v>
      </c>
      <c r="Q28" s="618"/>
    </row>
    <row r="29" spans="1:17" s="621" customFormat="1" ht="30.75" customHeight="1">
      <c r="A29" s="609">
        <v>6</v>
      </c>
      <c r="B29" s="2289" t="s">
        <v>710</v>
      </c>
      <c r="C29" s="611" t="s">
        <v>475</v>
      </c>
      <c r="D29" s="566" t="s">
        <v>485</v>
      </c>
      <c r="E29" s="692">
        <f>'R.GUI MAIL'!Z30</f>
        <v>0</v>
      </c>
      <c r="F29" s="627" t="s">
        <v>650</v>
      </c>
      <c r="G29" s="619">
        <f>'R.GUI MAIL'!AC30</f>
        <v>1.234</v>
      </c>
      <c r="H29" s="612" t="s">
        <v>727</v>
      </c>
      <c r="I29" s="692">
        <f>'R.GUI MAIL'!AF30</f>
        <v>0</v>
      </c>
      <c r="J29" s="627" t="s">
        <v>650</v>
      </c>
      <c r="K29" s="619">
        <f>'R.GUI MAIL'!AI30</f>
        <v>1.234</v>
      </c>
      <c r="L29" s="619" t="s">
        <v>727</v>
      </c>
      <c r="M29" s="692">
        <f>'R.GUI MAIL'!AL30</f>
        <v>0</v>
      </c>
      <c r="N29" s="627" t="s">
        <v>650</v>
      </c>
      <c r="O29" s="619">
        <f>'R.GUI MAIL'!AO30</f>
        <v>1.234</v>
      </c>
      <c r="P29" s="612" t="s">
        <v>727</v>
      </c>
      <c r="Q29" s="620" t="s">
        <v>711</v>
      </c>
    </row>
    <row r="30" spans="1:17" s="621" customFormat="1" ht="30.75" customHeight="1">
      <c r="A30" s="609">
        <v>7</v>
      </c>
      <c r="B30" s="2291"/>
      <c r="C30" s="622" t="s">
        <v>732</v>
      </c>
      <c r="D30" s="1133" t="s">
        <v>1050</v>
      </c>
      <c r="E30" s="692">
        <f>'R.GUI MAIL'!Z31</f>
        <v>0</v>
      </c>
      <c r="F30" s="572" t="s">
        <v>650</v>
      </c>
      <c r="G30" s="573">
        <f>'R.GUI MAIL'!AC31</f>
        <v>0</v>
      </c>
      <c r="H30" s="247" t="s">
        <v>727</v>
      </c>
      <c r="I30" s="692">
        <f>'R.GUI MAIL'!AF31</f>
        <v>0</v>
      </c>
      <c r="J30" s="572" t="s">
        <v>650</v>
      </c>
      <c r="K30" s="573">
        <f>'R.GUI MAIL'!AI31</f>
        <v>0</v>
      </c>
      <c r="L30" s="573" t="s">
        <v>727</v>
      </c>
      <c r="M30" s="692">
        <f>'R.GUI MAIL'!AL31</f>
        <v>0</v>
      </c>
      <c r="N30" s="572" t="s">
        <v>650</v>
      </c>
      <c r="O30" s="573">
        <f>'R.GUI MAIL'!AO31</f>
        <v>0</v>
      </c>
      <c r="P30" s="247" t="s">
        <v>727</v>
      </c>
      <c r="Q30" s="247"/>
    </row>
    <row r="31" spans="1:17" s="616" customFormat="1" ht="25.5" customHeight="1">
      <c r="A31" s="2293" t="s">
        <v>713</v>
      </c>
      <c r="B31" s="2293"/>
      <c r="C31" s="2293"/>
      <c r="D31" s="2293"/>
      <c r="E31" s="2293"/>
      <c r="F31" s="2293"/>
      <c r="G31" s="2293"/>
      <c r="H31" s="2293"/>
      <c r="I31" s="2293"/>
      <c r="J31" s="2293"/>
      <c r="K31" s="2293"/>
      <c r="L31" s="2293"/>
      <c r="M31" s="2293"/>
      <c r="N31" s="2293"/>
      <c r="O31" s="2293"/>
      <c r="P31" s="2293"/>
      <c r="Q31" s="2293"/>
    </row>
    <row r="32" spans="1:17" s="616" customFormat="1" ht="38.25" customHeight="1">
      <c r="A32" s="247" t="s">
        <v>733</v>
      </c>
      <c r="B32" s="623" t="s">
        <v>715</v>
      </c>
      <c r="C32" s="623" t="s">
        <v>716</v>
      </c>
      <c r="D32" s="623" t="s">
        <v>717</v>
      </c>
      <c r="E32" s="2253" t="s">
        <v>48</v>
      </c>
      <c r="F32" s="2253"/>
      <c r="G32" s="2253" t="s">
        <v>65</v>
      </c>
      <c r="H32" s="2253"/>
      <c r="I32" s="2253" t="s">
        <v>48</v>
      </c>
      <c r="J32" s="2253"/>
      <c r="K32" s="2253" t="s">
        <v>65</v>
      </c>
      <c r="L32" s="2253"/>
      <c r="M32" s="2253" t="s">
        <v>48</v>
      </c>
      <c r="N32" s="2253"/>
      <c r="O32" s="2253" t="s">
        <v>65</v>
      </c>
      <c r="P32" s="2253"/>
      <c r="Q32" s="383"/>
    </row>
    <row r="33" spans="1:17" s="616" customFormat="1" ht="30" customHeight="1">
      <c r="A33" s="247">
        <v>1</v>
      </c>
      <c r="B33" s="623" t="s">
        <v>718</v>
      </c>
      <c r="C33" s="624" t="s">
        <v>719</v>
      </c>
      <c r="D33" s="566" t="s">
        <v>720</v>
      </c>
      <c r="E33" s="2394">
        <f>'R.GUI MAIL'!Z34</f>
        <v>0</v>
      </c>
      <c r="F33" s="2395"/>
      <c r="G33" s="1891">
        <f>'R.FILE GOC'!AC34</f>
        <v>0</v>
      </c>
      <c r="H33" s="1892"/>
      <c r="I33" s="2394">
        <f>'R.GUI MAIL'!AF34</f>
        <v>0</v>
      </c>
      <c r="J33" s="2395"/>
      <c r="K33" s="1891">
        <f>'R.FILE GOC'!AI34</f>
        <v>0</v>
      </c>
      <c r="L33" s="1892"/>
      <c r="M33" s="2394">
        <f>'R.GUI MAIL'!AL34</f>
        <v>0</v>
      </c>
      <c r="N33" s="2395"/>
      <c r="O33" s="1893">
        <f>'R.FILE GOC'!AO34</f>
        <v>0</v>
      </c>
      <c r="P33" s="1893"/>
      <c r="Q33" s="573"/>
    </row>
    <row r="34" spans="1:17" s="616" customFormat="1" ht="30" customHeight="1">
      <c r="A34" s="247">
        <v>2</v>
      </c>
      <c r="B34" s="623" t="s">
        <v>734</v>
      </c>
      <c r="C34" s="624" t="s">
        <v>719</v>
      </c>
      <c r="D34" s="566" t="s">
        <v>722</v>
      </c>
      <c r="E34" s="2394">
        <f>'R.GUI MAIL'!Z35</f>
        <v>0</v>
      </c>
      <c r="F34" s="2395"/>
      <c r="G34" s="1891">
        <f>'R.FILE GOC'!AC35</f>
        <v>0</v>
      </c>
      <c r="H34" s="1892"/>
      <c r="I34" s="2394">
        <f>'R.GUI MAIL'!AF35</f>
        <v>0</v>
      </c>
      <c r="J34" s="2395"/>
      <c r="K34" s="1891">
        <f>'R.FILE GOC'!AI35</f>
        <v>0</v>
      </c>
      <c r="L34" s="1892"/>
      <c r="M34" s="2394">
        <f>'R.GUI MAIL'!AL35</f>
        <v>0</v>
      </c>
      <c r="N34" s="2395"/>
      <c r="O34" s="1893">
        <f>'R.FILE GOC'!AO35</f>
        <v>0</v>
      </c>
      <c r="P34" s="1893"/>
      <c r="Q34" s="573"/>
    </row>
    <row r="35" spans="1:17" s="616" customFormat="1" ht="30" customHeight="1">
      <c r="A35" s="247">
        <v>3</v>
      </c>
      <c r="B35" s="623" t="s">
        <v>723</v>
      </c>
      <c r="C35" s="624" t="s">
        <v>719</v>
      </c>
      <c r="D35" s="566" t="s">
        <v>724</v>
      </c>
      <c r="E35" s="2394">
        <f>'R.GUI MAIL'!Z36</f>
        <v>0</v>
      </c>
      <c r="F35" s="2395"/>
      <c r="G35" s="1891">
        <f>'R.FILE GOC'!AC36</f>
        <v>0</v>
      </c>
      <c r="H35" s="1892"/>
      <c r="I35" s="2394">
        <f>'R.GUI MAIL'!AF36</f>
        <v>0</v>
      </c>
      <c r="J35" s="2395"/>
      <c r="K35" s="1891">
        <f>'R.FILE GOC'!AI36</f>
        <v>0</v>
      </c>
      <c r="L35" s="1892"/>
      <c r="M35" s="2394">
        <f>'R.GUI MAIL'!AL36</f>
        <v>0</v>
      </c>
      <c r="N35" s="2395"/>
      <c r="O35" s="1893">
        <f>'R.FILE GOC'!AO36</f>
        <v>0</v>
      </c>
      <c r="P35" s="1893"/>
      <c r="Q35" s="573"/>
    </row>
  </sheetData>
  <sheetProtection selectLockedCells="1"/>
  <mergeCells count="88">
    <mergeCell ref="O35:P35"/>
    <mergeCell ref="E34:F34"/>
    <mergeCell ref="G34:H34"/>
    <mergeCell ref="I34:J34"/>
    <mergeCell ref="K34:L34"/>
    <mergeCell ref="M34:N34"/>
    <mergeCell ref="O34:P34"/>
    <mergeCell ref="E35:F35"/>
    <mergeCell ref="G35:H35"/>
    <mergeCell ref="I35:J35"/>
    <mergeCell ref="K35:L35"/>
    <mergeCell ref="M35:N35"/>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O18:P18"/>
    <mergeCell ref="E17:F17"/>
    <mergeCell ref="G17:H17"/>
    <mergeCell ref="I17:J17"/>
    <mergeCell ref="K17:L17"/>
    <mergeCell ref="M17:N17"/>
    <mergeCell ref="O17:P17"/>
    <mergeCell ref="E18:F18"/>
    <mergeCell ref="G18:H18"/>
    <mergeCell ref="I18:J18"/>
    <mergeCell ref="K18:L18"/>
    <mergeCell ref="M18:N18"/>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Q4:Q5"/>
    <mergeCell ref="E5:H5"/>
    <mergeCell ref="I5:L5"/>
    <mergeCell ref="M5:P5"/>
    <mergeCell ref="F6:H6"/>
    <mergeCell ref="J6:L6"/>
    <mergeCell ref="N6:P6"/>
    <mergeCell ref="A1:L1"/>
    <mergeCell ref="A2:L2"/>
    <mergeCell ref="O2:P2"/>
    <mergeCell ref="I3:K3"/>
    <mergeCell ref="O3:P3"/>
    <mergeCell ref="A4:A6"/>
    <mergeCell ref="B4:B6"/>
    <mergeCell ref="C4:C6"/>
    <mergeCell ref="D4:D6"/>
    <mergeCell ref="E4:P4"/>
  </mergeCells>
  <phoneticPr fontId="6" type="noConversion"/>
  <conditionalFormatting sqref="E8 I8 M8 M25 I25 E25">
    <cfRule type="expression" dxfId="438" priority="111">
      <formula>E8&lt;10</formula>
    </cfRule>
    <cfRule type="expression" dxfId="437" priority="112">
      <formula>E8&gt;15</formula>
    </cfRule>
  </conditionalFormatting>
  <conditionalFormatting sqref="E7 I7 M7 M24 I24 E24">
    <cfRule type="expression" dxfId="436" priority="109">
      <formula>E7&lt;30</formula>
    </cfRule>
    <cfRule type="expression" dxfId="435" priority="110">
      <formula>E7&gt;50</formula>
    </cfRule>
  </conditionalFormatting>
  <conditionalFormatting sqref="E9 I9 M9 M26 I26 E26">
    <cfRule type="expression" dxfId="434" priority="107">
      <formula>E9&lt;40</formula>
    </cfRule>
    <cfRule type="expression" dxfId="433" priority="108">
      <formula>E9&gt;60</formula>
    </cfRule>
  </conditionalFormatting>
  <conditionalFormatting sqref="E10 I10 M10 M27 I27 E27">
    <cfRule type="expression" dxfId="432" priority="105">
      <formula>E10&lt;5.2</formula>
    </cfRule>
    <cfRule type="expression" dxfId="431" priority="106">
      <formula>E10&gt;7.8</formula>
    </cfRule>
  </conditionalFormatting>
  <conditionalFormatting sqref="E11 I11 M11 M28 I28 E28">
    <cfRule type="expression" dxfId="430" priority="104">
      <formula>E11&gt;0.4</formula>
    </cfRule>
  </conditionalFormatting>
  <conditionalFormatting sqref="E12 I12 M12 M29 I29 E29">
    <cfRule type="expression" dxfId="429" priority="102">
      <formula>E12&lt;0.8</formula>
    </cfRule>
    <cfRule type="expression" dxfId="428" priority="103">
      <formula>E12&gt;1.2</formula>
    </cfRule>
  </conditionalFormatting>
  <conditionalFormatting sqref="I13 M30 I30 E30">
    <cfRule type="expression" dxfId="427" priority="100">
      <formula>E13&lt;8</formula>
    </cfRule>
    <cfRule type="expression" dxfId="426" priority="101">
      <formula>E13&gt;10</formula>
    </cfRule>
  </conditionalFormatting>
  <conditionalFormatting sqref="E34:F34 E17:P17">
    <cfRule type="expression" dxfId="425" priority="23">
      <formula>E17&lt;65</formula>
    </cfRule>
    <cfRule type="expression" dxfId="424" priority="24">
      <formula>E17&gt;85</formula>
    </cfRule>
  </conditionalFormatting>
  <conditionalFormatting sqref="E35:F35 E18:P18">
    <cfRule type="expression" dxfId="423" priority="21">
      <formula>E18&lt;80</formula>
    </cfRule>
    <cfRule type="expression" dxfId="422" priority="22">
      <formula>E18&gt;90</formula>
    </cfRule>
  </conditionalFormatting>
  <conditionalFormatting sqref="E33 E16 G16 I16 K16 M16 O16">
    <cfRule type="expression" dxfId="421" priority="19">
      <formula>E16&lt;55</formula>
    </cfRule>
    <cfRule type="expression" dxfId="420" priority="20">
      <formula>E16&gt;65</formula>
    </cfRule>
  </conditionalFormatting>
  <conditionalFormatting sqref="G34:P34">
    <cfRule type="expression" dxfId="419" priority="17">
      <formula>G34&lt;65</formula>
    </cfRule>
    <cfRule type="expression" dxfId="418" priority="18">
      <formula>G34&gt;85</formula>
    </cfRule>
  </conditionalFormatting>
  <conditionalFormatting sqref="G35:P35">
    <cfRule type="expression" dxfId="417" priority="15">
      <formula>G35&lt;80</formula>
    </cfRule>
    <cfRule type="expression" dxfId="416" priority="16">
      <formula>G35&gt;90</formula>
    </cfRule>
  </conditionalFormatting>
  <conditionalFormatting sqref="G33 I33 K33 M33 O33">
    <cfRule type="expression" dxfId="415" priority="13">
      <formula>G33&lt;55</formula>
    </cfRule>
    <cfRule type="expression" dxfId="414"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30">
    <tabColor rgb="FFFF0000"/>
  </sheetPr>
  <dimension ref="A1:R44"/>
  <sheetViews>
    <sheetView topLeftCell="A24" zoomScale="70" zoomScaleNormal="70" workbookViewId="0">
      <selection activeCell="F7" sqref="F7"/>
    </sheetView>
  </sheetViews>
  <sheetFormatPr defaultRowHeight="13.5"/>
  <cols>
    <col min="1" max="1" width="5.5" style="553" customWidth="1"/>
    <col min="2" max="2" width="20.875" style="603" customWidth="1"/>
    <col min="3" max="3" width="4.125" style="603" customWidth="1"/>
    <col min="4" max="4" width="6.875" style="553" customWidth="1"/>
    <col min="5" max="5" width="16.875" style="553" customWidth="1"/>
    <col min="6" max="6" width="8.5" style="553" customWidth="1"/>
    <col min="7" max="7" width="3.875" style="553" customWidth="1"/>
    <col min="8" max="8" width="7.25" style="553" customWidth="1"/>
    <col min="9" max="9" width="4.375" style="553" customWidth="1"/>
    <col min="10" max="10" width="8.75" style="553" customWidth="1"/>
    <col min="11" max="11" width="2.625" style="553" customWidth="1"/>
    <col min="12" max="12" width="7.375" style="553" customWidth="1"/>
    <col min="13" max="13" width="4.25" style="553" customWidth="1"/>
    <col min="14" max="14" width="8.75" style="553" customWidth="1"/>
    <col min="15" max="15" width="2.625" style="553" customWidth="1"/>
    <col min="16" max="16" width="7.375" style="553" customWidth="1"/>
    <col min="17" max="17" width="4.25" style="553" customWidth="1"/>
    <col min="18" max="18" width="16.125" style="553" customWidth="1"/>
    <col min="19" max="16384" width="9" style="553"/>
  </cols>
  <sheetData>
    <row r="1" spans="1:18" ht="27.75" customHeight="1">
      <c r="A1" s="2230" t="s">
        <v>634</v>
      </c>
      <c r="B1" s="2230"/>
      <c r="C1" s="2230"/>
      <c r="D1" s="2230"/>
      <c r="E1" s="2230"/>
      <c r="F1" s="2230"/>
      <c r="G1" s="2230"/>
      <c r="H1" s="2230"/>
      <c r="I1" s="2230"/>
      <c r="J1" s="2230"/>
      <c r="K1" s="2230"/>
      <c r="L1" s="2230"/>
      <c r="M1" s="2230"/>
      <c r="N1" s="551"/>
      <c r="O1" s="551"/>
      <c r="P1" s="551"/>
      <c r="Q1" s="551"/>
      <c r="R1" s="551"/>
    </row>
    <row r="2" spans="1:18" ht="36.75" customHeight="1">
      <c r="A2" s="2231" t="s">
        <v>999</v>
      </c>
      <c r="B2" s="2231"/>
      <c r="C2" s="2231"/>
      <c r="D2" s="2231"/>
      <c r="E2" s="2231"/>
      <c r="F2" s="2231"/>
      <c r="G2" s="2231"/>
      <c r="H2" s="2231"/>
      <c r="I2" s="2231"/>
      <c r="J2" s="2231"/>
      <c r="K2" s="2231"/>
      <c r="L2" s="2231"/>
      <c r="M2" s="2231"/>
      <c r="N2" s="554"/>
      <c r="O2" s="554"/>
      <c r="P2" s="2021" t="s">
        <v>687</v>
      </c>
      <c r="Q2" s="2022"/>
      <c r="R2" s="90" t="s">
        <v>17</v>
      </c>
    </row>
    <row r="3" spans="1:18" ht="20.25" customHeight="1">
      <c r="A3" s="555"/>
      <c r="B3" s="556" t="s">
        <v>637</v>
      </c>
      <c r="C3" s="556"/>
      <c r="D3" s="557"/>
      <c r="E3" s="558" t="str">
        <f>'1.xi den'!$G$3</f>
        <v>2022/12/03</v>
      </c>
      <c r="F3" s="557"/>
      <c r="G3" s="557"/>
      <c r="H3" s="557"/>
      <c r="I3" s="557"/>
      <c r="J3" s="2286"/>
      <c r="K3" s="2286"/>
      <c r="L3" s="2286"/>
      <c r="M3" s="605"/>
      <c r="N3" s="556"/>
      <c r="O3" s="556"/>
      <c r="P3" s="2236" t="str">
        <f>'1.xi den'!$N$3</f>
        <v>L.Yen</v>
      </c>
      <c r="Q3" s="2237"/>
      <c r="R3" s="606" t="s">
        <v>688</v>
      </c>
    </row>
    <row r="4" spans="1:18" s="607" customFormat="1" ht="42" customHeight="1">
      <c r="A4" s="2279" t="s">
        <v>726</v>
      </c>
      <c r="B4" s="2040" t="s">
        <v>690</v>
      </c>
      <c r="C4" s="2383"/>
      <c r="D4" s="2282" t="s">
        <v>691</v>
      </c>
      <c r="E4" s="2284" t="s">
        <v>692</v>
      </c>
      <c r="F4" s="2256" t="s">
        <v>921</v>
      </c>
      <c r="G4" s="2257"/>
      <c r="H4" s="2257"/>
      <c r="I4" s="2257"/>
      <c r="J4" s="2257"/>
      <c r="K4" s="2257"/>
      <c r="L4" s="2257"/>
      <c r="M4" s="2257"/>
      <c r="N4" s="2257"/>
      <c r="O4" s="2257"/>
      <c r="P4" s="2257"/>
      <c r="Q4" s="2258"/>
      <c r="R4" s="1970" t="s">
        <v>693</v>
      </c>
    </row>
    <row r="5" spans="1:18" s="607" customFormat="1" ht="22.5" customHeight="1">
      <c r="A5" s="2280"/>
      <c r="B5" s="2141"/>
      <c r="C5" s="2384"/>
      <c r="D5" s="2282"/>
      <c r="E5" s="2284"/>
      <c r="F5" s="2241">
        <v>0.33333333333333331</v>
      </c>
      <c r="G5" s="2242"/>
      <c r="H5" s="2242"/>
      <c r="I5" s="2242"/>
      <c r="J5" s="2243">
        <v>0.52083333333333337</v>
      </c>
      <c r="K5" s="2244"/>
      <c r="L5" s="2244"/>
      <c r="M5" s="2245"/>
      <c r="N5" s="2243">
        <v>0.66666666666666663</v>
      </c>
      <c r="O5" s="2244"/>
      <c r="P5" s="2244"/>
      <c r="Q5" s="2245"/>
      <c r="R5" s="1971"/>
    </row>
    <row r="6" spans="1:18" s="607" customFormat="1" ht="39.75" customHeight="1">
      <c r="A6" s="2281"/>
      <c r="B6" s="2385"/>
      <c r="C6" s="2386"/>
      <c r="D6" s="2283"/>
      <c r="E6" s="2285"/>
      <c r="F6" s="608" t="s">
        <v>694</v>
      </c>
      <c r="G6" s="2142" t="s">
        <v>695</v>
      </c>
      <c r="H6" s="2147"/>
      <c r="I6" s="2288"/>
      <c r="J6" s="608" t="s">
        <v>694</v>
      </c>
      <c r="K6" s="2142" t="s">
        <v>695</v>
      </c>
      <c r="L6" s="2147"/>
      <c r="M6" s="2288"/>
      <c r="N6" s="608" t="s">
        <v>694</v>
      </c>
      <c r="O6" s="2142" t="s">
        <v>695</v>
      </c>
      <c r="P6" s="2147"/>
      <c r="Q6" s="2288"/>
      <c r="R6" s="620" t="s">
        <v>735</v>
      </c>
    </row>
    <row r="7" spans="1:18" s="616" customFormat="1" ht="27" customHeight="1">
      <c r="A7" s="609">
        <v>1</v>
      </c>
      <c r="B7" s="2396" t="s">
        <v>918</v>
      </c>
      <c r="C7" s="2397"/>
      <c r="D7" s="955" t="s">
        <v>698</v>
      </c>
      <c r="E7" s="959" t="s">
        <v>494</v>
      </c>
      <c r="F7" s="692">
        <f>'R.GUI MAIL'!H41</f>
        <v>0</v>
      </c>
      <c r="G7" s="572" t="s">
        <v>650</v>
      </c>
      <c r="H7" s="573">
        <f>'R.GUI MAIL'!K41</f>
        <v>93.2</v>
      </c>
      <c r="I7" s="957" t="s">
        <v>656</v>
      </c>
      <c r="J7" s="692">
        <f>'R.GUI MAIL'!N41</f>
        <v>0</v>
      </c>
      <c r="K7" s="572" t="s">
        <v>650</v>
      </c>
      <c r="L7" s="573">
        <f>'R.GUI MAIL'!Q41</f>
        <v>93.2</v>
      </c>
      <c r="M7" s="957" t="s">
        <v>656</v>
      </c>
      <c r="N7" s="692">
        <f>'R.GUI MAIL'!T41</f>
        <v>0</v>
      </c>
      <c r="O7" s="572" t="s">
        <v>650</v>
      </c>
      <c r="P7" s="573">
        <f>'R.GUI MAIL'!W41</f>
        <v>93.2</v>
      </c>
      <c r="Q7" s="957" t="s">
        <v>656</v>
      </c>
      <c r="R7" s="620" t="s">
        <v>736</v>
      </c>
    </row>
    <row r="8" spans="1:18" s="616" customFormat="1" ht="27" customHeight="1">
      <c r="A8" s="609">
        <v>2</v>
      </c>
      <c r="B8" s="2313" t="s">
        <v>702</v>
      </c>
      <c r="C8" s="2301"/>
      <c r="D8" s="614" t="s">
        <v>703</v>
      </c>
      <c r="E8" s="958" t="s">
        <v>470</v>
      </c>
      <c r="F8" s="960">
        <f>'R.GUI MAIL'!H42</f>
        <v>0</v>
      </c>
      <c r="G8" s="572" t="s">
        <v>650</v>
      </c>
      <c r="H8" s="573">
        <f>'R.GUI MAIL'!K42</f>
        <v>1017.578125</v>
      </c>
      <c r="I8" s="247" t="s">
        <v>729</v>
      </c>
      <c r="J8" s="960">
        <f>'R.GUI MAIL'!N42</f>
        <v>0</v>
      </c>
      <c r="K8" s="572" t="s">
        <v>650</v>
      </c>
      <c r="L8" s="573">
        <f>'R.GUI MAIL'!Q42</f>
        <v>1017.578125</v>
      </c>
      <c r="M8" s="247" t="s">
        <v>729</v>
      </c>
      <c r="N8" s="960">
        <f>'R.GUI MAIL'!T42</f>
        <v>0</v>
      </c>
      <c r="O8" s="572" t="s">
        <v>650</v>
      </c>
      <c r="P8" s="573">
        <f>'R.GUI MAIL'!W42</f>
        <v>1017.578125</v>
      </c>
      <c r="Q8" s="247" t="s">
        <v>729</v>
      </c>
      <c r="R8" s="620" t="s">
        <v>738</v>
      </c>
    </row>
    <row r="9" spans="1:18" s="616" customFormat="1" ht="27" customHeight="1">
      <c r="A9" s="609">
        <v>4</v>
      </c>
      <c r="B9" s="2387" t="s">
        <v>734</v>
      </c>
      <c r="C9" s="2390">
        <f>R.HN!B27</f>
        <v>0</v>
      </c>
      <c r="D9" s="2292" t="s">
        <v>475</v>
      </c>
      <c r="E9" s="566" t="s">
        <v>782</v>
      </c>
      <c r="F9" s="692">
        <f>'R.GUI MAIL'!H43</f>
        <v>0</v>
      </c>
      <c r="G9" s="572" t="s">
        <v>650</v>
      </c>
      <c r="H9" s="573">
        <f>'R.GUI MAIL'!K43</f>
        <v>246.75</v>
      </c>
      <c r="I9" s="247" t="s">
        <v>727</v>
      </c>
      <c r="J9" s="692">
        <f>'R.GUI MAIL'!N43</f>
        <v>0</v>
      </c>
      <c r="K9" s="572" t="s">
        <v>650</v>
      </c>
      <c r="L9" s="619">
        <f>'R.GUI MAIL'!Q43</f>
        <v>246.75</v>
      </c>
      <c r="M9" s="247" t="s">
        <v>727</v>
      </c>
      <c r="N9" s="692">
        <f>'R.GUI MAIL'!T43</f>
        <v>0</v>
      </c>
      <c r="O9" s="572" t="s">
        <v>650</v>
      </c>
      <c r="P9" s="619">
        <f>'R.GUI MAIL'!W43</f>
        <v>246.75</v>
      </c>
      <c r="Q9" s="247" t="s">
        <v>727</v>
      </c>
      <c r="R9" s="620" t="s">
        <v>738</v>
      </c>
    </row>
    <row r="10" spans="1:18" s="616" customFormat="1" ht="28.5" customHeight="1">
      <c r="A10" s="609">
        <v>5</v>
      </c>
      <c r="B10" s="2388"/>
      <c r="C10" s="2391"/>
      <c r="D10" s="2292"/>
      <c r="E10" s="566" t="s">
        <v>778</v>
      </c>
      <c r="F10" s="692">
        <f>'R.GUI MAIL'!H44</f>
        <v>0</v>
      </c>
      <c r="G10" s="572" t="s">
        <v>650</v>
      </c>
      <c r="H10" s="573">
        <f>'R.GUI MAIL'!K44</f>
        <v>32.077500000000001</v>
      </c>
      <c r="I10" s="247" t="s">
        <v>727</v>
      </c>
      <c r="J10" s="692">
        <f>'R.GUI MAIL'!N44</f>
        <v>0</v>
      </c>
      <c r="K10" s="572" t="s">
        <v>650</v>
      </c>
      <c r="L10" s="619">
        <f>'R.GUI MAIL'!Q44</f>
        <v>32.077500000000001</v>
      </c>
      <c r="M10" s="247" t="s">
        <v>727</v>
      </c>
      <c r="N10" s="692">
        <f>'R.GUI MAIL'!T44</f>
        <v>0</v>
      </c>
      <c r="O10" s="572" t="s">
        <v>650</v>
      </c>
      <c r="P10" s="619">
        <f>'R.GUI MAIL'!W44</f>
        <v>32.077500000000001</v>
      </c>
      <c r="Q10" s="247" t="s">
        <v>727</v>
      </c>
      <c r="R10" s="620" t="s">
        <v>739</v>
      </c>
    </row>
    <row r="11" spans="1:18" s="616" customFormat="1" ht="28.5" customHeight="1">
      <c r="A11" s="609">
        <v>6</v>
      </c>
      <c r="B11" s="2389"/>
      <c r="C11" s="2392"/>
      <c r="D11" s="2292"/>
      <c r="E11" s="566" t="s">
        <v>660</v>
      </c>
      <c r="F11" s="693">
        <f>'R.GUI MAIL'!H45</f>
        <v>0</v>
      </c>
      <c r="G11" s="572" t="s">
        <v>650</v>
      </c>
      <c r="H11" s="573">
        <f>'R.GUI MAIL'!K45</f>
        <v>0</v>
      </c>
      <c r="I11" s="80" t="s">
        <v>727</v>
      </c>
      <c r="J11" s="693">
        <f>'R.GUI MAIL'!N45</f>
        <v>0</v>
      </c>
      <c r="K11" s="572" t="s">
        <v>650</v>
      </c>
      <c r="L11" s="619">
        <f>'R.GUI MAIL'!Q45</f>
        <v>0</v>
      </c>
      <c r="M11" s="80" t="s">
        <v>727</v>
      </c>
      <c r="N11" s="693">
        <f>'R.GUI MAIL'!T45</f>
        <v>0</v>
      </c>
      <c r="O11" s="572" t="s">
        <v>650</v>
      </c>
      <c r="P11" s="619">
        <f>'R.GUI MAIL'!W45</f>
        <v>0</v>
      </c>
      <c r="Q11" s="80" t="s">
        <v>727</v>
      </c>
      <c r="R11" s="620"/>
    </row>
    <row r="12" spans="1:18" s="616" customFormat="1" ht="28.5" hidden="1" customHeight="1">
      <c r="A12" s="609">
        <v>7</v>
      </c>
      <c r="B12" s="2387" t="s">
        <v>734</v>
      </c>
      <c r="C12" s="2390">
        <f>R.HN!B30</f>
        <v>0</v>
      </c>
      <c r="D12" s="2292" t="s">
        <v>475</v>
      </c>
      <c r="E12" s="566" t="s">
        <v>782</v>
      </c>
      <c r="F12" s="692" t="e">
        <f>'R.GUI MAIL'!#REF!</f>
        <v>#REF!</v>
      </c>
      <c r="G12" s="572" t="s">
        <v>650</v>
      </c>
      <c r="H12" s="573" t="e">
        <f>'R.GUI MAIL'!#REF!</f>
        <v>#REF!</v>
      </c>
      <c r="I12" s="247" t="s">
        <v>727</v>
      </c>
      <c r="J12" s="692" t="e">
        <f>'R.GUI MAIL'!#REF!</f>
        <v>#REF!</v>
      </c>
      <c r="K12" s="572" t="s">
        <v>650</v>
      </c>
      <c r="L12" s="619" t="e">
        <f>'R.GUI MAIL'!#REF!</f>
        <v>#REF!</v>
      </c>
      <c r="M12" s="247" t="s">
        <v>727</v>
      </c>
      <c r="N12" s="692" t="e">
        <f>'R.GUI MAIL'!#REF!</f>
        <v>#REF!</v>
      </c>
      <c r="O12" s="572" t="s">
        <v>650</v>
      </c>
      <c r="P12" s="619" t="e">
        <f>'R.GUI MAIL'!#REF!</f>
        <v>#REF!</v>
      </c>
      <c r="Q12" s="247" t="s">
        <v>727</v>
      </c>
      <c r="R12" s="620" t="s">
        <v>738</v>
      </c>
    </row>
    <row r="13" spans="1:18" s="616" customFormat="1" ht="28.5" hidden="1" customHeight="1">
      <c r="A13" s="609">
        <v>8</v>
      </c>
      <c r="B13" s="2388"/>
      <c r="C13" s="2391"/>
      <c r="D13" s="2292"/>
      <c r="E13" s="566" t="s">
        <v>778</v>
      </c>
      <c r="F13" s="692" t="e">
        <f>'R.GUI MAIL'!#REF!</f>
        <v>#REF!</v>
      </c>
      <c r="G13" s="572" t="s">
        <v>650</v>
      </c>
      <c r="H13" s="573" t="e">
        <f>'R.GUI MAIL'!#REF!</f>
        <v>#REF!</v>
      </c>
      <c r="I13" s="247" t="s">
        <v>727</v>
      </c>
      <c r="J13" s="692" t="e">
        <f>'R.GUI MAIL'!#REF!</f>
        <v>#REF!</v>
      </c>
      <c r="K13" s="572" t="s">
        <v>650</v>
      </c>
      <c r="L13" s="619" t="e">
        <f>'R.GUI MAIL'!#REF!</f>
        <v>#REF!</v>
      </c>
      <c r="M13" s="247" t="s">
        <v>727</v>
      </c>
      <c r="N13" s="692" t="e">
        <f>'R.GUI MAIL'!#REF!</f>
        <v>#REF!</v>
      </c>
      <c r="O13" s="572" t="s">
        <v>650</v>
      </c>
      <c r="P13" s="619" t="e">
        <f>'R.GUI MAIL'!#REF!</f>
        <v>#REF!</v>
      </c>
      <c r="Q13" s="247" t="s">
        <v>727</v>
      </c>
      <c r="R13" s="620" t="s">
        <v>739</v>
      </c>
    </row>
    <row r="14" spans="1:18" s="616" customFormat="1" ht="28.5" hidden="1" customHeight="1">
      <c r="A14" s="609">
        <v>9</v>
      </c>
      <c r="B14" s="2389"/>
      <c r="C14" s="2392"/>
      <c r="D14" s="2292"/>
      <c r="E14" s="566" t="s">
        <v>660</v>
      </c>
      <c r="F14" s="693" t="e">
        <f>'R.GUI MAIL'!#REF!</f>
        <v>#REF!</v>
      </c>
      <c r="G14" s="572" t="s">
        <v>650</v>
      </c>
      <c r="H14" s="573" t="e">
        <f>'R.GUI MAIL'!#REF!</f>
        <v>#REF!</v>
      </c>
      <c r="I14" s="80" t="s">
        <v>727</v>
      </c>
      <c r="J14" s="693" t="e">
        <f>'R.GUI MAIL'!#REF!</f>
        <v>#REF!</v>
      </c>
      <c r="K14" s="572" t="s">
        <v>650</v>
      </c>
      <c r="L14" s="619" t="e">
        <f>'R.GUI MAIL'!#REF!</f>
        <v>#REF!</v>
      </c>
      <c r="M14" s="80" t="s">
        <v>727</v>
      </c>
      <c r="N14" s="693" t="e">
        <f>'R.GUI MAIL'!#REF!</f>
        <v>#REF!</v>
      </c>
      <c r="O14" s="572" t="s">
        <v>650</v>
      </c>
      <c r="P14" s="619" t="e">
        <f>'R.GUI MAIL'!#REF!</f>
        <v>#REF!</v>
      </c>
      <c r="Q14" s="80" t="s">
        <v>727</v>
      </c>
      <c r="R14" s="620"/>
    </row>
    <row r="15" spans="1:18" s="621" customFormat="1" ht="28.5" customHeight="1">
      <c r="A15" s="609">
        <v>16</v>
      </c>
      <c r="B15" s="2387" t="s">
        <v>710</v>
      </c>
      <c r="C15" s="2390"/>
      <c r="D15" s="611" t="s">
        <v>475</v>
      </c>
      <c r="E15" s="566" t="s">
        <v>485</v>
      </c>
      <c r="F15" s="692">
        <f>'R.GUI MAIL'!H46</f>
        <v>0</v>
      </c>
      <c r="G15" s="627" t="s">
        <v>650</v>
      </c>
      <c r="H15" s="619">
        <f>'R.GUI MAIL'!K46</f>
        <v>1.234</v>
      </c>
      <c r="I15" s="612" t="s">
        <v>727</v>
      </c>
      <c r="J15" s="692">
        <f>'R.GUI MAIL'!N46</f>
        <v>0</v>
      </c>
      <c r="K15" s="627" t="s">
        <v>650</v>
      </c>
      <c r="L15" s="619">
        <f>'R.GUI MAIL'!Q46</f>
        <v>1.234</v>
      </c>
      <c r="M15" s="612" t="s">
        <v>727</v>
      </c>
      <c r="N15" s="692">
        <f>'R.GUI MAIL'!T46</f>
        <v>0</v>
      </c>
      <c r="O15" s="627" t="s">
        <v>650</v>
      </c>
      <c r="P15" s="619">
        <f>'R.GUI MAIL'!W46</f>
        <v>1.234</v>
      </c>
      <c r="Q15" s="612" t="s">
        <v>727</v>
      </c>
      <c r="R15" s="620" t="s">
        <v>711</v>
      </c>
    </row>
    <row r="16" spans="1:18" s="621" customFormat="1" ht="28.5" customHeight="1">
      <c r="A16" s="609">
        <v>17</v>
      </c>
      <c r="B16" s="2389"/>
      <c r="C16" s="2392"/>
      <c r="D16" s="622" t="s">
        <v>732</v>
      </c>
      <c r="E16" s="1133" t="s">
        <v>1050</v>
      </c>
      <c r="F16" s="692">
        <f>'R.GUI MAIL'!H47</f>
        <v>0</v>
      </c>
      <c r="G16" s="572" t="s">
        <v>650</v>
      </c>
      <c r="H16" s="573">
        <f>'R.GUI MAIL'!K47</f>
        <v>0</v>
      </c>
      <c r="I16" s="247" t="s">
        <v>727</v>
      </c>
      <c r="J16" s="692">
        <f>'R.GUI MAIL'!N47</f>
        <v>0</v>
      </c>
      <c r="K16" s="572" t="s">
        <v>650</v>
      </c>
      <c r="L16" s="619">
        <f>'R.GUI MAIL'!Q47</f>
        <v>0</v>
      </c>
      <c r="M16" s="247" t="s">
        <v>727</v>
      </c>
      <c r="N16" s="692">
        <f>'R.GUI MAIL'!T47</f>
        <v>0</v>
      </c>
      <c r="O16" s="572" t="s">
        <v>650</v>
      </c>
      <c r="P16" s="619">
        <f>'R.GUI MAIL'!W47</f>
        <v>0</v>
      </c>
      <c r="Q16" s="247" t="s">
        <v>727</v>
      </c>
      <c r="R16" s="247"/>
    </row>
    <row r="17" spans="1:18" s="616" customFormat="1" ht="28.5" customHeight="1">
      <c r="A17" s="2293" t="s">
        <v>713</v>
      </c>
      <c r="B17" s="2293"/>
      <c r="C17" s="2293"/>
      <c r="D17" s="2293"/>
      <c r="E17" s="2293"/>
      <c r="F17" s="2293"/>
      <c r="G17" s="2293"/>
      <c r="H17" s="2293"/>
      <c r="I17" s="2293"/>
      <c r="J17" s="2293"/>
      <c r="K17" s="2293"/>
      <c r="L17" s="2293"/>
      <c r="M17" s="2293"/>
      <c r="N17" s="2293"/>
      <c r="O17" s="2293"/>
      <c r="P17" s="2293"/>
      <c r="Q17" s="2293"/>
      <c r="R17" s="2293"/>
    </row>
    <row r="18" spans="1:18" s="616" customFormat="1" ht="28.5" customHeight="1">
      <c r="A18" s="247" t="s">
        <v>733</v>
      </c>
      <c r="B18" s="2313" t="s">
        <v>715</v>
      </c>
      <c r="C18" s="2301"/>
      <c r="D18" s="623" t="s">
        <v>716</v>
      </c>
      <c r="E18" s="623" t="s">
        <v>717</v>
      </c>
      <c r="F18" s="2253" t="s">
        <v>48</v>
      </c>
      <c r="G18" s="2253"/>
      <c r="H18" s="2253" t="s">
        <v>65</v>
      </c>
      <c r="I18" s="2253"/>
      <c r="J18" s="2253" t="s">
        <v>48</v>
      </c>
      <c r="K18" s="2253"/>
      <c r="L18" s="2253" t="s">
        <v>65</v>
      </c>
      <c r="M18" s="2253"/>
      <c r="N18" s="2253" t="s">
        <v>48</v>
      </c>
      <c r="O18" s="2253"/>
      <c r="P18" s="2253" t="s">
        <v>65</v>
      </c>
      <c r="Q18" s="2253"/>
      <c r="R18" s="630"/>
    </row>
    <row r="19" spans="1:18" s="616" customFormat="1" ht="28.5" customHeight="1">
      <c r="A19" s="247">
        <v>1</v>
      </c>
      <c r="B19" s="2313" t="s">
        <v>925</v>
      </c>
      <c r="C19" s="2301"/>
      <c r="D19" s="624" t="s">
        <v>719</v>
      </c>
      <c r="E19" s="959" t="s">
        <v>720</v>
      </c>
      <c r="F19" s="2394">
        <f>'R.FILE GOC'!H50</f>
        <v>0</v>
      </c>
      <c r="G19" s="2395"/>
      <c r="H19" s="1891">
        <f>'R.FILE GOC'!K50</f>
        <v>0</v>
      </c>
      <c r="I19" s="1892"/>
      <c r="J19" s="2394">
        <f>'R.FILE GOC'!N50</f>
        <v>0</v>
      </c>
      <c r="K19" s="2395"/>
      <c r="L19" s="1891">
        <f>'R.FILE GOC'!Q50</f>
        <v>0</v>
      </c>
      <c r="M19" s="1892"/>
      <c r="N19" s="2394">
        <f>'R.GUI MAIL'!T50</f>
        <v>0</v>
      </c>
      <c r="O19" s="2395"/>
      <c r="P19" s="1893">
        <f>'R.FILE GOC'!W50</f>
        <v>0</v>
      </c>
      <c r="Q19" s="1893"/>
      <c r="R19" s="573"/>
    </row>
    <row r="20" spans="1:18" s="616" customFormat="1" ht="28.5" customHeight="1">
      <c r="A20" s="247">
        <v>2</v>
      </c>
      <c r="B20" s="2313" t="s">
        <v>491</v>
      </c>
      <c r="C20" s="2301"/>
      <c r="D20" s="624" t="s">
        <v>719</v>
      </c>
      <c r="E20" s="566" t="s">
        <v>722</v>
      </c>
      <c r="F20" s="2394">
        <f>'R.FILE GOC'!H51</f>
        <v>0</v>
      </c>
      <c r="G20" s="2395"/>
      <c r="H20" s="1891">
        <f>'R.FILE GOC'!K51</f>
        <v>0</v>
      </c>
      <c r="I20" s="1892"/>
      <c r="J20" s="2394">
        <f>'R.FILE GOC'!N51</f>
        <v>0</v>
      </c>
      <c r="K20" s="2395"/>
      <c r="L20" s="1891">
        <f>'R.FILE GOC'!Q51</f>
        <v>0</v>
      </c>
      <c r="M20" s="1892"/>
      <c r="N20" s="2394">
        <f>'R.GUI MAIL'!T51</f>
        <v>0</v>
      </c>
      <c r="O20" s="2395"/>
      <c r="P20" s="1893">
        <f>'R.FILE GOC'!W51</f>
        <v>0</v>
      </c>
      <c r="Q20" s="1893"/>
      <c r="R20" s="573"/>
    </row>
    <row r="21" spans="1:18" s="616" customFormat="1" ht="28.5" customHeight="1">
      <c r="A21" s="247">
        <v>3</v>
      </c>
      <c r="B21" s="2313" t="s">
        <v>723</v>
      </c>
      <c r="C21" s="2301"/>
      <c r="D21" s="624" t="s">
        <v>719</v>
      </c>
      <c r="E21" s="566" t="s">
        <v>724</v>
      </c>
      <c r="F21" s="2394">
        <f>'R.FILE GOC'!H52</f>
        <v>0</v>
      </c>
      <c r="G21" s="2395"/>
      <c r="H21" s="1891">
        <f>'R.FILE GOC'!K52</f>
        <v>0</v>
      </c>
      <c r="I21" s="1892"/>
      <c r="J21" s="2394">
        <f>'R.FILE GOC'!N52</f>
        <v>0</v>
      </c>
      <c r="K21" s="2395"/>
      <c r="L21" s="1891">
        <f>'R.FILE GOC'!Q52</f>
        <v>0</v>
      </c>
      <c r="M21" s="1892"/>
      <c r="N21" s="2394">
        <f>'R.GUI MAIL'!T52</f>
        <v>0</v>
      </c>
      <c r="O21" s="2395"/>
      <c r="P21" s="1893">
        <f>'R.FILE GOC'!W52</f>
        <v>0</v>
      </c>
      <c r="Q21" s="1893"/>
      <c r="R21" s="573"/>
    </row>
    <row r="22" spans="1:18" s="616" customFormat="1" ht="28.5" customHeight="1">
      <c r="A22" s="386"/>
      <c r="B22" s="385"/>
      <c r="C22" s="385"/>
      <c r="D22" s="694"/>
      <c r="E22" s="695"/>
      <c r="F22" s="2145"/>
      <c r="G22" s="2145"/>
      <c r="H22" s="2145"/>
      <c r="I22" s="2145"/>
      <c r="J22" s="2393"/>
      <c r="K22" s="2393"/>
      <c r="L22" s="2393"/>
      <c r="M22" s="2393"/>
      <c r="N22" s="2393"/>
      <c r="O22" s="2393"/>
      <c r="P22" s="2393"/>
      <c r="Q22" s="2393"/>
      <c r="R22" s="696"/>
    </row>
    <row r="23" spans="1:18" ht="27.75" customHeight="1">
      <c r="A23" s="2230" t="s">
        <v>634</v>
      </c>
      <c r="B23" s="2230"/>
      <c r="C23" s="2230"/>
      <c r="D23" s="2230"/>
      <c r="E23" s="2230"/>
      <c r="F23" s="2230"/>
      <c r="G23" s="2230"/>
      <c r="H23" s="2230"/>
      <c r="I23" s="2230"/>
      <c r="J23" s="2230"/>
      <c r="K23" s="2230"/>
      <c r="L23" s="2230"/>
      <c r="M23" s="2230"/>
      <c r="N23" s="551"/>
      <c r="O23" s="551"/>
      <c r="P23" s="551"/>
      <c r="Q23" s="551"/>
      <c r="R23" s="551"/>
    </row>
    <row r="24" spans="1:18" ht="36.75" customHeight="1">
      <c r="A24" s="2231" t="s">
        <v>996</v>
      </c>
      <c r="B24" s="2231"/>
      <c r="C24" s="2231"/>
      <c r="D24" s="2231"/>
      <c r="E24" s="2231"/>
      <c r="F24" s="2231"/>
      <c r="G24" s="2231"/>
      <c r="H24" s="2231"/>
      <c r="I24" s="2231"/>
      <c r="J24" s="2231"/>
      <c r="K24" s="2231"/>
      <c r="L24" s="2231"/>
      <c r="M24" s="2231"/>
      <c r="N24" s="554"/>
      <c r="O24" s="554"/>
      <c r="P24" s="554"/>
      <c r="Q24" s="554"/>
      <c r="R24" s="554"/>
    </row>
    <row r="25" spans="1:18" ht="27" customHeight="1">
      <c r="A25" s="555"/>
      <c r="B25" s="556" t="s">
        <v>725</v>
      </c>
      <c r="C25" s="556"/>
      <c r="D25" s="557"/>
      <c r="E25" s="558"/>
      <c r="F25" s="557"/>
      <c r="G25" s="557"/>
      <c r="H25" s="557"/>
      <c r="I25" s="557"/>
      <c r="J25" s="2286"/>
      <c r="K25" s="2286"/>
      <c r="L25" s="2286"/>
      <c r="M25" s="605"/>
      <c r="N25" s="2286"/>
      <c r="O25" s="2286"/>
      <c r="P25" s="2286"/>
      <c r="Q25" s="605"/>
      <c r="R25" s="605"/>
    </row>
    <row r="26" spans="1:18" s="607" customFormat="1" ht="42" customHeight="1">
      <c r="A26" s="2279" t="s">
        <v>726</v>
      </c>
      <c r="B26" s="2040" t="s">
        <v>690</v>
      </c>
      <c r="C26" s="2383"/>
      <c r="D26" s="2282" t="s">
        <v>691</v>
      </c>
      <c r="E26" s="2284" t="s">
        <v>692</v>
      </c>
      <c r="F26" s="2256" t="s">
        <v>921</v>
      </c>
      <c r="G26" s="2257"/>
      <c r="H26" s="2257"/>
      <c r="I26" s="2257"/>
      <c r="J26" s="2257"/>
      <c r="K26" s="2257"/>
      <c r="L26" s="2257"/>
      <c r="M26" s="2257"/>
      <c r="N26" s="2257"/>
      <c r="O26" s="2257"/>
      <c r="P26" s="2257"/>
      <c r="Q26" s="2258"/>
      <c r="R26" s="1970" t="s">
        <v>693</v>
      </c>
    </row>
    <row r="27" spans="1:18" s="607" customFormat="1" ht="19.5" customHeight="1">
      <c r="A27" s="2280"/>
      <c r="B27" s="2141"/>
      <c r="C27" s="2384"/>
      <c r="D27" s="2282"/>
      <c r="E27" s="2284"/>
      <c r="F27" s="2241">
        <v>0.83333333333333337</v>
      </c>
      <c r="G27" s="2242"/>
      <c r="H27" s="2242"/>
      <c r="I27" s="2242"/>
      <c r="J27" s="2243">
        <v>4.1666666666666664E-2</v>
      </c>
      <c r="K27" s="2244"/>
      <c r="L27" s="2244"/>
      <c r="M27" s="2245"/>
      <c r="N27" s="2243">
        <v>0.16666666666666666</v>
      </c>
      <c r="O27" s="2244"/>
      <c r="P27" s="2244"/>
      <c r="Q27" s="2245"/>
      <c r="R27" s="1971"/>
    </row>
    <row r="28" spans="1:18" s="607" customFormat="1" ht="40.5" customHeight="1">
      <c r="A28" s="2281"/>
      <c r="B28" s="2385"/>
      <c r="C28" s="2386"/>
      <c r="D28" s="2283"/>
      <c r="E28" s="2285"/>
      <c r="F28" s="608" t="s">
        <v>694</v>
      </c>
      <c r="G28" s="2142" t="s">
        <v>695</v>
      </c>
      <c r="H28" s="2147"/>
      <c r="I28" s="2288"/>
      <c r="J28" s="608" t="s">
        <v>694</v>
      </c>
      <c r="K28" s="2142" t="s">
        <v>695</v>
      </c>
      <c r="L28" s="2147"/>
      <c r="M28" s="2288"/>
      <c r="N28" s="608" t="s">
        <v>694</v>
      </c>
      <c r="O28" s="2142" t="s">
        <v>695</v>
      </c>
      <c r="P28" s="2147"/>
      <c r="Q28" s="2288"/>
      <c r="R28" s="631" t="s">
        <v>735</v>
      </c>
    </row>
    <row r="29" spans="1:18" s="616" customFormat="1" ht="28.5" customHeight="1">
      <c r="A29" s="609">
        <v>1</v>
      </c>
      <c r="B29" s="2396" t="s">
        <v>918</v>
      </c>
      <c r="C29" s="2397"/>
      <c r="D29" s="955" t="s">
        <v>698</v>
      </c>
      <c r="E29" s="959" t="s">
        <v>494</v>
      </c>
      <c r="F29" s="692">
        <f>'R.GUI MAIL'!Z41</f>
        <v>0</v>
      </c>
      <c r="G29" s="572" t="s">
        <v>650</v>
      </c>
      <c r="H29" s="573">
        <f>'R.GUI MAIL'!AC41</f>
        <v>93.2</v>
      </c>
      <c r="I29" s="957" t="s">
        <v>656</v>
      </c>
      <c r="J29" s="692">
        <f>'R.GUI MAIL'!AF41</f>
        <v>0</v>
      </c>
      <c r="K29" s="572" t="s">
        <v>650</v>
      </c>
      <c r="L29" s="573">
        <f>'R.GUI MAIL'!AI41</f>
        <v>93.2</v>
      </c>
      <c r="M29" s="957" t="s">
        <v>656</v>
      </c>
      <c r="N29" s="692">
        <f>'R.GUI MAIL'!AL41</f>
        <v>0</v>
      </c>
      <c r="O29" s="572" t="s">
        <v>650</v>
      </c>
      <c r="P29" s="573">
        <f>'R.GUI MAIL'!AO41</f>
        <v>93.2</v>
      </c>
      <c r="Q29" s="957" t="s">
        <v>656</v>
      </c>
      <c r="R29" s="631" t="s">
        <v>741</v>
      </c>
    </row>
    <row r="30" spans="1:18" s="616" customFormat="1" ht="26.25" customHeight="1">
      <c r="A30" s="609">
        <v>2</v>
      </c>
      <c r="B30" s="2396" t="s">
        <v>919</v>
      </c>
      <c r="C30" s="2397" t="s">
        <v>703</v>
      </c>
      <c r="D30" s="614" t="s">
        <v>703</v>
      </c>
      <c r="E30" s="958" t="s">
        <v>470</v>
      </c>
      <c r="F30" s="571">
        <f>'R.GUI MAIL'!Z42</f>
        <v>0</v>
      </c>
      <c r="G30" s="572" t="s">
        <v>650</v>
      </c>
      <c r="H30" s="573">
        <f>'R.GUI MAIL'!AC42</f>
        <v>1017.578125</v>
      </c>
      <c r="I30" s="247" t="s">
        <v>729</v>
      </c>
      <c r="J30" s="571">
        <f>'R.GUI MAIL'!AF42</f>
        <v>0</v>
      </c>
      <c r="K30" s="572" t="s">
        <v>650</v>
      </c>
      <c r="L30" s="573">
        <f>'R.GUI MAIL'!AI42</f>
        <v>1017.578125</v>
      </c>
      <c r="M30" s="247" t="s">
        <v>729</v>
      </c>
      <c r="N30" s="571">
        <f>'R.GUI MAIL'!AL42</f>
        <v>0</v>
      </c>
      <c r="O30" s="572" t="s">
        <v>650</v>
      </c>
      <c r="P30" s="573">
        <f>'R.GUI MAIL'!AO42</f>
        <v>1017.578125</v>
      </c>
      <c r="Q30" s="247" t="s">
        <v>729</v>
      </c>
      <c r="R30" s="631" t="s">
        <v>736</v>
      </c>
    </row>
    <row r="31" spans="1:18" s="616" customFormat="1" ht="28.5" customHeight="1">
      <c r="A31" s="609">
        <v>4</v>
      </c>
      <c r="B31" s="2387" t="s">
        <v>734</v>
      </c>
      <c r="C31" s="2390">
        <f>R.HN!B27</f>
        <v>0</v>
      </c>
      <c r="D31" s="2292" t="s">
        <v>475</v>
      </c>
      <c r="E31" s="566" t="s">
        <v>782</v>
      </c>
      <c r="F31" s="692">
        <f>'R.GUI MAIL'!Z43</f>
        <v>0</v>
      </c>
      <c r="G31" s="572" t="s">
        <v>650</v>
      </c>
      <c r="H31" s="573">
        <f>'R.GUI MAIL'!AC43</f>
        <v>246.75</v>
      </c>
      <c r="I31" s="247" t="s">
        <v>727</v>
      </c>
      <c r="J31" s="692">
        <f>'R.GUI MAIL'!AF43</f>
        <v>0</v>
      </c>
      <c r="K31" s="572" t="s">
        <v>650</v>
      </c>
      <c r="L31" s="573">
        <f>'R.GUI MAIL'!AI43</f>
        <v>246.75</v>
      </c>
      <c r="M31" s="247" t="s">
        <v>727</v>
      </c>
      <c r="N31" s="692">
        <f>'R.GUI MAIL'!AL43</f>
        <v>0</v>
      </c>
      <c r="O31" s="572" t="s">
        <v>650</v>
      </c>
      <c r="P31" s="573">
        <f>'R.GUI MAIL'!AO43</f>
        <v>246.75</v>
      </c>
      <c r="Q31" s="247" t="s">
        <v>727</v>
      </c>
      <c r="R31" s="631" t="s">
        <v>739</v>
      </c>
    </row>
    <row r="32" spans="1:18" s="616" customFormat="1" ht="28.5" customHeight="1">
      <c r="A32" s="609">
        <v>5</v>
      </c>
      <c r="B32" s="2388"/>
      <c r="C32" s="2391"/>
      <c r="D32" s="2292"/>
      <c r="E32" s="566" t="s">
        <v>778</v>
      </c>
      <c r="F32" s="692">
        <f>'R.GUI MAIL'!Z44</f>
        <v>0</v>
      </c>
      <c r="G32" s="572" t="s">
        <v>650</v>
      </c>
      <c r="H32" s="573">
        <f>'R.GUI MAIL'!AC44</f>
        <v>32.077500000000001</v>
      </c>
      <c r="I32" s="247" t="s">
        <v>727</v>
      </c>
      <c r="J32" s="692">
        <f>'R.GUI MAIL'!AF44</f>
        <v>0</v>
      </c>
      <c r="K32" s="572" t="s">
        <v>650</v>
      </c>
      <c r="L32" s="573">
        <f>'R.GUI MAIL'!AI44</f>
        <v>32.077500000000001</v>
      </c>
      <c r="M32" s="247" t="s">
        <v>727</v>
      </c>
      <c r="N32" s="692">
        <f>'R.GUI MAIL'!AL44</f>
        <v>0</v>
      </c>
      <c r="O32" s="572" t="s">
        <v>650</v>
      </c>
      <c r="P32" s="573">
        <f>'R.GUI MAIL'!AO44</f>
        <v>32.077500000000001</v>
      </c>
      <c r="Q32" s="247" t="s">
        <v>727</v>
      </c>
      <c r="R32" s="632"/>
    </row>
    <row r="33" spans="1:18" s="616" customFormat="1" ht="28.5" customHeight="1">
      <c r="A33" s="609">
        <v>6</v>
      </c>
      <c r="B33" s="2389"/>
      <c r="C33" s="2392"/>
      <c r="D33" s="2292"/>
      <c r="E33" s="566" t="s">
        <v>660</v>
      </c>
      <c r="F33" s="693">
        <f>'R.GUI MAIL'!Z45</f>
        <v>0</v>
      </c>
      <c r="G33" s="572" t="s">
        <v>650</v>
      </c>
      <c r="H33" s="573">
        <f>'R.GUI MAIL'!AC45</f>
        <v>0</v>
      </c>
      <c r="I33" s="80" t="s">
        <v>727</v>
      </c>
      <c r="J33" s="693">
        <f>'R.GUI MAIL'!AF45</f>
        <v>0</v>
      </c>
      <c r="K33" s="572" t="s">
        <v>650</v>
      </c>
      <c r="L33" s="573">
        <f>'R.GUI MAIL'!AI45</f>
        <v>0</v>
      </c>
      <c r="M33" s="80" t="s">
        <v>727</v>
      </c>
      <c r="N33" s="693">
        <f>'R.GUI MAIL'!AL45</f>
        <v>0</v>
      </c>
      <c r="O33" s="572" t="s">
        <v>650</v>
      </c>
      <c r="P33" s="573">
        <f>'R.GUI MAIL'!AO45</f>
        <v>0</v>
      </c>
      <c r="Q33" s="80" t="s">
        <v>727</v>
      </c>
      <c r="R33" s="631" t="s">
        <v>738</v>
      </c>
    </row>
    <row r="34" spans="1:18" s="616" customFormat="1" ht="28.5" hidden="1" customHeight="1">
      <c r="A34" s="609">
        <v>7</v>
      </c>
      <c r="B34" s="2387" t="s">
        <v>779</v>
      </c>
      <c r="C34" s="2390">
        <f>R.HN!B30</f>
        <v>0</v>
      </c>
      <c r="D34" s="2292" t="s">
        <v>475</v>
      </c>
      <c r="E34" s="566" t="s">
        <v>782</v>
      </c>
      <c r="F34" s="692" t="e">
        <f>'R.GUI MAIL'!#REF!</f>
        <v>#REF!</v>
      </c>
      <c r="G34" s="572" t="s">
        <v>650</v>
      </c>
      <c r="H34" s="573" t="e">
        <f>'R.GUI MAIL'!#REF!</f>
        <v>#REF!</v>
      </c>
      <c r="I34" s="247" t="s">
        <v>727</v>
      </c>
      <c r="J34" s="692" t="e">
        <f>'R.GUI MAIL'!#REF!</f>
        <v>#REF!</v>
      </c>
      <c r="K34" s="572" t="s">
        <v>650</v>
      </c>
      <c r="L34" s="573" t="e">
        <f>'R.GUI MAIL'!#REF!</f>
        <v>#REF!</v>
      </c>
      <c r="M34" s="247" t="s">
        <v>727</v>
      </c>
      <c r="N34" s="692" t="e">
        <f>'R.GUI MAIL'!#REF!</f>
        <v>#REF!</v>
      </c>
      <c r="O34" s="572" t="s">
        <v>650</v>
      </c>
      <c r="P34" s="573" t="e">
        <f>'R.GUI MAIL'!#REF!</f>
        <v>#REF!</v>
      </c>
      <c r="Q34" s="247" t="s">
        <v>727</v>
      </c>
      <c r="R34" s="631" t="s">
        <v>739</v>
      </c>
    </row>
    <row r="35" spans="1:18" s="616" customFormat="1" ht="28.5" hidden="1" customHeight="1">
      <c r="A35" s="609">
        <v>8</v>
      </c>
      <c r="B35" s="2388"/>
      <c r="C35" s="2391"/>
      <c r="D35" s="2292"/>
      <c r="E35" s="566" t="s">
        <v>778</v>
      </c>
      <c r="F35" s="692" t="e">
        <f>'R.GUI MAIL'!#REF!</f>
        <v>#REF!</v>
      </c>
      <c r="G35" s="572" t="s">
        <v>650</v>
      </c>
      <c r="H35" s="573" t="e">
        <f>'R.GUI MAIL'!#REF!</f>
        <v>#REF!</v>
      </c>
      <c r="I35" s="247" t="s">
        <v>727</v>
      </c>
      <c r="J35" s="692" t="e">
        <f>'R.GUI MAIL'!#REF!</f>
        <v>#REF!</v>
      </c>
      <c r="K35" s="572" t="s">
        <v>650</v>
      </c>
      <c r="L35" s="573" t="e">
        <f>'R.GUI MAIL'!#REF!</f>
        <v>#REF!</v>
      </c>
      <c r="M35" s="247" t="s">
        <v>727</v>
      </c>
      <c r="N35" s="692" t="e">
        <f>'R.GUI MAIL'!#REF!</f>
        <v>#REF!</v>
      </c>
      <c r="O35" s="572" t="s">
        <v>650</v>
      </c>
      <c r="P35" s="573" t="e">
        <f>'R.GUI MAIL'!#REF!</f>
        <v>#REF!</v>
      </c>
      <c r="Q35" s="247" t="s">
        <v>727</v>
      </c>
      <c r="R35" s="631"/>
    </row>
    <row r="36" spans="1:18" s="616" customFormat="1" ht="28.5" hidden="1" customHeight="1">
      <c r="A36" s="609">
        <v>9</v>
      </c>
      <c r="B36" s="2389"/>
      <c r="C36" s="2392"/>
      <c r="D36" s="2292"/>
      <c r="E36" s="566" t="s">
        <v>660</v>
      </c>
      <c r="F36" s="693" t="e">
        <f>'R.GUI MAIL'!#REF!</f>
        <v>#REF!</v>
      </c>
      <c r="G36" s="572" t="s">
        <v>650</v>
      </c>
      <c r="H36" s="573" t="e">
        <f>'R.GUI MAIL'!#REF!</f>
        <v>#REF!</v>
      </c>
      <c r="I36" s="80" t="s">
        <v>727</v>
      </c>
      <c r="J36" s="693" t="e">
        <f>'R.GUI MAIL'!#REF!</f>
        <v>#REF!</v>
      </c>
      <c r="K36" s="572" t="s">
        <v>650</v>
      </c>
      <c r="L36" s="573" t="e">
        <f>'R.GUI MAIL'!#REF!</f>
        <v>#REF!</v>
      </c>
      <c r="M36" s="80" t="s">
        <v>727</v>
      </c>
      <c r="N36" s="693" t="e">
        <f>'R.GUI MAIL'!#REF!</f>
        <v>#REF!</v>
      </c>
      <c r="O36" s="572" t="s">
        <v>650</v>
      </c>
      <c r="P36" s="573" t="e">
        <f>'R.GUI MAIL'!#REF!</f>
        <v>#REF!</v>
      </c>
      <c r="Q36" s="80" t="s">
        <v>727</v>
      </c>
      <c r="R36" s="631" t="s">
        <v>738</v>
      </c>
    </row>
    <row r="37" spans="1:18" s="621" customFormat="1" ht="28.5" customHeight="1">
      <c r="A37" s="609">
        <v>16</v>
      </c>
      <c r="B37" s="2387" t="s">
        <v>710</v>
      </c>
      <c r="C37" s="2390"/>
      <c r="D37" s="611" t="s">
        <v>475</v>
      </c>
      <c r="E37" s="566" t="s">
        <v>485</v>
      </c>
      <c r="F37" s="692">
        <f>'R.GUI MAIL'!Z46</f>
        <v>0</v>
      </c>
      <c r="G37" s="627" t="s">
        <v>650</v>
      </c>
      <c r="H37" s="619">
        <f>'R.GUI MAIL'!AC46</f>
        <v>1.234</v>
      </c>
      <c r="I37" s="612" t="s">
        <v>727</v>
      </c>
      <c r="J37" s="692">
        <f>'R.GUI MAIL'!AF46</f>
        <v>0</v>
      </c>
      <c r="K37" s="627" t="s">
        <v>650</v>
      </c>
      <c r="L37" s="619">
        <f>'R.GUI MAIL'!AI46</f>
        <v>1.234</v>
      </c>
      <c r="M37" s="612" t="s">
        <v>727</v>
      </c>
      <c r="N37" s="692">
        <f>'R.GUI MAIL'!AL46</f>
        <v>0</v>
      </c>
      <c r="O37" s="627" t="s">
        <v>650</v>
      </c>
      <c r="P37" s="619">
        <f>'R.GUI MAIL'!AO46</f>
        <v>1.234</v>
      </c>
      <c r="Q37" s="612" t="s">
        <v>727</v>
      </c>
      <c r="R37" s="620" t="s">
        <v>711</v>
      </c>
    </row>
    <row r="38" spans="1:18" s="621" customFormat="1" ht="28.5" customHeight="1">
      <c r="A38" s="609">
        <v>17</v>
      </c>
      <c r="B38" s="2389"/>
      <c r="C38" s="2392"/>
      <c r="D38" s="622" t="s">
        <v>732</v>
      </c>
      <c r="E38" s="1133" t="s">
        <v>1050</v>
      </c>
      <c r="F38" s="692">
        <f>'R.GUI MAIL'!Z47</f>
        <v>0</v>
      </c>
      <c r="G38" s="572" t="s">
        <v>650</v>
      </c>
      <c r="H38" s="573">
        <f>'R.GUI MAIL'!AC47</f>
        <v>0</v>
      </c>
      <c r="I38" s="247" t="s">
        <v>727</v>
      </c>
      <c r="J38" s="692">
        <f>'R.GUI MAIL'!AF47</f>
        <v>0</v>
      </c>
      <c r="K38" s="572" t="s">
        <v>650</v>
      </c>
      <c r="L38" s="573">
        <f>'R.GUI MAIL'!AI47</f>
        <v>0</v>
      </c>
      <c r="M38" s="247" t="s">
        <v>727</v>
      </c>
      <c r="N38" s="692">
        <f>'R.GUI MAIL'!AL47</f>
        <v>0</v>
      </c>
      <c r="O38" s="572" t="s">
        <v>650</v>
      </c>
      <c r="P38" s="573">
        <f>'R.GUI MAIL'!AO47</f>
        <v>0</v>
      </c>
      <c r="Q38" s="247" t="s">
        <v>727</v>
      </c>
      <c r="R38" s="247"/>
    </row>
    <row r="39" spans="1:18" s="616" customFormat="1" ht="28.5" customHeight="1">
      <c r="A39" s="2293" t="s">
        <v>713</v>
      </c>
      <c r="B39" s="2293"/>
      <c r="C39" s="2293"/>
      <c r="D39" s="2293"/>
      <c r="E39" s="2293"/>
      <c r="F39" s="2293"/>
      <c r="G39" s="2293"/>
      <c r="H39" s="2293"/>
      <c r="I39" s="2293"/>
      <c r="J39" s="2293"/>
      <c r="K39" s="2293"/>
      <c r="L39" s="2293"/>
      <c r="M39" s="2293"/>
      <c r="N39" s="2293"/>
      <c r="O39" s="2293"/>
      <c r="P39" s="2293"/>
      <c r="Q39" s="2293"/>
      <c r="R39" s="2293"/>
    </row>
    <row r="40" spans="1:18" s="616" customFormat="1" ht="28.5" customHeight="1">
      <c r="A40" s="247" t="s">
        <v>733</v>
      </c>
      <c r="B40" s="2313" t="s">
        <v>715</v>
      </c>
      <c r="C40" s="2301"/>
      <c r="D40" s="623" t="s">
        <v>716</v>
      </c>
      <c r="E40" s="623" t="s">
        <v>717</v>
      </c>
      <c r="F40" s="2253" t="s">
        <v>48</v>
      </c>
      <c r="G40" s="2253"/>
      <c r="H40" s="2253" t="s">
        <v>65</v>
      </c>
      <c r="I40" s="2253"/>
      <c r="J40" s="2253" t="s">
        <v>48</v>
      </c>
      <c r="K40" s="2253"/>
      <c r="L40" s="2253" t="s">
        <v>65</v>
      </c>
      <c r="M40" s="2253"/>
      <c r="N40" s="2253" t="s">
        <v>48</v>
      </c>
      <c r="O40" s="2253"/>
      <c r="P40" s="2253" t="s">
        <v>65</v>
      </c>
      <c r="Q40" s="2253"/>
      <c r="R40" s="630"/>
    </row>
    <row r="41" spans="1:18" s="616" customFormat="1" ht="28.5" customHeight="1">
      <c r="A41" s="247">
        <v>1</v>
      </c>
      <c r="B41" s="2313" t="s">
        <v>925</v>
      </c>
      <c r="C41" s="2301"/>
      <c r="D41" s="624" t="s">
        <v>719</v>
      </c>
      <c r="E41" s="959" t="s">
        <v>720</v>
      </c>
      <c r="F41" s="2394">
        <f>'R.GUI MAIL'!Z50</f>
        <v>0</v>
      </c>
      <c r="G41" s="2395"/>
      <c r="H41" s="1891">
        <f>'R.FILE GOC'!AC50</f>
        <v>0</v>
      </c>
      <c r="I41" s="1892"/>
      <c r="J41" s="2394">
        <f>'R.GUI MAIL'!AF50</f>
        <v>0</v>
      </c>
      <c r="K41" s="2395"/>
      <c r="L41" s="1891">
        <f>'R.FILE GOC'!AI50</f>
        <v>0</v>
      </c>
      <c r="M41" s="1892"/>
      <c r="N41" s="2394">
        <f>'R.GUI MAIL'!AL50</f>
        <v>0</v>
      </c>
      <c r="O41" s="2395"/>
      <c r="P41" s="1891">
        <f>'R.FILE GOC'!AO50</f>
        <v>0</v>
      </c>
      <c r="Q41" s="1892"/>
      <c r="R41" s="316"/>
    </row>
    <row r="42" spans="1:18" s="616" customFormat="1" ht="28.5" customHeight="1">
      <c r="A42" s="247">
        <v>2</v>
      </c>
      <c r="B42" s="2313" t="s">
        <v>491</v>
      </c>
      <c r="C42" s="2301"/>
      <c r="D42" s="624" t="s">
        <v>719</v>
      </c>
      <c r="E42" s="566" t="s">
        <v>722</v>
      </c>
      <c r="F42" s="2394">
        <f>'R.GUI MAIL'!Z51</f>
        <v>0</v>
      </c>
      <c r="G42" s="2395"/>
      <c r="H42" s="1891">
        <f>'R.FILE GOC'!AC51</f>
        <v>0</v>
      </c>
      <c r="I42" s="1892"/>
      <c r="J42" s="2394">
        <f>'R.GUI MAIL'!AF51</f>
        <v>0</v>
      </c>
      <c r="K42" s="2395"/>
      <c r="L42" s="1891">
        <f>'R.FILE GOC'!AI51</f>
        <v>0</v>
      </c>
      <c r="M42" s="1892"/>
      <c r="N42" s="2394">
        <f>'R.GUI MAIL'!AL51</f>
        <v>0</v>
      </c>
      <c r="O42" s="2395"/>
      <c r="P42" s="1891">
        <f>'R.FILE GOC'!AO51</f>
        <v>0</v>
      </c>
      <c r="Q42" s="1892"/>
      <c r="R42" s="80"/>
    </row>
    <row r="43" spans="1:18" s="616" customFormat="1" ht="28.5" customHeight="1">
      <c r="A43" s="247">
        <v>3</v>
      </c>
      <c r="B43" s="2313" t="s">
        <v>723</v>
      </c>
      <c r="C43" s="2301"/>
      <c r="D43" s="624" t="s">
        <v>719</v>
      </c>
      <c r="E43" s="566" t="s">
        <v>724</v>
      </c>
      <c r="F43" s="2394">
        <f>'R.GUI MAIL'!Z52</f>
        <v>0</v>
      </c>
      <c r="G43" s="2395"/>
      <c r="H43" s="1891">
        <f>'R.FILE GOC'!AC52</f>
        <v>0</v>
      </c>
      <c r="I43" s="1892"/>
      <c r="J43" s="2394">
        <f>'R.GUI MAIL'!AF52</f>
        <v>0</v>
      </c>
      <c r="K43" s="2395"/>
      <c r="L43" s="1891">
        <f>'R.FILE GOC'!AI52</f>
        <v>0</v>
      </c>
      <c r="M43" s="1892"/>
      <c r="N43" s="2394">
        <f>'R.GUI MAIL'!AL52</f>
        <v>0</v>
      </c>
      <c r="O43" s="2395"/>
      <c r="P43" s="1891">
        <f>'R.FILE GOC'!AO52</f>
        <v>0</v>
      </c>
      <c r="Q43" s="1892"/>
      <c r="R43" s="316"/>
    </row>
    <row r="44" spans="1:18" ht="28.5" customHeight="1">
      <c r="A44" s="386"/>
      <c r="B44" s="385"/>
      <c r="C44" s="385"/>
      <c r="D44" s="694"/>
      <c r="E44" s="695"/>
      <c r="F44" s="2145"/>
      <c r="G44" s="2145"/>
      <c r="H44" s="2145"/>
      <c r="I44" s="2145"/>
      <c r="J44" s="2393"/>
      <c r="K44" s="2393"/>
      <c r="L44" s="2393"/>
      <c r="M44" s="2393"/>
      <c r="N44" s="2393"/>
      <c r="O44" s="2393"/>
      <c r="P44" s="2393"/>
      <c r="Q44" s="2393"/>
      <c r="R44" s="697"/>
    </row>
  </sheetData>
  <sheetProtection selectLockedCells="1"/>
  <mergeCells count="115">
    <mergeCell ref="P43:Q43"/>
    <mergeCell ref="F44:I44"/>
    <mergeCell ref="J44:M44"/>
    <mergeCell ref="N44:Q44"/>
    <mergeCell ref="B43:C43"/>
    <mergeCell ref="F43:G43"/>
    <mergeCell ref="H43:I43"/>
    <mergeCell ref="J43:K43"/>
    <mergeCell ref="L43:M43"/>
    <mergeCell ref="N43:O43"/>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B37:C38"/>
    <mergeCell ref="A39:R39"/>
    <mergeCell ref="B40:C40"/>
    <mergeCell ref="F40:G40"/>
    <mergeCell ref="H40:I40"/>
    <mergeCell ref="J40:K40"/>
    <mergeCell ref="L40:M40"/>
    <mergeCell ref="N40:O40"/>
    <mergeCell ref="P40:Q40"/>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B15:C16"/>
    <mergeCell ref="A17:R17"/>
    <mergeCell ref="B18:C18"/>
    <mergeCell ref="F18:G18"/>
    <mergeCell ref="H18:I18"/>
    <mergeCell ref="J18:K18"/>
    <mergeCell ref="L18:M18"/>
    <mergeCell ref="N18:O18"/>
    <mergeCell ref="P18:Q18"/>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A1:M1"/>
    <mergeCell ref="A2:M2"/>
    <mergeCell ref="P2:Q2"/>
    <mergeCell ref="J3:L3"/>
    <mergeCell ref="P3:Q3"/>
    <mergeCell ref="A4:A6"/>
    <mergeCell ref="B4:C6"/>
    <mergeCell ref="D4:D6"/>
    <mergeCell ref="E4:E6"/>
    <mergeCell ref="F4:Q4"/>
  </mergeCells>
  <phoneticPr fontId="6" type="noConversion"/>
  <conditionalFormatting sqref="F7:F8 J7:J8">
    <cfRule type="expression" dxfId="413" priority="116">
      <formula>F7&lt;10</formula>
    </cfRule>
    <cfRule type="expression" dxfId="412" priority="117">
      <formula>F7&gt;15</formula>
    </cfRule>
  </conditionalFormatting>
  <conditionalFormatting sqref="F9 F12 J9 J12">
    <cfRule type="expression" dxfId="411" priority="114">
      <formula>F9&lt;40</formula>
    </cfRule>
    <cfRule type="expression" dxfId="410" priority="115">
      <formula>F9&gt;60</formula>
    </cfRule>
  </conditionalFormatting>
  <conditionalFormatting sqref="F10 F13 J10 J13">
    <cfRule type="expression" dxfId="409" priority="112">
      <formula>F10&lt;5.2</formula>
    </cfRule>
    <cfRule type="expression" dxfId="408" priority="113">
      <formula>F10&gt;7.8</formula>
    </cfRule>
  </conditionalFormatting>
  <conditionalFormatting sqref="F11 F14 J11 J14">
    <cfRule type="expression" dxfId="407" priority="111">
      <formula>F11&gt;0.4</formula>
    </cfRule>
  </conditionalFormatting>
  <conditionalFormatting sqref="F15 J15">
    <cfRule type="expression" dxfId="406" priority="109">
      <formula>F15&lt;0.8</formula>
    </cfRule>
    <cfRule type="expression" dxfId="405" priority="110">
      <formula>F15&gt;1.2</formula>
    </cfRule>
  </conditionalFormatting>
  <conditionalFormatting sqref="F16 J16">
    <cfRule type="expression" dxfId="404" priority="107">
      <formula>F16&lt;8</formula>
    </cfRule>
    <cfRule type="expression" dxfId="403" priority="108">
      <formula>F16&gt;10</formula>
    </cfRule>
  </conditionalFormatting>
  <conditionalFormatting sqref="N7:N8">
    <cfRule type="expression" dxfId="402" priority="101">
      <formula>N7&lt;10</formula>
    </cfRule>
    <cfRule type="expression" dxfId="401" priority="102">
      <formula>N7&gt;15</formula>
    </cfRule>
  </conditionalFormatting>
  <conditionalFormatting sqref="N9 N12">
    <cfRule type="expression" dxfId="400" priority="99">
      <formula>N9&lt;40</formula>
    </cfRule>
    <cfRule type="expression" dxfId="399" priority="100">
      <formula>N9&gt;60</formula>
    </cfRule>
  </conditionalFormatting>
  <conditionalFormatting sqref="N10 N13">
    <cfRule type="expression" dxfId="398" priority="97">
      <formula>N10&lt;5.2</formula>
    </cfRule>
    <cfRule type="expression" dxfId="397" priority="98">
      <formula>N10&gt;7.8</formula>
    </cfRule>
  </conditionalFormatting>
  <conditionalFormatting sqref="N11 N14">
    <cfRule type="expression" dxfId="396" priority="96">
      <formula>N11&gt;0.4</formula>
    </cfRule>
  </conditionalFormatting>
  <conditionalFormatting sqref="N15">
    <cfRule type="expression" dxfId="395" priority="94">
      <formula>N15&lt;0.8</formula>
    </cfRule>
    <cfRule type="expression" dxfId="394" priority="95">
      <formula>N15&gt;1.2</formula>
    </cfRule>
  </conditionalFormatting>
  <conditionalFormatting sqref="N16">
    <cfRule type="expression" dxfId="393" priority="92">
      <formula>N16&lt;8</formula>
    </cfRule>
    <cfRule type="expression" dxfId="392" priority="93">
      <formula>N16&gt;10</formula>
    </cfRule>
  </conditionalFormatting>
  <conditionalFormatting sqref="J29:J30">
    <cfRule type="expression" dxfId="391" priority="78">
      <formula>J29&lt;10</formula>
    </cfRule>
    <cfRule type="expression" dxfId="390" priority="79">
      <formula>J29&gt;15</formula>
    </cfRule>
  </conditionalFormatting>
  <conditionalFormatting sqref="J31 J34">
    <cfRule type="expression" dxfId="389" priority="76">
      <formula>J31&lt;40</formula>
    </cfRule>
    <cfRule type="expression" dxfId="388" priority="77">
      <formula>J31&gt;60</formula>
    </cfRule>
  </conditionalFormatting>
  <conditionalFormatting sqref="J32 J35">
    <cfRule type="expression" dxfId="387" priority="74">
      <formula>J32&lt;5.2</formula>
    </cfRule>
    <cfRule type="expression" dxfId="386" priority="75">
      <formula>J32&gt;7.8</formula>
    </cfRule>
  </conditionalFormatting>
  <conditionalFormatting sqref="J33 J36">
    <cfRule type="expression" dxfId="385" priority="73">
      <formula>J33&gt;0.4</formula>
    </cfRule>
  </conditionalFormatting>
  <conditionalFormatting sqref="J37">
    <cfRule type="expression" dxfId="384" priority="71">
      <formula>J37&lt;0.8</formula>
    </cfRule>
    <cfRule type="expression" dxfId="383" priority="72">
      <formula>J37&gt;1.2</formula>
    </cfRule>
  </conditionalFormatting>
  <conditionalFormatting sqref="J38">
    <cfRule type="expression" dxfId="382" priority="69">
      <formula>J38&lt;8</formula>
    </cfRule>
    <cfRule type="expression" dxfId="381" priority="70">
      <formula>J38&gt;10</formula>
    </cfRule>
  </conditionalFormatting>
  <conditionalFormatting sqref="N29:N30">
    <cfRule type="expression" dxfId="380" priority="67">
      <formula>N29&lt;10</formula>
    </cfRule>
    <cfRule type="expression" dxfId="379" priority="68">
      <formula>N29&gt;15</formula>
    </cfRule>
  </conditionalFormatting>
  <conditionalFormatting sqref="N31 N34">
    <cfRule type="expression" dxfId="378" priority="65">
      <formula>N31&lt;40</formula>
    </cfRule>
    <cfRule type="expression" dxfId="377" priority="66">
      <formula>N31&gt;60</formula>
    </cfRule>
  </conditionalFormatting>
  <conditionalFormatting sqref="N32 N35">
    <cfRule type="expression" dxfId="376" priority="63">
      <formula>N32&lt;5.2</formula>
    </cfRule>
    <cfRule type="expression" dxfId="375" priority="64">
      <formula>N32&gt;7.8</formula>
    </cfRule>
  </conditionalFormatting>
  <conditionalFormatting sqref="N33 N36">
    <cfRule type="expression" dxfId="374" priority="62">
      <formula>N33&gt;0.4</formula>
    </cfRule>
  </conditionalFormatting>
  <conditionalFormatting sqref="N37">
    <cfRule type="expression" dxfId="373" priority="60">
      <formula>N37&lt;0.8</formula>
    </cfRule>
    <cfRule type="expression" dxfId="372" priority="61">
      <formula>N37&gt;1.2</formula>
    </cfRule>
  </conditionalFormatting>
  <conditionalFormatting sqref="N38">
    <cfRule type="expression" dxfId="371" priority="58">
      <formula>N38&lt;8</formula>
    </cfRule>
    <cfRule type="expression" dxfId="370" priority="59">
      <formula>N38&gt;10</formula>
    </cfRule>
  </conditionalFormatting>
  <conditionalFormatting sqref="F29:F30">
    <cfRule type="expression" dxfId="369" priority="56">
      <formula>F29&lt;10</formula>
    </cfRule>
    <cfRule type="expression" dxfId="368" priority="57">
      <formula>F29&gt;15</formula>
    </cfRule>
  </conditionalFormatting>
  <conditionalFormatting sqref="F31 F34">
    <cfRule type="expression" dxfId="367" priority="54">
      <formula>F31&lt;40</formula>
    </cfRule>
    <cfRule type="expression" dxfId="366" priority="55">
      <formula>F31&gt;60</formula>
    </cfRule>
  </conditionalFormatting>
  <conditionalFormatting sqref="F32 F35">
    <cfRule type="expression" dxfId="365" priority="52">
      <formula>F32&lt;5.2</formula>
    </cfRule>
    <cfRule type="expression" dxfId="364" priority="53">
      <formula>F32&gt;7.8</formula>
    </cfRule>
  </conditionalFormatting>
  <conditionalFormatting sqref="F33 F36">
    <cfRule type="expression" dxfId="363" priority="51">
      <formula>F33&gt;0.4</formula>
    </cfRule>
  </conditionalFormatting>
  <conditionalFormatting sqref="F37">
    <cfRule type="expression" dxfId="362" priority="49">
      <formula>F37&lt;0.8</formula>
    </cfRule>
    <cfRule type="expression" dxfId="361" priority="50">
      <formula>F37&gt;1.2</formula>
    </cfRule>
  </conditionalFormatting>
  <conditionalFormatting sqref="F38">
    <cfRule type="expression" dxfId="360" priority="47">
      <formula>F38&lt;8</formula>
    </cfRule>
    <cfRule type="expression" dxfId="359" priority="48">
      <formula>F38&gt;10</formula>
    </cfRule>
  </conditionalFormatting>
  <conditionalFormatting sqref="F8">
    <cfRule type="expression" dxfId="358" priority="41">
      <formula>F8&lt;10</formula>
    </cfRule>
    <cfRule type="expression" dxfId="357" priority="42">
      <formula>F8&gt;15</formula>
    </cfRule>
  </conditionalFormatting>
  <conditionalFormatting sqref="F8">
    <cfRule type="expression" dxfId="356" priority="40">
      <formula>F8&lt;1</formula>
    </cfRule>
  </conditionalFormatting>
  <conditionalFormatting sqref="J8">
    <cfRule type="expression" dxfId="355" priority="38">
      <formula>J8&lt;10</formula>
    </cfRule>
    <cfRule type="expression" dxfId="354" priority="39">
      <formula>J8&gt;15</formula>
    </cfRule>
  </conditionalFormatting>
  <conditionalFormatting sqref="J8">
    <cfRule type="expression" dxfId="353" priority="37">
      <formula>J8&lt;1</formula>
    </cfRule>
  </conditionalFormatting>
  <conditionalFormatting sqref="N8">
    <cfRule type="expression" dxfId="352" priority="35">
      <formula>N8&lt;10</formula>
    </cfRule>
    <cfRule type="expression" dxfId="351" priority="36">
      <formula>N8&gt;15</formula>
    </cfRule>
  </conditionalFormatting>
  <conditionalFormatting sqref="N8">
    <cfRule type="expression" dxfId="350" priority="33">
      <formula>N8&lt;10</formula>
    </cfRule>
    <cfRule type="expression" dxfId="349" priority="34">
      <formula>N8&gt;15</formula>
    </cfRule>
  </conditionalFormatting>
  <conditionalFormatting sqref="N8">
    <cfRule type="expression" dxfId="348" priority="32">
      <formula>N8&lt;1</formula>
    </cfRule>
  </conditionalFormatting>
  <conditionalFormatting sqref="F30 J30">
    <cfRule type="expression" dxfId="347" priority="30">
      <formula>F30&lt;10</formula>
    </cfRule>
    <cfRule type="expression" dxfId="346" priority="31">
      <formula>F30&gt;15</formula>
    </cfRule>
  </conditionalFormatting>
  <conditionalFormatting sqref="N30">
    <cfRule type="expression" dxfId="345" priority="28">
      <formula>N30&lt;10</formula>
    </cfRule>
    <cfRule type="expression" dxfId="344" priority="29">
      <formula>N30&gt;15</formula>
    </cfRule>
  </conditionalFormatting>
  <conditionalFormatting sqref="F30">
    <cfRule type="expression" dxfId="343" priority="26">
      <formula>F30&lt;10</formula>
    </cfRule>
    <cfRule type="expression" dxfId="342" priority="27">
      <formula>F30&gt;15</formula>
    </cfRule>
  </conditionalFormatting>
  <conditionalFormatting sqref="F30">
    <cfRule type="expression" dxfId="341" priority="25">
      <formula>F30&lt;1</formula>
    </cfRule>
  </conditionalFormatting>
  <conditionalFormatting sqref="J30">
    <cfRule type="expression" dxfId="340" priority="23">
      <formula>J30&lt;10</formula>
    </cfRule>
    <cfRule type="expression" dxfId="339" priority="24">
      <formula>J30&gt;15</formula>
    </cfRule>
  </conditionalFormatting>
  <conditionalFormatting sqref="J30">
    <cfRule type="expression" dxfId="338" priority="22">
      <formula>J30&lt;1</formula>
    </cfRule>
  </conditionalFormatting>
  <conditionalFormatting sqref="N30">
    <cfRule type="expression" dxfId="337" priority="20">
      <formula>N30&lt;10</formula>
    </cfRule>
    <cfRule type="expression" dxfId="336" priority="21">
      <formula>N30&gt;15</formula>
    </cfRule>
  </conditionalFormatting>
  <conditionalFormatting sqref="N30">
    <cfRule type="expression" dxfId="335" priority="18">
      <formula>N30&lt;10</formula>
    </cfRule>
    <cfRule type="expression" dxfId="334" priority="19">
      <formula>N30&gt;15</formula>
    </cfRule>
  </conditionalFormatting>
  <conditionalFormatting sqref="N30">
    <cfRule type="expression" dxfId="333" priority="17">
      <formula>N30&lt;1</formula>
    </cfRule>
  </conditionalFormatting>
  <conditionalFormatting sqref="F41:G42">
    <cfRule type="expression" dxfId="332" priority="15">
      <formula>F41&lt;65</formula>
    </cfRule>
    <cfRule type="expression" dxfId="331" priority="16">
      <formula>F41&gt;85</formula>
    </cfRule>
  </conditionalFormatting>
  <conditionalFormatting sqref="F43:G43">
    <cfRule type="expression" dxfId="330" priority="13">
      <formula>F43&lt;80</formula>
    </cfRule>
    <cfRule type="expression" dxfId="329" priority="14">
      <formula>F43&gt;90</formula>
    </cfRule>
  </conditionalFormatting>
  <conditionalFormatting sqref="H41:Q42">
    <cfRule type="expression" dxfId="328" priority="11">
      <formula>H41&lt;65</formula>
    </cfRule>
    <cfRule type="expression" dxfId="327" priority="12">
      <formula>H41&gt;85</formula>
    </cfRule>
  </conditionalFormatting>
  <conditionalFormatting sqref="H43:Q43">
    <cfRule type="expression" dxfId="326" priority="9">
      <formula>H43&lt;80</formula>
    </cfRule>
    <cfRule type="expression" dxfId="325" priority="10">
      <formula>H43&gt;90</formula>
    </cfRule>
  </conditionalFormatting>
  <conditionalFormatting sqref="F19:G20">
    <cfRule type="expression" dxfId="324" priority="7">
      <formula>F19&lt;65</formula>
    </cfRule>
    <cfRule type="expression" dxfId="323" priority="8">
      <formula>F19&gt;85</formula>
    </cfRule>
  </conditionalFormatting>
  <conditionalFormatting sqref="F21:G21">
    <cfRule type="expression" dxfId="322" priority="5">
      <formula>F21&lt;80</formula>
    </cfRule>
    <cfRule type="expression" dxfId="321" priority="6">
      <formula>F21&gt;90</formula>
    </cfRule>
  </conditionalFormatting>
  <conditionalFormatting sqref="H19:Q20">
    <cfRule type="expression" dxfId="320" priority="3">
      <formula>H19&lt;65</formula>
    </cfRule>
    <cfRule type="expression" dxfId="319" priority="4">
      <formula>H19&gt;85</formula>
    </cfRule>
  </conditionalFormatting>
  <conditionalFormatting sqref="H21:Q21">
    <cfRule type="expression" dxfId="318" priority="1">
      <formula>H21&lt;80</formula>
    </cfRule>
    <cfRule type="expression" dxfId="317"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31">
    <tabColor rgb="FFFF0000"/>
  </sheetPr>
  <dimension ref="A1:R33"/>
  <sheetViews>
    <sheetView zoomScale="55" zoomScaleNormal="55" workbookViewId="0">
      <selection activeCell="O29" sqref="O29:P29"/>
    </sheetView>
  </sheetViews>
  <sheetFormatPr defaultRowHeight="16.5"/>
  <cols>
    <col min="1" max="1" width="5.25" style="633" customWidth="1"/>
    <col min="2" max="2" width="31.25" style="657" customWidth="1"/>
    <col min="3" max="3" width="8.375" style="633" customWidth="1"/>
    <col min="4" max="4" width="13.125" style="633" customWidth="1"/>
    <col min="5" max="5" width="9.5" style="633" customWidth="1"/>
    <col min="6" max="6" width="3.375" style="633" customWidth="1"/>
    <col min="7" max="7" width="6.375" style="633" customWidth="1"/>
    <col min="8" max="8" width="3.625" style="633" customWidth="1"/>
    <col min="9" max="9" width="9" style="633" customWidth="1"/>
    <col min="10" max="10" width="3.625" style="633" customWidth="1"/>
    <col min="11" max="12" width="5.625" style="633" customWidth="1"/>
    <col min="13" max="14" width="5.375" style="633" customWidth="1"/>
    <col min="15" max="15" width="5.375" style="658" customWidth="1"/>
    <col min="16" max="16" width="5.375" style="633" customWidth="1"/>
    <col min="17" max="18" width="6.375" style="633" customWidth="1"/>
    <col min="19" max="16384" width="9" style="633"/>
  </cols>
  <sheetData>
    <row r="1" spans="1:18" ht="33.75" customHeight="1">
      <c r="A1" s="2302" t="s">
        <v>152</v>
      </c>
      <c r="B1" s="2302"/>
      <c r="C1" s="2302"/>
      <c r="D1" s="2302"/>
      <c r="E1" s="2302"/>
      <c r="F1" s="2302"/>
      <c r="G1" s="2302"/>
      <c r="H1" s="2302"/>
      <c r="I1" s="2302"/>
      <c r="J1" s="2302"/>
      <c r="K1" s="2302"/>
      <c r="L1" s="2302"/>
      <c r="M1" s="2302"/>
      <c r="N1" s="2302"/>
      <c r="O1" s="1448"/>
      <c r="P1" s="1448"/>
      <c r="Q1" s="1448"/>
      <c r="R1" s="1448"/>
    </row>
    <row r="2" spans="1:18" ht="45.75" customHeight="1">
      <c r="A2" s="2303" t="s">
        <v>742</v>
      </c>
      <c r="B2" s="2303"/>
      <c r="C2" s="2303"/>
      <c r="D2" s="2303"/>
      <c r="E2" s="2303"/>
      <c r="F2" s="2303"/>
      <c r="G2" s="2303"/>
      <c r="H2" s="2303"/>
      <c r="I2" s="2303"/>
      <c r="J2" s="2303"/>
      <c r="K2" s="2303"/>
      <c r="L2" s="2303"/>
      <c r="M2" s="2303"/>
      <c r="N2" s="2304"/>
      <c r="O2" s="2029" t="s">
        <v>687</v>
      </c>
      <c r="P2" s="2031"/>
      <c r="Q2" s="2029" t="s">
        <v>17</v>
      </c>
      <c r="R2" s="2031"/>
    </row>
    <row r="3" spans="1:18" ht="31.5" customHeight="1">
      <c r="A3" s="634"/>
      <c r="B3" s="236" t="str">
        <f>'2.RL E'!E3</f>
        <v>2022/12/03</v>
      </c>
      <c r="C3" s="634"/>
      <c r="D3" s="636"/>
      <c r="E3" s="634"/>
      <c r="F3" s="634"/>
      <c r="G3" s="634"/>
      <c r="H3" s="637"/>
      <c r="I3" s="637"/>
      <c r="J3" s="637"/>
      <c r="K3" s="637"/>
      <c r="L3" s="637"/>
      <c r="M3" s="637"/>
      <c r="N3" s="637"/>
      <c r="O3" s="2297" t="str">
        <f>'1.xi den'!N3</f>
        <v>L.Yen</v>
      </c>
      <c r="P3" s="2298"/>
      <c r="Q3" s="2297" t="s">
        <v>743</v>
      </c>
      <c r="R3" s="2298"/>
    </row>
    <row r="4" spans="1:18" s="641" customFormat="1" ht="43.5" customHeight="1">
      <c r="A4" s="2309" t="s">
        <v>7</v>
      </c>
      <c r="B4" s="2310" t="s">
        <v>744</v>
      </c>
      <c r="C4" s="2310" t="s">
        <v>20</v>
      </c>
      <c r="D4" s="2311" t="s">
        <v>745</v>
      </c>
      <c r="E4" s="638" t="s">
        <v>746</v>
      </c>
      <c r="F4" s="639"/>
      <c r="G4" s="639"/>
      <c r="H4" s="639"/>
      <c r="I4" s="639"/>
      <c r="J4" s="639"/>
      <c r="K4" s="639"/>
      <c r="L4" s="640"/>
      <c r="M4" s="2313" t="s">
        <v>747</v>
      </c>
      <c r="N4" s="2314"/>
      <c r="O4" s="2314"/>
      <c r="P4" s="2301"/>
      <c r="Q4" s="2321" t="s">
        <v>693</v>
      </c>
      <c r="R4" s="2322"/>
    </row>
    <row r="5" spans="1:18" s="641" customFormat="1" ht="24" customHeight="1">
      <c r="A5" s="2309"/>
      <c r="B5" s="2310"/>
      <c r="C5" s="2310"/>
      <c r="D5" s="2311"/>
      <c r="E5" s="2299">
        <v>0.33333333333333331</v>
      </c>
      <c r="F5" s="2030"/>
      <c r="G5" s="2030"/>
      <c r="H5" s="2031"/>
      <c r="I5" s="2299">
        <v>0.83333333333333337</v>
      </c>
      <c r="J5" s="2030"/>
      <c r="K5" s="2030"/>
      <c r="L5" s="2031"/>
      <c r="M5" s="2299">
        <v>0.33333333333333331</v>
      </c>
      <c r="N5" s="2031"/>
      <c r="O5" s="2300">
        <v>0.83333333333333337</v>
      </c>
      <c r="P5" s="2301"/>
      <c r="Q5" s="2323"/>
      <c r="R5" s="2324"/>
    </row>
    <row r="6" spans="1:18" s="641" customFormat="1" ht="55.5" customHeight="1">
      <c r="A6" s="2309"/>
      <c r="B6" s="2309"/>
      <c r="C6" s="2309"/>
      <c r="D6" s="2312"/>
      <c r="E6" s="1440" t="s">
        <v>748</v>
      </c>
      <c r="F6" s="2318" t="s">
        <v>749</v>
      </c>
      <c r="G6" s="2319"/>
      <c r="H6" s="2320"/>
      <c r="I6" s="1440" t="s">
        <v>748</v>
      </c>
      <c r="J6" s="2318" t="s">
        <v>749</v>
      </c>
      <c r="K6" s="2319"/>
      <c r="L6" s="2320"/>
      <c r="M6" s="642" t="s">
        <v>750</v>
      </c>
      <c r="N6" s="643" t="s">
        <v>751</v>
      </c>
      <c r="O6" s="642" t="s">
        <v>750</v>
      </c>
      <c r="P6" s="643" t="s">
        <v>751</v>
      </c>
      <c r="Q6" s="2325"/>
      <c r="R6" s="2326"/>
    </row>
    <row r="7" spans="1:18" ht="39.75" customHeight="1">
      <c r="A7" s="1441">
        <v>1</v>
      </c>
      <c r="B7" s="1441" t="s">
        <v>752</v>
      </c>
      <c r="C7" s="1441" t="s">
        <v>4</v>
      </c>
      <c r="D7" s="644" t="s">
        <v>573</v>
      </c>
      <c r="E7" s="37">
        <f>'R.GUI MAIL'!H89</f>
        <v>23.700000000000003</v>
      </c>
      <c r="F7" s="1449" t="s">
        <v>8</v>
      </c>
      <c r="G7" s="1450">
        <f>'R.GUI MAIL'!K89</f>
        <v>2.1215999999999955</v>
      </c>
      <c r="H7" s="1451" t="s">
        <v>9</v>
      </c>
      <c r="I7" s="37"/>
      <c r="J7" s="1449"/>
      <c r="K7" s="1450"/>
      <c r="L7" s="1451"/>
      <c r="M7" s="645"/>
      <c r="N7" s="646"/>
      <c r="O7" s="645"/>
      <c r="P7" s="646"/>
      <c r="Q7" s="2315" t="s">
        <v>12</v>
      </c>
      <c r="R7" s="2316"/>
    </row>
    <row r="8" spans="1:18" ht="39.75" customHeight="1">
      <c r="A8" s="1441">
        <v>2</v>
      </c>
      <c r="B8" s="1441" t="s">
        <v>753</v>
      </c>
      <c r="C8" s="1441" t="s">
        <v>4</v>
      </c>
      <c r="D8" s="644" t="s">
        <v>573</v>
      </c>
      <c r="E8" s="37">
        <f>'R.GUI MAIL'!H90</f>
        <v>22.12</v>
      </c>
      <c r="F8" s="1449" t="s">
        <v>8</v>
      </c>
      <c r="G8" s="1450">
        <f>'R.GUI MAIL'!K90</f>
        <v>4.7001599999999977</v>
      </c>
      <c r="H8" s="1451" t="s">
        <v>9</v>
      </c>
      <c r="I8" s="37"/>
      <c r="J8" s="1449"/>
      <c r="K8" s="1450"/>
      <c r="L8" s="1451"/>
      <c r="M8" s="645"/>
      <c r="N8" s="646"/>
      <c r="O8" s="645"/>
      <c r="P8" s="646"/>
      <c r="Q8" s="2315" t="s">
        <v>12</v>
      </c>
      <c r="R8" s="2316"/>
    </row>
    <row r="9" spans="1:18" ht="39.75" customHeight="1">
      <c r="A9" s="1441">
        <v>3</v>
      </c>
      <c r="B9" s="1441" t="s">
        <v>754</v>
      </c>
      <c r="C9" s="1441" t="s">
        <v>58</v>
      </c>
      <c r="D9" s="644" t="s">
        <v>579</v>
      </c>
      <c r="E9" s="37">
        <f>'R.GUI MAIL'!H91</f>
        <v>234.72000000000003</v>
      </c>
      <c r="F9" s="1449" t="s">
        <v>8</v>
      </c>
      <c r="G9" s="1450">
        <f>'R.GUI MAIL'!K91</f>
        <v>24.936959999999956</v>
      </c>
      <c r="H9" s="1451" t="s">
        <v>1294</v>
      </c>
      <c r="I9" s="37"/>
      <c r="J9" s="1449"/>
      <c r="K9" s="1450"/>
      <c r="L9" s="1451"/>
      <c r="M9" s="645"/>
      <c r="N9" s="646"/>
      <c r="O9" s="645"/>
      <c r="P9" s="646"/>
      <c r="Q9" s="2315" t="s">
        <v>16</v>
      </c>
      <c r="R9" s="2316"/>
    </row>
    <row r="10" spans="1:18" ht="39.75" customHeight="1">
      <c r="A10" s="1441">
        <v>4</v>
      </c>
      <c r="B10" s="1442" t="s">
        <v>1285</v>
      </c>
      <c r="C10" s="1441" t="s">
        <v>4</v>
      </c>
      <c r="D10" s="644" t="s">
        <v>581</v>
      </c>
      <c r="E10" s="37">
        <f>'R.GUI MAIL'!H92</f>
        <v>137.5</v>
      </c>
      <c r="F10" s="1449" t="s">
        <v>8</v>
      </c>
      <c r="G10" s="1450">
        <f>'R.GUI MAIL'!K92</f>
        <v>0</v>
      </c>
      <c r="H10" s="1451" t="s">
        <v>9</v>
      </c>
      <c r="I10" s="37"/>
      <c r="J10" s="1449"/>
      <c r="K10" s="1450"/>
      <c r="L10" s="1451"/>
      <c r="M10" s="645"/>
      <c r="N10" s="646"/>
      <c r="O10" s="645"/>
      <c r="P10" s="646"/>
      <c r="Q10" s="2315" t="s">
        <v>755</v>
      </c>
      <c r="R10" s="2316"/>
    </row>
    <row r="11" spans="1:18" ht="39.75" customHeight="1">
      <c r="A11" s="1441">
        <v>5</v>
      </c>
      <c r="B11" s="1442" t="s">
        <v>1286</v>
      </c>
      <c r="C11" s="1441" t="s">
        <v>4</v>
      </c>
      <c r="D11" s="647" t="s">
        <v>583</v>
      </c>
      <c r="E11" s="37">
        <f>'R.GUI MAIL'!H93</f>
        <v>5.25</v>
      </c>
      <c r="F11" s="1449" t="s">
        <v>8</v>
      </c>
      <c r="G11" s="1450">
        <f>'R.GUI MAIL'!K93</f>
        <v>0</v>
      </c>
      <c r="H11" s="1451" t="s">
        <v>9</v>
      </c>
      <c r="I11" s="37"/>
      <c r="J11" s="1449"/>
      <c r="K11" s="1450"/>
      <c r="L11" s="1451"/>
      <c r="M11" s="645"/>
      <c r="N11" s="646"/>
      <c r="O11" s="645"/>
      <c r="P11" s="646"/>
      <c r="Q11" s="2315" t="s">
        <v>756</v>
      </c>
      <c r="R11" s="2316"/>
    </row>
    <row r="12" spans="1:18" ht="39.75" customHeight="1">
      <c r="A12" s="1441">
        <v>6</v>
      </c>
      <c r="B12" s="1442" t="s">
        <v>1287</v>
      </c>
      <c r="C12" s="1441" t="s">
        <v>4</v>
      </c>
      <c r="D12" s="644" t="s">
        <v>581</v>
      </c>
      <c r="E12" s="37">
        <f>'R.GUI MAIL'!H94</f>
        <v>150</v>
      </c>
      <c r="F12" s="1449" t="s">
        <v>8</v>
      </c>
      <c r="G12" s="1450">
        <f>'R.GUI MAIL'!K94</f>
        <v>0</v>
      </c>
      <c r="H12" s="1451" t="s">
        <v>9</v>
      </c>
      <c r="I12" s="37"/>
      <c r="J12" s="1449"/>
      <c r="K12" s="1450"/>
      <c r="L12" s="1451"/>
      <c r="M12" s="645"/>
      <c r="N12" s="646"/>
      <c r="O12" s="645"/>
      <c r="P12" s="646"/>
      <c r="Q12" s="2315" t="s">
        <v>755</v>
      </c>
      <c r="R12" s="2316"/>
    </row>
    <row r="13" spans="1:18" ht="39.75" customHeight="1">
      <c r="A13" s="1441">
        <v>7</v>
      </c>
      <c r="B13" s="1442" t="s">
        <v>1288</v>
      </c>
      <c r="C13" s="1441" t="s">
        <v>4</v>
      </c>
      <c r="D13" s="647" t="s">
        <v>583</v>
      </c>
      <c r="E13" s="37">
        <f>'R.GUI MAIL'!H95</f>
        <v>4.375</v>
      </c>
      <c r="F13" s="1449" t="s">
        <v>8</v>
      </c>
      <c r="G13" s="1450">
        <f>'R.GUI MAIL'!K95</f>
        <v>0</v>
      </c>
      <c r="H13" s="1451" t="s">
        <v>9</v>
      </c>
      <c r="I13" s="37"/>
      <c r="J13" s="1449"/>
      <c r="K13" s="1450"/>
      <c r="L13" s="1451"/>
      <c r="M13" s="645"/>
      <c r="N13" s="646"/>
      <c r="O13" s="645"/>
      <c r="P13" s="646"/>
      <c r="Q13" s="2315" t="s">
        <v>756</v>
      </c>
      <c r="R13" s="2316"/>
    </row>
    <row r="14" spans="1:18" ht="39.75" customHeight="1">
      <c r="A14" s="1441">
        <v>8</v>
      </c>
      <c r="B14" s="1442" t="s">
        <v>1010</v>
      </c>
      <c r="C14" s="1441" t="s">
        <v>4</v>
      </c>
      <c r="D14" s="644" t="s">
        <v>581</v>
      </c>
      <c r="E14" s="37">
        <f>'R.GUI MAIL'!H96</f>
        <v>146.25</v>
      </c>
      <c r="F14" s="1449" t="s">
        <v>8</v>
      </c>
      <c r="G14" s="1450">
        <f>'R.GUI MAIL'!K96</f>
        <v>0</v>
      </c>
      <c r="H14" s="1451" t="s">
        <v>9</v>
      </c>
      <c r="I14" s="37"/>
      <c r="J14" s="1449"/>
      <c r="K14" s="1450"/>
      <c r="L14" s="1451"/>
      <c r="M14" s="645"/>
      <c r="N14" s="646"/>
      <c r="O14" s="645"/>
      <c r="P14" s="646"/>
      <c r="Q14" s="2315" t="s">
        <v>755</v>
      </c>
      <c r="R14" s="2316"/>
    </row>
    <row r="15" spans="1:18" ht="39.75" customHeight="1">
      <c r="A15" s="1441">
        <v>9</v>
      </c>
      <c r="B15" s="1442" t="s">
        <v>1011</v>
      </c>
      <c r="C15" s="1441" t="s">
        <v>4</v>
      </c>
      <c r="D15" s="647" t="s">
        <v>583</v>
      </c>
      <c r="E15" s="37">
        <f>'R.GUI MAIL'!H97</f>
        <v>4.5</v>
      </c>
      <c r="F15" s="1449" t="s">
        <v>8</v>
      </c>
      <c r="G15" s="1450">
        <f>'R.GUI MAIL'!K97</f>
        <v>0</v>
      </c>
      <c r="H15" s="1451" t="s">
        <v>9</v>
      </c>
      <c r="I15" s="37"/>
      <c r="J15" s="1449"/>
      <c r="K15" s="1450"/>
      <c r="L15" s="1451"/>
      <c r="M15" s="645"/>
      <c r="N15" s="646"/>
      <c r="O15" s="645"/>
      <c r="P15" s="646"/>
      <c r="Q15" s="2315" t="s">
        <v>756</v>
      </c>
      <c r="R15" s="2316"/>
    </row>
    <row r="16" spans="1:18" ht="39.75" customHeight="1">
      <c r="A16" s="2305">
        <v>10</v>
      </c>
      <c r="B16" s="2307" t="s">
        <v>757</v>
      </c>
      <c r="C16" s="1441" t="s">
        <v>4</v>
      </c>
      <c r="D16" s="644" t="s">
        <v>590</v>
      </c>
      <c r="E16" s="37">
        <f>'R.GUI MAIL'!H98</f>
        <v>10.816000000000001</v>
      </c>
      <c r="F16" s="1449" t="s">
        <v>8</v>
      </c>
      <c r="G16" s="1450">
        <f>'R.GUI MAIL'!K98</f>
        <v>0</v>
      </c>
      <c r="H16" s="1451" t="s">
        <v>9</v>
      </c>
      <c r="I16" s="37"/>
      <c r="J16" s="1449"/>
      <c r="K16" s="1450"/>
      <c r="L16" s="1451"/>
      <c r="M16" s="645"/>
      <c r="N16" s="646"/>
      <c r="O16" s="645"/>
      <c r="P16" s="646"/>
      <c r="Q16" s="2315" t="s">
        <v>758</v>
      </c>
      <c r="R16" s="2316"/>
    </row>
    <row r="17" spans="1:18" ht="31.5" customHeight="1">
      <c r="A17" s="2306"/>
      <c r="B17" s="2308"/>
      <c r="C17" s="1441" t="s">
        <v>5</v>
      </c>
      <c r="D17" s="644" t="s">
        <v>592</v>
      </c>
      <c r="E17" s="699">
        <f>'R.GUI MAIL'!H99</f>
        <v>7</v>
      </c>
      <c r="F17" s="1452"/>
      <c r="G17" s="1452"/>
      <c r="H17" s="1452"/>
      <c r="I17" s="699"/>
      <c r="J17" s="1453"/>
      <c r="K17" s="1453"/>
      <c r="L17" s="1454"/>
      <c r="M17" s="645"/>
      <c r="N17" s="646"/>
      <c r="O17" s="645"/>
      <c r="P17" s="646"/>
      <c r="Q17" s="2317"/>
      <c r="R17" s="2316"/>
    </row>
    <row r="18" spans="1:18" ht="2.25" hidden="1" customHeight="1">
      <c r="A18" s="1441">
        <v>11</v>
      </c>
      <c r="B18" s="649" t="s">
        <v>759</v>
      </c>
      <c r="C18" s="1443" t="s">
        <v>5</v>
      </c>
      <c r="D18" s="1442" t="s">
        <v>595</v>
      </c>
      <c r="E18" s="699">
        <f>'R.GUI MAIL'!H100</f>
        <v>0</v>
      </c>
      <c r="F18" s="1452"/>
      <c r="G18" s="1452"/>
      <c r="H18" s="1452"/>
      <c r="I18" s="699"/>
      <c r="J18" s="1453"/>
      <c r="K18" s="1453"/>
      <c r="L18" s="1454"/>
      <c r="M18" s="645"/>
      <c r="N18" s="646"/>
      <c r="O18" s="650"/>
      <c r="P18" s="646"/>
      <c r="Q18" s="2327"/>
      <c r="R18" s="2328"/>
    </row>
    <row r="19" spans="1:18" ht="32.25" hidden="1" customHeight="1">
      <c r="A19" s="1441">
        <v>12</v>
      </c>
      <c r="B19" s="651" t="s">
        <v>760</v>
      </c>
      <c r="C19" s="1443" t="s">
        <v>5</v>
      </c>
      <c r="D19" s="1442" t="s">
        <v>598</v>
      </c>
      <c r="E19" s="699">
        <f>'R.GUI MAIL'!H101</f>
        <v>0</v>
      </c>
      <c r="F19" s="1452"/>
      <c r="G19" s="1452"/>
      <c r="H19" s="1452"/>
      <c r="I19" s="699"/>
      <c r="J19" s="1456"/>
      <c r="K19" s="1456"/>
      <c r="L19" s="1457"/>
      <c r="M19" s="645"/>
      <c r="N19" s="646"/>
      <c r="O19" s="650"/>
      <c r="P19" s="646"/>
      <c r="Q19" s="2327"/>
      <c r="R19" s="2328"/>
    </row>
    <row r="20" spans="1:18" ht="32.25" customHeight="1">
      <c r="A20" s="1441">
        <v>13</v>
      </c>
      <c r="B20" s="649" t="s">
        <v>761</v>
      </c>
      <c r="C20" s="1443" t="s">
        <v>5</v>
      </c>
      <c r="D20" s="1442" t="s">
        <v>595</v>
      </c>
      <c r="E20" s="699">
        <f>'R.GUI MAIL'!H102</f>
        <v>5.62</v>
      </c>
      <c r="F20" s="1452"/>
      <c r="G20" s="1452"/>
      <c r="H20" s="1452"/>
      <c r="I20" s="699"/>
      <c r="J20" s="1456"/>
      <c r="K20" s="1456"/>
      <c r="L20" s="1457"/>
      <c r="M20" s="645"/>
      <c r="N20" s="646"/>
      <c r="O20" s="650"/>
      <c r="P20" s="646"/>
      <c r="Q20" s="2327"/>
      <c r="R20" s="2328"/>
    </row>
    <row r="21" spans="1:18" ht="31.5" customHeight="1">
      <c r="A21" s="1441"/>
      <c r="B21" s="652" t="s">
        <v>155</v>
      </c>
      <c r="C21" s="653"/>
      <c r="D21" s="653"/>
      <c r="E21" s="653"/>
      <c r="F21" s="653"/>
      <c r="G21" s="653"/>
      <c r="H21" s="653"/>
      <c r="I21" s="653"/>
      <c r="J21" s="653"/>
      <c r="K21" s="653"/>
      <c r="L21" s="653"/>
      <c r="M21" s="653"/>
      <c r="N21" s="653"/>
      <c r="O21" s="653"/>
      <c r="P21" s="653"/>
      <c r="Q21" s="653"/>
      <c r="R21" s="654"/>
    </row>
    <row r="22" spans="1:18" ht="43.5" customHeight="1">
      <c r="A22" s="2305" t="s">
        <v>7</v>
      </c>
      <c r="B22" s="2329" t="s">
        <v>23</v>
      </c>
      <c r="C22" s="2329" t="s">
        <v>24</v>
      </c>
      <c r="D22" s="2329" t="s">
        <v>25</v>
      </c>
      <c r="E22" s="2310" t="s">
        <v>48</v>
      </c>
      <c r="F22" s="2310"/>
      <c r="G22" s="2331" t="s">
        <v>65</v>
      </c>
      <c r="H22" s="2331"/>
      <c r="I22" s="2310" t="s">
        <v>48</v>
      </c>
      <c r="J22" s="2310"/>
      <c r="K22" s="2331" t="s">
        <v>65</v>
      </c>
      <c r="L22" s="2331"/>
      <c r="M22" s="2332"/>
      <c r="N22" s="2332"/>
      <c r="O22" s="2329"/>
      <c r="P22" s="2332"/>
      <c r="Q22" s="2336"/>
      <c r="R22" s="2337"/>
    </row>
    <row r="23" spans="1:18" ht="22.5" customHeight="1">
      <c r="A23" s="2306"/>
      <c r="B23" s="2330"/>
      <c r="C23" s="2330"/>
      <c r="D23" s="2330"/>
      <c r="E23" s="2299">
        <v>0.33333333333333331</v>
      </c>
      <c r="F23" s="2030"/>
      <c r="G23" s="2030"/>
      <c r="H23" s="2031"/>
      <c r="I23" s="2299">
        <v>0.83333333333333337</v>
      </c>
      <c r="J23" s="2030"/>
      <c r="K23" s="2030"/>
      <c r="L23" s="2031"/>
      <c r="M23" s="2333"/>
      <c r="N23" s="2333"/>
      <c r="O23" s="2330"/>
      <c r="P23" s="2333"/>
      <c r="Q23" s="2338"/>
      <c r="R23" s="2339"/>
    </row>
    <row r="24" spans="1:18" ht="36.75" customHeight="1">
      <c r="A24" s="1441">
        <v>1</v>
      </c>
      <c r="B24" s="1441" t="s">
        <v>752</v>
      </c>
      <c r="C24" s="655" t="s">
        <v>28</v>
      </c>
      <c r="D24" s="656" t="s">
        <v>762</v>
      </c>
      <c r="E24" s="1866">
        <f>'R.GUI MAIL'!H105</f>
        <v>66</v>
      </c>
      <c r="F24" s="1867"/>
      <c r="G24" s="1866">
        <f>'R.GUI MAIL'!K105</f>
        <v>61</v>
      </c>
      <c r="H24" s="1867"/>
      <c r="I24" s="1866"/>
      <c r="J24" s="1867"/>
      <c r="K24" s="1869"/>
      <c r="L24" s="1869"/>
      <c r="M24" s="1432"/>
      <c r="N24" s="1432"/>
      <c r="O24" s="2334"/>
      <c r="P24" s="2335"/>
      <c r="Q24" s="2327"/>
      <c r="R24" s="2328"/>
    </row>
    <row r="25" spans="1:18" ht="36.75" customHeight="1">
      <c r="A25" s="1441">
        <v>2</v>
      </c>
      <c r="B25" s="1441" t="s">
        <v>753</v>
      </c>
      <c r="C25" s="655" t="s">
        <v>28</v>
      </c>
      <c r="D25" s="656" t="s">
        <v>762</v>
      </c>
      <c r="E25" s="1866">
        <f>'R.GUI MAIL'!H106</f>
        <v>67</v>
      </c>
      <c r="F25" s="1867"/>
      <c r="G25" s="1866">
        <f>'R.GUI MAIL'!K106</f>
        <v>61</v>
      </c>
      <c r="H25" s="1867"/>
      <c r="I25" s="1866"/>
      <c r="J25" s="1867"/>
      <c r="K25" s="1869"/>
      <c r="L25" s="1869"/>
      <c r="M25" s="1432"/>
      <c r="N25" s="1432"/>
      <c r="O25" s="2334"/>
      <c r="P25" s="2335"/>
      <c r="Q25" s="2327"/>
      <c r="R25" s="2328"/>
    </row>
    <row r="26" spans="1:18" ht="36.75" customHeight="1">
      <c r="A26" s="1441">
        <v>3</v>
      </c>
      <c r="B26" s="1442" t="s">
        <v>1291</v>
      </c>
      <c r="C26" s="655" t="s">
        <v>28</v>
      </c>
      <c r="D26" s="656" t="s">
        <v>763</v>
      </c>
      <c r="E26" s="1866">
        <f>'R.GUI MAIL'!H107</f>
        <v>22</v>
      </c>
      <c r="F26" s="1867"/>
      <c r="G26" s="1866">
        <f>'R.GUI MAIL'!K107</f>
        <v>21</v>
      </c>
      <c r="H26" s="1867"/>
      <c r="I26" s="1866"/>
      <c r="J26" s="1867"/>
      <c r="K26" s="1866"/>
      <c r="L26" s="1867"/>
      <c r="M26" s="1432"/>
      <c r="N26" s="1432"/>
      <c r="O26" s="2334"/>
      <c r="P26" s="2335"/>
      <c r="Q26" s="2327"/>
      <c r="R26" s="2328"/>
    </row>
    <row r="27" spans="1:18" ht="36.75" customHeight="1">
      <c r="A27" s="1441">
        <v>4</v>
      </c>
      <c r="B27" s="1442" t="s">
        <v>1292</v>
      </c>
      <c r="C27" s="655" t="s">
        <v>28</v>
      </c>
      <c r="D27" s="656" t="s">
        <v>763</v>
      </c>
      <c r="E27" s="1866">
        <f>'R.GUI MAIL'!H108</f>
        <v>19</v>
      </c>
      <c r="F27" s="1867"/>
      <c r="G27" s="1866">
        <f>'R.GUI MAIL'!K108</f>
        <v>17</v>
      </c>
      <c r="H27" s="1867"/>
      <c r="I27" s="1866"/>
      <c r="J27" s="1867"/>
      <c r="K27" s="1866"/>
      <c r="L27" s="1867"/>
      <c r="M27" s="1432"/>
      <c r="N27" s="1432"/>
      <c r="O27" s="2334"/>
      <c r="P27" s="2335"/>
      <c r="Q27" s="2327"/>
      <c r="R27" s="2328"/>
    </row>
    <row r="28" spans="1:18" ht="36.75" customHeight="1">
      <c r="A28" s="1441">
        <v>5</v>
      </c>
      <c r="B28" s="1442" t="s">
        <v>1293</v>
      </c>
      <c r="C28" s="655" t="s">
        <v>28</v>
      </c>
      <c r="D28" s="656" t="s">
        <v>763</v>
      </c>
      <c r="E28" s="1866">
        <f>'R.GUI MAIL'!H109</f>
        <v>21</v>
      </c>
      <c r="F28" s="1867"/>
      <c r="G28" s="1866">
        <f>'R.GUI MAIL'!K109</f>
        <v>19</v>
      </c>
      <c r="H28" s="1867"/>
      <c r="I28" s="1866"/>
      <c r="J28" s="1867"/>
      <c r="K28" s="1866"/>
      <c r="L28" s="1867"/>
      <c r="M28" s="1432"/>
      <c r="N28" s="1432"/>
      <c r="O28" s="2334"/>
      <c r="P28" s="2335"/>
      <c r="Q28" s="2327"/>
      <c r="R28" s="2328"/>
    </row>
    <row r="29" spans="1:18" ht="33.75" customHeight="1">
      <c r="A29" s="1441">
        <v>6</v>
      </c>
      <c r="B29" s="1442" t="s">
        <v>764</v>
      </c>
      <c r="C29" s="655" t="s">
        <v>28</v>
      </c>
      <c r="D29" s="656" t="s">
        <v>765</v>
      </c>
      <c r="E29" s="1866">
        <f>'R.GUI MAIL'!H110</f>
        <v>39</v>
      </c>
      <c r="F29" s="1867"/>
      <c r="G29" s="1866">
        <f>'R.GUI MAIL'!K110</f>
        <v>37</v>
      </c>
      <c r="H29" s="1867"/>
      <c r="I29" s="1866"/>
      <c r="J29" s="1867"/>
      <c r="K29" s="1869"/>
      <c r="L29" s="1869"/>
      <c r="M29" s="1432"/>
      <c r="N29" s="1432"/>
      <c r="O29" s="2334"/>
      <c r="P29" s="2335"/>
      <c r="Q29" s="2327"/>
      <c r="R29" s="2328"/>
    </row>
    <row r="30" spans="1:18" ht="36.75" hidden="1" customHeight="1">
      <c r="A30" s="1441">
        <v>7</v>
      </c>
      <c r="B30" s="649" t="s">
        <v>759</v>
      </c>
      <c r="C30" s="655" t="s">
        <v>28</v>
      </c>
      <c r="D30" s="656" t="s">
        <v>766</v>
      </c>
      <c r="E30" s="1866">
        <f>'R.GUI MAIL'!H111</f>
        <v>0</v>
      </c>
      <c r="F30" s="1867"/>
      <c r="G30" s="1866">
        <f>'R.GUI MAIL'!K111</f>
        <v>0</v>
      </c>
      <c r="H30" s="1867"/>
      <c r="I30" s="1866"/>
      <c r="J30" s="1867"/>
      <c r="K30" s="1866"/>
      <c r="L30" s="1867"/>
      <c r="M30" s="1432"/>
      <c r="N30" s="1432"/>
      <c r="O30" s="2340"/>
      <c r="P30" s="2341"/>
      <c r="Q30" s="2327"/>
      <c r="R30" s="2328"/>
    </row>
    <row r="31" spans="1:18" ht="36.75" hidden="1" customHeight="1">
      <c r="A31" s="1441">
        <v>8</v>
      </c>
      <c r="B31" s="651" t="s">
        <v>760</v>
      </c>
      <c r="C31" s="655" t="s">
        <v>28</v>
      </c>
      <c r="D31" s="656" t="s">
        <v>766</v>
      </c>
      <c r="E31" s="2295">
        <f>'R.GUI MAIL'!H112</f>
        <v>0</v>
      </c>
      <c r="F31" s="2296"/>
      <c r="G31" s="2295">
        <f>'R.GUI MAIL'!K112</f>
        <v>0</v>
      </c>
      <c r="H31" s="2296"/>
      <c r="I31" s="2295"/>
      <c r="J31" s="2296"/>
      <c r="K31" s="2294"/>
      <c r="L31" s="2294"/>
      <c r="M31" s="1432"/>
      <c r="N31" s="1432"/>
      <c r="O31" s="2340"/>
      <c r="P31" s="2341"/>
      <c r="Q31" s="2327"/>
      <c r="R31" s="2328"/>
    </row>
    <row r="32" spans="1:18" ht="36.75" customHeight="1">
      <c r="A32" s="1441">
        <v>9</v>
      </c>
      <c r="B32" s="649" t="s">
        <v>761</v>
      </c>
      <c r="C32" s="655" t="s">
        <v>28</v>
      </c>
      <c r="D32" s="656" t="s">
        <v>767</v>
      </c>
      <c r="E32" s="1866">
        <f>'R.GUI MAIL'!H113</f>
        <v>64</v>
      </c>
      <c r="F32" s="1867"/>
      <c r="G32" s="1866">
        <f>'R.GUI MAIL'!K113</f>
        <v>61</v>
      </c>
      <c r="H32" s="1867"/>
      <c r="I32" s="1866"/>
      <c r="J32" s="1867"/>
      <c r="K32" s="1869"/>
      <c r="L32" s="1869"/>
      <c r="M32" s="1432"/>
      <c r="N32" s="1432"/>
      <c r="O32" s="2340"/>
      <c r="P32" s="2341"/>
      <c r="Q32" s="2327"/>
      <c r="R32" s="2328"/>
    </row>
    <row r="33" spans="1:18" ht="36.75" customHeight="1">
      <c r="A33" s="1441">
        <v>11</v>
      </c>
      <c r="B33" s="1442" t="s">
        <v>768</v>
      </c>
      <c r="C33" s="655" t="s">
        <v>28</v>
      </c>
      <c r="D33" s="656" t="s">
        <v>769</v>
      </c>
      <c r="E33" s="1870" t="s">
        <v>1295</v>
      </c>
      <c r="F33" s="1871"/>
      <c r="G33" s="1866">
        <f>'R.GUI MAIL'!K114</f>
        <v>116</v>
      </c>
      <c r="H33" s="1867"/>
      <c r="I33" s="1870"/>
      <c r="J33" s="1871"/>
      <c r="K33" s="1869"/>
      <c r="L33" s="1869"/>
      <c r="M33" s="1432"/>
      <c r="N33" s="1432"/>
      <c r="O33" s="2340"/>
      <c r="P33" s="2341"/>
      <c r="Q33" s="2327"/>
      <c r="R33" s="2328"/>
    </row>
  </sheetData>
  <mergeCells count="109">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O26:P26"/>
    <mergeCell ref="Q26:R26"/>
    <mergeCell ref="O27:P27"/>
    <mergeCell ref="Q27:R27"/>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N1"/>
    <mergeCell ref="A2:N2"/>
    <mergeCell ref="O2:P2"/>
    <mergeCell ref="A16:A17"/>
    <mergeCell ref="B16:B17"/>
    <mergeCell ref="A4:A6"/>
    <mergeCell ref="B4:B6"/>
    <mergeCell ref="C4:C6"/>
    <mergeCell ref="D4:D6"/>
    <mergeCell ref="M4:P4"/>
    <mergeCell ref="F6:H6"/>
    <mergeCell ref="J6:L6"/>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s>
  <phoneticPr fontId="6" type="noConversion"/>
  <conditionalFormatting sqref="E7:E8 I7:I8">
    <cfRule type="expression" dxfId="316" priority="75">
      <formula>E7&lt;20</formula>
    </cfRule>
    <cfRule type="expression" dxfId="315" priority="76">
      <formula>E7&gt;30</formula>
    </cfRule>
  </conditionalFormatting>
  <conditionalFormatting sqref="E9 I9">
    <cfRule type="expression" dxfId="314" priority="73">
      <formula>E9&lt;210</formula>
    </cfRule>
    <cfRule type="expression" dxfId="313" priority="74">
      <formula>E9&gt;290</formula>
    </cfRule>
  </conditionalFormatting>
  <conditionalFormatting sqref="E10 E12 E14 I10 I12 I14">
    <cfRule type="expression" dxfId="312" priority="71">
      <formula>E10&lt;120</formula>
    </cfRule>
    <cfRule type="expression" dxfId="311" priority="72">
      <formula>E10&gt;150</formula>
    </cfRule>
  </conditionalFormatting>
  <conditionalFormatting sqref="E11 E13 E15 I11 I13 I15">
    <cfRule type="expression" dxfId="310" priority="69">
      <formula>E11&lt;1</formula>
    </cfRule>
    <cfRule type="expression" dxfId="309" priority="70">
      <formula>E11&gt;5</formula>
    </cfRule>
  </conditionalFormatting>
  <conditionalFormatting sqref="E16 I16">
    <cfRule type="expression" dxfId="308" priority="67">
      <formula>E16&lt;8</formula>
    </cfRule>
    <cfRule type="expression" dxfId="307" priority="68">
      <formula>E16&gt;12</formula>
    </cfRule>
  </conditionalFormatting>
  <conditionalFormatting sqref="E17">
    <cfRule type="expression" dxfId="306" priority="65">
      <formula>E17&lt;6</formula>
    </cfRule>
    <cfRule type="expression" dxfId="305" priority="66">
      <formula>E17&gt;8</formula>
    </cfRule>
  </conditionalFormatting>
  <conditionalFormatting sqref="E20">
    <cfRule type="expression" dxfId="304" priority="63">
      <formula>E20&lt;5.4</formula>
    </cfRule>
    <cfRule type="expression" dxfId="303" priority="64">
      <formula>E20&gt;5.8</formula>
    </cfRule>
  </conditionalFormatting>
  <conditionalFormatting sqref="I17">
    <cfRule type="expression" dxfId="302" priority="61">
      <formula>I17&lt;6</formula>
    </cfRule>
    <cfRule type="expression" dxfId="301" priority="62">
      <formula>I17&gt;8</formula>
    </cfRule>
  </conditionalFormatting>
  <conditionalFormatting sqref="I20">
    <cfRule type="expression" dxfId="300" priority="59">
      <formula>I20&lt;5.4</formula>
    </cfRule>
    <cfRule type="expression" dxfId="299" priority="60">
      <formula>I20&gt;5.8</formula>
    </cfRule>
  </conditionalFormatting>
  <conditionalFormatting sqref="E24">
    <cfRule type="expression" dxfId="298" priority="57">
      <formula>E24&lt;45</formula>
    </cfRule>
    <cfRule type="expression" dxfId="297" priority="58">
      <formula>E24&gt;65</formula>
    </cfRule>
  </conditionalFormatting>
  <conditionalFormatting sqref="E25">
    <cfRule type="expression" dxfId="296" priority="55">
      <formula>E25&lt;45</formula>
    </cfRule>
    <cfRule type="expression" dxfId="295" priority="56">
      <formula>E25&gt;65</formula>
    </cfRule>
  </conditionalFormatting>
  <conditionalFormatting sqref="E29">
    <cfRule type="expression" dxfId="294" priority="53">
      <formula>E29&lt;30</formula>
    </cfRule>
    <cfRule type="expression" dxfId="293" priority="54">
      <formula>E29&gt;60</formula>
    </cfRule>
  </conditionalFormatting>
  <conditionalFormatting sqref="E32">
    <cfRule type="expression" dxfId="292" priority="51">
      <formula>E32&lt;55</formula>
    </cfRule>
    <cfRule type="expression" dxfId="291" priority="52">
      <formula>E32&gt;65</formula>
    </cfRule>
  </conditionalFormatting>
  <conditionalFormatting sqref="G33">
    <cfRule type="expression" dxfId="290" priority="49">
      <formula>G33&lt;100</formula>
    </cfRule>
    <cfRule type="expression" dxfId="289" priority="50">
      <formula>G33&gt;110</formula>
    </cfRule>
  </conditionalFormatting>
  <conditionalFormatting sqref="G24">
    <cfRule type="expression" dxfId="288" priority="47">
      <formula>G24&lt;45</formula>
    </cfRule>
    <cfRule type="expression" dxfId="287" priority="48">
      <formula>G24&gt;65</formula>
    </cfRule>
  </conditionalFormatting>
  <conditionalFormatting sqref="G25">
    <cfRule type="expression" dxfId="286" priority="45">
      <formula>G25&lt;45</formula>
    </cfRule>
    <cfRule type="expression" dxfId="285" priority="46">
      <formula>G25&gt;65</formula>
    </cfRule>
  </conditionalFormatting>
  <conditionalFormatting sqref="G29">
    <cfRule type="expression" dxfId="284" priority="43">
      <formula>G29&lt;30</formula>
    </cfRule>
    <cfRule type="expression" dxfId="283" priority="44">
      <formula>G29&gt;60</formula>
    </cfRule>
  </conditionalFormatting>
  <conditionalFormatting sqref="G32">
    <cfRule type="expression" dxfId="282" priority="41">
      <formula>G32&lt;55</formula>
    </cfRule>
    <cfRule type="expression" dxfId="281" priority="42">
      <formula>G32&gt;65</formula>
    </cfRule>
  </conditionalFormatting>
  <conditionalFormatting sqref="I24">
    <cfRule type="expression" dxfId="280" priority="39">
      <formula>I24&lt;45</formula>
    </cfRule>
    <cfRule type="expression" dxfId="279" priority="40">
      <formula>I24&gt;65</formula>
    </cfRule>
  </conditionalFormatting>
  <conditionalFormatting sqref="I25">
    <cfRule type="expression" dxfId="278" priority="37">
      <formula>I25&lt;45</formula>
    </cfRule>
    <cfRule type="expression" dxfId="277" priority="38">
      <formula>I25&gt;65</formula>
    </cfRule>
  </conditionalFormatting>
  <conditionalFormatting sqref="I29">
    <cfRule type="expression" dxfId="276" priority="35">
      <formula>I29&lt;30</formula>
    </cfRule>
    <cfRule type="expression" dxfId="275" priority="36">
      <formula>I29&gt;60</formula>
    </cfRule>
  </conditionalFormatting>
  <conditionalFormatting sqref="I32">
    <cfRule type="expression" dxfId="274" priority="33">
      <formula>I32&lt;55</formula>
    </cfRule>
    <cfRule type="expression" dxfId="273" priority="34">
      <formula>I32&gt;65</formula>
    </cfRule>
  </conditionalFormatting>
  <conditionalFormatting sqref="K33">
    <cfRule type="expression" dxfId="272" priority="31">
      <formula>K33&lt;100</formula>
    </cfRule>
    <cfRule type="expression" dxfId="271" priority="32">
      <formula>K33&gt;110</formula>
    </cfRule>
  </conditionalFormatting>
  <conditionalFormatting sqref="K24">
    <cfRule type="expression" dxfId="270" priority="29">
      <formula>K24&lt;45</formula>
    </cfRule>
    <cfRule type="expression" dxfId="269" priority="30">
      <formula>K24&gt;65</formula>
    </cfRule>
  </conditionalFormatting>
  <conditionalFormatting sqref="K25">
    <cfRule type="expression" dxfId="268" priority="27">
      <formula>K25&lt;45</formula>
    </cfRule>
    <cfRule type="expression" dxfId="267" priority="28">
      <formula>K25&gt;65</formula>
    </cfRule>
  </conditionalFormatting>
  <conditionalFormatting sqref="K29">
    <cfRule type="expression" dxfId="266" priority="25">
      <formula>K29&lt;30</formula>
    </cfRule>
    <cfRule type="expression" dxfId="265" priority="26">
      <formula>K29&gt;60</formula>
    </cfRule>
  </conditionalFormatting>
  <conditionalFormatting sqref="K32">
    <cfRule type="expression" dxfId="264" priority="23">
      <formula>K32&lt;55</formula>
    </cfRule>
    <cfRule type="expression" dxfId="263" priority="24">
      <formula>K32&gt;65</formula>
    </cfRule>
  </conditionalFormatting>
  <conditionalFormatting sqref="E26">
    <cfRule type="expression" dxfId="262" priority="21">
      <formula>E26&lt;18</formula>
    </cfRule>
    <cfRule type="expression" dxfId="261" priority="22">
      <formula>E26&gt;25</formula>
    </cfRule>
  </conditionalFormatting>
  <conditionalFormatting sqref="E27:E28">
    <cfRule type="expression" dxfId="260" priority="19">
      <formula>E27&lt;18</formula>
    </cfRule>
    <cfRule type="expression" dxfId="259" priority="20">
      <formula>E27&gt;25</formula>
    </cfRule>
  </conditionalFormatting>
  <conditionalFormatting sqref="G26:G28 I26:I28 K26:K28">
    <cfRule type="expression" dxfId="258" priority="17">
      <formula>G26&lt;18</formula>
    </cfRule>
    <cfRule type="expression" dxfId="257" priority="18">
      <formula>G26&gt;25</formula>
    </cfRule>
  </conditionalFormatting>
  <conditionalFormatting sqref="E18">
    <cfRule type="expression" dxfId="256" priority="15">
      <formula>E18&lt;5.4</formula>
    </cfRule>
    <cfRule type="expression" dxfId="255" priority="16">
      <formula>E18&gt;5.8</formula>
    </cfRule>
  </conditionalFormatting>
  <conditionalFormatting sqref="E19">
    <cfRule type="expression" dxfId="254" priority="13">
      <formula>E19&lt;5.4</formula>
    </cfRule>
    <cfRule type="expression" dxfId="253" priority="14">
      <formula>E19&gt;5.8</formula>
    </cfRule>
  </conditionalFormatting>
  <conditionalFormatting sqref="I18:I19">
    <cfRule type="expression" dxfId="252" priority="9">
      <formula>I18&lt;5.4</formula>
    </cfRule>
    <cfRule type="expression" dxfId="251" priority="10">
      <formula>I18&gt;5.8</formula>
    </cfRule>
  </conditionalFormatting>
  <conditionalFormatting sqref="E30">
    <cfRule type="expression" dxfId="250" priority="7">
      <formula>E30&lt;42</formula>
    </cfRule>
    <cfRule type="expression" dxfId="249" priority="8">
      <formula>E30&gt;47</formula>
    </cfRule>
  </conditionalFormatting>
  <conditionalFormatting sqref="G30">
    <cfRule type="expression" dxfId="248" priority="5">
      <formula>G30&lt;42</formula>
    </cfRule>
    <cfRule type="expression" dxfId="247" priority="6">
      <formula>G30&gt;47</formula>
    </cfRule>
  </conditionalFormatting>
  <conditionalFormatting sqref="I30">
    <cfRule type="expression" dxfId="246" priority="3">
      <formula>I30&lt;42</formula>
    </cfRule>
    <cfRule type="expression" dxfId="245" priority="4">
      <formula>I30&gt;47</formula>
    </cfRule>
  </conditionalFormatting>
  <conditionalFormatting sqref="K30">
    <cfRule type="expression" dxfId="244" priority="1">
      <formula>K30&lt;42</formula>
    </cfRule>
    <cfRule type="expression" dxfId="243" priority="2">
      <formula>K30&gt;47</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32">
    <tabColor rgb="FFC00000"/>
  </sheetPr>
  <dimension ref="A1:AS114"/>
  <sheetViews>
    <sheetView topLeftCell="A85" zoomScale="55" zoomScaleNormal="55" workbookViewId="0">
      <selection activeCell="W107" sqref="W107"/>
    </sheetView>
  </sheetViews>
  <sheetFormatPr defaultRowHeight="15.75"/>
  <cols>
    <col min="1" max="1" width="17.25" style="13" customWidth="1"/>
    <col min="2" max="2" width="36.875" style="13" customWidth="1"/>
    <col min="3" max="3" width="6" style="13" customWidth="1"/>
    <col min="4" max="4" width="12" style="13" customWidth="1"/>
    <col min="5" max="5" width="18.875" style="13" customWidth="1"/>
    <col min="6" max="6" width="12" style="13" hidden="1" customWidth="1"/>
    <col min="7" max="7" width="12.875" style="13" hidden="1" customWidth="1"/>
    <col min="8" max="8" width="9.75" style="13" customWidth="1"/>
    <col min="9" max="9" width="8.375" style="13" hidden="1" customWidth="1"/>
    <col min="10" max="10" width="2.5" style="13" customWidth="1"/>
    <col min="11" max="11" width="8" style="13" customWidth="1"/>
    <col min="12" max="12" width="6.25" style="13" customWidth="1"/>
    <col min="13" max="13" width="6.625" style="13" hidden="1" customWidth="1"/>
    <col min="14" max="14" width="9" style="13" customWidth="1"/>
    <col min="15" max="15" width="5.75" style="13" hidden="1" customWidth="1"/>
    <col min="16" max="16" width="3" style="13" customWidth="1"/>
    <col min="17" max="17" width="8.375" style="13" customWidth="1"/>
    <col min="18" max="18" width="6.125" style="13" customWidth="1"/>
    <col min="19" max="19" width="9" style="13" hidden="1" customWidth="1"/>
    <col min="20" max="20" width="8.375" style="13" customWidth="1"/>
    <col min="21" max="21" width="9" style="13" hidden="1" customWidth="1"/>
    <col min="22" max="22" width="3.75" style="13" customWidth="1"/>
    <col min="23" max="23" width="9.75" style="13" customWidth="1"/>
    <col min="24" max="24" width="6.125" style="13" customWidth="1"/>
    <col min="25" max="25" width="9" style="13" hidden="1" customWidth="1"/>
    <col min="26" max="26" width="8.25" style="13" customWidth="1"/>
    <col min="27" max="27" width="9" style="13" hidden="1" customWidth="1"/>
    <col min="28" max="28" width="4" style="13" customWidth="1"/>
    <col min="29" max="29" width="7.75" style="13" customWidth="1"/>
    <col min="30" max="30" width="6.5" style="365" customWidth="1"/>
    <col min="31" max="31" width="9" style="13" hidden="1" customWidth="1"/>
    <col min="32" max="32" width="8.375" style="13" customWidth="1"/>
    <col min="33" max="33" width="9" style="13" hidden="1" customWidth="1"/>
    <col min="34" max="34" width="3.75" style="13" customWidth="1"/>
    <col min="35" max="35" width="9.75" style="13" customWidth="1"/>
    <col min="36" max="36" width="6.125" style="13" customWidth="1"/>
    <col min="37" max="37" width="9" style="13" hidden="1" customWidth="1"/>
    <col min="38" max="38" width="8.25" style="13" customWidth="1"/>
    <col min="39" max="39" width="9" style="13" hidden="1" customWidth="1"/>
    <col min="40" max="40" width="4" style="13" customWidth="1"/>
    <col min="41" max="41" width="7.75" style="13" customWidth="1"/>
    <col min="42" max="42" width="6.5" style="365" customWidth="1"/>
    <col min="43" max="43" width="13.875" style="13" hidden="1" customWidth="1"/>
    <col min="44" max="44" width="6.5" style="13" customWidth="1"/>
    <col min="45" max="45" width="19.625" style="13" customWidth="1"/>
    <col min="46" max="16384" width="9" style="13"/>
  </cols>
  <sheetData>
    <row r="1" spans="1:45" ht="51.75" customHeight="1">
      <c r="A1" s="464" t="s">
        <v>275</v>
      </c>
      <c r="B1" s="465"/>
      <c r="C1" s="465"/>
      <c r="D1" s="465"/>
      <c r="E1" s="465"/>
      <c r="F1" s="465"/>
      <c r="G1" s="465"/>
      <c r="H1" s="465"/>
      <c r="I1" s="465"/>
      <c r="J1" s="465"/>
      <c r="K1" s="465"/>
      <c r="L1" s="465"/>
      <c r="M1" s="465"/>
      <c r="N1" s="465"/>
      <c r="O1" s="465"/>
      <c r="P1" s="465"/>
      <c r="Q1" s="465"/>
      <c r="R1" s="465"/>
      <c r="S1" s="465"/>
      <c r="T1" s="465"/>
      <c r="U1" s="465"/>
      <c r="V1" s="465"/>
      <c r="W1" s="465"/>
      <c r="X1" s="465"/>
      <c r="Y1" s="465"/>
      <c r="Z1" s="465"/>
      <c r="AA1" s="465"/>
      <c r="AB1" s="465"/>
      <c r="AC1" s="465"/>
      <c r="AD1" s="465"/>
      <c r="AF1" s="317"/>
      <c r="AH1" s="876" t="s">
        <v>191</v>
      </c>
      <c r="AI1" s="466"/>
      <c r="AJ1" s="466"/>
      <c r="AK1" s="466"/>
      <c r="AL1" s="466"/>
      <c r="AM1" s="466"/>
      <c r="AN1" s="466"/>
      <c r="AO1" s="466"/>
      <c r="AP1" s="466"/>
      <c r="AQ1" s="466"/>
    </row>
    <row r="2" spans="1:45" ht="51" customHeight="1">
      <c r="A2" s="1292" t="str">
        <f>MENU!$AC$9</f>
        <v>2022/12/03</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F2" s="877"/>
      <c r="AH2" s="876" t="s">
        <v>192</v>
      </c>
      <c r="AI2" s="466"/>
      <c r="AJ2" s="466"/>
      <c r="AK2" s="466"/>
      <c r="AL2" s="466"/>
      <c r="AM2" s="466"/>
      <c r="AN2" s="466"/>
      <c r="AO2" s="466"/>
      <c r="AP2" s="466"/>
      <c r="AQ2" s="466"/>
    </row>
    <row r="3" spans="1:45" ht="41.25" customHeight="1">
      <c r="A3" s="1293" t="s">
        <v>464</v>
      </c>
      <c r="B3" s="1294"/>
      <c r="C3" s="1295"/>
      <c r="D3" s="1295"/>
      <c r="E3" s="1296"/>
      <c r="F3" s="1297" t="s">
        <v>75</v>
      </c>
      <c r="G3" s="1298"/>
      <c r="H3" s="862" t="s">
        <v>75</v>
      </c>
      <c r="I3" s="862"/>
      <c r="J3" s="862"/>
      <c r="K3" s="862"/>
      <c r="L3" s="862"/>
      <c r="M3" s="862"/>
      <c r="N3" s="862"/>
      <c r="O3" s="862"/>
      <c r="P3" s="862"/>
      <c r="Q3" s="862"/>
      <c r="R3" s="862"/>
      <c r="S3" s="862"/>
      <c r="T3" s="862"/>
      <c r="U3" s="862"/>
      <c r="V3" s="862"/>
      <c r="W3" s="862"/>
      <c r="X3" s="862"/>
      <c r="Y3" s="862"/>
      <c r="Z3" s="862"/>
      <c r="AA3" s="862"/>
      <c r="AB3" s="862"/>
      <c r="AC3" s="862"/>
      <c r="AD3" s="862"/>
      <c r="AE3" s="862"/>
      <c r="AF3" s="862"/>
      <c r="AG3" s="862"/>
      <c r="AH3" s="862"/>
      <c r="AI3" s="862"/>
      <c r="AJ3" s="862"/>
      <c r="AK3" s="862"/>
      <c r="AL3" s="862"/>
      <c r="AM3" s="862"/>
      <c r="AN3" s="862"/>
      <c r="AO3" s="862"/>
      <c r="AP3" s="862"/>
    </row>
    <row r="4" spans="1:45" s="365" customFormat="1" ht="33" customHeight="1">
      <c r="A4" s="1299"/>
      <c r="B4" s="1877" t="s">
        <v>79</v>
      </c>
      <c r="C4" s="1877"/>
      <c r="D4" s="2402" t="s">
        <v>137</v>
      </c>
      <c r="E4" s="2404" t="s">
        <v>67</v>
      </c>
      <c r="F4" s="469"/>
      <c r="G4" s="470"/>
      <c r="H4" s="2406" t="s">
        <v>465</v>
      </c>
      <c r="I4" s="2406"/>
      <c r="J4" s="2406"/>
      <c r="K4" s="2406"/>
      <c r="L4" s="2406"/>
      <c r="M4" s="471"/>
      <c r="N4" s="2407" t="s">
        <v>428</v>
      </c>
      <c r="O4" s="2407"/>
      <c r="P4" s="2407"/>
      <c r="Q4" s="2407"/>
      <c r="R4" s="2407"/>
      <c r="S4" s="471"/>
      <c r="T4" s="2406" t="s">
        <v>429</v>
      </c>
      <c r="U4" s="2406"/>
      <c r="V4" s="2406"/>
      <c r="W4" s="2406"/>
      <c r="X4" s="2406"/>
      <c r="Y4" s="471"/>
      <c r="Z4" s="2406" t="s">
        <v>430</v>
      </c>
      <c r="AA4" s="2406"/>
      <c r="AB4" s="2406"/>
      <c r="AC4" s="2406"/>
      <c r="AD4" s="2406"/>
      <c r="AE4" s="471"/>
      <c r="AF4" s="2406" t="s">
        <v>431</v>
      </c>
      <c r="AG4" s="2406"/>
      <c r="AH4" s="2406"/>
      <c r="AI4" s="2406"/>
      <c r="AJ4" s="2406"/>
      <c r="AK4" s="471"/>
      <c r="AL4" s="2406" t="s">
        <v>432</v>
      </c>
      <c r="AM4" s="2406"/>
      <c r="AN4" s="2406"/>
      <c r="AO4" s="2406"/>
      <c r="AP4" s="2406"/>
      <c r="AQ4" s="468"/>
    </row>
    <row r="5" spans="1:45" s="365" customFormat="1" ht="33" customHeight="1">
      <c r="A5" s="496" t="s">
        <v>276</v>
      </c>
      <c r="B5" s="1877"/>
      <c r="C5" s="1877"/>
      <c r="D5" s="2403"/>
      <c r="E5" s="2405"/>
      <c r="F5" s="473" t="s">
        <v>466</v>
      </c>
      <c r="G5" s="474"/>
      <c r="H5" s="1253" t="s">
        <v>783</v>
      </c>
      <c r="I5" s="348" t="s">
        <v>1</v>
      </c>
      <c r="J5" s="2408" t="s">
        <v>1</v>
      </c>
      <c r="K5" s="2408"/>
      <c r="L5" s="2408"/>
      <c r="M5" s="1300"/>
      <c r="N5" s="1253" t="s">
        <v>783</v>
      </c>
      <c r="O5" s="348" t="s">
        <v>1</v>
      </c>
      <c r="P5" s="2408" t="s">
        <v>1</v>
      </c>
      <c r="Q5" s="2408"/>
      <c r="R5" s="2409"/>
      <c r="S5" s="474"/>
      <c r="T5" s="1253" t="s">
        <v>783</v>
      </c>
      <c r="U5" s="348" t="s">
        <v>1</v>
      </c>
      <c r="V5" s="2408" t="s">
        <v>1</v>
      </c>
      <c r="W5" s="2408"/>
      <c r="X5" s="2409"/>
      <c r="Y5" s="1300"/>
      <c r="Z5" s="1253" t="s">
        <v>783</v>
      </c>
      <c r="AA5" s="348" t="s">
        <v>1</v>
      </c>
      <c r="AB5" s="2410" t="s">
        <v>1</v>
      </c>
      <c r="AC5" s="2410"/>
      <c r="AD5" s="2410"/>
      <c r="AE5" s="474"/>
      <c r="AF5" s="1253" t="s">
        <v>783</v>
      </c>
      <c r="AG5" s="348" t="s">
        <v>1</v>
      </c>
      <c r="AH5" s="2408" t="s">
        <v>1</v>
      </c>
      <c r="AI5" s="2408"/>
      <c r="AJ5" s="2409"/>
      <c r="AK5" s="1300"/>
      <c r="AL5" s="1253" t="s">
        <v>783</v>
      </c>
      <c r="AM5" s="348" t="s">
        <v>1</v>
      </c>
      <c r="AN5" s="2410" t="s">
        <v>1</v>
      </c>
      <c r="AO5" s="2410"/>
      <c r="AP5" s="2410"/>
      <c r="AQ5" s="496" t="s">
        <v>467</v>
      </c>
      <c r="AS5" s="1301" t="s">
        <v>1161</v>
      </c>
    </row>
    <row r="6" spans="1:45" ht="28.5" customHeight="1">
      <c r="A6" s="1302" t="s">
        <v>468</v>
      </c>
      <c r="B6" s="1964" t="s">
        <v>894</v>
      </c>
      <c r="C6" s="1966"/>
      <c r="D6" s="56" t="s">
        <v>3</v>
      </c>
      <c r="E6" s="57" t="s">
        <v>470</v>
      </c>
      <c r="F6" s="475">
        <v>12.5</v>
      </c>
      <c r="G6" s="476">
        <f>R.HN!C2</f>
        <v>0</v>
      </c>
      <c r="H6" s="356">
        <f>(1*G6*36.5)/(1*10)</f>
        <v>0</v>
      </c>
      <c r="I6" s="356">
        <f>($F$6-H6)*748/32</f>
        <v>292.1875</v>
      </c>
      <c r="J6" s="353" t="s">
        <v>8</v>
      </c>
      <c r="K6" s="357">
        <f>IF(I6&lt;0,0,I6)</f>
        <v>292.1875</v>
      </c>
      <c r="L6" s="364" t="s">
        <v>10</v>
      </c>
      <c r="M6" s="477">
        <f>R.HN!D2</f>
        <v>0</v>
      </c>
      <c r="N6" s="356">
        <f>(1*M6*36.5)/(1*10)</f>
        <v>0</v>
      </c>
      <c r="O6" s="356">
        <f>($F$6-N6)*748/32</f>
        <v>292.1875</v>
      </c>
      <c r="P6" s="353" t="s">
        <v>8</v>
      </c>
      <c r="Q6" s="357">
        <f>IF(O6&lt;0,0,O6)</f>
        <v>292.1875</v>
      </c>
      <c r="R6" s="320" t="s">
        <v>10</v>
      </c>
      <c r="S6" s="478">
        <f>R.HN!E2</f>
        <v>0</v>
      </c>
      <c r="T6" s="356">
        <f>(1*S6*36.5)/(1*10)</f>
        <v>0</v>
      </c>
      <c r="U6" s="356">
        <f>($F$6-T6)*748/32</f>
        <v>292.1875</v>
      </c>
      <c r="V6" s="353" t="s">
        <v>8</v>
      </c>
      <c r="W6" s="357">
        <f>IF(U6&lt;0,0,U6)</f>
        <v>292.1875</v>
      </c>
      <c r="X6" s="320" t="s">
        <v>10</v>
      </c>
      <c r="Y6" s="478">
        <f>R.HN!F2</f>
        <v>0</v>
      </c>
      <c r="Z6" s="356">
        <f>(1*Y6*36.5)/(1*10)</f>
        <v>0</v>
      </c>
      <c r="AA6" s="356">
        <f>($F$6-Z6)*748/32</f>
        <v>292.1875</v>
      </c>
      <c r="AB6" s="353" t="s">
        <v>8</v>
      </c>
      <c r="AC6" s="357">
        <f>IF(AA6&lt;0,0,AA6)</f>
        <v>292.1875</v>
      </c>
      <c r="AD6" s="320" t="s">
        <v>10</v>
      </c>
      <c r="AE6" s="478">
        <f>R.HN!G2</f>
        <v>0</v>
      </c>
      <c r="AF6" s="356">
        <f>(1*AE6*36.5)/(1*10)</f>
        <v>0</v>
      </c>
      <c r="AG6" s="356">
        <f>($F$6-AF6)*748/32</f>
        <v>292.1875</v>
      </c>
      <c r="AH6" s="353" t="s">
        <v>8</v>
      </c>
      <c r="AI6" s="357">
        <f>IF(AG6&lt;0,0,AG6)</f>
        <v>292.1875</v>
      </c>
      <c r="AJ6" s="320" t="s">
        <v>10</v>
      </c>
      <c r="AK6" s="478">
        <f>R.HN!H2</f>
        <v>0</v>
      </c>
      <c r="AL6" s="356">
        <f>(1*AK6*36.5)/(1*10)</f>
        <v>0</v>
      </c>
      <c r="AM6" s="356">
        <f>($F$6-AL6)*748/32</f>
        <v>292.1875</v>
      </c>
      <c r="AN6" s="353" t="s">
        <v>8</v>
      </c>
      <c r="AO6" s="357">
        <f>IF(AM6&lt;0,0,AM6)</f>
        <v>292.1875</v>
      </c>
      <c r="AP6" s="320" t="s">
        <v>10</v>
      </c>
      <c r="AQ6" s="13" t="s">
        <v>471</v>
      </c>
      <c r="AS6" s="1303" t="s">
        <v>1110</v>
      </c>
    </row>
    <row r="7" spans="1:45" ht="28.5" hidden="1" customHeight="1">
      <c r="A7" s="1302" t="s">
        <v>472</v>
      </c>
      <c r="B7" s="1964" t="s">
        <v>895</v>
      </c>
      <c r="C7" s="1966"/>
      <c r="D7" s="56" t="s">
        <v>3</v>
      </c>
      <c r="E7" s="57" t="s">
        <v>470</v>
      </c>
      <c r="F7" s="475">
        <v>12.5</v>
      </c>
      <c r="G7" s="476">
        <f>R.HN!C3</f>
        <v>0</v>
      </c>
      <c r="H7" s="1304">
        <f>(1*G7*36.5)/(1*10)</f>
        <v>0</v>
      </c>
      <c r="I7" s="1304">
        <f>($F$6-H7)*748/32</f>
        <v>292.1875</v>
      </c>
      <c r="J7" s="1305" t="s">
        <v>8</v>
      </c>
      <c r="K7" s="1306">
        <f>IF(I7&lt;0,0,I7)</f>
        <v>292.1875</v>
      </c>
      <c r="L7" s="1305" t="s">
        <v>10</v>
      </c>
      <c r="M7" s="1307">
        <f>R.HN!D3</f>
        <v>0</v>
      </c>
      <c r="N7" s="1304">
        <f>(1*M7*36.5)/(1*10)</f>
        <v>0</v>
      </c>
      <c r="O7" s="1304">
        <f>($F$6-N7)*748/32</f>
        <v>292.1875</v>
      </c>
      <c r="P7" s="1305" t="s">
        <v>8</v>
      </c>
      <c r="Q7" s="1306">
        <f>IF(O7&lt;0,0,O7)</f>
        <v>292.1875</v>
      </c>
      <c r="R7" s="1304" t="s">
        <v>10</v>
      </c>
      <c r="S7" s="1308">
        <f>R.HN!E3</f>
        <v>0</v>
      </c>
      <c r="T7" s="1304">
        <f>(1*S7*36.5)/(1*10)</f>
        <v>0</v>
      </c>
      <c r="U7" s="1304">
        <f>($F$6-T7)*748/32</f>
        <v>292.1875</v>
      </c>
      <c r="V7" s="1305" t="s">
        <v>8</v>
      </c>
      <c r="W7" s="1306">
        <f>IF(U7&lt;0,0,U7)</f>
        <v>292.1875</v>
      </c>
      <c r="X7" s="1304" t="s">
        <v>10</v>
      </c>
      <c r="Y7" s="1308">
        <f>R.HN!F3</f>
        <v>0</v>
      </c>
      <c r="Z7" s="1304">
        <f>(1*Y7*36.5)/(1*10)</f>
        <v>0</v>
      </c>
      <c r="AA7" s="1304">
        <f>($F$6-Z7)*748/32</f>
        <v>292.1875</v>
      </c>
      <c r="AB7" s="1305" t="s">
        <v>8</v>
      </c>
      <c r="AC7" s="1306">
        <f>IF(AA7&lt;0,0,AA7)</f>
        <v>292.1875</v>
      </c>
      <c r="AD7" s="1304" t="s">
        <v>10</v>
      </c>
      <c r="AE7" s="1308">
        <f>R.HN!G3</f>
        <v>0</v>
      </c>
      <c r="AF7" s="1304">
        <f>(1*AE7*36.5)/(1*10)</f>
        <v>0</v>
      </c>
      <c r="AG7" s="1304">
        <f>($F$6-AF7)*748/32</f>
        <v>292.1875</v>
      </c>
      <c r="AH7" s="1305" t="s">
        <v>8</v>
      </c>
      <c r="AI7" s="1306">
        <f>IF(AG7&lt;0,0,AG7)</f>
        <v>292.1875</v>
      </c>
      <c r="AJ7" s="1304" t="s">
        <v>10</v>
      </c>
      <c r="AK7" s="1308">
        <f>R.HN!H3</f>
        <v>0</v>
      </c>
      <c r="AL7" s="1304">
        <f>(1*AK7*36.5)/(1*10)</f>
        <v>0</v>
      </c>
      <c r="AM7" s="356">
        <f>($F$6-AL7)*748/32</f>
        <v>292.1875</v>
      </c>
      <c r="AN7" s="353" t="s">
        <v>8</v>
      </c>
      <c r="AO7" s="357">
        <f>IF(AM7&lt;0,0,AM7)</f>
        <v>292.1875</v>
      </c>
      <c r="AP7" s="320" t="s">
        <v>10</v>
      </c>
      <c r="AQ7" s="13" t="s">
        <v>471</v>
      </c>
    </row>
    <row r="8" spans="1:45" ht="33.75" customHeight="1">
      <c r="A8" s="1302" t="s">
        <v>473</v>
      </c>
      <c r="B8" s="1309" t="s">
        <v>838</v>
      </c>
      <c r="C8" s="2411">
        <f>R.HN!B4</f>
        <v>3</v>
      </c>
      <c r="D8" s="1310" t="s">
        <v>475</v>
      </c>
      <c r="E8" s="57" t="s">
        <v>1162</v>
      </c>
      <c r="F8" s="479">
        <v>50</v>
      </c>
      <c r="G8" s="476">
        <f>R.HN!C4</f>
        <v>0</v>
      </c>
      <c r="H8" s="356">
        <f>G8*10</f>
        <v>0</v>
      </c>
      <c r="I8" s="356">
        <f>($F$8-H8)*2*694/1000</f>
        <v>69.400000000000006</v>
      </c>
      <c r="J8" s="353" t="s">
        <v>8</v>
      </c>
      <c r="K8" s="357">
        <f>IF(I8&lt;0,0,I8)</f>
        <v>69.400000000000006</v>
      </c>
      <c r="L8" s="364" t="s">
        <v>9</v>
      </c>
      <c r="M8" s="477">
        <f>R.HN!D4</f>
        <v>0</v>
      </c>
      <c r="N8" s="356">
        <f>M8*10</f>
        <v>0</v>
      </c>
      <c r="O8" s="356">
        <f>($F$8-N8)*2*694/1000</f>
        <v>69.400000000000006</v>
      </c>
      <c r="P8" s="353" t="s">
        <v>8</v>
      </c>
      <c r="Q8" s="357">
        <f>IF(O8&lt;0,0,O8)</f>
        <v>69.400000000000006</v>
      </c>
      <c r="R8" s="320" t="s">
        <v>9</v>
      </c>
      <c r="S8" s="478">
        <f>R.HN!E4</f>
        <v>0</v>
      </c>
      <c r="T8" s="356">
        <f>S8*10</f>
        <v>0</v>
      </c>
      <c r="U8" s="356">
        <f>($F$8-T8)*2*694/1000</f>
        <v>69.400000000000006</v>
      </c>
      <c r="V8" s="353" t="s">
        <v>8</v>
      </c>
      <c r="W8" s="357">
        <f>IF(U8&lt;0,0,U8)</f>
        <v>69.400000000000006</v>
      </c>
      <c r="X8" s="320" t="s">
        <v>9</v>
      </c>
      <c r="Y8" s="478">
        <f>R.HN!F4</f>
        <v>0</v>
      </c>
      <c r="Z8" s="356">
        <f>Y8*10</f>
        <v>0</v>
      </c>
      <c r="AA8" s="356">
        <f>($F$8-Z8)*2*694/1000</f>
        <v>69.400000000000006</v>
      </c>
      <c r="AB8" s="353" t="s">
        <v>8</v>
      </c>
      <c r="AC8" s="357">
        <f>IF(AA8&lt;0,0,AA8)</f>
        <v>69.400000000000006</v>
      </c>
      <c r="AD8" s="320" t="s">
        <v>9</v>
      </c>
      <c r="AE8" s="478">
        <f>R.HN!G4</f>
        <v>0</v>
      </c>
      <c r="AF8" s="356">
        <f>AE8*10</f>
        <v>0</v>
      </c>
      <c r="AG8" s="356">
        <f>($F$8-AF8)*2*694/1000</f>
        <v>69.400000000000006</v>
      </c>
      <c r="AH8" s="353" t="s">
        <v>8</v>
      </c>
      <c r="AI8" s="357">
        <f>IF(AG8&lt;0,0,AG8)</f>
        <v>69.400000000000006</v>
      </c>
      <c r="AJ8" s="320" t="s">
        <v>9</v>
      </c>
      <c r="AK8" s="478">
        <f>R.HN!H4</f>
        <v>0</v>
      </c>
      <c r="AL8" s="356">
        <f>AK8*10</f>
        <v>0</v>
      </c>
      <c r="AM8" s="356">
        <f>($F$8-AL8)*2*694/1000</f>
        <v>69.400000000000006</v>
      </c>
      <c r="AN8" s="353" t="s">
        <v>8</v>
      </c>
      <c r="AO8" s="357">
        <f>IF(AM8&lt;0,0,AM8)</f>
        <v>69.400000000000006</v>
      </c>
      <c r="AP8" s="320" t="s">
        <v>9</v>
      </c>
      <c r="AQ8" s="13" t="s">
        <v>471</v>
      </c>
      <c r="AS8" s="1303" t="s">
        <v>1112</v>
      </c>
    </row>
    <row r="9" spans="1:45" ht="33.75" customHeight="1">
      <c r="A9" s="1255" t="s">
        <v>476</v>
      </c>
      <c r="B9" s="1311" t="s">
        <v>839</v>
      </c>
      <c r="C9" s="2412"/>
      <c r="D9" s="1310" t="s">
        <v>475</v>
      </c>
      <c r="E9" s="57" t="s">
        <v>1163</v>
      </c>
      <c r="F9" s="480">
        <v>6.5</v>
      </c>
      <c r="G9" s="476">
        <f>R.HN!C5</f>
        <v>0</v>
      </c>
      <c r="H9" s="356">
        <f>IFERROR(H8/G9,0)</f>
        <v>0</v>
      </c>
      <c r="I9" s="356">
        <f>($F$9-H9)*694/1000</f>
        <v>4.5110000000000001</v>
      </c>
      <c r="J9" s="353"/>
      <c r="K9" s="357">
        <f>IF(I9&lt;0,0,I9)</f>
        <v>4.5110000000000001</v>
      </c>
      <c r="L9" s="364" t="s">
        <v>9</v>
      </c>
      <c r="M9" s="477">
        <f>R.HN!D5</f>
        <v>0</v>
      </c>
      <c r="N9" s="356">
        <f>IFERROR(N8/M9,0)</f>
        <v>0</v>
      </c>
      <c r="O9" s="356">
        <f>($F$9-N9)*694/1000</f>
        <v>4.5110000000000001</v>
      </c>
      <c r="P9" s="353"/>
      <c r="Q9" s="357">
        <f>IF(O9&lt;0,0,O9)</f>
        <v>4.5110000000000001</v>
      </c>
      <c r="R9" s="320" t="s">
        <v>9</v>
      </c>
      <c r="S9" s="478">
        <f>R.HN!E5</f>
        <v>0</v>
      </c>
      <c r="T9" s="356">
        <f>IFERROR(T8/S9,0)</f>
        <v>0</v>
      </c>
      <c r="U9" s="356">
        <f>($F$9-T9)*694/1000</f>
        <v>4.5110000000000001</v>
      </c>
      <c r="V9" s="353"/>
      <c r="W9" s="357">
        <f>IF(U9&lt;0,0,U9)</f>
        <v>4.5110000000000001</v>
      </c>
      <c r="X9" s="320" t="s">
        <v>9</v>
      </c>
      <c r="Y9" s="478">
        <f>R.HN!F5</f>
        <v>0</v>
      </c>
      <c r="Z9" s="356">
        <f>IFERROR(Z8/Y9,0)</f>
        <v>0</v>
      </c>
      <c r="AA9" s="356">
        <f>($F$9-Z9)*694/1000</f>
        <v>4.5110000000000001</v>
      </c>
      <c r="AB9" s="353"/>
      <c r="AC9" s="357">
        <f>IF(AA9&lt;0,0,AA9)</f>
        <v>4.5110000000000001</v>
      </c>
      <c r="AD9" s="320" t="s">
        <v>9</v>
      </c>
      <c r="AE9" s="478">
        <f>R.HN!G5</f>
        <v>0</v>
      </c>
      <c r="AF9" s="356">
        <f>IFERROR(AF8/AE9,0)</f>
        <v>0</v>
      </c>
      <c r="AG9" s="356">
        <f>($F$9-AF9)*694/1000</f>
        <v>4.5110000000000001</v>
      </c>
      <c r="AH9" s="353"/>
      <c r="AI9" s="357">
        <f>IF(AG9&lt;0,0,AG9)</f>
        <v>4.5110000000000001</v>
      </c>
      <c r="AJ9" s="320" t="s">
        <v>9</v>
      </c>
      <c r="AK9" s="478">
        <f>R.HN!H5</f>
        <v>0</v>
      </c>
      <c r="AL9" s="356">
        <f>IFERROR(AL8/AK9,0)</f>
        <v>0</v>
      </c>
      <c r="AM9" s="356">
        <f>($F$9-AL9)*694/1000</f>
        <v>4.5110000000000001</v>
      </c>
      <c r="AN9" s="353"/>
      <c r="AO9" s="357">
        <f>IF(AM9&lt;0,0,AM9)</f>
        <v>4.5110000000000001</v>
      </c>
      <c r="AP9" s="320" t="s">
        <v>9</v>
      </c>
      <c r="AQ9" s="13" t="s">
        <v>471</v>
      </c>
      <c r="AS9" s="1303" t="s">
        <v>1113</v>
      </c>
    </row>
    <row r="10" spans="1:45" ht="33.75" customHeight="1">
      <c r="A10" s="1302" t="s">
        <v>477</v>
      </c>
      <c r="B10" s="1312" t="s">
        <v>840</v>
      </c>
      <c r="C10" s="2413"/>
      <c r="D10" s="1310" t="s">
        <v>475</v>
      </c>
      <c r="E10" s="57" t="s">
        <v>1164</v>
      </c>
      <c r="F10" s="475">
        <v>0.4</v>
      </c>
      <c r="G10" s="476">
        <f>R.HN!C6</f>
        <v>0</v>
      </c>
      <c r="H10" s="481">
        <f>G10</f>
        <v>0</v>
      </c>
      <c r="I10" s="356">
        <f>($F$10-H10)*5</f>
        <v>2</v>
      </c>
      <c r="J10" s="353"/>
      <c r="K10" s="359"/>
      <c r="L10" s="364"/>
      <c r="M10" s="477">
        <f>R.HN!D6</f>
        <v>0</v>
      </c>
      <c r="N10" s="481">
        <f>M10</f>
        <v>0</v>
      </c>
      <c r="O10" s="356">
        <f>($F$10-N10)*5</f>
        <v>2</v>
      </c>
      <c r="P10" s="353"/>
      <c r="Q10" s="359"/>
      <c r="R10" s="320"/>
      <c r="S10" s="478">
        <f>R.HN!E6</f>
        <v>0</v>
      </c>
      <c r="T10" s="481">
        <f>S10</f>
        <v>0</v>
      </c>
      <c r="U10" s="356">
        <f>($F$10-T10)*5</f>
        <v>2</v>
      </c>
      <c r="V10" s="353"/>
      <c r="W10" s="359"/>
      <c r="X10" s="320"/>
      <c r="Y10" s="478">
        <f>R.HN!F6</f>
        <v>0</v>
      </c>
      <c r="Z10" s="481">
        <f>Y10</f>
        <v>0</v>
      </c>
      <c r="AA10" s="356">
        <f>($F$10-Z10)*5</f>
        <v>2</v>
      </c>
      <c r="AB10" s="353"/>
      <c r="AC10" s="359"/>
      <c r="AD10" s="320"/>
      <c r="AE10" s="478">
        <f>R.HN!G6</f>
        <v>0</v>
      </c>
      <c r="AF10" s="481">
        <f>AE10</f>
        <v>0</v>
      </c>
      <c r="AG10" s="356">
        <f>($F$10-AF10)*5</f>
        <v>2</v>
      </c>
      <c r="AH10" s="353"/>
      <c r="AI10" s="359"/>
      <c r="AJ10" s="320"/>
      <c r="AK10" s="478">
        <f>R.HN!H6</f>
        <v>0</v>
      </c>
      <c r="AL10" s="481">
        <f>AK10</f>
        <v>0</v>
      </c>
      <c r="AM10" s="356">
        <f>($F$10-AL10)*5</f>
        <v>2</v>
      </c>
      <c r="AN10" s="353"/>
      <c r="AO10" s="359"/>
      <c r="AP10" s="320"/>
      <c r="AQ10" s="13" t="s">
        <v>471</v>
      </c>
      <c r="AS10" s="1303" t="s">
        <v>1114</v>
      </c>
    </row>
    <row r="11" spans="1:45" ht="33.75" customHeight="1">
      <c r="A11" s="1302" t="s">
        <v>479</v>
      </c>
      <c r="B11" s="1309" t="s">
        <v>838</v>
      </c>
      <c r="C11" s="2411">
        <f>R.HN!B7</f>
        <v>4</v>
      </c>
      <c r="D11" s="1310" t="s">
        <v>475</v>
      </c>
      <c r="E11" s="57" t="s">
        <v>1162</v>
      </c>
      <c r="F11" s="479">
        <v>50</v>
      </c>
      <c r="G11" s="476">
        <f>R.HN!C7</f>
        <v>0</v>
      </c>
      <c r="H11" s="356">
        <f>G11*10</f>
        <v>0</v>
      </c>
      <c r="I11" s="356">
        <f>($F$8-H11)*2*694/1000</f>
        <v>69.400000000000006</v>
      </c>
      <c r="J11" s="353" t="s">
        <v>8</v>
      </c>
      <c r="K11" s="357">
        <f>IF(I11&lt;0,0,I11)</f>
        <v>69.400000000000006</v>
      </c>
      <c r="L11" s="364" t="s">
        <v>9</v>
      </c>
      <c r="M11" s="477">
        <f>R.HN!D7</f>
        <v>0</v>
      </c>
      <c r="N11" s="356">
        <f>M11*10</f>
        <v>0</v>
      </c>
      <c r="O11" s="356">
        <f>($F$8-N11)*2*694/1000</f>
        <v>69.400000000000006</v>
      </c>
      <c r="P11" s="353" t="s">
        <v>8</v>
      </c>
      <c r="Q11" s="357">
        <f>IF(O11&lt;0,0,O11)</f>
        <v>69.400000000000006</v>
      </c>
      <c r="R11" s="320" t="s">
        <v>9</v>
      </c>
      <c r="S11" s="478">
        <f>R.HN!E7</f>
        <v>0</v>
      </c>
      <c r="T11" s="356">
        <f>S11*10</f>
        <v>0</v>
      </c>
      <c r="U11" s="356">
        <f>($F$8-T11)*2*694/1000</f>
        <v>69.400000000000006</v>
      </c>
      <c r="V11" s="353" t="s">
        <v>8</v>
      </c>
      <c r="W11" s="357">
        <f>IF(U11&lt;0,0,U11)</f>
        <v>69.400000000000006</v>
      </c>
      <c r="X11" s="320" t="s">
        <v>9</v>
      </c>
      <c r="Y11" s="478">
        <f>R.HN!F7</f>
        <v>0</v>
      </c>
      <c r="Z11" s="356">
        <f>Y11*10</f>
        <v>0</v>
      </c>
      <c r="AA11" s="356">
        <f>($F$8-Z11)*2*694/1000</f>
        <v>69.400000000000006</v>
      </c>
      <c r="AB11" s="353" t="s">
        <v>8</v>
      </c>
      <c r="AC11" s="357">
        <f>IF(AA11&lt;0,0,AA11)</f>
        <v>69.400000000000006</v>
      </c>
      <c r="AD11" s="320" t="s">
        <v>9</v>
      </c>
      <c r="AE11" s="478">
        <f>R.HN!G7</f>
        <v>0</v>
      </c>
      <c r="AF11" s="356">
        <f>AE11*10</f>
        <v>0</v>
      </c>
      <c r="AG11" s="356">
        <f>($F$8-AF11)*2*694/1000</f>
        <v>69.400000000000006</v>
      </c>
      <c r="AH11" s="353" t="s">
        <v>8</v>
      </c>
      <c r="AI11" s="357">
        <f>IF(AG11&lt;0,0,AG11)</f>
        <v>69.400000000000006</v>
      </c>
      <c r="AJ11" s="320" t="s">
        <v>9</v>
      </c>
      <c r="AK11" s="478">
        <f>R.HN!H7</f>
        <v>0</v>
      </c>
      <c r="AL11" s="356">
        <f>AK11*10</f>
        <v>0</v>
      </c>
      <c r="AM11" s="356">
        <f>($F$8-AL11)*2*694/1000</f>
        <v>69.400000000000006</v>
      </c>
      <c r="AN11" s="353" t="s">
        <v>8</v>
      </c>
      <c r="AO11" s="357">
        <f>IF(AM11&lt;0,0,AM11)</f>
        <v>69.400000000000006</v>
      </c>
      <c r="AP11" s="320" t="s">
        <v>9</v>
      </c>
      <c r="AQ11" s="13" t="s">
        <v>471</v>
      </c>
      <c r="AS11" s="1303" t="s">
        <v>1112</v>
      </c>
    </row>
    <row r="12" spans="1:45" ht="31.5" customHeight="1">
      <c r="A12" s="1302" t="s">
        <v>481</v>
      </c>
      <c r="B12" s="1311" t="s">
        <v>839</v>
      </c>
      <c r="C12" s="2412"/>
      <c r="D12" s="1310" t="s">
        <v>475</v>
      </c>
      <c r="E12" s="57" t="s">
        <v>1163</v>
      </c>
      <c r="F12" s="480">
        <v>6.5</v>
      </c>
      <c r="G12" s="476">
        <f>R.HN!C8</f>
        <v>0</v>
      </c>
      <c r="H12" s="356">
        <f>IFERROR(H11/G12,0)</f>
        <v>0</v>
      </c>
      <c r="I12" s="356">
        <f>($F$9-H12)*694/1000</f>
        <v>4.5110000000000001</v>
      </c>
      <c r="J12" s="353"/>
      <c r="K12" s="357">
        <f>IF(I12&lt;0,0,I12)</f>
        <v>4.5110000000000001</v>
      </c>
      <c r="L12" s="364" t="s">
        <v>9</v>
      </c>
      <c r="M12" s="477">
        <f>R.HN!D8</f>
        <v>0</v>
      </c>
      <c r="N12" s="356">
        <f>IFERROR(N11/M12,0)</f>
        <v>0</v>
      </c>
      <c r="O12" s="356">
        <f>($F$9-N12)*694/1000</f>
        <v>4.5110000000000001</v>
      </c>
      <c r="P12" s="353"/>
      <c r="Q12" s="357">
        <f>IF(O12&lt;0,0,O12)</f>
        <v>4.5110000000000001</v>
      </c>
      <c r="R12" s="320" t="s">
        <v>9</v>
      </c>
      <c r="S12" s="478">
        <f>R.HN!E8</f>
        <v>0</v>
      </c>
      <c r="T12" s="356">
        <f>IFERROR(T11/S12,0)</f>
        <v>0</v>
      </c>
      <c r="U12" s="356">
        <f>($F$9-T12)*694/1000</f>
        <v>4.5110000000000001</v>
      </c>
      <c r="V12" s="353"/>
      <c r="W12" s="357">
        <f>IF(U12&lt;0,0,U12)</f>
        <v>4.5110000000000001</v>
      </c>
      <c r="X12" s="320" t="s">
        <v>9</v>
      </c>
      <c r="Y12" s="478">
        <f>R.HN!F8</f>
        <v>0</v>
      </c>
      <c r="Z12" s="356">
        <f>IFERROR(Z11/Y12,0)</f>
        <v>0</v>
      </c>
      <c r="AA12" s="356">
        <f>($F$9-Z12)*694/1000</f>
        <v>4.5110000000000001</v>
      </c>
      <c r="AB12" s="353"/>
      <c r="AC12" s="357">
        <f>IF(AA12&lt;0,0,AA12)</f>
        <v>4.5110000000000001</v>
      </c>
      <c r="AD12" s="320" t="s">
        <v>9</v>
      </c>
      <c r="AE12" s="478">
        <f>R.HN!G8</f>
        <v>0</v>
      </c>
      <c r="AF12" s="356">
        <f>IFERROR(AF11/AE12,0)</f>
        <v>0</v>
      </c>
      <c r="AG12" s="356">
        <f>($F$9-AF12)*694/1000</f>
        <v>4.5110000000000001</v>
      </c>
      <c r="AH12" s="353"/>
      <c r="AI12" s="357">
        <f>IF(AG12&lt;0,0,AG12)</f>
        <v>4.5110000000000001</v>
      </c>
      <c r="AJ12" s="320" t="s">
        <v>9</v>
      </c>
      <c r="AK12" s="478">
        <f>R.HN!H8</f>
        <v>0</v>
      </c>
      <c r="AL12" s="356">
        <f>IFERROR(AL11/AK12,0)</f>
        <v>0</v>
      </c>
      <c r="AM12" s="356">
        <f>($F$9-AL12)*694/1000</f>
        <v>4.5110000000000001</v>
      </c>
      <c r="AN12" s="353"/>
      <c r="AO12" s="357">
        <f>IF(AM12&lt;0,0,AM12)</f>
        <v>4.5110000000000001</v>
      </c>
      <c r="AP12" s="320" t="s">
        <v>9</v>
      </c>
      <c r="AQ12" s="13" t="s">
        <v>471</v>
      </c>
      <c r="AS12" s="1303" t="s">
        <v>1113</v>
      </c>
    </row>
    <row r="13" spans="1:45" ht="31.5" customHeight="1">
      <c r="A13" s="1302" t="s">
        <v>482</v>
      </c>
      <c r="B13" s="1312" t="s">
        <v>840</v>
      </c>
      <c r="C13" s="2413"/>
      <c r="D13" s="1310" t="s">
        <v>475</v>
      </c>
      <c r="E13" s="57" t="s">
        <v>1164</v>
      </c>
      <c r="F13" s="475">
        <v>0.4</v>
      </c>
      <c r="G13" s="476">
        <f>R.HN!C9</f>
        <v>0</v>
      </c>
      <c r="H13" s="481">
        <f>G13</f>
        <v>0</v>
      </c>
      <c r="I13" s="356">
        <f>($F$10-H13)*5</f>
        <v>2</v>
      </c>
      <c r="J13" s="353"/>
      <c r="K13" s="359"/>
      <c r="L13" s="364"/>
      <c r="M13" s="477">
        <f>R.HN!D9</f>
        <v>0</v>
      </c>
      <c r="N13" s="481">
        <f>M13</f>
        <v>0</v>
      </c>
      <c r="O13" s="356">
        <f>($F$10-N13)*5</f>
        <v>2</v>
      </c>
      <c r="P13" s="353"/>
      <c r="Q13" s="359"/>
      <c r="R13" s="320"/>
      <c r="S13" s="478">
        <f>R.HN!E9</f>
        <v>0</v>
      </c>
      <c r="T13" s="481">
        <f>S13</f>
        <v>0</v>
      </c>
      <c r="U13" s="356">
        <f>($F$10-T13)*5</f>
        <v>2</v>
      </c>
      <c r="V13" s="353"/>
      <c r="W13" s="359"/>
      <c r="X13" s="320"/>
      <c r="Y13" s="478">
        <f>R.HN!F9</f>
        <v>0</v>
      </c>
      <c r="Z13" s="481">
        <f>Y13</f>
        <v>0</v>
      </c>
      <c r="AA13" s="356">
        <f>($F$10-Z13)*5</f>
        <v>2</v>
      </c>
      <c r="AB13" s="353"/>
      <c r="AC13" s="359"/>
      <c r="AD13" s="320"/>
      <c r="AE13" s="478">
        <f>R.HN!G9</f>
        <v>0</v>
      </c>
      <c r="AF13" s="481">
        <f>AE13</f>
        <v>0</v>
      </c>
      <c r="AG13" s="356">
        <f>($F$10-AF13)*5</f>
        <v>2</v>
      </c>
      <c r="AH13" s="353"/>
      <c r="AI13" s="359"/>
      <c r="AJ13" s="320"/>
      <c r="AK13" s="478">
        <f>R.HN!H9</f>
        <v>0</v>
      </c>
      <c r="AL13" s="481">
        <f>AK13</f>
        <v>0</v>
      </c>
      <c r="AM13" s="356">
        <f>($F$10-AL13)*5</f>
        <v>2</v>
      </c>
      <c r="AN13" s="353"/>
      <c r="AO13" s="359"/>
      <c r="AP13" s="320"/>
      <c r="AQ13" s="13" t="s">
        <v>471</v>
      </c>
      <c r="AS13" s="1303" t="s">
        <v>1114</v>
      </c>
    </row>
    <row r="14" spans="1:45" ht="31.5" customHeight="1">
      <c r="A14" s="1302" t="s">
        <v>483</v>
      </c>
      <c r="B14" s="1313" t="s">
        <v>484</v>
      </c>
      <c r="C14" s="1314"/>
      <c r="D14" s="1255" t="s">
        <v>475</v>
      </c>
      <c r="E14" s="57" t="s">
        <v>485</v>
      </c>
      <c r="F14" s="480">
        <v>1</v>
      </c>
      <c r="G14" s="476">
        <f>R.HN!C10</f>
        <v>0</v>
      </c>
      <c r="H14" s="356">
        <f>G14</f>
        <v>0</v>
      </c>
      <c r="I14" s="356">
        <f>($F$14-H14)*546/1000*8</f>
        <v>4.3680000000000003</v>
      </c>
      <c r="J14" s="353" t="s">
        <v>8</v>
      </c>
      <c r="K14" s="359">
        <f>IF(I14&lt;0,0,I14)</f>
        <v>4.3680000000000003</v>
      </c>
      <c r="L14" s="364" t="s">
        <v>9</v>
      </c>
      <c r="M14" s="477">
        <f>R.HN!D10</f>
        <v>0</v>
      </c>
      <c r="N14" s="356">
        <f>M14</f>
        <v>0</v>
      </c>
      <c r="O14" s="356">
        <f>($F$14-N14)*546/1000*8</f>
        <v>4.3680000000000003</v>
      </c>
      <c r="P14" s="353" t="s">
        <v>8</v>
      </c>
      <c r="Q14" s="359">
        <f>IF(O14&lt;0,0,O14)</f>
        <v>4.3680000000000003</v>
      </c>
      <c r="R14" s="320" t="s">
        <v>9</v>
      </c>
      <c r="S14" s="478">
        <f>R.HN!E10</f>
        <v>0</v>
      </c>
      <c r="T14" s="356">
        <f>S14</f>
        <v>0</v>
      </c>
      <c r="U14" s="356">
        <f>($F$14-T14)*546/1000*8</f>
        <v>4.3680000000000003</v>
      </c>
      <c r="V14" s="353" t="s">
        <v>8</v>
      </c>
      <c r="W14" s="359">
        <f>IF(U14&lt;0,0,U14)</f>
        <v>4.3680000000000003</v>
      </c>
      <c r="X14" s="320" t="s">
        <v>9</v>
      </c>
      <c r="Y14" s="478">
        <f>R.HN!F10</f>
        <v>0</v>
      </c>
      <c r="Z14" s="356">
        <f>Y14</f>
        <v>0</v>
      </c>
      <c r="AA14" s="356">
        <f>($F$14-Z14)*546/1000*8</f>
        <v>4.3680000000000003</v>
      </c>
      <c r="AB14" s="353" t="s">
        <v>8</v>
      </c>
      <c r="AC14" s="359">
        <f>IF(AA14&lt;0,0,AA14)</f>
        <v>4.3680000000000003</v>
      </c>
      <c r="AD14" s="320" t="s">
        <v>9</v>
      </c>
      <c r="AE14" s="478">
        <f>R.HN!G10</f>
        <v>0</v>
      </c>
      <c r="AF14" s="356">
        <f>AE14</f>
        <v>0</v>
      </c>
      <c r="AG14" s="356">
        <f>($F$14-AF14)*546/1000*8</f>
        <v>4.3680000000000003</v>
      </c>
      <c r="AH14" s="353" t="s">
        <v>8</v>
      </c>
      <c r="AI14" s="359">
        <f>IF(AG14&lt;0,0,AG14)</f>
        <v>4.3680000000000003</v>
      </c>
      <c r="AJ14" s="320" t="s">
        <v>9</v>
      </c>
      <c r="AK14" s="478">
        <f>R.HN!H10</f>
        <v>0</v>
      </c>
      <c r="AL14" s="356">
        <f>AK14</f>
        <v>0</v>
      </c>
      <c r="AM14" s="356">
        <f>($F$14-AL14)*546/1000*8</f>
        <v>4.3680000000000003</v>
      </c>
      <c r="AN14" s="353" t="s">
        <v>8</v>
      </c>
      <c r="AO14" s="359">
        <f>IF(AM14&lt;0,0,AM14)</f>
        <v>4.3680000000000003</v>
      </c>
      <c r="AP14" s="320" t="s">
        <v>9</v>
      </c>
      <c r="AQ14" s="13" t="s">
        <v>471</v>
      </c>
      <c r="AS14" s="466"/>
    </row>
    <row r="15" spans="1:45" ht="31.5" customHeight="1">
      <c r="A15" s="1302" t="s">
        <v>486</v>
      </c>
      <c r="B15" s="1315" t="s">
        <v>5</v>
      </c>
      <c r="C15" s="1316"/>
      <c r="D15" s="1255" t="s">
        <v>5</v>
      </c>
      <c r="E15" s="57" t="s">
        <v>487</v>
      </c>
      <c r="F15" s="482">
        <v>9.5</v>
      </c>
      <c r="G15" s="476">
        <f>R.HN!C11</f>
        <v>0</v>
      </c>
      <c r="H15" s="356">
        <f>G15</f>
        <v>0</v>
      </c>
      <c r="I15" s="356"/>
      <c r="J15" s="353"/>
      <c r="K15" s="357"/>
      <c r="L15" s="364"/>
      <c r="M15" s="477">
        <f>R.HN!D11</f>
        <v>0</v>
      </c>
      <c r="N15" s="356">
        <f>M15</f>
        <v>0</v>
      </c>
      <c r="O15" s="356"/>
      <c r="P15" s="353"/>
      <c r="Q15" s="357"/>
      <c r="R15" s="320"/>
      <c r="S15" s="478">
        <f>R.HN!E11</f>
        <v>0</v>
      </c>
      <c r="T15" s="356">
        <f>S15</f>
        <v>0</v>
      </c>
      <c r="U15" s="356"/>
      <c r="V15" s="353"/>
      <c r="W15" s="357"/>
      <c r="X15" s="320"/>
      <c r="Y15" s="478">
        <f>R.HN!F11</f>
        <v>0</v>
      </c>
      <c r="Z15" s="356">
        <f>Y15</f>
        <v>0</v>
      </c>
      <c r="AA15" s="356"/>
      <c r="AB15" s="353"/>
      <c r="AC15" s="357"/>
      <c r="AD15" s="320"/>
      <c r="AE15" s="478">
        <f>R.HN!G11</f>
        <v>0</v>
      </c>
      <c r="AF15" s="356">
        <f>AE15</f>
        <v>0</v>
      </c>
      <c r="AG15" s="356"/>
      <c r="AH15" s="353"/>
      <c r="AI15" s="357"/>
      <c r="AJ15" s="320"/>
      <c r="AK15" s="478">
        <f>R.HN!H11</f>
        <v>0</v>
      </c>
      <c r="AL15" s="356">
        <f>AK15</f>
        <v>0</v>
      </c>
      <c r="AM15" s="356"/>
      <c r="AN15" s="353"/>
      <c r="AO15" s="357"/>
      <c r="AP15" s="320"/>
      <c r="AQ15" s="13" t="s">
        <v>471</v>
      </c>
      <c r="AS15" s="466"/>
    </row>
    <row r="16" spans="1:45" ht="33" customHeight="1">
      <c r="A16" s="1317" t="s">
        <v>76</v>
      </c>
      <c r="B16" s="360"/>
      <c r="C16" s="360"/>
      <c r="D16" s="360"/>
      <c r="E16" s="349"/>
      <c r="F16" s="360"/>
      <c r="G16" s="360"/>
      <c r="H16" s="360"/>
      <c r="I16" s="360"/>
      <c r="J16" s="360"/>
      <c r="K16" s="360"/>
      <c r="L16" s="360"/>
      <c r="M16" s="360"/>
      <c r="N16" s="366"/>
      <c r="O16" s="360"/>
      <c r="P16" s="360"/>
      <c r="Q16" s="360"/>
      <c r="R16" s="366"/>
      <c r="S16" s="360"/>
      <c r="T16" s="366"/>
      <c r="U16" s="360"/>
      <c r="V16" s="360"/>
      <c r="W16" s="360"/>
      <c r="X16" s="360"/>
      <c r="Y16" s="360"/>
      <c r="Z16" s="360"/>
      <c r="AA16" s="360"/>
      <c r="AB16" s="360"/>
      <c r="AC16" s="360"/>
      <c r="AD16" s="360"/>
      <c r="AE16" s="366"/>
      <c r="AF16" s="366"/>
      <c r="AG16" s="366"/>
      <c r="AH16" s="366"/>
      <c r="AI16" s="366"/>
      <c r="AJ16" s="366"/>
      <c r="AK16" s="366"/>
      <c r="AL16" s="366"/>
      <c r="AM16" s="366"/>
      <c r="AN16" s="366"/>
      <c r="AO16" s="366"/>
      <c r="AP16" s="1318"/>
    </row>
    <row r="17" spans="1:45" ht="47.25" customHeight="1">
      <c r="A17" s="1302" t="s">
        <v>276</v>
      </c>
      <c r="B17" s="1899" t="s">
        <v>64</v>
      </c>
      <c r="C17" s="1901"/>
      <c r="D17" s="326" t="s">
        <v>66</v>
      </c>
      <c r="E17" s="326" t="s">
        <v>67</v>
      </c>
      <c r="F17" s="483"/>
      <c r="G17" s="483"/>
      <c r="H17" s="361" t="s">
        <v>48</v>
      </c>
      <c r="I17" s="362"/>
      <c r="J17" s="362"/>
      <c r="K17" s="361" t="s">
        <v>65</v>
      </c>
      <c r="L17" s="363"/>
      <c r="M17" s="326"/>
      <c r="N17" s="361" t="s">
        <v>48</v>
      </c>
      <c r="O17" s="362"/>
      <c r="P17" s="362"/>
      <c r="Q17" s="361" t="s">
        <v>65</v>
      </c>
      <c r="R17" s="363"/>
      <c r="S17" s="1319"/>
      <c r="T17" s="361" t="s">
        <v>48</v>
      </c>
      <c r="U17" s="362"/>
      <c r="V17" s="362"/>
      <c r="W17" s="361" t="s">
        <v>65</v>
      </c>
      <c r="X17" s="363"/>
      <c r="Y17" s="1320"/>
      <c r="Z17" s="361" t="s">
        <v>48</v>
      </c>
      <c r="AA17" s="362"/>
      <c r="AB17" s="362"/>
      <c r="AC17" s="361" t="s">
        <v>65</v>
      </c>
      <c r="AD17" s="363"/>
      <c r="AE17" s="1320"/>
      <c r="AF17" s="361" t="s">
        <v>48</v>
      </c>
      <c r="AG17" s="362"/>
      <c r="AH17" s="362"/>
      <c r="AI17" s="361" t="s">
        <v>65</v>
      </c>
      <c r="AJ17" s="363"/>
      <c r="AK17" s="1320"/>
      <c r="AL17" s="361" t="s">
        <v>48</v>
      </c>
      <c r="AM17" s="362"/>
      <c r="AN17" s="362"/>
      <c r="AO17" s="361" t="s">
        <v>65</v>
      </c>
      <c r="AP17" s="363"/>
    </row>
    <row r="18" spans="1:45" ht="38.25" customHeight="1">
      <c r="A18" s="1302" t="s">
        <v>488</v>
      </c>
      <c r="B18" s="1899" t="s">
        <v>489</v>
      </c>
      <c r="C18" s="1901"/>
      <c r="D18" s="290" t="s">
        <v>216</v>
      </c>
      <c r="E18" s="57" t="s">
        <v>1165</v>
      </c>
      <c r="F18" s="484"/>
      <c r="G18" s="484"/>
      <c r="H18" s="1891">
        <f>'R.FILE GOC'!H18</f>
        <v>0</v>
      </c>
      <c r="I18" s="1892"/>
      <c r="J18" s="1892"/>
      <c r="K18" s="1891">
        <f>'R.FILE GOC'!K18</f>
        <v>0</v>
      </c>
      <c r="L18" s="1892"/>
      <c r="M18" s="1320"/>
      <c r="N18" s="1891">
        <f>'R.FILE GOC'!N18</f>
        <v>0</v>
      </c>
      <c r="O18" s="1892"/>
      <c r="P18" s="1892"/>
      <c r="Q18" s="1891">
        <f>'R.FILE GOC'!Q18</f>
        <v>0</v>
      </c>
      <c r="R18" s="1892"/>
      <c r="S18" s="1320"/>
      <c r="T18" s="1891">
        <f>'R.FILE GOC'!T18</f>
        <v>0</v>
      </c>
      <c r="U18" s="1892"/>
      <c r="V18" s="1892"/>
      <c r="W18" s="1891">
        <f>'R.FILE GOC'!W18</f>
        <v>0</v>
      </c>
      <c r="X18" s="1892"/>
      <c r="Y18" s="1320"/>
      <c r="Z18" s="1891">
        <f>'R.FILE GOC'!Z18</f>
        <v>0</v>
      </c>
      <c r="AA18" s="1892"/>
      <c r="AB18" s="1892"/>
      <c r="AC18" s="1891">
        <f>'R.FILE GOC'!AC18</f>
        <v>0</v>
      </c>
      <c r="AD18" s="1892"/>
      <c r="AE18" s="1320"/>
      <c r="AF18" s="1891">
        <f>'R.FILE GOC'!AF18</f>
        <v>0</v>
      </c>
      <c r="AG18" s="1892"/>
      <c r="AH18" s="1892"/>
      <c r="AI18" s="1891">
        <f>'R.FILE GOC'!AI18</f>
        <v>0</v>
      </c>
      <c r="AJ18" s="1892"/>
      <c r="AK18" s="1320"/>
      <c r="AL18" s="1891">
        <f>'R.FILE GOC'!AL18</f>
        <v>0</v>
      </c>
      <c r="AM18" s="1892"/>
      <c r="AN18" s="1892"/>
      <c r="AO18" s="1891">
        <f>'R.FILE GOC'!AO18</f>
        <v>0</v>
      </c>
      <c r="AP18" s="1892"/>
      <c r="AQ18" s="13" t="s">
        <v>471</v>
      </c>
    </row>
    <row r="19" spans="1:45" ht="38.25" customHeight="1">
      <c r="A19" s="1302" t="s">
        <v>490</v>
      </c>
      <c r="B19" s="1899" t="s">
        <v>491</v>
      </c>
      <c r="C19" s="1901"/>
      <c r="D19" s="290" t="s">
        <v>216</v>
      </c>
      <c r="E19" s="57" t="s">
        <v>1165</v>
      </c>
      <c r="F19" s="484"/>
      <c r="G19" s="484"/>
      <c r="H19" s="1891">
        <f>'R.FILE GOC'!H19</f>
        <v>0</v>
      </c>
      <c r="I19" s="1892"/>
      <c r="J19" s="1892"/>
      <c r="K19" s="1891">
        <f>'R.FILE GOC'!K19</f>
        <v>0</v>
      </c>
      <c r="L19" s="1892"/>
      <c r="M19" s="1320"/>
      <c r="N19" s="1891">
        <f>'R.FILE GOC'!N19</f>
        <v>0</v>
      </c>
      <c r="O19" s="1892"/>
      <c r="P19" s="1892"/>
      <c r="Q19" s="1891">
        <f>'R.FILE GOC'!Q19</f>
        <v>0</v>
      </c>
      <c r="R19" s="1892"/>
      <c r="S19" s="1320"/>
      <c r="T19" s="1891">
        <f>'R.FILE GOC'!T19</f>
        <v>0</v>
      </c>
      <c r="U19" s="1892"/>
      <c r="V19" s="1892"/>
      <c r="W19" s="1891">
        <f>'R.FILE GOC'!W19</f>
        <v>0</v>
      </c>
      <c r="X19" s="1892"/>
      <c r="Y19" s="1320"/>
      <c r="Z19" s="1891">
        <f>'R.FILE GOC'!Z19</f>
        <v>0</v>
      </c>
      <c r="AA19" s="1892"/>
      <c r="AB19" s="1892"/>
      <c r="AC19" s="1891">
        <f>'R.FILE GOC'!AC19</f>
        <v>0</v>
      </c>
      <c r="AD19" s="1892"/>
      <c r="AE19" s="1320"/>
      <c r="AF19" s="1891">
        <f>'R.FILE GOC'!AF19</f>
        <v>0</v>
      </c>
      <c r="AG19" s="1892"/>
      <c r="AH19" s="1892"/>
      <c r="AI19" s="1891">
        <f>'R.FILE GOC'!AI19</f>
        <v>0</v>
      </c>
      <c r="AJ19" s="1892"/>
      <c r="AK19" s="1320"/>
      <c r="AL19" s="1891">
        <f>'R.FILE GOC'!AL19</f>
        <v>0</v>
      </c>
      <c r="AM19" s="1892"/>
      <c r="AN19" s="1892"/>
      <c r="AO19" s="1891">
        <f>'R.FILE GOC'!AO19</f>
        <v>0</v>
      </c>
      <c r="AP19" s="1892"/>
      <c r="AQ19" s="13" t="s">
        <v>471</v>
      </c>
    </row>
    <row r="20" spans="1:45" ht="38.25" customHeight="1">
      <c r="A20" s="1302" t="s">
        <v>492</v>
      </c>
      <c r="B20" s="1899" t="s">
        <v>484</v>
      </c>
      <c r="C20" s="1901"/>
      <c r="D20" s="290" t="s">
        <v>216</v>
      </c>
      <c r="E20" s="57" t="s">
        <v>1166</v>
      </c>
      <c r="F20" s="484"/>
      <c r="G20" s="484"/>
      <c r="H20" s="1891">
        <f>'R.FILE GOC'!H20</f>
        <v>0</v>
      </c>
      <c r="I20" s="1892"/>
      <c r="J20" s="1892"/>
      <c r="K20" s="1891">
        <f>'R.FILE GOC'!K20</f>
        <v>0</v>
      </c>
      <c r="L20" s="1892"/>
      <c r="M20" s="1320"/>
      <c r="N20" s="1891">
        <f>'R.FILE GOC'!N20</f>
        <v>0</v>
      </c>
      <c r="O20" s="1892"/>
      <c r="P20" s="1892"/>
      <c r="Q20" s="1891">
        <f>'R.FILE GOC'!Q20</f>
        <v>0</v>
      </c>
      <c r="R20" s="1892"/>
      <c r="S20" s="1320"/>
      <c r="T20" s="1891">
        <f>'R.FILE GOC'!T20</f>
        <v>0</v>
      </c>
      <c r="U20" s="1892"/>
      <c r="V20" s="1892"/>
      <c r="W20" s="1891">
        <f>'R.FILE GOC'!W20</f>
        <v>0</v>
      </c>
      <c r="X20" s="1892"/>
      <c r="Y20" s="1320"/>
      <c r="Z20" s="1891">
        <f>'R.FILE GOC'!Z20</f>
        <v>0</v>
      </c>
      <c r="AA20" s="1892"/>
      <c r="AB20" s="1892"/>
      <c r="AC20" s="1891">
        <f>'R.FILE GOC'!AC20</f>
        <v>0</v>
      </c>
      <c r="AD20" s="1892"/>
      <c r="AE20" s="1320"/>
      <c r="AF20" s="1891">
        <f>'R.FILE GOC'!AF20</f>
        <v>0</v>
      </c>
      <c r="AG20" s="1892"/>
      <c r="AH20" s="1892"/>
      <c r="AI20" s="1891">
        <f>'R.FILE GOC'!AI20</f>
        <v>0</v>
      </c>
      <c r="AJ20" s="1892"/>
      <c r="AK20" s="1320"/>
      <c r="AL20" s="1891">
        <f>'R.FILE GOC'!AL20</f>
        <v>0</v>
      </c>
      <c r="AM20" s="1892"/>
      <c r="AN20" s="1892"/>
      <c r="AO20" s="1891">
        <f>'R.FILE GOC'!AO20</f>
        <v>0</v>
      </c>
      <c r="AP20" s="1892"/>
      <c r="AQ20" s="13" t="s">
        <v>471</v>
      </c>
    </row>
    <row r="21" spans="1:45" ht="27" customHeight="1">
      <c r="A21" s="485"/>
      <c r="B21" s="485"/>
      <c r="C21" s="485"/>
      <c r="D21" s="485"/>
      <c r="E21" s="485"/>
      <c r="F21" s="485"/>
      <c r="G21" s="485"/>
      <c r="H21" s="485"/>
      <c r="I21" s="485"/>
      <c r="J21" s="485"/>
      <c r="K21" s="485"/>
      <c r="L21" s="485"/>
      <c r="M21" s="485"/>
      <c r="N21" s="485"/>
      <c r="O21" s="485"/>
      <c r="P21" s="485"/>
      <c r="Q21" s="485"/>
      <c r="R21" s="485"/>
      <c r="S21" s="485"/>
      <c r="T21" s="485"/>
      <c r="U21" s="485"/>
      <c r="V21" s="485"/>
      <c r="W21" s="485"/>
      <c r="X21" s="485"/>
      <c r="Y21" s="485"/>
      <c r="Z21" s="485"/>
      <c r="AA21" s="485"/>
      <c r="AB21" s="485"/>
      <c r="AC21" s="485"/>
      <c r="AD21" s="485"/>
      <c r="AP21" s="13"/>
    </row>
    <row r="22" spans="1:45" ht="41.25" customHeight="1">
      <c r="A22" s="1293" t="s">
        <v>1167</v>
      </c>
      <c r="B22" s="1294"/>
      <c r="C22" s="1295"/>
      <c r="D22" s="1295"/>
      <c r="E22" s="1296"/>
      <c r="F22" s="1297" t="s">
        <v>75</v>
      </c>
      <c r="G22" s="1298"/>
      <c r="H22" s="862" t="s">
        <v>75</v>
      </c>
      <c r="I22" s="862"/>
      <c r="J22" s="862"/>
      <c r="K22" s="862"/>
      <c r="L22" s="862"/>
      <c r="M22" s="862"/>
      <c r="N22" s="862"/>
      <c r="O22" s="862"/>
      <c r="P22" s="862"/>
      <c r="Q22" s="862"/>
      <c r="R22" s="862"/>
      <c r="S22" s="862"/>
      <c r="T22" s="862"/>
      <c r="U22" s="862"/>
      <c r="V22" s="862"/>
      <c r="W22" s="862"/>
      <c r="X22" s="862"/>
      <c r="Y22" s="862"/>
      <c r="Z22" s="862"/>
      <c r="AA22" s="862"/>
      <c r="AB22" s="862"/>
      <c r="AC22" s="862"/>
      <c r="AD22" s="862"/>
      <c r="AE22" s="862"/>
      <c r="AF22" s="862"/>
      <c r="AG22" s="862"/>
      <c r="AH22" s="862"/>
      <c r="AI22" s="862"/>
      <c r="AJ22" s="862"/>
      <c r="AK22" s="862"/>
      <c r="AL22" s="862"/>
      <c r="AM22" s="862"/>
      <c r="AN22" s="862"/>
      <c r="AO22" s="862"/>
      <c r="AP22" s="862"/>
    </row>
    <row r="23" spans="1:45" ht="30" customHeight="1">
      <c r="A23" s="468"/>
      <c r="B23" s="2414" t="s">
        <v>79</v>
      </c>
      <c r="C23" s="2415"/>
      <c r="D23" s="2402" t="s">
        <v>137</v>
      </c>
      <c r="E23" s="2404" t="s">
        <v>67</v>
      </c>
      <c r="F23" s="487"/>
      <c r="G23" s="488"/>
      <c r="H23" s="2406" t="s">
        <v>465</v>
      </c>
      <c r="I23" s="2406"/>
      <c r="J23" s="2406"/>
      <c r="K23" s="2406"/>
      <c r="L23" s="2406"/>
      <c r="M23" s="471"/>
      <c r="N23" s="2407" t="s">
        <v>428</v>
      </c>
      <c r="O23" s="2407"/>
      <c r="P23" s="2407"/>
      <c r="Q23" s="2407"/>
      <c r="R23" s="2407"/>
      <c r="S23" s="471"/>
      <c r="T23" s="2406" t="s">
        <v>429</v>
      </c>
      <c r="U23" s="2406"/>
      <c r="V23" s="2406"/>
      <c r="W23" s="2406"/>
      <c r="X23" s="2406"/>
      <c r="Y23" s="471"/>
      <c r="Z23" s="2406" t="s">
        <v>430</v>
      </c>
      <c r="AA23" s="2406"/>
      <c r="AB23" s="2406"/>
      <c r="AC23" s="2406"/>
      <c r="AD23" s="2406"/>
      <c r="AE23" s="471"/>
      <c r="AF23" s="2406" t="s">
        <v>431</v>
      </c>
      <c r="AG23" s="2406"/>
      <c r="AH23" s="2406"/>
      <c r="AI23" s="2406"/>
      <c r="AJ23" s="2406"/>
      <c r="AK23" s="471"/>
      <c r="AL23" s="2406" t="s">
        <v>432</v>
      </c>
      <c r="AM23" s="2406"/>
      <c r="AN23" s="2406"/>
      <c r="AO23" s="2406"/>
      <c r="AP23" s="2406"/>
    </row>
    <row r="24" spans="1:45" ht="30" customHeight="1">
      <c r="A24" s="512" t="s">
        <v>276</v>
      </c>
      <c r="B24" s="2416"/>
      <c r="C24" s="2417"/>
      <c r="D24" s="2403"/>
      <c r="E24" s="2405"/>
      <c r="F24" s="473" t="s">
        <v>466</v>
      </c>
      <c r="G24" s="474"/>
      <c r="H24" s="1253" t="s">
        <v>783</v>
      </c>
      <c r="I24" s="348" t="s">
        <v>1</v>
      </c>
      <c r="J24" s="2408" t="s">
        <v>1</v>
      </c>
      <c r="K24" s="2408"/>
      <c r="L24" s="2408"/>
      <c r="M24" s="1300"/>
      <c r="N24" s="1253" t="s">
        <v>783</v>
      </c>
      <c r="O24" s="348" t="s">
        <v>1</v>
      </c>
      <c r="P24" s="2408" t="s">
        <v>1</v>
      </c>
      <c r="Q24" s="2408"/>
      <c r="R24" s="2409"/>
      <c r="S24" s="474"/>
      <c r="T24" s="1253" t="s">
        <v>783</v>
      </c>
      <c r="U24" s="348" t="s">
        <v>1</v>
      </c>
      <c r="V24" s="2408" t="s">
        <v>1</v>
      </c>
      <c r="W24" s="2408"/>
      <c r="X24" s="2409"/>
      <c r="Y24" s="1300"/>
      <c r="Z24" s="1253" t="s">
        <v>783</v>
      </c>
      <c r="AA24" s="348" t="s">
        <v>1</v>
      </c>
      <c r="AB24" s="2410" t="s">
        <v>1</v>
      </c>
      <c r="AC24" s="2410"/>
      <c r="AD24" s="2410"/>
      <c r="AE24" s="474"/>
      <c r="AF24" s="1253" t="s">
        <v>783</v>
      </c>
      <c r="AG24" s="348" t="s">
        <v>1</v>
      </c>
      <c r="AH24" s="2408" t="s">
        <v>1</v>
      </c>
      <c r="AI24" s="2408"/>
      <c r="AJ24" s="2409"/>
      <c r="AK24" s="1300"/>
      <c r="AL24" s="1253" t="s">
        <v>783</v>
      </c>
      <c r="AM24" s="348" t="s">
        <v>1</v>
      </c>
      <c r="AN24" s="2410" t="s">
        <v>1</v>
      </c>
      <c r="AO24" s="2410"/>
      <c r="AP24" s="2410"/>
      <c r="AS24" s="1301" t="s">
        <v>1161</v>
      </c>
    </row>
    <row r="25" spans="1:45" ht="35.25" customHeight="1">
      <c r="A25" s="1302" t="s">
        <v>1168</v>
      </c>
      <c r="B25" s="1964" t="s">
        <v>493</v>
      </c>
      <c r="C25" s="1966"/>
      <c r="D25" s="489" t="s">
        <v>475</v>
      </c>
      <c r="E25" s="57" t="s">
        <v>494</v>
      </c>
      <c r="F25" s="479">
        <v>40</v>
      </c>
      <c r="G25" s="476">
        <f>R.HN!C16</f>
        <v>3.9</v>
      </c>
      <c r="H25" s="356">
        <f>G25*10</f>
        <v>39</v>
      </c>
      <c r="I25" s="356">
        <f>($F$25-H25)*2330/1000</f>
        <v>2.33</v>
      </c>
      <c r="J25" s="353" t="s">
        <v>8</v>
      </c>
      <c r="K25" s="359">
        <f>IF(I25&lt;0,0,I25)</f>
        <v>2.33</v>
      </c>
      <c r="L25" s="364" t="s">
        <v>9</v>
      </c>
      <c r="M25" s="476">
        <f>R.HN!D16</f>
        <v>4.8</v>
      </c>
      <c r="N25" s="356">
        <f>M25*10</f>
        <v>48</v>
      </c>
      <c r="O25" s="356">
        <f>($F$25-N25)*2330/1000</f>
        <v>-18.64</v>
      </c>
      <c r="P25" s="353" t="s">
        <v>8</v>
      </c>
      <c r="Q25" s="359">
        <f>IF(O25&lt;0,0,O25)</f>
        <v>0</v>
      </c>
      <c r="R25" s="364" t="s">
        <v>9</v>
      </c>
      <c r="S25" s="476">
        <f>R.HN!E16</f>
        <v>0</v>
      </c>
      <c r="T25" s="356">
        <f>S25*10</f>
        <v>0</v>
      </c>
      <c r="U25" s="356">
        <f>($F$25-T25)*2330/1000</f>
        <v>93.2</v>
      </c>
      <c r="V25" s="353" t="s">
        <v>8</v>
      </c>
      <c r="W25" s="359">
        <f>IF(U25&lt;0,0,U25)</f>
        <v>93.2</v>
      </c>
      <c r="X25" s="364" t="s">
        <v>9</v>
      </c>
      <c r="Y25" s="476">
        <f>R.HN!F16</f>
        <v>0</v>
      </c>
      <c r="Z25" s="356">
        <f>Y25*10</f>
        <v>0</v>
      </c>
      <c r="AA25" s="356">
        <f>($F$25-Z25)*2330/1000</f>
        <v>93.2</v>
      </c>
      <c r="AB25" s="353" t="s">
        <v>8</v>
      </c>
      <c r="AC25" s="359">
        <f>IF(AA25&lt;0,0,AA25)</f>
        <v>93.2</v>
      </c>
      <c r="AD25" s="364" t="s">
        <v>9</v>
      </c>
      <c r="AE25" s="476">
        <f>R.HN!G16</f>
        <v>0</v>
      </c>
      <c r="AF25" s="356">
        <f>AE25*10</f>
        <v>0</v>
      </c>
      <c r="AG25" s="356">
        <f>($F$25-AF25)*2330/1000</f>
        <v>93.2</v>
      </c>
      <c r="AH25" s="353" t="s">
        <v>8</v>
      </c>
      <c r="AI25" s="359">
        <f>IF(AG25&lt;0,0,AG25)</f>
        <v>93.2</v>
      </c>
      <c r="AJ25" s="364" t="s">
        <v>9</v>
      </c>
      <c r="AK25" s="476">
        <f>R.HN!H16</f>
        <v>0</v>
      </c>
      <c r="AL25" s="356">
        <f>AK25*10</f>
        <v>0</v>
      </c>
      <c r="AM25" s="356">
        <f>($F$25-AL25)*2330/1000</f>
        <v>93.2</v>
      </c>
      <c r="AN25" s="353" t="s">
        <v>8</v>
      </c>
      <c r="AO25" s="359">
        <f>IF(AM25&lt;0,0,AM25)</f>
        <v>93.2</v>
      </c>
      <c r="AP25" s="364" t="s">
        <v>9</v>
      </c>
      <c r="AQ25" s="13" t="s">
        <v>495</v>
      </c>
      <c r="AS25" s="1303" t="s">
        <v>1111</v>
      </c>
    </row>
    <row r="26" spans="1:45" ht="30" customHeight="1">
      <c r="A26" s="1302" t="s">
        <v>1169</v>
      </c>
      <c r="B26" s="1964" t="s">
        <v>897</v>
      </c>
      <c r="C26" s="1966"/>
      <c r="D26" s="56" t="s">
        <v>3</v>
      </c>
      <c r="E26" s="57" t="s">
        <v>470</v>
      </c>
      <c r="F26" s="475">
        <v>12.5</v>
      </c>
      <c r="G26" s="476">
        <f>R.HN!C17</f>
        <v>3.6</v>
      </c>
      <c r="H26" s="356">
        <f>(1*G26*36.5)/(1*10)</f>
        <v>13.14</v>
      </c>
      <c r="I26" s="356">
        <f>($F$26-H26)*2605/32</f>
        <v>-52.100000000000044</v>
      </c>
      <c r="J26" s="353" t="s">
        <v>8</v>
      </c>
      <c r="K26" s="357">
        <f>IF(I26&lt;0,0,I26)</f>
        <v>0</v>
      </c>
      <c r="L26" s="364" t="s">
        <v>10</v>
      </c>
      <c r="M26" s="476">
        <f>R.HN!D17</f>
        <v>3.1</v>
      </c>
      <c r="N26" s="356">
        <f>(1*M26*36.5)/(1*10)</f>
        <v>11.315000000000001</v>
      </c>
      <c r="O26" s="356">
        <f>($F$26-N26)*2605/32</f>
        <v>96.466406249999892</v>
      </c>
      <c r="P26" s="353" t="s">
        <v>8</v>
      </c>
      <c r="Q26" s="357">
        <f>IF(O26&lt;0,0,O26)</f>
        <v>96.466406249999892</v>
      </c>
      <c r="R26" s="364" t="s">
        <v>10</v>
      </c>
      <c r="S26" s="476">
        <f>R.HN!E17</f>
        <v>0</v>
      </c>
      <c r="T26" s="356">
        <f>(1*S26*36.5)/(1*10)</f>
        <v>0</v>
      </c>
      <c r="U26" s="356">
        <f>($F$26-T26)*2605/32</f>
        <v>1017.578125</v>
      </c>
      <c r="V26" s="353" t="s">
        <v>8</v>
      </c>
      <c r="W26" s="357">
        <f>IF(U26&lt;0,0,U26)</f>
        <v>1017.578125</v>
      </c>
      <c r="X26" s="364" t="s">
        <v>10</v>
      </c>
      <c r="Y26" s="476">
        <f>R.HN!F17</f>
        <v>0</v>
      </c>
      <c r="Z26" s="356">
        <f>(1*Y26*36.5)/(1*10)</f>
        <v>0</v>
      </c>
      <c r="AA26" s="356">
        <f>($F$26-Z26)*2605/32</f>
        <v>1017.578125</v>
      </c>
      <c r="AB26" s="353" t="s">
        <v>8</v>
      </c>
      <c r="AC26" s="357">
        <f>IF(AA26&lt;0,0,AA26)</f>
        <v>1017.578125</v>
      </c>
      <c r="AD26" s="364" t="s">
        <v>10</v>
      </c>
      <c r="AE26" s="476">
        <f>R.HN!G17</f>
        <v>0</v>
      </c>
      <c r="AF26" s="356">
        <f>(1*AE26*36.5)/(1*10)</f>
        <v>0</v>
      </c>
      <c r="AG26" s="356">
        <f>($F$26-AF26)*2605/32</f>
        <v>1017.578125</v>
      </c>
      <c r="AH26" s="353" t="s">
        <v>8</v>
      </c>
      <c r="AI26" s="357">
        <f>IF(AG26&lt;0,0,AG26)</f>
        <v>1017.578125</v>
      </c>
      <c r="AJ26" s="364" t="s">
        <v>10</v>
      </c>
      <c r="AK26" s="476">
        <f>R.HN!H17</f>
        <v>0</v>
      </c>
      <c r="AL26" s="356">
        <f>(1*AK26*36.5)/(1*10)</f>
        <v>0</v>
      </c>
      <c r="AM26" s="356">
        <f>($F$26-AL26)*2605/32</f>
        <v>1017.578125</v>
      </c>
      <c r="AN26" s="353" t="s">
        <v>8</v>
      </c>
      <c r="AO26" s="357">
        <f>IF(AM26&lt;0,0,AM26)</f>
        <v>1017.578125</v>
      </c>
      <c r="AP26" s="364" t="s">
        <v>10</v>
      </c>
      <c r="AQ26" s="13" t="s">
        <v>495</v>
      </c>
      <c r="AS26" s="1303" t="s">
        <v>1110</v>
      </c>
    </row>
    <row r="27" spans="1:45" ht="30" customHeight="1">
      <c r="A27" s="1302" t="s">
        <v>1170</v>
      </c>
      <c r="B27" s="1309" t="s">
        <v>838</v>
      </c>
      <c r="C27" s="1321"/>
      <c r="D27" s="1310" t="s">
        <v>475</v>
      </c>
      <c r="E27" s="57" t="s">
        <v>1162</v>
      </c>
      <c r="F27" s="490">
        <v>50</v>
      </c>
      <c r="G27" s="476">
        <f>R.HN!C18</f>
        <v>5.6</v>
      </c>
      <c r="H27" s="356">
        <f>G27*10</f>
        <v>56</v>
      </c>
      <c r="I27" s="356">
        <f>($F$43-H27)*4935/1000</f>
        <v>-29.61</v>
      </c>
      <c r="J27" s="353" t="s">
        <v>8</v>
      </c>
      <c r="K27" s="357">
        <f>IF(I27&lt;0,0,I27)</f>
        <v>0</v>
      </c>
      <c r="L27" s="364" t="s">
        <v>9</v>
      </c>
      <c r="M27" s="476">
        <f>R.HN!D18</f>
        <v>5.4</v>
      </c>
      <c r="N27" s="356">
        <f>M27*10</f>
        <v>54</v>
      </c>
      <c r="O27" s="356">
        <f>($F$43-N27)*4935/1000</f>
        <v>-19.739999999999998</v>
      </c>
      <c r="P27" s="353" t="s">
        <v>8</v>
      </c>
      <c r="Q27" s="357">
        <f>IF(O27&lt;0,0,O27)</f>
        <v>0</v>
      </c>
      <c r="R27" s="364" t="s">
        <v>9</v>
      </c>
      <c r="S27" s="476">
        <f>R.HN!E18</f>
        <v>0</v>
      </c>
      <c r="T27" s="356">
        <f>S27*10</f>
        <v>0</v>
      </c>
      <c r="U27" s="356">
        <f>($F$43-T27)*4935/1000</f>
        <v>246.75</v>
      </c>
      <c r="V27" s="353" t="s">
        <v>8</v>
      </c>
      <c r="W27" s="357">
        <f>IF(U27&lt;0,0,U27)</f>
        <v>246.75</v>
      </c>
      <c r="X27" s="364" t="s">
        <v>9</v>
      </c>
      <c r="Y27" s="476">
        <f>R.HN!F18</f>
        <v>0</v>
      </c>
      <c r="Z27" s="356">
        <f>Y27*10</f>
        <v>0</v>
      </c>
      <c r="AA27" s="356">
        <f>($F$43-Z27)*4935/1000</f>
        <v>246.75</v>
      </c>
      <c r="AB27" s="353" t="s">
        <v>8</v>
      </c>
      <c r="AC27" s="357">
        <f>IF(AA27&lt;0,0,AA27)</f>
        <v>246.75</v>
      </c>
      <c r="AD27" s="364" t="s">
        <v>9</v>
      </c>
      <c r="AE27" s="476">
        <f>R.HN!G18</f>
        <v>0</v>
      </c>
      <c r="AF27" s="356">
        <f>AE27*10</f>
        <v>0</v>
      </c>
      <c r="AG27" s="356">
        <f>($F$43-AF27)*4935/1000</f>
        <v>246.75</v>
      </c>
      <c r="AH27" s="353" t="s">
        <v>8</v>
      </c>
      <c r="AI27" s="357">
        <f>IF(AG27&lt;0,0,AG27)</f>
        <v>246.75</v>
      </c>
      <c r="AJ27" s="364" t="s">
        <v>9</v>
      </c>
      <c r="AK27" s="476">
        <f>R.HN!H18</f>
        <v>0</v>
      </c>
      <c r="AL27" s="356">
        <f>AK27*10</f>
        <v>0</v>
      </c>
      <c r="AM27" s="356">
        <f>($F$43-AL27)*4935/1000</f>
        <v>246.75</v>
      </c>
      <c r="AN27" s="353" t="s">
        <v>8</v>
      </c>
      <c r="AO27" s="357">
        <f>IF(AM27&lt;0,0,AM27)</f>
        <v>246.75</v>
      </c>
      <c r="AP27" s="364" t="s">
        <v>9</v>
      </c>
      <c r="AQ27" s="13" t="s">
        <v>495</v>
      </c>
      <c r="AS27" s="1303" t="s">
        <v>1112</v>
      </c>
    </row>
    <row r="28" spans="1:45" ht="30" customHeight="1">
      <c r="A28" s="1302" t="s">
        <v>1171</v>
      </c>
      <c r="B28" s="1311" t="s">
        <v>839</v>
      </c>
      <c r="C28" s="1322"/>
      <c r="D28" s="1310" t="s">
        <v>475</v>
      </c>
      <c r="E28" s="57" t="s">
        <v>1163</v>
      </c>
      <c r="F28" s="476">
        <v>6.5</v>
      </c>
      <c r="G28" s="476">
        <f>R.HN!C19</f>
        <v>6.8</v>
      </c>
      <c r="H28" s="356">
        <f>IFERROR(H27/G28,0)</f>
        <v>8.2352941176470598</v>
      </c>
      <c r="I28" s="356">
        <f>($F$44-H28)*4935/1000</f>
        <v>-8.5636764705882396</v>
      </c>
      <c r="J28" s="353"/>
      <c r="K28" s="357">
        <f>IF(I28&lt;0,0,I28)</f>
        <v>0</v>
      </c>
      <c r="L28" s="364" t="s">
        <v>9</v>
      </c>
      <c r="M28" s="477">
        <f>R.HN!D19</f>
        <v>5.8</v>
      </c>
      <c r="N28" s="356">
        <f>IFERROR(N27/M28,0)</f>
        <v>9.3103448275862064</v>
      </c>
      <c r="O28" s="356">
        <f>($F$44-N28)*4935/1000</f>
        <v>-13.869051724137929</v>
      </c>
      <c r="P28" s="353"/>
      <c r="Q28" s="357">
        <f>IF(O28&lt;0,0,O28)</f>
        <v>0</v>
      </c>
      <c r="R28" s="364" t="s">
        <v>9</v>
      </c>
      <c r="S28" s="478">
        <f>R.HN!E19</f>
        <v>0</v>
      </c>
      <c r="T28" s="356">
        <f>IFERROR(T27/S28,0)</f>
        <v>0</v>
      </c>
      <c r="U28" s="356">
        <f>($F$44-T28)*4935/1000</f>
        <v>32.077500000000001</v>
      </c>
      <c r="V28" s="353"/>
      <c r="W28" s="357">
        <f>IF(U28&lt;0,0,U28)</f>
        <v>32.077500000000001</v>
      </c>
      <c r="X28" s="364" t="s">
        <v>9</v>
      </c>
      <c r="Y28" s="478">
        <f>R.HN!F19</f>
        <v>0</v>
      </c>
      <c r="Z28" s="356">
        <f>IFERROR(Z27/Y28,0)</f>
        <v>0</v>
      </c>
      <c r="AA28" s="356">
        <f>($F$44-Z28)*4935/1000</f>
        <v>32.077500000000001</v>
      </c>
      <c r="AB28" s="353"/>
      <c r="AC28" s="357">
        <f>IF(AA28&lt;0,0,AA28)</f>
        <v>32.077500000000001</v>
      </c>
      <c r="AD28" s="364" t="s">
        <v>9</v>
      </c>
      <c r="AE28" s="476">
        <f>R.HN!G19</f>
        <v>0</v>
      </c>
      <c r="AF28" s="356">
        <f>IFERROR(AF27/AE28,0)</f>
        <v>0</v>
      </c>
      <c r="AG28" s="356">
        <f>($F$44-AF28)*4935/1000</f>
        <v>32.077500000000001</v>
      </c>
      <c r="AH28" s="353"/>
      <c r="AI28" s="357">
        <f>IF(AG28&lt;0,0,AG28)</f>
        <v>32.077500000000001</v>
      </c>
      <c r="AJ28" s="364" t="s">
        <v>9</v>
      </c>
      <c r="AK28" s="476">
        <f>R.HN!H19</f>
        <v>0</v>
      </c>
      <c r="AL28" s="356">
        <f>IFERROR(AL27/AK28,0)</f>
        <v>0</v>
      </c>
      <c r="AM28" s="356">
        <f>($F$44-AL28)*4935/1000</f>
        <v>32.077500000000001</v>
      </c>
      <c r="AN28" s="353"/>
      <c r="AO28" s="357">
        <f>IF(AM28&lt;0,0,AM28)</f>
        <v>32.077500000000001</v>
      </c>
      <c r="AP28" s="364" t="s">
        <v>9</v>
      </c>
      <c r="AQ28" s="13" t="s">
        <v>495</v>
      </c>
      <c r="AS28" s="1303" t="s">
        <v>1113</v>
      </c>
    </row>
    <row r="29" spans="1:45" ht="30" customHeight="1">
      <c r="A29" s="1302" t="s">
        <v>1172</v>
      </c>
      <c r="B29" s="1312" t="s">
        <v>840</v>
      </c>
      <c r="C29" s="1323"/>
      <c r="D29" s="1310" t="s">
        <v>475</v>
      </c>
      <c r="E29" s="57" t="s">
        <v>1164</v>
      </c>
      <c r="F29" s="493">
        <v>0.4</v>
      </c>
      <c r="G29" s="476">
        <f>R.HN!C20</f>
        <v>0.14000000000000001</v>
      </c>
      <c r="H29" s="481">
        <f>G29</f>
        <v>0.14000000000000001</v>
      </c>
      <c r="I29" s="356"/>
      <c r="J29" s="353"/>
      <c r="K29" s="359"/>
      <c r="L29" s="364"/>
      <c r="M29" s="476">
        <f>R.HN!D20</f>
        <v>0.4</v>
      </c>
      <c r="N29" s="481">
        <f>M29</f>
        <v>0.4</v>
      </c>
      <c r="O29" s="356"/>
      <c r="P29" s="353"/>
      <c r="Q29" s="359"/>
      <c r="R29" s="364"/>
      <c r="S29" s="476">
        <f>R.HN!E20</f>
        <v>0</v>
      </c>
      <c r="T29" s="481">
        <f>S29</f>
        <v>0</v>
      </c>
      <c r="U29" s="356"/>
      <c r="V29" s="353"/>
      <c r="W29" s="359"/>
      <c r="X29" s="364"/>
      <c r="Y29" s="476">
        <f>R.HN!F20</f>
        <v>0</v>
      </c>
      <c r="Z29" s="481">
        <f>Y29</f>
        <v>0</v>
      </c>
      <c r="AA29" s="356"/>
      <c r="AB29" s="353"/>
      <c r="AC29" s="359"/>
      <c r="AD29" s="364"/>
      <c r="AE29" s="476">
        <f>R.HN!G20</f>
        <v>0</v>
      </c>
      <c r="AF29" s="481">
        <f>AE29</f>
        <v>0</v>
      </c>
      <c r="AG29" s="356"/>
      <c r="AH29" s="353"/>
      <c r="AI29" s="359"/>
      <c r="AJ29" s="364"/>
      <c r="AK29" s="476">
        <f>R.HN!H20</f>
        <v>0</v>
      </c>
      <c r="AL29" s="481">
        <f>AK29</f>
        <v>0</v>
      </c>
      <c r="AM29" s="356"/>
      <c r="AN29" s="353"/>
      <c r="AO29" s="359"/>
      <c r="AP29" s="364"/>
      <c r="AQ29" s="13" t="s">
        <v>495</v>
      </c>
      <c r="AS29" s="1303" t="s">
        <v>1114</v>
      </c>
    </row>
    <row r="30" spans="1:45" ht="30" customHeight="1">
      <c r="A30" s="1302" t="s">
        <v>1173</v>
      </c>
      <c r="B30" s="1313" t="s">
        <v>484</v>
      </c>
      <c r="C30" s="1314"/>
      <c r="D30" s="1255" t="s">
        <v>475</v>
      </c>
      <c r="E30" s="57" t="s">
        <v>485</v>
      </c>
      <c r="F30" s="480">
        <v>1</v>
      </c>
      <c r="G30" s="476">
        <f>R.HN!C21</f>
        <v>0.95</v>
      </c>
      <c r="H30" s="356">
        <f>G30</f>
        <v>0.95</v>
      </c>
      <c r="I30" s="356">
        <f>($F$30-H30)*1234/1000</f>
        <v>6.1700000000000053E-2</v>
      </c>
      <c r="J30" s="353" t="s">
        <v>8</v>
      </c>
      <c r="K30" s="359">
        <f>IF(I30&lt;0,0,I30)</f>
        <v>6.1700000000000053E-2</v>
      </c>
      <c r="L30" s="364" t="s">
        <v>9</v>
      </c>
      <c r="M30" s="476">
        <f>R.HN!D21</f>
        <v>0.9</v>
      </c>
      <c r="N30" s="356">
        <f>M30</f>
        <v>0.9</v>
      </c>
      <c r="O30" s="356">
        <f>($F$30-N30)*1234/1000</f>
        <v>0.12339999999999998</v>
      </c>
      <c r="P30" s="353" t="s">
        <v>8</v>
      </c>
      <c r="Q30" s="359">
        <f>IF(O30&lt;0,0,O30)</f>
        <v>0.12339999999999998</v>
      </c>
      <c r="R30" s="364" t="s">
        <v>9</v>
      </c>
      <c r="S30" s="476">
        <f>R.HN!E21</f>
        <v>0</v>
      </c>
      <c r="T30" s="356">
        <f>S30</f>
        <v>0</v>
      </c>
      <c r="U30" s="356">
        <f>($F$30-T30)*1234/1000</f>
        <v>1.234</v>
      </c>
      <c r="V30" s="353" t="s">
        <v>8</v>
      </c>
      <c r="W30" s="359">
        <f>IF(U30&lt;0,0,U30)</f>
        <v>1.234</v>
      </c>
      <c r="X30" s="364" t="s">
        <v>9</v>
      </c>
      <c r="Y30" s="476">
        <f>R.HN!F21</f>
        <v>0</v>
      </c>
      <c r="Z30" s="356">
        <f>Y30</f>
        <v>0</v>
      </c>
      <c r="AA30" s="356">
        <f>($F$30-Z30)*1234/1000</f>
        <v>1.234</v>
      </c>
      <c r="AB30" s="353" t="s">
        <v>8</v>
      </c>
      <c r="AC30" s="359">
        <f>IF(AA30&lt;0,0,AA30)</f>
        <v>1.234</v>
      </c>
      <c r="AD30" s="364" t="s">
        <v>9</v>
      </c>
      <c r="AE30" s="476">
        <f>R.HN!G21</f>
        <v>0</v>
      </c>
      <c r="AF30" s="356">
        <f>AE30</f>
        <v>0</v>
      </c>
      <c r="AG30" s="356">
        <f>($F$30-AF30)*1234/1000</f>
        <v>1.234</v>
      </c>
      <c r="AH30" s="353" t="s">
        <v>8</v>
      </c>
      <c r="AI30" s="359">
        <f>IF(AG30&lt;0,0,AG30)</f>
        <v>1.234</v>
      </c>
      <c r="AJ30" s="364" t="s">
        <v>9</v>
      </c>
      <c r="AK30" s="476">
        <f>R.HN!H21</f>
        <v>0</v>
      </c>
      <c r="AL30" s="356">
        <f>AK30</f>
        <v>0</v>
      </c>
      <c r="AM30" s="356">
        <f>($F$30-AL30)*1234/1000</f>
        <v>1.234</v>
      </c>
      <c r="AN30" s="353" t="s">
        <v>8</v>
      </c>
      <c r="AO30" s="359">
        <f>IF(AM30&lt;0,0,AM30)</f>
        <v>1.234</v>
      </c>
      <c r="AP30" s="364" t="s">
        <v>9</v>
      </c>
      <c r="AQ30" s="13" t="s">
        <v>495</v>
      </c>
    </row>
    <row r="31" spans="1:45" ht="30" customHeight="1">
      <c r="A31" s="1302" t="s">
        <v>1174</v>
      </c>
      <c r="B31" s="1315" t="s">
        <v>5</v>
      </c>
      <c r="C31" s="1316"/>
      <c r="D31" s="1255" t="s">
        <v>5</v>
      </c>
      <c r="E31" s="57" t="s">
        <v>487</v>
      </c>
      <c r="F31" s="482">
        <v>9.5</v>
      </c>
      <c r="G31" s="476">
        <f>R.HN!C22</f>
        <v>9</v>
      </c>
      <c r="H31" s="356">
        <f>G31</f>
        <v>9</v>
      </c>
      <c r="I31" s="356"/>
      <c r="J31" s="353"/>
      <c r="K31" s="357"/>
      <c r="L31" s="364"/>
      <c r="M31" s="476">
        <f>R.HN!D22</f>
        <v>9</v>
      </c>
      <c r="N31" s="356">
        <f>M31</f>
        <v>9</v>
      </c>
      <c r="O31" s="356"/>
      <c r="P31" s="353"/>
      <c r="Q31" s="357"/>
      <c r="R31" s="364"/>
      <c r="S31" s="476">
        <f>R.HN!E22</f>
        <v>0</v>
      </c>
      <c r="T31" s="356">
        <f>S31</f>
        <v>0</v>
      </c>
      <c r="U31" s="356"/>
      <c r="V31" s="353"/>
      <c r="W31" s="357"/>
      <c r="X31" s="364"/>
      <c r="Y31" s="476">
        <f>R.HN!F22</f>
        <v>0</v>
      </c>
      <c r="Z31" s="356">
        <f>Y31</f>
        <v>0</v>
      </c>
      <c r="AA31" s="356"/>
      <c r="AB31" s="353"/>
      <c r="AC31" s="357"/>
      <c r="AD31" s="364"/>
      <c r="AE31" s="476">
        <f>R.HN!G22</f>
        <v>0</v>
      </c>
      <c r="AF31" s="356">
        <f>AE31</f>
        <v>0</v>
      </c>
      <c r="AG31" s="356"/>
      <c r="AH31" s="353"/>
      <c r="AI31" s="357"/>
      <c r="AJ31" s="364"/>
      <c r="AK31" s="476">
        <f>R.HN!H22</f>
        <v>0</v>
      </c>
      <c r="AL31" s="356">
        <f>AK31</f>
        <v>0</v>
      </c>
      <c r="AM31" s="356"/>
      <c r="AN31" s="353"/>
      <c r="AO31" s="357"/>
      <c r="AP31" s="364"/>
      <c r="AQ31" s="13" t="s">
        <v>495</v>
      </c>
    </row>
    <row r="32" spans="1:45" ht="33" customHeight="1">
      <c r="A32" s="1317" t="s">
        <v>76</v>
      </c>
      <c r="B32" s="360"/>
      <c r="C32" s="360"/>
      <c r="D32" s="360"/>
      <c r="E32" s="349"/>
      <c r="F32" s="360"/>
      <c r="G32" s="360"/>
      <c r="H32" s="360"/>
      <c r="I32" s="360"/>
      <c r="J32" s="360"/>
      <c r="K32" s="360"/>
      <c r="L32" s="360"/>
      <c r="M32" s="360"/>
      <c r="N32" s="366"/>
      <c r="O32" s="360"/>
      <c r="P32" s="360"/>
      <c r="Q32" s="360"/>
      <c r="R32" s="366"/>
      <c r="S32" s="360"/>
      <c r="T32" s="366"/>
      <c r="U32" s="360"/>
      <c r="V32" s="360"/>
      <c r="W32" s="360"/>
      <c r="X32" s="360"/>
      <c r="Y32" s="360"/>
      <c r="Z32" s="360"/>
      <c r="AA32" s="360"/>
      <c r="AB32" s="360"/>
      <c r="AC32" s="360"/>
      <c r="AD32" s="360"/>
      <c r="AE32" s="366"/>
      <c r="AF32" s="366"/>
      <c r="AG32" s="366"/>
      <c r="AH32" s="366"/>
      <c r="AI32" s="366"/>
      <c r="AJ32" s="366"/>
      <c r="AK32" s="366"/>
      <c r="AL32" s="366"/>
      <c r="AM32" s="366"/>
      <c r="AN32" s="366"/>
      <c r="AO32" s="366"/>
      <c r="AP32" s="1318"/>
    </row>
    <row r="33" spans="1:45" ht="33.75" customHeight="1">
      <c r="A33" s="56" t="s">
        <v>276</v>
      </c>
      <c r="B33" s="1899" t="s">
        <v>64</v>
      </c>
      <c r="C33" s="1901"/>
      <c r="D33" s="326" t="s">
        <v>66</v>
      </c>
      <c r="E33" s="326" t="s">
        <v>67</v>
      </c>
      <c r="F33" s="483"/>
      <c r="G33" s="483"/>
      <c r="H33" s="361" t="s">
        <v>48</v>
      </c>
      <c r="I33" s="362"/>
      <c r="J33" s="362"/>
      <c r="K33" s="361" t="s">
        <v>65</v>
      </c>
      <c r="L33" s="363"/>
      <c r="M33" s="326"/>
      <c r="N33" s="361" t="s">
        <v>48</v>
      </c>
      <c r="O33" s="362"/>
      <c r="P33" s="362"/>
      <c r="Q33" s="361" t="s">
        <v>65</v>
      </c>
      <c r="R33" s="363"/>
      <c r="S33" s="1319"/>
      <c r="T33" s="361" t="s">
        <v>48</v>
      </c>
      <c r="U33" s="362"/>
      <c r="V33" s="362"/>
      <c r="W33" s="361" t="s">
        <v>65</v>
      </c>
      <c r="X33" s="363"/>
      <c r="Y33" s="1320"/>
      <c r="Z33" s="361" t="s">
        <v>48</v>
      </c>
      <c r="AA33" s="362"/>
      <c r="AB33" s="362"/>
      <c r="AC33" s="361" t="s">
        <v>65</v>
      </c>
      <c r="AD33" s="363"/>
      <c r="AE33" s="1320"/>
      <c r="AF33" s="361" t="s">
        <v>48</v>
      </c>
      <c r="AG33" s="362"/>
      <c r="AH33" s="362"/>
      <c r="AI33" s="361" t="s">
        <v>65</v>
      </c>
      <c r="AJ33" s="363"/>
      <c r="AK33" s="1320"/>
      <c r="AL33" s="361" t="s">
        <v>48</v>
      </c>
      <c r="AM33" s="362"/>
      <c r="AN33" s="362"/>
      <c r="AO33" s="361" t="s">
        <v>65</v>
      </c>
      <c r="AP33" s="363"/>
    </row>
    <row r="34" spans="1:45" ht="30" customHeight="1">
      <c r="A34" s="1302" t="s">
        <v>1175</v>
      </c>
      <c r="B34" s="1899" t="s">
        <v>498</v>
      </c>
      <c r="C34" s="1901"/>
      <c r="D34" s="290" t="s">
        <v>216</v>
      </c>
      <c r="E34" s="57" t="s">
        <v>1176</v>
      </c>
      <c r="F34" s="484"/>
      <c r="G34" s="484"/>
      <c r="H34" s="2394">
        <f>'R.FILE GOC'!H34</f>
        <v>0</v>
      </c>
      <c r="I34" s="2395"/>
      <c r="J34" s="2395"/>
      <c r="K34" s="1891">
        <f>'R.FILE GOC'!K34</f>
        <v>60</v>
      </c>
      <c r="L34" s="1892"/>
      <c r="M34" s="1320"/>
      <c r="N34" s="2394">
        <f>'R.FILE GOC'!N34</f>
        <v>0</v>
      </c>
      <c r="O34" s="2395"/>
      <c r="P34" s="2395"/>
      <c r="Q34" s="1891">
        <f>'R.FILE GOC'!Q34</f>
        <v>61</v>
      </c>
      <c r="R34" s="1892"/>
      <c r="S34" s="1320"/>
      <c r="T34" s="2394">
        <f>'R.FILE GOC'!T34</f>
        <v>0</v>
      </c>
      <c r="U34" s="2395"/>
      <c r="V34" s="2395"/>
      <c r="W34" s="1891">
        <f>'R.FILE GOC'!W34</f>
        <v>60</v>
      </c>
      <c r="X34" s="1892"/>
      <c r="Y34" s="1320"/>
      <c r="Z34" s="2394">
        <f>'R.FILE GOC'!Z34</f>
        <v>0</v>
      </c>
      <c r="AA34" s="2395"/>
      <c r="AB34" s="2395"/>
      <c r="AC34" s="1891">
        <f>'R.FILE GOC'!AC34</f>
        <v>0</v>
      </c>
      <c r="AD34" s="1892"/>
      <c r="AE34" s="1320"/>
      <c r="AF34" s="2394">
        <f>'R.FILE GOC'!AF34</f>
        <v>0</v>
      </c>
      <c r="AG34" s="2395"/>
      <c r="AH34" s="2395"/>
      <c r="AI34" s="1891">
        <f>'R.FILE GOC'!AI34</f>
        <v>0</v>
      </c>
      <c r="AJ34" s="1892"/>
      <c r="AK34" s="1320"/>
      <c r="AL34" s="2394">
        <f>'R.FILE GOC'!AL34</f>
        <v>0</v>
      </c>
      <c r="AM34" s="2395"/>
      <c r="AN34" s="2395"/>
      <c r="AO34" s="1891">
        <f>'R.FILE GOC'!AO34</f>
        <v>0</v>
      </c>
      <c r="AP34" s="1892"/>
      <c r="AQ34" s="13" t="s">
        <v>495</v>
      </c>
    </row>
    <row r="35" spans="1:45" ht="30" customHeight="1">
      <c r="A35" s="1302" t="s">
        <v>1177</v>
      </c>
      <c r="B35" s="1899" t="s">
        <v>784</v>
      </c>
      <c r="C35" s="1901"/>
      <c r="D35" s="290" t="s">
        <v>216</v>
      </c>
      <c r="E35" s="57" t="s">
        <v>1165</v>
      </c>
      <c r="F35" s="484"/>
      <c r="G35" s="484"/>
      <c r="H35" s="2394">
        <f>'R.FILE GOC'!H35</f>
        <v>0</v>
      </c>
      <c r="I35" s="2395"/>
      <c r="J35" s="2395"/>
      <c r="K35" s="1891">
        <f>'R.FILE GOC'!K35</f>
        <v>70</v>
      </c>
      <c r="L35" s="1892"/>
      <c r="M35" s="1320"/>
      <c r="N35" s="2394">
        <f>'R.FILE GOC'!N35</f>
        <v>0</v>
      </c>
      <c r="O35" s="2395"/>
      <c r="P35" s="2395"/>
      <c r="Q35" s="1891">
        <f>'R.FILE GOC'!Q35</f>
        <v>69</v>
      </c>
      <c r="R35" s="1892"/>
      <c r="S35" s="1320"/>
      <c r="T35" s="2394">
        <f>'R.FILE GOC'!T35</f>
        <v>0</v>
      </c>
      <c r="U35" s="2395"/>
      <c r="V35" s="2395"/>
      <c r="W35" s="1891">
        <f>'R.FILE GOC'!W35</f>
        <v>67</v>
      </c>
      <c r="X35" s="1892"/>
      <c r="Y35" s="1320"/>
      <c r="Z35" s="2394">
        <f>'R.FILE GOC'!Z35</f>
        <v>0</v>
      </c>
      <c r="AA35" s="2395"/>
      <c r="AB35" s="2395"/>
      <c r="AC35" s="1891">
        <f>'R.FILE GOC'!AC35</f>
        <v>0</v>
      </c>
      <c r="AD35" s="1892"/>
      <c r="AE35" s="1320"/>
      <c r="AF35" s="2394">
        <f>'R.FILE GOC'!AF35</f>
        <v>0</v>
      </c>
      <c r="AG35" s="2395"/>
      <c r="AH35" s="2395"/>
      <c r="AI35" s="1891">
        <f>'R.FILE GOC'!AI35</f>
        <v>0</v>
      </c>
      <c r="AJ35" s="1892"/>
      <c r="AK35" s="1320"/>
      <c r="AL35" s="2394">
        <f>'R.FILE GOC'!AL35</f>
        <v>0</v>
      </c>
      <c r="AM35" s="2395"/>
      <c r="AN35" s="2395"/>
      <c r="AO35" s="1891">
        <f>'R.FILE GOC'!AO35</f>
        <v>0</v>
      </c>
      <c r="AP35" s="1892"/>
      <c r="AQ35" s="13" t="s">
        <v>495</v>
      </c>
    </row>
    <row r="36" spans="1:45" ht="30" customHeight="1">
      <c r="A36" s="1302" t="s">
        <v>1178</v>
      </c>
      <c r="B36" s="1899" t="s">
        <v>785</v>
      </c>
      <c r="C36" s="1901"/>
      <c r="D36" s="290" t="s">
        <v>216</v>
      </c>
      <c r="E36" s="57" t="s">
        <v>1166</v>
      </c>
      <c r="F36" s="494"/>
      <c r="G36" s="494"/>
      <c r="H36" s="2394">
        <f>'R.FILE GOC'!H36</f>
        <v>0</v>
      </c>
      <c r="I36" s="2395"/>
      <c r="J36" s="2395"/>
      <c r="K36" s="1891">
        <f>'R.FILE GOC'!K36</f>
        <v>89</v>
      </c>
      <c r="L36" s="1892"/>
      <c r="M36" s="1320"/>
      <c r="N36" s="2394">
        <f>'R.FILE GOC'!N36</f>
        <v>0</v>
      </c>
      <c r="O36" s="2395"/>
      <c r="P36" s="2395"/>
      <c r="Q36" s="1891">
        <f>'R.FILE GOC'!Q36</f>
        <v>78</v>
      </c>
      <c r="R36" s="1892"/>
      <c r="S36" s="1320"/>
      <c r="T36" s="2394">
        <f>'R.FILE GOC'!T36</f>
        <v>0</v>
      </c>
      <c r="U36" s="2395"/>
      <c r="V36" s="2395"/>
      <c r="W36" s="1891">
        <f>'R.FILE GOC'!W36</f>
        <v>85</v>
      </c>
      <c r="X36" s="1892"/>
      <c r="Y36" s="1320"/>
      <c r="Z36" s="2394">
        <f>'R.FILE GOC'!Z36</f>
        <v>0</v>
      </c>
      <c r="AA36" s="2395"/>
      <c r="AB36" s="2395"/>
      <c r="AC36" s="1891">
        <f>'R.FILE GOC'!AC36</f>
        <v>0</v>
      </c>
      <c r="AD36" s="1892"/>
      <c r="AE36" s="1320"/>
      <c r="AF36" s="2394">
        <f>'R.FILE GOC'!AF36</f>
        <v>0</v>
      </c>
      <c r="AG36" s="2395"/>
      <c r="AH36" s="2395"/>
      <c r="AI36" s="1891">
        <f>'R.FILE GOC'!AI36</f>
        <v>0</v>
      </c>
      <c r="AJ36" s="1892"/>
      <c r="AK36" s="1320"/>
      <c r="AL36" s="2394">
        <f>'R.FILE GOC'!AL36</f>
        <v>0</v>
      </c>
      <c r="AM36" s="2395"/>
      <c r="AN36" s="2395"/>
      <c r="AO36" s="1891">
        <f>'R.FILE GOC'!AO36</f>
        <v>0</v>
      </c>
      <c r="AP36" s="1892"/>
      <c r="AQ36" s="13" t="s">
        <v>495</v>
      </c>
    </row>
    <row r="37" spans="1:45" ht="25.5" customHeight="1">
      <c r="A37" s="495"/>
      <c r="B37" s="495"/>
      <c r="C37" s="495"/>
      <c r="D37" s="495"/>
      <c r="E37" s="495"/>
      <c r="F37" s="495"/>
      <c r="G37" s="495"/>
      <c r="H37" s="495"/>
      <c r="I37" s="495"/>
      <c r="J37" s="495"/>
      <c r="K37" s="495"/>
      <c r="L37" s="495"/>
      <c r="M37" s="495"/>
      <c r="N37" s="495"/>
      <c r="O37" s="495"/>
      <c r="P37" s="495"/>
      <c r="Q37" s="495"/>
      <c r="R37" s="495"/>
      <c r="S37" s="495"/>
      <c r="T37" s="495"/>
      <c r="U37" s="495"/>
      <c r="V37" s="495"/>
      <c r="W37" s="495"/>
      <c r="X37" s="495"/>
      <c r="Y37" s="495"/>
      <c r="Z37" s="495"/>
      <c r="AA37" s="495"/>
      <c r="AB37" s="495"/>
      <c r="AC37" s="495"/>
      <c r="AD37" s="495"/>
      <c r="AP37" s="13"/>
    </row>
    <row r="38" spans="1:45" ht="41.25" customHeight="1">
      <c r="A38" s="1293" t="s">
        <v>1179</v>
      </c>
      <c r="B38" s="1294"/>
      <c r="C38" s="1295"/>
      <c r="D38" s="1295"/>
      <c r="E38" s="1296"/>
      <c r="F38" s="1297" t="s">
        <v>75</v>
      </c>
      <c r="G38" s="1298"/>
      <c r="H38" s="862" t="s">
        <v>75</v>
      </c>
      <c r="I38" s="862"/>
      <c r="J38" s="862"/>
      <c r="K38" s="862"/>
      <c r="L38" s="862"/>
      <c r="M38" s="862"/>
      <c r="N38" s="862"/>
      <c r="O38" s="862"/>
      <c r="P38" s="862"/>
      <c r="Q38" s="862"/>
      <c r="R38" s="862"/>
      <c r="S38" s="862"/>
      <c r="T38" s="862"/>
      <c r="U38" s="862"/>
      <c r="V38" s="862"/>
      <c r="W38" s="862"/>
      <c r="X38" s="862"/>
      <c r="Y38" s="862"/>
      <c r="Z38" s="862"/>
      <c r="AA38" s="862"/>
      <c r="AB38" s="862"/>
      <c r="AC38" s="862"/>
      <c r="AD38" s="862"/>
      <c r="AE38" s="862"/>
      <c r="AF38" s="862"/>
      <c r="AG38" s="862"/>
      <c r="AH38" s="862"/>
      <c r="AI38" s="862"/>
      <c r="AJ38" s="862"/>
      <c r="AK38" s="862"/>
      <c r="AL38" s="862"/>
      <c r="AM38" s="862"/>
      <c r="AN38" s="862"/>
      <c r="AO38" s="862"/>
      <c r="AP38" s="862"/>
    </row>
    <row r="39" spans="1:45" ht="31.5" customHeight="1">
      <c r="A39" s="468"/>
      <c r="B39" s="2414" t="s">
        <v>79</v>
      </c>
      <c r="C39" s="2415"/>
      <c r="D39" s="2402" t="s">
        <v>137</v>
      </c>
      <c r="E39" s="2404" t="s">
        <v>67</v>
      </c>
      <c r="F39" s="487"/>
      <c r="G39" s="488"/>
      <c r="H39" s="2406" t="s">
        <v>465</v>
      </c>
      <c r="I39" s="2406"/>
      <c r="J39" s="2406"/>
      <c r="K39" s="2406"/>
      <c r="L39" s="2406"/>
      <c r="M39" s="471"/>
      <c r="N39" s="2407" t="s">
        <v>428</v>
      </c>
      <c r="O39" s="2407"/>
      <c r="P39" s="2407"/>
      <c r="Q39" s="2407"/>
      <c r="R39" s="2407"/>
      <c r="S39" s="471"/>
      <c r="T39" s="2406" t="s">
        <v>429</v>
      </c>
      <c r="U39" s="2406"/>
      <c r="V39" s="2406"/>
      <c r="W39" s="2406"/>
      <c r="X39" s="2406"/>
      <c r="Y39" s="471"/>
      <c r="Z39" s="2406" t="s">
        <v>430</v>
      </c>
      <c r="AA39" s="2406"/>
      <c r="AB39" s="2406"/>
      <c r="AC39" s="2406"/>
      <c r="AD39" s="2406"/>
      <c r="AE39" s="471"/>
      <c r="AF39" s="2406" t="s">
        <v>431</v>
      </c>
      <c r="AG39" s="2406"/>
      <c r="AH39" s="2406"/>
      <c r="AI39" s="2406"/>
      <c r="AJ39" s="2406"/>
      <c r="AK39" s="471"/>
      <c r="AL39" s="2406" t="s">
        <v>432</v>
      </c>
      <c r="AM39" s="2406"/>
      <c r="AN39" s="2406"/>
      <c r="AO39" s="2406"/>
      <c r="AP39" s="2406"/>
    </row>
    <row r="40" spans="1:45" ht="31.5" customHeight="1">
      <c r="A40" s="512" t="s">
        <v>276</v>
      </c>
      <c r="B40" s="2416"/>
      <c r="C40" s="2417"/>
      <c r="D40" s="2403"/>
      <c r="E40" s="2405"/>
      <c r="F40" s="473" t="s">
        <v>466</v>
      </c>
      <c r="G40" s="474"/>
      <c r="H40" s="1253" t="s">
        <v>783</v>
      </c>
      <c r="I40" s="348" t="s">
        <v>1</v>
      </c>
      <c r="J40" s="2408" t="s">
        <v>1</v>
      </c>
      <c r="K40" s="2408"/>
      <c r="L40" s="2409"/>
      <c r="M40" s="1300"/>
      <c r="N40" s="1253" t="s">
        <v>783</v>
      </c>
      <c r="O40" s="348" t="s">
        <v>1</v>
      </c>
      <c r="P40" s="2408" t="s">
        <v>1</v>
      </c>
      <c r="Q40" s="2408"/>
      <c r="R40" s="2409"/>
      <c r="S40" s="474"/>
      <c r="T40" s="1253" t="s">
        <v>783</v>
      </c>
      <c r="U40" s="348" t="s">
        <v>1</v>
      </c>
      <c r="V40" s="2408" t="s">
        <v>1</v>
      </c>
      <c r="W40" s="2408"/>
      <c r="X40" s="2409"/>
      <c r="Y40" s="1300"/>
      <c r="Z40" s="1253" t="s">
        <v>783</v>
      </c>
      <c r="AA40" s="348" t="s">
        <v>1</v>
      </c>
      <c r="AB40" s="2410" t="s">
        <v>1</v>
      </c>
      <c r="AC40" s="2410"/>
      <c r="AD40" s="2410"/>
      <c r="AE40" s="474"/>
      <c r="AF40" s="1253" t="s">
        <v>783</v>
      </c>
      <c r="AG40" s="348" t="s">
        <v>1</v>
      </c>
      <c r="AH40" s="2408" t="s">
        <v>1</v>
      </c>
      <c r="AI40" s="2408"/>
      <c r="AJ40" s="2409"/>
      <c r="AK40" s="1300"/>
      <c r="AL40" s="1253" t="s">
        <v>783</v>
      </c>
      <c r="AM40" s="348" t="s">
        <v>1</v>
      </c>
      <c r="AN40" s="2410" t="s">
        <v>1</v>
      </c>
      <c r="AO40" s="2410"/>
      <c r="AP40" s="2410"/>
      <c r="AS40" s="1301" t="s">
        <v>1180</v>
      </c>
    </row>
    <row r="41" spans="1:45" ht="31.5" customHeight="1">
      <c r="A41" s="1302" t="s">
        <v>1181</v>
      </c>
      <c r="B41" s="1964" t="s">
        <v>493</v>
      </c>
      <c r="C41" s="1966"/>
      <c r="D41" s="489" t="s">
        <v>475</v>
      </c>
      <c r="E41" s="57" t="s">
        <v>494</v>
      </c>
      <c r="F41" s="479">
        <v>40</v>
      </c>
      <c r="G41" s="476">
        <f>R.HN!C25</f>
        <v>0</v>
      </c>
      <c r="H41" s="356">
        <f>G41*10</f>
        <v>0</v>
      </c>
      <c r="I41" s="356">
        <f>($F$25-H41)*2330/1000</f>
        <v>93.2</v>
      </c>
      <c r="J41" s="353" t="s">
        <v>8</v>
      </c>
      <c r="K41" s="359">
        <f>IF(I41&lt;0,0,I41)</f>
        <v>93.2</v>
      </c>
      <c r="L41" s="364" t="s">
        <v>9</v>
      </c>
      <c r="M41" s="476">
        <f>R.HN!D25</f>
        <v>0</v>
      </c>
      <c r="N41" s="356">
        <f>M41*10</f>
        <v>0</v>
      </c>
      <c r="O41" s="356">
        <f>($F$25-N41)*2330/1000</f>
        <v>93.2</v>
      </c>
      <c r="P41" s="353" t="s">
        <v>8</v>
      </c>
      <c r="Q41" s="359">
        <f>IF(O41&lt;0,0,O41)</f>
        <v>93.2</v>
      </c>
      <c r="R41" s="364" t="s">
        <v>9</v>
      </c>
      <c r="S41" s="476">
        <f>R.HN!E25</f>
        <v>0</v>
      </c>
      <c r="T41" s="356">
        <f>S41*10</f>
        <v>0</v>
      </c>
      <c r="U41" s="356">
        <f>($F$25-T41)*2330/1000</f>
        <v>93.2</v>
      </c>
      <c r="V41" s="353" t="s">
        <v>8</v>
      </c>
      <c r="W41" s="359">
        <f>IF(U41&lt;0,0,U41)</f>
        <v>93.2</v>
      </c>
      <c r="X41" s="364" t="s">
        <v>9</v>
      </c>
      <c r="Y41" s="476">
        <f>R.HN!F25</f>
        <v>0</v>
      </c>
      <c r="Z41" s="356">
        <f>Y41*10</f>
        <v>0</v>
      </c>
      <c r="AA41" s="356">
        <f>($F$25-Z41)*2330/1000</f>
        <v>93.2</v>
      </c>
      <c r="AB41" s="353" t="s">
        <v>8</v>
      </c>
      <c r="AC41" s="359">
        <f>IF(AA41&lt;0,0,AA41)</f>
        <v>93.2</v>
      </c>
      <c r="AD41" s="364" t="s">
        <v>9</v>
      </c>
      <c r="AE41" s="476">
        <f>R.HN!G25</f>
        <v>0</v>
      </c>
      <c r="AF41" s="356">
        <f>AE41*10</f>
        <v>0</v>
      </c>
      <c r="AG41" s="356">
        <f>($F$25-AF41)*2330/1000</f>
        <v>93.2</v>
      </c>
      <c r="AH41" s="353" t="s">
        <v>8</v>
      </c>
      <c r="AI41" s="359">
        <f>IF(AG41&lt;0,0,AG41)</f>
        <v>93.2</v>
      </c>
      <c r="AJ41" s="364" t="s">
        <v>9</v>
      </c>
      <c r="AK41" s="476">
        <f>R.HN!H25</f>
        <v>0</v>
      </c>
      <c r="AL41" s="356">
        <f>AK41*10</f>
        <v>0</v>
      </c>
      <c r="AM41" s="356">
        <f>($F$25-AL41)*2330/1000</f>
        <v>93.2</v>
      </c>
      <c r="AN41" s="353" t="s">
        <v>8</v>
      </c>
      <c r="AO41" s="359">
        <f>IF(AM41&lt;0,0,AM41)</f>
        <v>93.2</v>
      </c>
      <c r="AP41" s="364" t="s">
        <v>9</v>
      </c>
      <c r="AQ41" s="13" t="s">
        <v>502</v>
      </c>
      <c r="AS41" s="1303" t="s">
        <v>1111</v>
      </c>
    </row>
    <row r="42" spans="1:45" ht="31.5" customHeight="1">
      <c r="A42" s="1302" t="s">
        <v>1182</v>
      </c>
      <c r="B42" s="1964" t="s">
        <v>896</v>
      </c>
      <c r="C42" s="1966"/>
      <c r="D42" s="56" t="s">
        <v>3</v>
      </c>
      <c r="E42" s="57" t="s">
        <v>470</v>
      </c>
      <c r="F42" s="475">
        <v>12.5</v>
      </c>
      <c r="G42" s="476">
        <f>R.HN!C26</f>
        <v>0</v>
      </c>
      <c r="H42" s="356">
        <f>(1*G42*36.5)/(1*10)</f>
        <v>0</v>
      </c>
      <c r="I42" s="356">
        <f>($F$26-H42)*2605/32</f>
        <v>1017.578125</v>
      </c>
      <c r="J42" s="353" t="s">
        <v>8</v>
      </c>
      <c r="K42" s="357">
        <f>IF(I42&lt;0,0,I42)</f>
        <v>1017.578125</v>
      </c>
      <c r="L42" s="364" t="s">
        <v>10</v>
      </c>
      <c r="M42" s="1307">
        <f>R.HN!D26</f>
        <v>0</v>
      </c>
      <c r="N42" s="356">
        <f>(1*M42*36.5)/(1*10)</f>
        <v>0</v>
      </c>
      <c r="O42" s="356">
        <f>($F$26-N42)*2605/32</f>
        <v>1017.578125</v>
      </c>
      <c r="P42" s="353" t="s">
        <v>8</v>
      </c>
      <c r="Q42" s="357">
        <f>IF(O42&lt;0,0,O42)</f>
        <v>1017.578125</v>
      </c>
      <c r="R42" s="364" t="s">
        <v>10</v>
      </c>
      <c r="S42" s="1308">
        <f>R.HN!E26</f>
        <v>0</v>
      </c>
      <c r="T42" s="356">
        <f>(1*S42*36.5)/(1*10)</f>
        <v>0</v>
      </c>
      <c r="U42" s="356">
        <f>($F$26-T42)*2605/32</f>
        <v>1017.578125</v>
      </c>
      <c r="V42" s="353" t="s">
        <v>8</v>
      </c>
      <c r="W42" s="357">
        <f>IF(U42&lt;0,0,U42)</f>
        <v>1017.578125</v>
      </c>
      <c r="X42" s="364" t="s">
        <v>10</v>
      </c>
      <c r="Y42" s="1308">
        <f>R.HN!F26</f>
        <v>0</v>
      </c>
      <c r="Z42" s="356">
        <f>(1*Y42*36.5)/(1*10)</f>
        <v>0</v>
      </c>
      <c r="AA42" s="356">
        <f>($F$26-Z42)*2605/32</f>
        <v>1017.578125</v>
      </c>
      <c r="AB42" s="353" t="s">
        <v>8</v>
      </c>
      <c r="AC42" s="357">
        <f>IF(AA42&lt;0,0,AA42)</f>
        <v>1017.578125</v>
      </c>
      <c r="AD42" s="364" t="s">
        <v>10</v>
      </c>
      <c r="AE42" s="1308">
        <f>R.HN!G26</f>
        <v>0</v>
      </c>
      <c r="AF42" s="356">
        <f>(1*AE42*36.5)/(1*10)</f>
        <v>0</v>
      </c>
      <c r="AG42" s="356">
        <f>($F$26-AF42)*2605/32</f>
        <v>1017.578125</v>
      </c>
      <c r="AH42" s="353" t="s">
        <v>8</v>
      </c>
      <c r="AI42" s="357">
        <f>IF(AG42&lt;0,0,AG42)</f>
        <v>1017.578125</v>
      </c>
      <c r="AJ42" s="364" t="s">
        <v>10</v>
      </c>
      <c r="AK42" s="1308">
        <f>R.HN!H26</f>
        <v>0</v>
      </c>
      <c r="AL42" s="356">
        <f>(1*AK42*36.5)/(1*10)</f>
        <v>0</v>
      </c>
      <c r="AM42" s="356">
        <f>($F$26-AL42)*2605/32</f>
        <v>1017.578125</v>
      </c>
      <c r="AN42" s="353" t="s">
        <v>8</v>
      </c>
      <c r="AO42" s="357">
        <f>IF(AM42&lt;0,0,AM42)</f>
        <v>1017.578125</v>
      </c>
      <c r="AP42" s="364" t="s">
        <v>10</v>
      </c>
      <c r="AQ42" s="13" t="s">
        <v>502</v>
      </c>
      <c r="AS42" s="1303" t="s">
        <v>1110</v>
      </c>
    </row>
    <row r="43" spans="1:45" ht="31.5" customHeight="1">
      <c r="A43" s="1302" t="s">
        <v>1183</v>
      </c>
      <c r="B43" s="1309" t="s">
        <v>838</v>
      </c>
      <c r="C43" s="2411"/>
      <c r="D43" s="1310" t="s">
        <v>475</v>
      </c>
      <c r="E43" s="57" t="s">
        <v>1162</v>
      </c>
      <c r="F43" s="490">
        <v>50</v>
      </c>
      <c r="G43" s="476">
        <f>R.HN!C27</f>
        <v>0</v>
      </c>
      <c r="H43" s="356">
        <f>G43*10</f>
        <v>0</v>
      </c>
      <c r="I43" s="356">
        <f>($F$43-H43)*4935/1000</f>
        <v>246.75</v>
      </c>
      <c r="J43" s="353" t="s">
        <v>8</v>
      </c>
      <c r="K43" s="357">
        <f>IF(I43&lt;0,0,I43)</f>
        <v>246.75</v>
      </c>
      <c r="L43" s="364" t="s">
        <v>9</v>
      </c>
      <c r="M43" s="476">
        <f>R.HN!D27</f>
        <v>0</v>
      </c>
      <c r="N43" s="356">
        <f>M43*10</f>
        <v>0</v>
      </c>
      <c r="O43" s="356">
        <f>($F$43-N43)*4935/1000</f>
        <v>246.75</v>
      </c>
      <c r="P43" s="353" t="s">
        <v>8</v>
      </c>
      <c r="Q43" s="357">
        <f>IF(O43&lt;0,0,O43)</f>
        <v>246.75</v>
      </c>
      <c r="R43" s="364" t="s">
        <v>9</v>
      </c>
      <c r="S43" s="476">
        <f>R.HN!E27</f>
        <v>0</v>
      </c>
      <c r="T43" s="356">
        <f>S43*10</f>
        <v>0</v>
      </c>
      <c r="U43" s="356">
        <f>($F$43-T43)*4935/1000</f>
        <v>246.75</v>
      </c>
      <c r="V43" s="353" t="s">
        <v>8</v>
      </c>
      <c r="W43" s="357">
        <f>IF(U43&lt;0,0,U43)</f>
        <v>246.75</v>
      </c>
      <c r="X43" s="364" t="s">
        <v>9</v>
      </c>
      <c r="Y43" s="476">
        <f>R.HN!F27</f>
        <v>0</v>
      </c>
      <c r="Z43" s="356">
        <f>Y43*10</f>
        <v>0</v>
      </c>
      <c r="AA43" s="356">
        <f>($F$43-Z43)*4935/1000</f>
        <v>246.75</v>
      </c>
      <c r="AB43" s="353" t="s">
        <v>8</v>
      </c>
      <c r="AC43" s="357">
        <f>IF(AA43&lt;0,0,AA43)</f>
        <v>246.75</v>
      </c>
      <c r="AD43" s="364" t="s">
        <v>9</v>
      </c>
      <c r="AE43" s="476">
        <f>R.HN!G27</f>
        <v>0</v>
      </c>
      <c r="AF43" s="356">
        <f>AE43*10</f>
        <v>0</v>
      </c>
      <c r="AG43" s="356">
        <f>($F$43-AF43)*4935/1000</f>
        <v>246.75</v>
      </c>
      <c r="AH43" s="353" t="s">
        <v>8</v>
      </c>
      <c r="AI43" s="357">
        <f>IF(AG43&lt;0,0,AG43)</f>
        <v>246.75</v>
      </c>
      <c r="AJ43" s="364" t="s">
        <v>9</v>
      </c>
      <c r="AK43" s="476">
        <f>R.HN!H27</f>
        <v>0</v>
      </c>
      <c r="AL43" s="356">
        <f>AK43*10</f>
        <v>0</v>
      </c>
      <c r="AM43" s="356">
        <f>($F$43-AL43)*4935/1000</f>
        <v>246.75</v>
      </c>
      <c r="AN43" s="353" t="s">
        <v>8</v>
      </c>
      <c r="AO43" s="357">
        <f>IF(AM43&lt;0,0,AM43)</f>
        <v>246.75</v>
      </c>
      <c r="AP43" s="364" t="s">
        <v>9</v>
      </c>
      <c r="AQ43" s="13" t="s">
        <v>502</v>
      </c>
      <c r="AS43" s="1303" t="s">
        <v>1112</v>
      </c>
    </row>
    <row r="44" spans="1:45" ht="31.5" customHeight="1">
      <c r="A44" s="1302" t="s">
        <v>1184</v>
      </c>
      <c r="B44" s="1311" t="s">
        <v>839</v>
      </c>
      <c r="C44" s="2412"/>
      <c r="D44" s="1310" t="s">
        <v>475</v>
      </c>
      <c r="E44" s="57" t="s">
        <v>1163</v>
      </c>
      <c r="F44" s="476">
        <v>6.5</v>
      </c>
      <c r="G44" s="476">
        <f>R.HN!C28</f>
        <v>0</v>
      </c>
      <c r="H44" s="356">
        <f>IFERROR(H43/G44,0)</f>
        <v>0</v>
      </c>
      <c r="I44" s="356">
        <f>($F$44-H44)*4935/1000</f>
        <v>32.077500000000001</v>
      </c>
      <c r="J44" s="353"/>
      <c r="K44" s="357">
        <f>IF(I44&lt;0,0,I44)</f>
        <v>32.077500000000001</v>
      </c>
      <c r="L44" s="364" t="s">
        <v>9</v>
      </c>
      <c r="M44" s="478">
        <f>R.HN!D28</f>
        <v>0</v>
      </c>
      <c r="N44" s="356">
        <f>IFERROR(N43/M44,0)</f>
        <v>0</v>
      </c>
      <c r="O44" s="356">
        <f>($F$44-N44)*4935/1000</f>
        <v>32.077500000000001</v>
      </c>
      <c r="P44" s="353"/>
      <c r="Q44" s="357">
        <f>IF(O44&lt;0,0,O44)</f>
        <v>32.077500000000001</v>
      </c>
      <c r="R44" s="364" t="s">
        <v>9</v>
      </c>
      <c r="S44" s="478">
        <f>R.HN!E28</f>
        <v>0</v>
      </c>
      <c r="T44" s="356">
        <f>IFERROR(T43/S44,0)</f>
        <v>0</v>
      </c>
      <c r="U44" s="356">
        <f>($F$44-T44)*4935/1000</f>
        <v>32.077500000000001</v>
      </c>
      <c r="V44" s="353"/>
      <c r="W44" s="357">
        <f>IF(U44&lt;0,0,U44)</f>
        <v>32.077500000000001</v>
      </c>
      <c r="X44" s="364" t="s">
        <v>9</v>
      </c>
      <c r="Y44" s="478">
        <f>R.HN!F28</f>
        <v>0</v>
      </c>
      <c r="Z44" s="356">
        <f>IFERROR(Z43/Y44,0)</f>
        <v>0</v>
      </c>
      <c r="AA44" s="356">
        <f>($F$44-Z44)*4935/1000</f>
        <v>32.077500000000001</v>
      </c>
      <c r="AB44" s="353"/>
      <c r="AC44" s="357">
        <f>IF(AA44&lt;0,0,AA44)</f>
        <v>32.077500000000001</v>
      </c>
      <c r="AD44" s="364" t="s">
        <v>9</v>
      </c>
      <c r="AE44" s="476">
        <f>R.HN!G28</f>
        <v>0</v>
      </c>
      <c r="AF44" s="356">
        <f>IFERROR(AF43/AE44,0)</f>
        <v>0</v>
      </c>
      <c r="AG44" s="356">
        <f>($F$44-AF44)*4935/1000</f>
        <v>32.077500000000001</v>
      </c>
      <c r="AH44" s="353"/>
      <c r="AI44" s="357">
        <f>IF(AG44&lt;0,0,AG44)</f>
        <v>32.077500000000001</v>
      </c>
      <c r="AJ44" s="364" t="s">
        <v>9</v>
      </c>
      <c r="AK44" s="476">
        <f>R.HN!H28</f>
        <v>0</v>
      </c>
      <c r="AL44" s="356">
        <f>IFERROR(AL43/AK44,0)</f>
        <v>0</v>
      </c>
      <c r="AM44" s="356">
        <f>($F$44-AL44)*4935/1000</f>
        <v>32.077500000000001</v>
      </c>
      <c r="AN44" s="353"/>
      <c r="AO44" s="357">
        <f>IF(AM44&lt;0,0,AM44)</f>
        <v>32.077500000000001</v>
      </c>
      <c r="AP44" s="364" t="s">
        <v>9</v>
      </c>
      <c r="AQ44" s="13" t="s">
        <v>502</v>
      </c>
      <c r="AS44" s="1303" t="s">
        <v>1113</v>
      </c>
    </row>
    <row r="45" spans="1:45" ht="42.75" customHeight="1">
      <c r="A45" s="1302" t="s">
        <v>1185</v>
      </c>
      <c r="B45" s="1312" t="s">
        <v>840</v>
      </c>
      <c r="C45" s="2413"/>
      <c r="D45" s="1310" t="s">
        <v>475</v>
      </c>
      <c r="E45" s="57" t="s">
        <v>1164</v>
      </c>
      <c r="F45" s="493">
        <v>0.4</v>
      </c>
      <c r="G45" s="476">
        <f>R.HN!C29</f>
        <v>0</v>
      </c>
      <c r="H45" s="481">
        <f>G45</f>
        <v>0</v>
      </c>
      <c r="I45" s="356"/>
      <c r="J45" s="353"/>
      <c r="K45" s="359"/>
      <c r="L45" s="364"/>
      <c r="M45" s="476">
        <f>R.HN!D29</f>
        <v>0</v>
      </c>
      <c r="N45" s="481">
        <f>M45</f>
        <v>0</v>
      </c>
      <c r="O45" s="356"/>
      <c r="P45" s="353"/>
      <c r="Q45" s="359"/>
      <c r="R45" s="364"/>
      <c r="S45" s="476">
        <f>R.HN!E29</f>
        <v>0</v>
      </c>
      <c r="T45" s="481">
        <f>S45</f>
        <v>0</v>
      </c>
      <c r="U45" s="356"/>
      <c r="V45" s="353"/>
      <c r="W45" s="359"/>
      <c r="X45" s="364"/>
      <c r="Y45" s="476">
        <f>R.HN!F29</f>
        <v>0</v>
      </c>
      <c r="Z45" s="481">
        <f>Y45</f>
        <v>0</v>
      </c>
      <c r="AA45" s="356"/>
      <c r="AB45" s="353"/>
      <c r="AC45" s="359"/>
      <c r="AD45" s="364"/>
      <c r="AE45" s="476">
        <f>R.HN!G29</f>
        <v>0</v>
      </c>
      <c r="AF45" s="481">
        <f>AE45</f>
        <v>0</v>
      </c>
      <c r="AG45" s="356"/>
      <c r="AH45" s="353"/>
      <c r="AI45" s="359"/>
      <c r="AJ45" s="364"/>
      <c r="AK45" s="476">
        <f>R.HN!H29</f>
        <v>0</v>
      </c>
      <c r="AL45" s="481">
        <f>AK45</f>
        <v>0</v>
      </c>
      <c r="AM45" s="356"/>
      <c r="AN45" s="353"/>
      <c r="AO45" s="359"/>
      <c r="AP45" s="364"/>
      <c r="AQ45" s="13" t="s">
        <v>502</v>
      </c>
      <c r="AS45" s="1303" t="s">
        <v>1114</v>
      </c>
    </row>
    <row r="46" spans="1:45" ht="31.5" customHeight="1">
      <c r="A46" s="1302" t="s">
        <v>1186</v>
      </c>
      <c r="B46" s="1313" t="s">
        <v>484</v>
      </c>
      <c r="C46" s="1314"/>
      <c r="D46" s="1255" t="s">
        <v>475</v>
      </c>
      <c r="E46" s="57" t="s">
        <v>485</v>
      </c>
      <c r="F46" s="480">
        <v>1</v>
      </c>
      <c r="G46" s="476">
        <f>R.HN!C33</f>
        <v>0</v>
      </c>
      <c r="H46" s="356">
        <f>G46</f>
        <v>0</v>
      </c>
      <c r="I46" s="356">
        <f>($F$30-H46)*1234/1000</f>
        <v>1.234</v>
      </c>
      <c r="J46" s="353" t="s">
        <v>8</v>
      </c>
      <c r="K46" s="359">
        <f>IF(I46&lt;0,0,I46)</f>
        <v>1.234</v>
      </c>
      <c r="L46" s="364" t="s">
        <v>9</v>
      </c>
      <c r="M46" s="476">
        <f>R.HN!D33</f>
        <v>0</v>
      </c>
      <c r="N46" s="356">
        <f>M46</f>
        <v>0</v>
      </c>
      <c r="O46" s="356">
        <f>($F$30-N46)*1234/1000</f>
        <v>1.234</v>
      </c>
      <c r="P46" s="353" t="s">
        <v>8</v>
      </c>
      <c r="Q46" s="359">
        <f>IF(O46&lt;0,0,O46)</f>
        <v>1.234</v>
      </c>
      <c r="R46" s="364" t="s">
        <v>9</v>
      </c>
      <c r="S46" s="476">
        <f>R.HN!E33</f>
        <v>0</v>
      </c>
      <c r="T46" s="356">
        <f>S46</f>
        <v>0</v>
      </c>
      <c r="U46" s="356">
        <f>($F$30-T46)*1234/1000</f>
        <v>1.234</v>
      </c>
      <c r="V46" s="353" t="s">
        <v>8</v>
      </c>
      <c r="W46" s="359">
        <f>IF(U46&lt;0,0,U46)</f>
        <v>1.234</v>
      </c>
      <c r="X46" s="364" t="s">
        <v>9</v>
      </c>
      <c r="Y46" s="476">
        <f>R.HN!F33</f>
        <v>0</v>
      </c>
      <c r="Z46" s="356">
        <f>Y46</f>
        <v>0</v>
      </c>
      <c r="AA46" s="356">
        <f>($F$30-Z46)*1234/1000</f>
        <v>1.234</v>
      </c>
      <c r="AB46" s="353" t="s">
        <v>8</v>
      </c>
      <c r="AC46" s="359">
        <f>IF(AA46&lt;0,0,AA46)</f>
        <v>1.234</v>
      </c>
      <c r="AD46" s="364" t="s">
        <v>9</v>
      </c>
      <c r="AE46" s="476">
        <f>R.HN!G33</f>
        <v>0</v>
      </c>
      <c r="AF46" s="356">
        <f>AE46</f>
        <v>0</v>
      </c>
      <c r="AG46" s="356">
        <f>($F$30-AF46)*1234/1000</f>
        <v>1.234</v>
      </c>
      <c r="AH46" s="353" t="s">
        <v>8</v>
      </c>
      <c r="AI46" s="359">
        <f>IF(AG46&lt;0,0,AG46)</f>
        <v>1.234</v>
      </c>
      <c r="AJ46" s="364" t="s">
        <v>9</v>
      </c>
      <c r="AK46" s="476">
        <f>R.HN!H33</f>
        <v>0</v>
      </c>
      <c r="AL46" s="356">
        <f>AK46</f>
        <v>0</v>
      </c>
      <c r="AM46" s="356">
        <f>($F$30-AL46)*1234/1000</f>
        <v>1.234</v>
      </c>
      <c r="AN46" s="353" t="s">
        <v>8</v>
      </c>
      <c r="AO46" s="359">
        <f>IF(AM46&lt;0,0,AM46)</f>
        <v>1.234</v>
      </c>
      <c r="AP46" s="364" t="s">
        <v>9</v>
      </c>
      <c r="AQ46" s="13" t="s">
        <v>502</v>
      </c>
    </row>
    <row r="47" spans="1:45" ht="31.5" customHeight="1">
      <c r="A47" s="1302" t="s">
        <v>1187</v>
      </c>
      <c r="B47" s="1315" t="s">
        <v>5</v>
      </c>
      <c r="C47" s="1316"/>
      <c r="D47" s="1255" t="s">
        <v>5</v>
      </c>
      <c r="E47" s="57" t="s">
        <v>487</v>
      </c>
      <c r="F47" s="482">
        <v>9.5</v>
      </c>
      <c r="G47" s="476">
        <f>R.HN!C34</f>
        <v>0</v>
      </c>
      <c r="H47" s="356">
        <f>G47</f>
        <v>0</v>
      </c>
      <c r="I47" s="356"/>
      <c r="J47" s="353"/>
      <c r="K47" s="357"/>
      <c r="L47" s="364"/>
      <c r="M47" s="476">
        <f>R.HN!D34</f>
        <v>0</v>
      </c>
      <c r="N47" s="356">
        <f>M47</f>
        <v>0</v>
      </c>
      <c r="O47" s="356"/>
      <c r="P47" s="353"/>
      <c r="Q47" s="357"/>
      <c r="R47" s="364"/>
      <c r="S47" s="476">
        <f>R.HN!E34</f>
        <v>0</v>
      </c>
      <c r="T47" s="356">
        <f>S47</f>
        <v>0</v>
      </c>
      <c r="U47" s="356"/>
      <c r="V47" s="353"/>
      <c r="W47" s="357"/>
      <c r="X47" s="364"/>
      <c r="Y47" s="476">
        <f>R.HN!F34</f>
        <v>0</v>
      </c>
      <c r="Z47" s="356">
        <f>Y47</f>
        <v>0</v>
      </c>
      <c r="AA47" s="356"/>
      <c r="AB47" s="353"/>
      <c r="AC47" s="357"/>
      <c r="AD47" s="364"/>
      <c r="AE47" s="476">
        <f>R.HN!G34</f>
        <v>0</v>
      </c>
      <c r="AF47" s="356">
        <f>AE47</f>
        <v>0</v>
      </c>
      <c r="AG47" s="356"/>
      <c r="AH47" s="353"/>
      <c r="AI47" s="357"/>
      <c r="AJ47" s="364"/>
      <c r="AK47" s="476">
        <f>R.HN!H34</f>
        <v>0</v>
      </c>
      <c r="AL47" s="356">
        <f>AK47</f>
        <v>0</v>
      </c>
      <c r="AM47" s="356"/>
      <c r="AN47" s="353"/>
      <c r="AO47" s="357"/>
      <c r="AP47" s="364"/>
      <c r="AQ47" s="13" t="s">
        <v>502</v>
      </c>
    </row>
    <row r="48" spans="1:45" ht="33" customHeight="1">
      <c r="A48" s="1317" t="s">
        <v>76</v>
      </c>
      <c r="B48" s="360"/>
      <c r="C48" s="360"/>
      <c r="D48" s="360"/>
      <c r="E48" s="349"/>
      <c r="F48" s="360"/>
      <c r="G48" s="360"/>
      <c r="H48" s="360"/>
      <c r="I48" s="360"/>
      <c r="J48" s="360"/>
      <c r="K48" s="360"/>
      <c r="L48" s="360"/>
      <c r="M48" s="360"/>
      <c r="N48" s="366"/>
      <c r="O48" s="360"/>
      <c r="P48" s="360"/>
      <c r="Q48" s="360"/>
      <c r="R48" s="366"/>
      <c r="S48" s="360"/>
      <c r="T48" s="366"/>
      <c r="U48" s="360"/>
      <c r="V48" s="360"/>
      <c r="W48" s="360"/>
      <c r="X48" s="360"/>
      <c r="Y48" s="360"/>
      <c r="Z48" s="360"/>
      <c r="AA48" s="360"/>
      <c r="AB48" s="360"/>
      <c r="AC48" s="360"/>
      <c r="AD48" s="360"/>
      <c r="AE48" s="366"/>
      <c r="AF48" s="366"/>
      <c r="AG48" s="366"/>
      <c r="AH48" s="366"/>
      <c r="AI48" s="366"/>
      <c r="AJ48" s="366"/>
      <c r="AK48" s="366"/>
      <c r="AL48" s="366"/>
      <c r="AM48" s="366"/>
      <c r="AN48" s="366"/>
      <c r="AO48" s="366"/>
      <c r="AP48" s="1318"/>
    </row>
    <row r="49" spans="1:43" ht="52.5" customHeight="1">
      <c r="A49" s="1302" t="s">
        <v>276</v>
      </c>
      <c r="B49" s="1899" t="s">
        <v>64</v>
      </c>
      <c r="C49" s="1901"/>
      <c r="D49" s="326" t="s">
        <v>66</v>
      </c>
      <c r="E49" s="326" t="s">
        <v>67</v>
      </c>
      <c r="F49" s="483"/>
      <c r="G49" s="483"/>
      <c r="H49" s="361" t="s">
        <v>48</v>
      </c>
      <c r="I49" s="362"/>
      <c r="J49" s="362"/>
      <c r="K49" s="361" t="s">
        <v>65</v>
      </c>
      <c r="L49" s="363"/>
      <c r="M49" s="326"/>
      <c r="N49" s="361" t="s">
        <v>48</v>
      </c>
      <c r="O49" s="362"/>
      <c r="P49" s="362"/>
      <c r="Q49" s="361" t="s">
        <v>65</v>
      </c>
      <c r="R49" s="363"/>
      <c r="S49" s="1319"/>
      <c r="T49" s="361" t="s">
        <v>48</v>
      </c>
      <c r="U49" s="362"/>
      <c r="V49" s="362"/>
      <c r="W49" s="361" t="s">
        <v>65</v>
      </c>
      <c r="X49" s="363"/>
      <c r="Y49" s="1320"/>
      <c r="Z49" s="361" t="s">
        <v>48</v>
      </c>
      <c r="AA49" s="362"/>
      <c r="AB49" s="362"/>
      <c r="AC49" s="361" t="s">
        <v>65</v>
      </c>
      <c r="AD49" s="363"/>
      <c r="AE49" s="1320"/>
      <c r="AF49" s="361" t="s">
        <v>48</v>
      </c>
      <c r="AG49" s="362"/>
      <c r="AH49" s="362"/>
      <c r="AI49" s="361" t="s">
        <v>65</v>
      </c>
      <c r="AJ49" s="363"/>
      <c r="AK49" s="1320"/>
      <c r="AL49" s="361" t="s">
        <v>48</v>
      </c>
      <c r="AM49" s="362"/>
      <c r="AN49" s="362"/>
      <c r="AO49" s="361" t="s">
        <v>65</v>
      </c>
      <c r="AP49" s="363"/>
    </row>
    <row r="50" spans="1:43" ht="30" customHeight="1">
      <c r="A50" s="1302" t="s">
        <v>1188</v>
      </c>
      <c r="B50" s="1899" t="s">
        <v>498</v>
      </c>
      <c r="C50" s="1901"/>
      <c r="D50" s="290" t="s">
        <v>216</v>
      </c>
      <c r="E50" s="57" t="s">
        <v>1176</v>
      </c>
      <c r="F50" s="484"/>
      <c r="G50" s="484"/>
      <c r="H50" s="2394">
        <f>'R.FILE GOC'!H50</f>
        <v>0</v>
      </c>
      <c r="I50" s="2395"/>
      <c r="J50" s="2395"/>
      <c r="K50" s="1891">
        <f>'R.FILE GOC'!K50</f>
        <v>0</v>
      </c>
      <c r="L50" s="1892"/>
      <c r="M50" s="1320"/>
      <c r="N50" s="2394">
        <f>'R.FILE GOC'!N50</f>
        <v>0</v>
      </c>
      <c r="O50" s="2395"/>
      <c r="P50" s="2395"/>
      <c r="Q50" s="1891">
        <f>'R.FILE GOC'!Q50</f>
        <v>0</v>
      </c>
      <c r="R50" s="1892"/>
      <c r="S50" s="1320"/>
      <c r="T50" s="2394">
        <f>'R.FILE GOC'!T50</f>
        <v>0</v>
      </c>
      <c r="U50" s="2395"/>
      <c r="V50" s="2395"/>
      <c r="W50" s="1891">
        <f>'R.FILE GOC'!W50</f>
        <v>0</v>
      </c>
      <c r="X50" s="1892"/>
      <c r="Y50" s="1320"/>
      <c r="Z50" s="2394">
        <f>'R.FILE GOC'!Z50</f>
        <v>0</v>
      </c>
      <c r="AA50" s="2395"/>
      <c r="AB50" s="2395"/>
      <c r="AC50" s="1891">
        <f>'R.FILE GOC'!AC50</f>
        <v>0</v>
      </c>
      <c r="AD50" s="1892"/>
      <c r="AE50" s="1320"/>
      <c r="AF50" s="2394">
        <f>'R.FILE GOC'!AF50</f>
        <v>0</v>
      </c>
      <c r="AG50" s="2395"/>
      <c r="AH50" s="2395"/>
      <c r="AI50" s="1891">
        <f>'R.FILE GOC'!AI50</f>
        <v>0</v>
      </c>
      <c r="AJ50" s="1892"/>
      <c r="AK50" s="1320"/>
      <c r="AL50" s="2394">
        <f>'R.FILE GOC'!AL50</f>
        <v>0</v>
      </c>
      <c r="AM50" s="2395"/>
      <c r="AN50" s="2395"/>
      <c r="AO50" s="1891">
        <f>'R.FILE GOC'!AO50</f>
        <v>0</v>
      </c>
      <c r="AP50" s="1892"/>
      <c r="AQ50" s="13" t="s">
        <v>502</v>
      </c>
    </row>
    <row r="51" spans="1:43" ht="30" customHeight="1">
      <c r="A51" s="1302" t="s">
        <v>1189</v>
      </c>
      <c r="B51" s="1899" t="s">
        <v>491</v>
      </c>
      <c r="C51" s="1901"/>
      <c r="D51" s="290" t="s">
        <v>216</v>
      </c>
      <c r="E51" s="57" t="s">
        <v>1165</v>
      </c>
      <c r="F51" s="484"/>
      <c r="G51" s="484"/>
      <c r="H51" s="2394">
        <f>'R.FILE GOC'!H51</f>
        <v>0</v>
      </c>
      <c r="I51" s="2395"/>
      <c r="J51" s="2395"/>
      <c r="K51" s="1891">
        <f>'R.FILE GOC'!K51</f>
        <v>0</v>
      </c>
      <c r="L51" s="1892"/>
      <c r="M51" s="1320"/>
      <c r="N51" s="2394">
        <f>'R.FILE GOC'!N51</f>
        <v>0</v>
      </c>
      <c r="O51" s="2395"/>
      <c r="P51" s="2395"/>
      <c r="Q51" s="1891">
        <f>'R.FILE GOC'!Q51</f>
        <v>0</v>
      </c>
      <c r="R51" s="1892"/>
      <c r="S51" s="1320"/>
      <c r="T51" s="2394">
        <f>'R.FILE GOC'!T51</f>
        <v>0</v>
      </c>
      <c r="U51" s="2395"/>
      <c r="V51" s="2395"/>
      <c r="W51" s="1891">
        <f>'R.FILE GOC'!W51</f>
        <v>0</v>
      </c>
      <c r="X51" s="1892"/>
      <c r="Y51" s="1320"/>
      <c r="Z51" s="2394">
        <f>'R.FILE GOC'!Z51</f>
        <v>0</v>
      </c>
      <c r="AA51" s="2395"/>
      <c r="AB51" s="2395"/>
      <c r="AC51" s="1891">
        <f>'R.FILE GOC'!AC51</f>
        <v>0</v>
      </c>
      <c r="AD51" s="1892"/>
      <c r="AE51" s="1320"/>
      <c r="AF51" s="2394">
        <f>'R.FILE GOC'!AF51</f>
        <v>0</v>
      </c>
      <c r="AG51" s="2395"/>
      <c r="AH51" s="2395"/>
      <c r="AI51" s="1891">
        <f>'R.FILE GOC'!AI51</f>
        <v>0</v>
      </c>
      <c r="AJ51" s="1892"/>
      <c r="AK51" s="1320"/>
      <c r="AL51" s="2394">
        <f>'R.FILE GOC'!AL51</f>
        <v>0</v>
      </c>
      <c r="AM51" s="2395"/>
      <c r="AN51" s="2395"/>
      <c r="AO51" s="1891">
        <f>'R.FILE GOC'!AO51</f>
        <v>0</v>
      </c>
      <c r="AP51" s="1892"/>
      <c r="AQ51" s="13" t="s">
        <v>502</v>
      </c>
    </row>
    <row r="52" spans="1:43" ht="30" customHeight="1">
      <c r="A52" s="1302" t="s">
        <v>1190</v>
      </c>
      <c r="B52" s="1899" t="s">
        <v>785</v>
      </c>
      <c r="C52" s="1901"/>
      <c r="D52" s="290" t="s">
        <v>216</v>
      </c>
      <c r="E52" s="57" t="s">
        <v>1166</v>
      </c>
      <c r="F52" s="15"/>
      <c r="G52" s="15"/>
      <c r="H52" s="2394">
        <f>'R.FILE GOC'!H52</f>
        <v>0</v>
      </c>
      <c r="I52" s="2395"/>
      <c r="J52" s="2395"/>
      <c r="K52" s="1891">
        <f>'R.FILE GOC'!K52</f>
        <v>0</v>
      </c>
      <c r="L52" s="1892"/>
      <c r="M52" s="1320"/>
      <c r="N52" s="2394">
        <f>'R.FILE GOC'!N52</f>
        <v>0</v>
      </c>
      <c r="O52" s="2395"/>
      <c r="P52" s="2395"/>
      <c r="Q52" s="1891">
        <f>'R.FILE GOC'!Q52</f>
        <v>0</v>
      </c>
      <c r="R52" s="1892"/>
      <c r="S52" s="1320"/>
      <c r="T52" s="2394">
        <f>'R.FILE GOC'!T52</f>
        <v>0</v>
      </c>
      <c r="U52" s="2395"/>
      <c r="V52" s="2395"/>
      <c r="W52" s="1891">
        <f>'R.FILE GOC'!W52</f>
        <v>0</v>
      </c>
      <c r="X52" s="1892"/>
      <c r="Y52" s="1320"/>
      <c r="Z52" s="2394">
        <f>'R.FILE GOC'!Z52</f>
        <v>0</v>
      </c>
      <c r="AA52" s="2395"/>
      <c r="AB52" s="2395"/>
      <c r="AC52" s="1891">
        <f>'R.FILE GOC'!AC52</f>
        <v>0</v>
      </c>
      <c r="AD52" s="1892"/>
      <c r="AE52" s="1320"/>
      <c r="AF52" s="2394">
        <f>'R.FILE GOC'!AF52</f>
        <v>0</v>
      </c>
      <c r="AG52" s="2395"/>
      <c r="AH52" s="2395"/>
      <c r="AI52" s="1891">
        <f>'R.FILE GOC'!AI52</f>
        <v>0</v>
      </c>
      <c r="AJ52" s="1892"/>
      <c r="AK52" s="1320"/>
      <c r="AL52" s="2394">
        <f>'R.FILE GOC'!AL52</f>
        <v>0</v>
      </c>
      <c r="AM52" s="2395"/>
      <c r="AN52" s="2395"/>
      <c r="AO52" s="1891">
        <f>'R.FILE GOC'!AO52</f>
        <v>0</v>
      </c>
      <c r="AP52" s="1892"/>
      <c r="AQ52" s="13" t="s">
        <v>502</v>
      </c>
    </row>
    <row r="53" spans="1:43" ht="24" customHeight="1">
      <c r="A53" s="365"/>
      <c r="B53" s="365"/>
      <c r="C53" s="365"/>
      <c r="D53" s="365"/>
      <c r="E53" s="365"/>
      <c r="F53" s="365"/>
      <c r="G53" s="365"/>
      <c r="H53" s="365"/>
      <c r="I53" s="365"/>
      <c r="J53" s="365"/>
      <c r="K53" s="365"/>
      <c r="L53" s="365"/>
      <c r="M53" s="365"/>
      <c r="N53" s="365"/>
      <c r="O53" s="365"/>
      <c r="P53" s="365"/>
      <c r="Q53" s="365"/>
      <c r="R53" s="365"/>
      <c r="S53" s="365"/>
      <c r="T53" s="365"/>
      <c r="U53" s="365"/>
      <c r="V53" s="365"/>
      <c r="W53" s="365"/>
      <c r="X53" s="365"/>
      <c r="Y53" s="365"/>
      <c r="Z53" s="365"/>
      <c r="AA53" s="365"/>
      <c r="AB53" s="365"/>
      <c r="AC53" s="365"/>
      <c r="AP53" s="13"/>
    </row>
    <row r="54" spans="1:43" ht="30" customHeight="1">
      <c r="A54" s="1293" t="s">
        <v>1191</v>
      </c>
      <c r="B54" s="952"/>
      <c r="C54" s="499"/>
      <c r="D54" s="1698"/>
      <c r="E54" s="500"/>
      <c r="F54" s="501" t="s">
        <v>75</v>
      </c>
      <c r="G54" s="1324"/>
      <c r="H54" s="863" t="s">
        <v>75</v>
      </c>
      <c r="I54" s="864"/>
      <c r="J54" s="864"/>
      <c r="K54" s="864"/>
      <c r="L54" s="864"/>
      <c r="M54" s="864"/>
      <c r="N54" s="864"/>
      <c r="O54" s="864"/>
      <c r="P54" s="864"/>
      <c r="Q54" s="864"/>
      <c r="R54" s="1325"/>
      <c r="S54" s="1324"/>
      <c r="AD54" s="13"/>
      <c r="AP54" s="13"/>
    </row>
    <row r="55" spans="1:43" ht="30" customHeight="1">
      <c r="A55" s="468"/>
      <c r="B55" s="2414" t="s">
        <v>79</v>
      </c>
      <c r="C55" s="2415"/>
      <c r="D55" s="2402" t="s">
        <v>137</v>
      </c>
      <c r="E55" s="2404" t="s">
        <v>67</v>
      </c>
      <c r="F55" s="469"/>
      <c r="G55" s="470"/>
      <c r="H55" s="2418" t="s">
        <v>516</v>
      </c>
      <c r="I55" s="2418"/>
      <c r="J55" s="2418"/>
      <c r="K55" s="2418"/>
      <c r="L55" s="2418"/>
      <c r="M55" s="488"/>
      <c r="N55" s="2407" t="s">
        <v>446</v>
      </c>
      <c r="O55" s="2407"/>
      <c r="P55" s="2407"/>
      <c r="Q55" s="2407"/>
      <c r="R55" s="2407"/>
      <c r="S55" s="488"/>
      <c r="T55" s="867"/>
      <c r="U55" s="867"/>
      <c r="V55" s="867"/>
      <c r="W55" s="867"/>
      <c r="X55" s="867"/>
      <c r="Y55" s="1326"/>
      <c r="Z55" s="867"/>
      <c r="AA55" s="867"/>
      <c r="AB55" s="867"/>
      <c r="AC55" s="867"/>
      <c r="AD55" s="867"/>
      <c r="AE55" s="1326"/>
      <c r="AF55" s="867"/>
      <c r="AG55" s="867"/>
      <c r="AH55" s="867"/>
      <c r="AI55" s="867"/>
      <c r="AJ55" s="867"/>
      <c r="AK55" s="1326"/>
      <c r="AL55" s="867"/>
      <c r="AM55" s="867"/>
      <c r="AN55" s="867"/>
      <c r="AO55" s="867"/>
      <c r="AP55" s="867"/>
    </row>
    <row r="56" spans="1:43" ht="30" customHeight="1">
      <c r="A56" s="512" t="s">
        <v>276</v>
      </c>
      <c r="B56" s="2416"/>
      <c r="C56" s="2417"/>
      <c r="D56" s="2403"/>
      <c r="E56" s="2405"/>
      <c r="F56" s="473" t="s">
        <v>466</v>
      </c>
      <c r="G56" s="474"/>
      <c r="H56" s="1253" t="s">
        <v>783</v>
      </c>
      <c r="I56" s="348" t="s">
        <v>1</v>
      </c>
      <c r="J56" s="2408" t="s">
        <v>1</v>
      </c>
      <c r="K56" s="2408"/>
      <c r="L56" s="2408"/>
      <c r="M56" s="1300"/>
      <c r="N56" s="1253" t="s">
        <v>783</v>
      </c>
      <c r="O56" s="348" t="s">
        <v>1</v>
      </c>
      <c r="P56" s="2408" t="s">
        <v>1</v>
      </c>
      <c r="Q56" s="2408"/>
      <c r="R56" s="2409"/>
      <c r="S56" s="513"/>
      <c r="T56" s="868"/>
      <c r="U56" s="868"/>
      <c r="V56" s="868"/>
      <c r="W56" s="1301" t="s">
        <v>1192</v>
      </c>
      <c r="X56" s="868"/>
      <c r="Y56" s="496"/>
      <c r="Z56" s="868"/>
      <c r="AA56" s="868"/>
      <c r="AB56" s="868"/>
      <c r="AC56" s="868"/>
      <c r="AD56" s="868"/>
      <c r="AE56" s="1327"/>
      <c r="AF56" s="868"/>
      <c r="AG56" s="868"/>
      <c r="AH56" s="868"/>
      <c r="AI56" s="868"/>
      <c r="AJ56" s="868"/>
      <c r="AK56" s="496"/>
      <c r="AL56" s="868"/>
      <c r="AM56" s="868"/>
      <c r="AN56" s="868"/>
      <c r="AO56" s="868"/>
      <c r="AP56" s="868"/>
    </row>
    <row r="57" spans="1:43" ht="48.75" customHeight="1">
      <c r="A57" s="1302" t="s">
        <v>517</v>
      </c>
      <c r="B57" s="1964" t="s">
        <v>518</v>
      </c>
      <c r="C57" s="1966"/>
      <c r="D57" s="1255" t="s">
        <v>4</v>
      </c>
      <c r="E57" s="57" t="s">
        <v>519</v>
      </c>
      <c r="F57" s="480">
        <v>15</v>
      </c>
      <c r="G57" s="476">
        <f>R.HN!C39</f>
        <v>16.399999999999999</v>
      </c>
      <c r="H57" s="356">
        <f t="shared" ref="H57" si="0">G57</f>
        <v>16.399999999999999</v>
      </c>
      <c r="I57" s="356">
        <f>($F$57-H57)*2160*3.34/1000</f>
        <v>-10.100159999999988</v>
      </c>
      <c r="J57" s="353" t="s">
        <v>8</v>
      </c>
      <c r="K57" s="357">
        <f>IF(I57&lt;0,0,I57)</f>
        <v>0</v>
      </c>
      <c r="L57" s="320" t="s">
        <v>9</v>
      </c>
      <c r="M57" s="478">
        <f>R.HN!D39</f>
        <v>16.3</v>
      </c>
      <c r="N57" s="356">
        <f t="shared" ref="N57" si="1">M57</f>
        <v>16.3</v>
      </c>
      <c r="O57" s="356">
        <f>($F$57-N57)*2160*3.34/1000</f>
        <v>-9.3787200000000048</v>
      </c>
      <c r="P57" s="353" t="s">
        <v>8</v>
      </c>
      <c r="Q57" s="357">
        <f t="shared" ref="Q57:Q59" si="2">IF(O57&lt;0,0,O57)</f>
        <v>0</v>
      </c>
      <c r="R57" s="320" t="s">
        <v>9</v>
      </c>
      <c r="S57" s="516">
        <f>R.HN!E39</f>
        <v>0</v>
      </c>
      <c r="T57" s="868"/>
      <c r="U57" s="869"/>
      <c r="V57" s="870"/>
      <c r="W57" s="871"/>
      <c r="X57" s="872"/>
      <c r="Y57" s="1328"/>
      <c r="Z57" s="869"/>
      <c r="AA57" s="869"/>
      <c r="AB57" s="870"/>
      <c r="AC57" s="871"/>
      <c r="AD57" s="872"/>
      <c r="AE57" s="1328"/>
      <c r="AF57" s="869"/>
      <c r="AG57" s="869"/>
      <c r="AH57" s="870"/>
      <c r="AI57" s="871"/>
      <c r="AJ57" s="872"/>
      <c r="AK57" s="1328"/>
      <c r="AL57" s="869"/>
      <c r="AM57" s="869"/>
      <c r="AN57" s="870"/>
      <c r="AO57" s="871"/>
      <c r="AP57" s="872"/>
      <c r="AQ57" s="13" t="s">
        <v>520</v>
      </c>
    </row>
    <row r="58" spans="1:43" ht="48.75" customHeight="1">
      <c r="A58" s="1302" t="s">
        <v>521</v>
      </c>
      <c r="B58" s="1964" t="s">
        <v>522</v>
      </c>
      <c r="C58" s="1966"/>
      <c r="D58" s="1255" t="s">
        <v>4</v>
      </c>
      <c r="E58" s="14" t="s">
        <v>263</v>
      </c>
      <c r="F58" s="1255">
        <v>50</v>
      </c>
      <c r="G58" s="476">
        <f>R.HN!C40</f>
        <v>10.4</v>
      </c>
      <c r="H58" s="350">
        <f>G58*6.49</f>
        <v>67.496000000000009</v>
      </c>
      <c r="I58" s="350">
        <f>($F$58-H58)*2160*3.34/1000</f>
        <v>-126.22314240000007</v>
      </c>
      <c r="J58" s="353" t="s">
        <v>8</v>
      </c>
      <c r="K58" s="357">
        <f>IF(I58&lt;0,0,I58)</f>
        <v>0</v>
      </c>
      <c r="L58" s="320" t="s">
        <v>9</v>
      </c>
      <c r="M58" s="1253">
        <f>R.HN!D40</f>
        <v>10.3</v>
      </c>
      <c r="N58" s="350">
        <f>M58*6.49</f>
        <v>66.847000000000008</v>
      </c>
      <c r="O58" s="356">
        <f>($F$58-N58)*2160*3.34/1000</f>
        <v>-121.54099680000004</v>
      </c>
      <c r="P58" s="353" t="s">
        <v>8</v>
      </c>
      <c r="Q58" s="357">
        <f t="shared" si="2"/>
        <v>0</v>
      </c>
      <c r="R58" s="320" t="s">
        <v>9</v>
      </c>
      <c r="S58" s="516">
        <f>R.HN!E40</f>
        <v>0</v>
      </c>
      <c r="T58" s="1380" t="s">
        <v>1193</v>
      </c>
      <c r="U58" s="869"/>
      <c r="V58" s="1380"/>
      <c r="W58" s="2421" t="s">
        <v>1105</v>
      </c>
      <c r="X58" s="872"/>
      <c r="Y58" s="1328"/>
      <c r="Z58" s="869"/>
      <c r="AA58" s="869"/>
      <c r="AB58" s="870"/>
      <c r="AC58" s="871"/>
      <c r="AD58" s="872"/>
      <c r="AE58" s="1328"/>
      <c r="AF58" s="869"/>
      <c r="AG58" s="869"/>
      <c r="AH58" s="870"/>
      <c r="AI58" s="871"/>
      <c r="AJ58" s="872"/>
      <c r="AK58" s="1328"/>
      <c r="AL58" s="869"/>
      <c r="AM58" s="869"/>
      <c r="AN58" s="870"/>
      <c r="AO58" s="871"/>
      <c r="AP58" s="872"/>
      <c r="AQ58" s="13" t="s">
        <v>520</v>
      </c>
    </row>
    <row r="59" spans="1:43" ht="48.75" customHeight="1">
      <c r="A59" s="1302" t="s">
        <v>523</v>
      </c>
      <c r="B59" s="1964" t="s">
        <v>524</v>
      </c>
      <c r="C59" s="1966"/>
      <c r="D59" s="1255" t="s">
        <v>4</v>
      </c>
      <c r="E59" s="14" t="s">
        <v>263</v>
      </c>
      <c r="F59" s="1255">
        <v>50</v>
      </c>
      <c r="G59" s="476">
        <f>R.HN!C41</f>
        <v>9</v>
      </c>
      <c r="H59" s="350">
        <f>G59*6.49</f>
        <v>58.410000000000004</v>
      </c>
      <c r="I59" s="350">
        <f>($F$59-H59)*2700*3.33/1000</f>
        <v>-75.614310000000046</v>
      </c>
      <c r="J59" s="353" t="s">
        <v>8</v>
      </c>
      <c r="K59" s="357">
        <f>IF(I59&lt;0,0,I59)</f>
        <v>0</v>
      </c>
      <c r="L59" s="320" t="s">
        <v>9</v>
      </c>
      <c r="M59" s="1253">
        <f>R.HN!D41</f>
        <v>8.9</v>
      </c>
      <c r="N59" s="350">
        <f>M59*6.49</f>
        <v>57.761000000000003</v>
      </c>
      <c r="O59" s="356">
        <f>($F$59-N59)*2700*3.33/1000</f>
        <v>-69.779151000000027</v>
      </c>
      <c r="P59" s="353" t="s">
        <v>8</v>
      </c>
      <c r="Q59" s="357">
        <f t="shared" si="2"/>
        <v>0</v>
      </c>
      <c r="R59" s="320" t="s">
        <v>9</v>
      </c>
      <c r="S59" s="516">
        <f>R.HN!E41</f>
        <v>0</v>
      </c>
      <c r="T59" s="1380" t="s">
        <v>1193</v>
      </c>
      <c r="U59" s="869"/>
      <c r="V59" s="1380"/>
      <c r="W59" s="2421"/>
      <c r="X59" s="872"/>
      <c r="Y59" s="1328"/>
      <c r="Z59" s="869"/>
      <c r="AA59" s="869"/>
      <c r="AB59" s="870"/>
      <c r="AC59" s="871"/>
      <c r="AD59" s="872"/>
      <c r="AE59" s="1328"/>
      <c r="AF59" s="869"/>
      <c r="AG59" s="869"/>
      <c r="AH59" s="870"/>
      <c r="AI59" s="871"/>
      <c r="AJ59" s="872"/>
      <c r="AK59" s="1328"/>
      <c r="AL59" s="869"/>
      <c r="AM59" s="869"/>
      <c r="AN59" s="870"/>
      <c r="AO59" s="871"/>
      <c r="AP59" s="872"/>
      <c r="AQ59" s="13" t="s">
        <v>520</v>
      </c>
    </row>
    <row r="60" spans="1:43" ht="48.75" customHeight="1">
      <c r="A60" s="1302" t="s">
        <v>525</v>
      </c>
      <c r="B60" s="1964" t="s">
        <v>526</v>
      </c>
      <c r="C60" s="1966"/>
      <c r="D60" s="1255" t="s">
        <v>475</v>
      </c>
      <c r="E60" s="57" t="s">
        <v>1194</v>
      </c>
      <c r="F60" s="480">
        <v>10</v>
      </c>
      <c r="G60" s="476">
        <f>R.HN!C42</f>
        <v>0</v>
      </c>
      <c r="H60" s="356">
        <f t="shared" ref="H60:H62" si="3">G60</f>
        <v>0</v>
      </c>
      <c r="I60" s="356">
        <f>($F$60-H60)*2160*5.77/1000</f>
        <v>124.63199999999999</v>
      </c>
      <c r="J60" s="353" t="s">
        <v>8</v>
      </c>
      <c r="K60" s="357">
        <f t="shared" ref="K60:K63" si="4">IF(I60&lt;0,0,I60)</f>
        <v>124.63199999999999</v>
      </c>
      <c r="L60" s="364" t="s">
        <v>10</v>
      </c>
      <c r="M60" s="477">
        <f>R.HN!D42</f>
        <v>0</v>
      </c>
      <c r="N60" s="356">
        <f t="shared" ref="N60:N62" si="5">M60</f>
        <v>0</v>
      </c>
      <c r="O60" s="356">
        <f>($F$60-N60)*2160*5.77/1000</f>
        <v>124.63199999999999</v>
      </c>
      <c r="P60" s="353" t="s">
        <v>8</v>
      </c>
      <c r="Q60" s="357">
        <f t="shared" ref="Q60:Q63" si="6">IF(O60&lt;0,0,O60)</f>
        <v>124.63199999999999</v>
      </c>
      <c r="R60" s="320" t="s">
        <v>10</v>
      </c>
      <c r="S60" s="516">
        <f>R.HN!E42</f>
        <v>0</v>
      </c>
      <c r="T60" s="868"/>
      <c r="U60" s="869"/>
      <c r="V60" s="870"/>
      <c r="W60" s="871"/>
      <c r="X60" s="872"/>
      <c r="Y60" s="1328"/>
      <c r="Z60" s="869"/>
      <c r="AA60" s="869"/>
      <c r="AB60" s="870"/>
      <c r="AC60" s="871"/>
      <c r="AD60" s="872"/>
      <c r="AE60" s="1328"/>
      <c r="AF60" s="869"/>
      <c r="AG60" s="869"/>
      <c r="AH60" s="870"/>
      <c r="AI60" s="871"/>
      <c r="AJ60" s="872"/>
      <c r="AK60" s="1328"/>
      <c r="AL60" s="869"/>
      <c r="AM60" s="869"/>
      <c r="AN60" s="870"/>
      <c r="AO60" s="871"/>
      <c r="AP60" s="872"/>
      <c r="AQ60" s="13" t="s">
        <v>520</v>
      </c>
    </row>
    <row r="61" spans="1:43" ht="48.75" customHeight="1">
      <c r="A61" s="1302" t="s">
        <v>527</v>
      </c>
      <c r="B61" s="1964" t="s">
        <v>528</v>
      </c>
      <c r="C61" s="1966"/>
      <c r="D61" s="1255" t="s">
        <v>475</v>
      </c>
      <c r="E61" s="57" t="s">
        <v>529</v>
      </c>
      <c r="F61" s="475">
        <v>1.5</v>
      </c>
      <c r="G61" s="476">
        <f>R.HN!C43</f>
        <v>0.48</v>
      </c>
      <c r="H61" s="481">
        <f t="shared" si="3"/>
        <v>0.48</v>
      </c>
      <c r="I61" s="356">
        <f>(H61-$F$61)*2430*3.3/1000</f>
        <v>-8.1793799999999983</v>
      </c>
      <c r="J61" s="353" t="s">
        <v>8</v>
      </c>
      <c r="K61" s="359">
        <f t="shared" si="4"/>
        <v>0</v>
      </c>
      <c r="L61" s="364" t="s">
        <v>9</v>
      </c>
      <c r="M61" s="477">
        <f>R.HN!D43</f>
        <v>0.5</v>
      </c>
      <c r="N61" s="481">
        <f t="shared" si="5"/>
        <v>0.5</v>
      </c>
      <c r="O61" s="356">
        <f>(N61-$F$61)*2430*3.3/1000</f>
        <v>-8.0190000000000001</v>
      </c>
      <c r="P61" s="353" t="s">
        <v>8</v>
      </c>
      <c r="Q61" s="359">
        <f t="shared" si="6"/>
        <v>0</v>
      </c>
      <c r="R61" s="320" t="s">
        <v>9</v>
      </c>
      <c r="S61" s="516">
        <f>R.HN!E43</f>
        <v>0</v>
      </c>
      <c r="T61" s="868"/>
      <c r="U61" s="869"/>
      <c r="V61" s="870"/>
      <c r="W61" s="873"/>
      <c r="X61" s="872"/>
      <c r="Y61" s="1328"/>
      <c r="Z61" s="869"/>
      <c r="AA61" s="869"/>
      <c r="AB61" s="870"/>
      <c r="AC61" s="873"/>
      <c r="AD61" s="872"/>
      <c r="AE61" s="1328"/>
      <c r="AF61" s="869"/>
      <c r="AG61" s="869"/>
      <c r="AH61" s="870"/>
      <c r="AI61" s="873"/>
      <c r="AJ61" s="872"/>
      <c r="AK61" s="1328"/>
      <c r="AL61" s="869"/>
      <c r="AM61" s="869"/>
      <c r="AN61" s="870"/>
      <c r="AO61" s="873"/>
      <c r="AP61" s="872"/>
      <c r="AQ61" s="13" t="s">
        <v>520</v>
      </c>
    </row>
    <row r="62" spans="1:43" ht="48.75" customHeight="1">
      <c r="A62" s="1302" t="s">
        <v>530</v>
      </c>
      <c r="B62" s="1964" t="s">
        <v>531</v>
      </c>
      <c r="C62" s="1966"/>
      <c r="D62" s="1255" t="s">
        <v>475</v>
      </c>
      <c r="E62" s="57" t="s">
        <v>532</v>
      </c>
      <c r="F62" s="480">
        <v>22.5</v>
      </c>
      <c r="G62" s="476">
        <f>R.HN!C44</f>
        <v>19.2</v>
      </c>
      <c r="H62" s="356">
        <f t="shared" si="3"/>
        <v>19.2</v>
      </c>
      <c r="I62" s="356">
        <f>($F$62-H62)*2430*4/1000</f>
        <v>32.076000000000008</v>
      </c>
      <c r="J62" s="353" t="s">
        <v>8</v>
      </c>
      <c r="K62" s="357">
        <f t="shared" si="4"/>
        <v>32.076000000000008</v>
      </c>
      <c r="L62" s="364" t="s">
        <v>9</v>
      </c>
      <c r="M62" s="477">
        <f>R.HN!D44</f>
        <v>20</v>
      </c>
      <c r="N62" s="356">
        <f t="shared" si="5"/>
        <v>20</v>
      </c>
      <c r="O62" s="356">
        <f>($F$62-N62)*2430*4/1000</f>
        <v>24.3</v>
      </c>
      <c r="P62" s="353" t="s">
        <v>8</v>
      </c>
      <c r="Q62" s="357">
        <f t="shared" si="6"/>
        <v>24.3</v>
      </c>
      <c r="R62" s="320" t="s">
        <v>9</v>
      </c>
      <c r="S62" s="516">
        <f>R.HN!E44</f>
        <v>0</v>
      </c>
      <c r="T62" s="868"/>
      <c r="U62" s="869"/>
      <c r="V62" s="870"/>
      <c r="W62" s="871"/>
      <c r="X62" s="872"/>
      <c r="Y62" s="1328"/>
      <c r="Z62" s="869"/>
      <c r="AA62" s="869"/>
      <c r="AB62" s="870"/>
      <c r="AC62" s="871"/>
      <c r="AD62" s="872"/>
      <c r="AE62" s="1328"/>
      <c r="AF62" s="869"/>
      <c r="AG62" s="869"/>
      <c r="AH62" s="870"/>
      <c r="AI62" s="871"/>
      <c r="AJ62" s="872"/>
      <c r="AK62" s="1328"/>
      <c r="AL62" s="869"/>
      <c r="AM62" s="869"/>
      <c r="AN62" s="870"/>
      <c r="AO62" s="871"/>
      <c r="AP62" s="872"/>
      <c r="AQ62" s="13" t="s">
        <v>520</v>
      </c>
    </row>
    <row r="63" spans="1:43" ht="48.75" customHeight="1">
      <c r="A63" s="1302" t="s">
        <v>533</v>
      </c>
      <c r="B63" s="1964" t="s">
        <v>534</v>
      </c>
      <c r="C63" s="1966"/>
      <c r="D63" s="1255" t="s">
        <v>475</v>
      </c>
      <c r="E63" s="681" t="s">
        <v>535</v>
      </c>
      <c r="F63" s="475">
        <v>7.5</v>
      </c>
      <c r="G63" s="476">
        <f>R.HN!C45</f>
        <v>8.3000000000000007</v>
      </c>
      <c r="H63" s="356">
        <f>R.HN!C45</f>
        <v>8.3000000000000007</v>
      </c>
      <c r="I63" s="356">
        <f>($F$63-H63)*2430*0.43/1000</f>
        <v>-0.83592000000000077</v>
      </c>
      <c r="J63" s="353" t="s">
        <v>8</v>
      </c>
      <c r="K63" s="359">
        <f t="shared" si="4"/>
        <v>0</v>
      </c>
      <c r="L63" s="364" t="s">
        <v>9</v>
      </c>
      <c r="M63" s="477">
        <f>R.HN!D45</f>
        <v>8</v>
      </c>
      <c r="N63" s="356">
        <f>R.HN!D45</f>
        <v>8</v>
      </c>
      <c r="O63" s="356">
        <f>($F$63-N63)*2430*0.43/1000</f>
        <v>-0.52245000000000008</v>
      </c>
      <c r="P63" s="353" t="s">
        <v>8</v>
      </c>
      <c r="Q63" s="359">
        <f t="shared" si="6"/>
        <v>0</v>
      </c>
      <c r="R63" s="320" t="s">
        <v>9</v>
      </c>
      <c r="S63" s="516">
        <f>R.HN!E45</f>
        <v>0</v>
      </c>
      <c r="T63" s="868"/>
      <c r="U63" s="869"/>
      <c r="V63" s="870"/>
      <c r="W63" s="873"/>
      <c r="X63" s="872"/>
      <c r="Y63" s="1328"/>
      <c r="Z63" s="869"/>
      <c r="AA63" s="869"/>
      <c r="AB63" s="870"/>
      <c r="AC63" s="873"/>
      <c r="AD63" s="872"/>
      <c r="AE63" s="1328"/>
      <c r="AF63" s="869"/>
      <c r="AG63" s="869"/>
      <c r="AH63" s="870"/>
      <c r="AI63" s="873"/>
      <c r="AJ63" s="872"/>
      <c r="AK63" s="1328"/>
      <c r="AL63" s="869"/>
      <c r="AM63" s="869"/>
      <c r="AN63" s="870"/>
      <c r="AO63" s="873"/>
      <c r="AP63" s="872"/>
      <c r="AQ63" s="13" t="s">
        <v>520</v>
      </c>
    </row>
    <row r="64" spans="1:43" ht="48.75" customHeight="1">
      <c r="A64" s="1302" t="s">
        <v>536</v>
      </c>
      <c r="B64" s="1964" t="s">
        <v>537</v>
      </c>
      <c r="C64" s="1966"/>
      <c r="D64" s="1255" t="s">
        <v>5</v>
      </c>
      <c r="E64" s="57" t="s">
        <v>538</v>
      </c>
      <c r="F64" s="1329"/>
      <c r="G64" s="476" t="e">
        <f>R.HN!#REF!</f>
        <v>#REF!</v>
      </c>
      <c r="H64" s="356">
        <f>R.HN!C46</f>
        <v>8</v>
      </c>
      <c r="I64" s="356"/>
      <c r="J64" s="353"/>
      <c r="K64" s="359"/>
      <c r="L64" s="364"/>
      <c r="M64" s="477" t="e">
        <f>R.HN!#REF!</f>
        <v>#REF!</v>
      </c>
      <c r="N64" s="356">
        <f>R.HN!D46</f>
        <v>7.8</v>
      </c>
      <c r="O64" s="356"/>
      <c r="P64" s="353"/>
      <c r="Q64" s="359"/>
      <c r="R64" s="320"/>
      <c r="S64" s="516"/>
      <c r="T64" s="868"/>
      <c r="U64" s="869"/>
      <c r="V64" s="870"/>
      <c r="W64" s="873"/>
      <c r="X64" s="872"/>
      <c r="Y64" s="1328"/>
      <c r="Z64" s="869"/>
      <c r="AA64" s="869"/>
      <c r="AB64" s="870"/>
      <c r="AC64" s="873"/>
      <c r="AD64" s="872"/>
      <c r="AE64" s="1328"/>
      <c r="AF64" s="869"/>
      <c r="AG64" s="869"/>
      <c r="AH64" s="870"/>
      <c r="AI64" s="873"/>
      <c r="AJ64" s="872"/>
      <c r="AK64" s="1328"/>
      <c r="AL64" s="869"/>
      <c r="AM64" s="869"/>
      <c r="AN64" s="870"/>
      <c r="AO64" s="873"/>
      <c r="AP64" s="872"/>
      <c r="AQ64" s="13" t="s">
        <v>520</v>
      </c>
    </row>
    <row r="65" spans="1:43" ht="42" customHeight="1">
      <c r="A65" s="1302" t="s">
        <v>539</v>
      </c>
      <c r="B65" s="1964" t="s">
        <v>540</v>
      </c>
      <c r="C65" s="1966"/>
      <c r="D65" s="1255" t="s">
        <v>5</v>
      </c>
      <c r="E65" s="681" t="s">
        <v>541</v>
      </c>
      <c r="F65" s="475"/>
      <c r="G65" s="476">
        <f>R.HN!C44</f>
        <v>19.2</v>
      </c>
      <c r="H65" s="356">
        <f>R.HN!C47</f>
        <v>5.5</v>
      </c>
      <c r="I65" s="356">
        <f>($F$63-H65)*2430*0.43/1000</f>
        <v>2.0898000000000003</v>
      </c>
      <c r="J65" s="353"/>
      <c r="K65" s="359"/>
      <c r="L65" s="364"/>
      <c r="M65" s="477">
        <f>R.HN!D44</f>
        <v>20</v>
      </c>
      <c r="N65" s="356">
        <f>R.HN!D47</f>
        <v>5.5</v>
      </c>
      <c r="O65" s="356">
        <f>($F$63-N65)*2430*0.43/1000</f>
        <v>2.0898000000000003</v>
      </c>
      <c r="P65" s="353"/>
      <c r="Q65" s="359"/>
      <c r="R65" s="320"/>
      <c r="S65" s="516">
        <f>R.HN!E44</f>
        <v>0</v>
      </c>
      <c r="T65" s="868">
        <f>H65</f>
        <v>5.5</v>
      </c>
      <c r="U65" s="869"/>
      <c r="V65" s="870"/>
      <c r="W65" s="873"/>
      <c r="X65" s="872"/>
      <c r="Y65" s="1328"/>
      <c r="Z65" s="869"/>
      <c r="AA65" s="869"/>
      <c r="AB65" s="870"/>
      <c r="AC65" s="873"/>
      <c r="AD65" s="872"/>
      <c r="AE65" s="1328"/>
      <c r="AF65" s="869"/>
      <c r="AG65" s="869"/>
      <c r="AH65" s="870"/>
      <c r="AI65" s="873"/>
      <c r="AJ65" s="872"/>
      <c r="AK65" s="1328"/>
      <c r="AL65" s="869"/>
      <c r="AM65" s="869"/>
      <c r="AN65" s="870"/>
      <c r="AO65" s="873"/>
      <c r="AP65" s="872"/>
      <c r="AQ65" s="13" t="s">
        <v>520</v>
      </c>
    </row>
    <row r="66" spans="1:43" ht="42" hidden="1" customHeight="1">
      <c r="A66" s="1302" t="s">
        <v>542</v>
      </c>
      <c r="B66" s="1964" t="s">
        <v>543</v>
      </c>
      <c r="C66" s="1966"/>
      <c r="D66" s="1255" t="s">
        <v>5</v>
      </c>
      <c r="E66" s="681" t="s">
        <v>541</v>
      </c>
      <c r="F66" s="475"/>
      <c r="G66" s="476"/>
      <c r="H66" s="356">
        <f>R.HN!C48</f>
        <v>0</v>
      </c>
      <c r="I66" s="356"/>
      <c r="J66" s="353"/>
      <c r="K66" s="359"/>
      <c r="L66" s="364"/>
      <c r="M66" s="477"/>
      <c r="N66" s="356">
        <f>R.HN!D48</f>
        <v>0</v>
      </c>
      <c r="O66" s="356"/>
      <c r="P66" s="353"/>
      <c r="Q66" s="359"/>
      <c r="R66" s="320"/>
      <c r="S66" s="516"/>
      <c r="T66" s="868">
        <f>H66</f>
        <v>0</v>
      </c>
      <c r="U66" s="869"/>
      <c r="V66" s="870"/>
      <c r="W66" s="873"/>
      <c r="X66" s="872"/>
      <c r="Y66" s="1328"/>
      <c r="Z66" s="869"/>
      <c r="AA66" s="869"/>
      <c r="AB66" s="870"/>
      <c r="AC66" s="873"/>
      <c r="AD66" s="872"/>
      <c r="AE66" s="1328"/>
      <c r="AF66" s="869"/>
      <c r="AG66" s="869"/>
      <c r="AH66" s="870"/>
      <c r="AI66" s="873"/>
      <c r="AJ66" s="872"/>
      <c r="AK66" s="1328"/>
      <c r="AL66" s="869"/>
      <c r="AM66" s="869"/>
      <c r="AN66" s="870"/>
      <c r="AO66" s="873"/>
      <c r="AP66" s="872"/>
      <c r="AQ66" s="13" t="s">
        <v>520</v>
      </c>
    </row>
    <row r="67" spans="1:43" ht="42" customHeight="1">
      <c r="A67" s="1302" t="s">
        <v>544</v>
      </c>
      <c r="B67" s="1964" t="s">
        <v>415</v>
      </c>
      <c r="C67" s="1966"/>
      <c r="D67" s="1255" t="s">
        <v>3</v>
      </c>
      <c r="E67" s="681" t="s">
        <v>416</v>
      </c>
      <c r="F67" s="1330">
        <v>15</v>
      </c>
      <c r="G67" s="476"/>
      <c r="H67" s="481">
        <f>IFERROR('ED-XI DEN'!L15*100,"")</f>
        <v>7.8643278743037639</v>
      </c>
      <c r="I67" s="356">
        <f>($F$67-H67)*2295/100</f>
        <v>163.76367528472861</v>
      </c>
      <c r="J67" s="353" t="s">
        <v>8</v>
      </c>
      <c r="K67" s="359">
        <f>IFERROR(IF(I67&lt;0,0,I67),"")</f>
        <v>163.76367528472861</v>
      </c>
      <c r="L67" s="364" t="s">
        <v>10</v>
      </c>
      <c r="M67" s="477"/>
      <c r="N67" s="320" t="s">
        <v>1195</v>
      </c>
      <c r="O67" s="356"/>
      <c r="P67" s="353"/>
      <c r="Q67" s="359"/>
      <c r="R67" s="320"/>
      <c r="S67" s="516"/>
      <c r="T67" s="868">
        <f>H67</f>
        <v>7.8643278743037639</v>
      </c>
      <c r="U67" s="869"/>
      <c r="V67" s="870"/>
      <c r="W67" s="873"/>
      <c r="X67" s="872"/>
      <c r="Y67" s="1328"/>
      <c r="Z67" s="869"/>
      <c r="AA67" s="869"/>
      <c r="AB67" s="870"/>
      <c r="AC67" s="873"/>
      <c r="AD67" s="872"/>
      <c r="AE67" s="1328"/>
      <c r="AF67" s="869"/>
      <c r="AG67" s="869"/>
      <c r="AH67" s="870"/>
      <c r="AI67" s="873"/>
      <c r="AJ67" s="872"/>
      <c r="AK67" s="1328"/>
      <c r="AL67" s="869"/>
      <c r="AM67" s="869"/>
      <c r="AN67" s="870"/>
      <c r="AO67" s="873"/>
      <c r="AP67" s="872"/>
      <c r="AQ67" s="13" t="s">
        <v>520</v>
      </c>
    </row>
    <row r="68" spans="1:43" ht="42" customHeight="1">
      <c r="A68" s="1302" t="s">
        <v>545</v>
      </c>
      <c r="B68" s="1964" t="s">
        <v>417</v>
      </c>
      <c r="C68" s="1966"/>
      <c r="D68" s="1255" t="s">
        <v>3</v>
      </c>
      <c r="E68" s="681" t="s">
        <v>418</v>
      </c>
      <c r="F68" s="1330">
        <v>12</v>
      </c>
      <c r="G68" s="476"/>
      <c r="H68" s="481">
        <f>IFERROR('ED-XI DEN'!L16*100,"")</f>
        <v>8.6380074844838344</v>
      </c>
      <c r="I68" s="356">
        <f>($F$68-H68)*2295/100</f>
        <v>77.157728231096002</v>
      </c>
      <c r="J68" s="353" t="s">
        <v>8</v>
      </c>
      <c r="K68" s="359">
        <f t="shared" ref="K68:K70" si="7">IFERROR(IF(I68&lt;0,0,I68),"")</f>
        <v>77.157728231096002</v>
      </c>
      <c r="L68" s="364" t="s">
        <v>10</v>
      </c>
      <c r="M68" s="477"/>
      <c r="N68" s="320" t="s">
        <v>1195</v>
      </c>
      <c r="O68" s="356"/>
      <c r="P68" s="353"/>
      <c r="Q68" s="359"/>
      <c r="R68" s="320"/>
      <c r="S68" s="516"/>
      <c r="T68" s="868">
        <f t="shared" ref="T68:T72" si="8">H68</f>
        <v>8.6380074844838344</v>
      </c>
      <c r="U68" s="869"/>
      <c r="V68" s="870"/>
      <c r="W68" s="873"/>
      <c r="X68" s="872"/>
      <c r="Y68" s="1328"/>
      <c r="Z68" s="869"/>
      <c r="AA68" s="869"/>
      <c r="AB68" s="870"/>
      <c r="AC68" s="873"/>
      <c r="AD68" s="872"/>
      <c r="AE68" s="1328"/>
      <c r="AF68" s="869"/>
      <c r="AG68" s="869"/>
      <c r="AH68" s="870"/>
      <c r="AI68" s="873"/>
      <c r="AJ68" s="872"/>
      <c r="AK68" s="1328"/>
      <c r="AL68" s="869"/>
      <c r="AM68" s="869"/>
      <c r="AN68" s="870"/>
      <c r="AO68" s="873"/>
      <c r="AP68" s="872"/>
      <c r="AQ68" s="13" t="s">
        <v>520</v>
      </c>
    </row>
    <row r="69" spans="1:43" ht="34.5" hidden="1" customHeight="1">
      <c r="A69" s="1302" t="s">
        <v>546</v>
      </c>
      <c r="B69" s="1964" t="s">
        <v>419</v>
      </c>
      <c r="C69" s="1966"/>
      <c r="D69" s="1255" t="s">
        <v>3</v>
      </c>
      <c r="E69" s="681" t="s">
        <v>416</v>
      </c>
      <c r="F69" s="1330">
        <v>15</v>
      </c>
      <c r="G69" s="476"/>
      <c r="H69" s="481" t="str">
        <f>IFERROR('ED-XI DEN'!L17*100,"")</f>
        <v/>
      </c>
      <c r="I69" s="356" t="e">
        <f>($F$69-H69)*2295/100</f>
        <v>#VALUE!</v>
      </c>
      <c r="J69" s="353" t="s">
        <v>8</v>
      </c>
      <c r="K69" s="359" t="str">
        <f t="shared" si="7"/>
        <v/>
      </c>
      <c r="L69" s="364" t="s">
        <v>10</v>
      </c>
      <c r="M69" s="477"/>
      <c r="N69" s="320" t="s">
        <v>1195</v>
      </c>
      <c r="O69" s="356"/>
      <c r="P69" s="353"/>
      <c r="Q69" s="359"/>
      <c r="R69" s="320"/>
      <c r="S69" s="516"/>
      <c r="T69" s="868" t="str">
        <f t="shared" si="8"/>
        <v/>
      </c>
      <c r="U69" s="869"/>
      <c r="V69" s="870"/>
      <c r="W69" s="873"/>
      <c r="X69" s="872"/>
      <c r="Y69" s="1328"/>
      <c r="Z69" s="869"/>
      <c r="AA69" s="869"/>
      <c r="AB69" s="870"/>
      <c r="AC69" s="873"/>
      <c r="AD69" s="872"/>
      <c r="AE69" s="1328"/>
      <c r="AF69" s="869"/>
      <c r="AG69" s="869"/>
      <c r="AH69" s="870"/>
      <c r="AI69" s="873"/>
      <c r="AJ69" s="872"/>
      <c r="AK69" s="1328"/>
      <c r="AL69" s="869"/>
      <c r="AM69" s="869"/>
      <c r="AN69" s="870"/>
      <c r="AO69" s="873"/>
      <c r="AP69" s="872"/>
      <c r="AQ69" s="13" t="s">
        <v>520</v>
      </c>
    </row>
    <row r="70" spans="1:43" ht="34.5" hidden="1" customHeight="1">
      <c r="A70" s="1302" t="s">
        <v>547</v>
      </c>
      <c r="B70" s="1964" t="s">
        <v>420</v>
      </c>
      <c r="C70" s="1966"/>
      <c r="D70" s="1255" t="s">
        <v>3</v>
      </c>
      <c r="E70" s="681" t="s">
        <v>418</v>
      </c>
      <c r="F70" s="1330">
        <v>12</v>
      </c>
      <c r="G70" s="476"/>
      <c r="H70" s="481" t="str">
        <f>IFERROR('ED-XI DEN'!L18*100,"")</f>
        <v/>
      </c>
      <c r="I70" s="356" t="e">
        <f>($F$70-H70)*2295/100</f>
        <v>#VALUE!</v>
      </c>
      <c r="J70" s="353" t="s">
        <v>8</v>
      </c>
      <c r="K70" s="359" t="str">
        <f t="shared" si="7"/>
        <v/>
      </c>
      <c r="L70" s="364" t="s">
        <v>10</v>
      </c>
      <c r="M70" s="477"/>
      <c r="N70" s="320" t="s">
        <v>1195</v>
      </c>
      <c r="O70" s="356"/>
      <c r="P70" s="353"/>
      <c r="Q70" s="359"/>
      <c r="R70" s="320"/>
      <c r="S70" s="516"/>
      <c r="T70" s="868" t="str">
        <f t="shared" si="8"/>
        <v/>
      </c>
      <c r="U70" s="869"/>
      <c r="V70" s="870"/>
      <c r="W70" s="873"/>
      <c r="X70" s="872"/>
      <c r="Y70" s="1328"/>
      <c r="Z70" s="869"/>
      <c r="AA70" s="869"/>
      <c r="AB70" s="870"/>
      <c r="AC70" s="873"/>
      <c r="AD70" s="872"/>
      <c r="AE70" s="1328"/>
      <c r="AF70" s="869"/>
      <c r="AG70" s="869"/>
      <c r="AH70" s="870"/>
      <c r="AI70" s="873"/>
      <c r="AJ70" s="872"/>
      <c r="AK70" s="1328"/>
      <c r="AL70" s="869"/>
      <c r="AM70" s="869"/>
      <c r="AN70" s="870"/>
      <c r="AO70" s="873"/>
      <c r="AP70" s="872"/>
      <c r="AQ70" s="13" t="s">
        <v>520</v>
      </c>
    </row>
    <row r="71" spans="1:43" ht="34.5" customHeight="1">
      <c r="A71" s="1302" t="s">
        <v>548</v>
      </c>
      <c r="B71" s="1964" t="s">
        <v>421</v>
      </c>
      <c r="C71" s="1966"/>
      <c r="D71" s="1255" t="s">
        <v>3</v>
      </c>
      <c r="E71" s="57" t="s">
        <v>422</v>
      </c>
      <c r="F71" s="1331"/>
      <c r="G71" s="1332"/>
      <c r="H71" s="1333">
        <f>IFERROR('ED-XI DEN'!L19*100,"")</f>
        <v>6.8477270845408622</v>
      </c>
      <c r="I71" s="865"/>
      <c r="J71" s="353"/>
      <c r="K71" s="359"/>
      <c r="L71" s="364"/>
      <c r="M71" s="477">
        <f>R.HN!D49</f>
        <v>0</v>
      </c>
      <c r="N71" s="320" t="s">
        <v>1196</v>
      </c>
      <c r="O71" s="356"/>
      <c r="P71" s="353"/>
      <c r="Q71" s="359"/>
      <c r="R71" s="320"/>
      <c r="S71" s="516"/>
      <c r="T71" s="868">
        <f t="shared" si="8"/>
        <v>6.8477270845408622</v>
      </c>
      <c r="U71" s="869"/>
      <c r="V71" s="870"/>
      <c r="W71" s="873"/>
      <c r="X71" s="872"/>
      <c r="Y71" s="1328"/>
      <c r="Z71" s="869"/>
      <c r="AA71" s="869"/>
      <c r="AB71" s="870"/>
      <c r="AC71" s="873"/>
      <c r="AD71" s="872"/>
      <c r="AE71" s="1328"/>
      <c r="AF71" s="869"/>
      <c r="AG71" s="869"/>
      <c r="AH71" s="870"/>
      <c r="AI71" s="873"/>
      <c r="AJ71" s="872"/>
      <c r="AK71" s="1328"/>
      <c r="AL71" s="869"/>
      <c r="AM71" s="869"/>
      <c r="AN71" s="870"/>
      <c r="AO71" s="873"/>
      <c r="AP71" s="872"/>
      <c r="AQ71" s="13" t="s">
        <v>520</v>
      </c>
    </row>
    <row r="72" spans="1:43" ht="34.5" customHeight="1">
      <c r="A72" s="1302" t="s">
        <v>549</v>
      </c>
      <c r="B72" s="1964" t="s">
        <v>424</v>
      </c>
      <c r="C72" s="1966"/>
      <c r="D72" s="1255" t="s">
        <v>3</v>
      </c>
      <c r="E72" s="57" t="s">
        <v>425</v>
      </c>
      <c r="F72" s="1331"/>
      <c r="G72" s="1332"/>
      <c r="H72" s="1333">
        <f>IFERROR('ED-XI DEN'!L20*100,"")</f>
        <v>0.81368316174028488</v>
      </c>
      <c r="I72" s="865"/>
      <c r="J72" s="353"/>
      <c r="K72" s="359"/>
      <c r="L72" s="364"/>
      <c r="M72" s="477">
        <f>R.HN!D50</f>
        <v>0.83333333333333337</v>
      </c>
      <c r="N72" s="320" t="s">
        <v>1196</v>
      </c>
      <c r="O72" s="356"/>
      <c r="P72" s="353"/>
      <c r="Q72" s="359"/>
      <c r="R72" s="320"/>
      <c r="S72" s="516"/>
      <c r="T72" s="868">
        <f t="shared" si="8"/>
        <v>0.81368316174028488</v>
      </c>
      <c r="U72" s="869"/>
      <c r="V72" s="870"/>
      <c r="W72" s="873"/>
      <c r="X72" s="872"/>
      <c r="Y72" s="1328"/>
      <c r="Z72" s="869"/>
      <c r="AA72" s="869"/>
      <c r="AB72" s="870"/>
      <c r="AC72" s="873"/>
      <c r="AD72" s="872"/>
      <c r="AE72" s="1328"/>
      <c r="AF72" s="869"/>
      <c r="AG72" s="869"/>
      <c r="AH72" s="870"/>
      <c r="AI72" s="873"/>
      <c r="AJ72" s="872"/>
      <c r="AK72" s="1328"/>
      <c r="AL72" s="869"/>
      <c r="AM72" s="869"/>
      <c r="AN72" s="870"/>
      <c r="AO72" s="873"/>
      <c r="AP72" s="872"/>
      <c r="AQ72" s="13" t="s">
        <v>520</v>
      </c>
    </row>
    <row r="73" spans="1:43" ht="48" customHeight="1">
      <c r="A73" s="1317" t="s">
        <v>76</v>
      </c>
      <c r="B73" s="360"/>
      <c r="C73" s="360"/>
      <c r="D73" s="360"/>
      <c r="E73" s="349"/>
      <c r="F73" s="360"/>
      <c r="G73" s="360"/>
      <c r="H73" s="360"/>
      <c r="I73" s="360"/>
      <c r="J73" s="360"/>
      <c r="K73" s="360"/>
      <c r="L73" s="360"/>
      <c r="M73" s="360"/>
      <c r="N73" s="366"/>
      <c r="O73" s="360"/>
      <c r="P73" s="360"/>
      <c r="Q73" s="360"/>
      <c r="R73" s="366"/>
      <c r="S73" s="360"/>
      <c r="T73" s="869"/>
      <c r="U73" s="869"/>
      <c r="V73" s="870"/>
      <c r="W73" s="873"/>
      <c r="X73" s="872"/>
      <c r="Y73" s="1328"/>
      <c r="Z73" s="869"/>
      <c r="AA73" s="869"/>
      <c r="AB73" s="870"/>
      <c r="AC73" s="873"/>
      <c r="AD73" s="872"/>
      <c r="AE73" s="1328"/>
      <c r="AF73" s="869"/>
      <c r="AG73" s="869"/>
      <c r="AH73" s="870"/>
      <c r="AI73" s="873"/>
      <c r="AJ73" s="872"/>
      <c r="AK73" s="1328"/>
      <c r="AL73" s="869"/>
      <c r="AM73" s="869"/>
      <c r="AN73" s="870"/>
      <c r="AO73" s="873"/>
      <c r="AP73" s="872"/>
    </row>
    <row r="74" spans="1:43" ht="33.75" customHeight="1">
      <c r="A74" s="1302" t="s">
        <v>276</v>
      </c>
      <c r="B74" s="1964" t="s">
        <v>64</v>
      </c>
      <c r="C74" s="1966"/>
      <c r="D74" s="326" t="s">
        <v>66</v>
      </c>
      <c r="E74" s="326" t="s">
        <v>67</v>
      </c>
      <c r="F74" s="483"/>
      <c r="G74" s="483"/>
      <c r="H74" s="361" t="s">
        <v>48</v>
      </c>
      <c r="I74" s="362"/>
      <c r="J74" s="362"/>
      <c r="K74" s="361" t="s">
        <v>65</v>
      </c>
      <c r="L74" s="363"/>
      <c r="M74" s="326"/>
      <c r="N74" s="361" t="s">
        <v>48</v>
      </c>
      <c r="O74" s="362"/>
      <c r="P74" s="362"/>
      <c r="Q74" s="361" t="s">
        <v>65</v>
      </c>
      <c r="R74" s="363"/>
      <c r="S74" s="1252"/>
      <c r="T74" s="875"/>
      <c r="U74" s="875"/>
      <c r="V74" s="875"/>
      <c r="W74" s="875"/>
      <c r="X74" s="1334"/>
      <c r="Y74" s="497"/>
      <c r="Z74" s="875"/>
      <c r="AA74" s="875"/>
      <c r="AB74" s="875"/>
      <c r="AC74" s="875"/>
      <c r="AD74" s="1334"/>
      <c r="AE74" s="497"/>
      <c r="AF74" s="875"/>
      <c r="AG74" s="875"/>
      <c r="AH74" s="875"/>
      <c r="AI74" s="875"/>
      <c r="AJ74" s="1334"/>
      <c r="AK74" s="497"/>
      <c r="AL74" s="875"/>
      <c r="AM74" s="875"/>
      <c r="AN74" s="875"/>
      <c r="AO74" s="875"/>
      <c r="AP74" s="1334"/>
    </row>
    <row r="75" spans="1:43" ht="44.25" customHeight="1">
      <c r="A75" s="1302" t="s">
        <v>550</v>
      </c>
      <c r="B75" s="1964" t="s">
        <v>518</v>
      </c>
      <c r="C75" s="1966"/>
      <c r="D75" s="290" t="s">
        <v>216</v>
      </c>
      <c r="E75" s="57" t="s">
        <v>772</v>
      </c>
      <c r="F75" s="484"/>
      <c r="G75" s="484"/>
      <c r="H75" s="2398">
        <f>'R.FILE GOC'!H75</f>
        <v>48</v>
      </c>
      <c r="I75" s="2399"/>
      <c r="J75" s="2401"/>
      <c r="K75" s="2398">
        <f>'R.FILE GOC'!K75</f>
        <v>48</v>
      </c>
      <c r="L75" s="2399"/>
      <c r="M75" s="1335"/>
      <c r="N75" s="2398">
        <f>'R.FILE GOC'!N75</f>
        <v>0</v>
      </c>
      <c r="O75" s="2399"/>
      <c r="P75" s="2401"/>
      <c r="Q75" s="2398">
        <f>'R.FILE GOC'!Q75</f>
        <v>0</v>
      </c>
      <c r="R75" s="2401"/>
      <c r="S75" s="1251"/>
      <c r="T75" s="874"/>
      <c r="U75" s="874"/>
      <c r="V75" s="874"/>
      <c r="W75" s="874"/>
      <c r="X75" s="1254"/>
      <c r="Y75" s="1254"/>
      <c r="Z75" s="874"/>
      <c r="AA75" s="874"/>
      <c r="AB75" s="874"/>
      <c r="AC75" s="874"/>
      <c r="AD75" s="1254"/>
      <c r="AE75" s="1254"/>
      <c r="AF75" s="874"/>
      <c r="AG75" s="874"/>
      <c r="AH75" s="874"/>
      <c r="AI75" s="874"/>
      <c r="AJ75" s="1254"/>
      <c r="AK75" s="1254"/>
      <c r="AL75" s="874"/>
      <c r="AM75" s="874"/>
      <c r="AN75" s="874"/>
      <c r="AO75" s="874"/>
      <c r="AP75" s="1254"/>
      <c r="AQ75" s="13" t="s">
        <v>520</v>
      </c>
    </row>
    <row r="76" spans="1:43" ht="44.25" customHeight="1">
      <c r="A76" s="1302" t="s">
        <v>552</v>
      </c>
      <c r="B76" s="1964" t="s">
        <v>522</v>
      </c>
      <c r="C76" s="1966"/>
      <c r="D76" s="290" t="s">
        <v>216</v>
      </c>
      <c r="E76" s="57" t="s">
        <v>772</v>
      </c>
      <c r="F76" s="484"/>
      <c r="G76" s="484"/>
      <c r="H76" s="2398">
        <f>'R.FILE GOC'!H76</f>
        <v>48</v>
      </c>
      <c r="I76" s="2399"/>
      <c r="J76" s="2401"/>
      <c r="K76" s="2398">
        <f>'R.FILE GOC'!K76</f>
        <v>48</v>
      </c>
      <c r="L76" s="2399"/>
      <c r="M76" s="1335"/>
      <c r="N76" s="2398">
        <f>'R.FILE GOC'!N76</f>
        <v>0</v>
      </c>
      <c r="O76" s="2399"/>
      <c r="P76" s="2401"/>
      <c r="Q76" s="2398">
        <f>'R.FILE GOC'!Q76</f>
        <v>0</v>
      </c>
      <c r="R76" s="2401"/>
      <c r="S76" s="1251"/>
      <c r="T76" s="874"/>
      <c r="U76" s="874"/>
      <c r="V76" s="874"/>
      <c r="W76" s="874"/>
      <c r="X76" s="1254"/>
      <c r="Y76" s="1254"/>
      <c r="Z76" s="874"/>
      <c r="AA76" s="874"/>
      <c r="AB76" s="874"/>
      <c r="AC76" s="874"/>
      <c r="AD76" s="1254"/>
      <c r="AE76" s="1254"/>
      <c r="AF76" s="874"/>
      <c r="AG76" s="874"/>
      <c r="AH76" s="874"/>
      <c r="AI76" s="874"/>
      <c r="AJ76" s="1254"/>
      <c r="AK76" s="1254"/>
      <c r="AL76" s="874"/>
      <c r="AM76" s="874"/>
      <c r="AN76" s="874"/>
      <c r="AO76" s="874"/>
      <c r="AP76" s="1254"/>
      <c r="AQ76" s="13" t="s">
        <v>520</v>
      </c>
    </row>
    <row r="77" spans="1:43" ht="44.25" customHeight="1">
      <c r="A77" s="1302" t="s">
        <v>553</v>
      </c>
      <c r="B77" s="1964" t="s">
        <v>620</v>
      </c>
      <c r="C77" s="1966"/>
      <c r="D77" s="290" t="s">
        <v>216</v>
      </c>
      <c r="E77" s="57" t="s">
        <v>772</v>
      </c>
      <c r="F77" s="494"/>
      <c r="G77" s="494"/>
      <c r="H77" s="2398">
        <f>'R.FILE GOC'!H77</f>
        <v>46</v>
      </c>
      <c r="I77" s="2399"/>
      <c r="J77" s="2401"/>
      <c r="K77" s="2398">
        <f>'R.FILE GOC'!K77</f>
        <v>45</v>
      </c>
      <c r="L77" s="2399"/>
      <c r="M77" s="1335"/>
      <c r="N77" s="2398">
        <f>'R.FILE GOC'!N77</f>
        <v>0</v>
      </c>
      <c r="O77" s="2399"/>
      <c r="P77" s="2401"/>
      <c r="Q77" s="2398">
        <f>'R.FILE GOC'!Q77</f>
        <v>0</v>
      </c>
      <c r="R77" s="2401"/>
      <c r="S77" s="1251"/>
      <c r="T77" s="874"/>
      <c r="U77" s="874"/>
      <c r="V77" s="874"/>
      <c r="W77" s="874"/>
      <c r="X77" s="1254"/>
      <c r="Y77" s="1254"/>
      <c r="Z77" s="874"/>
      <c r="AA77" s="874"/>
      <c r="AB77" s="874"/>
      <c r="AC77" s="874"/>
      <c r="AD77" s="1254"/>
      <c r="AE77" s="1254"/>
      <c r="AF77" s="874"/>
      <c r="AG77" s="874"/>
      <c r="AH77" s="874"/>
      <c r="AI77" s="874"/>
      <c r="AJ77" s="1254"/>
      <c r="AK77" s="1254"/>
      <c r="AL77" s="874"/>
      <c r="AM77" s="874"/>
      <c r="AN77" s="874"/>
      <c r="AO77" s="874"/>
      <c r="AP77" s="1254"/>
      <c r="AQ77" s="13" t="s">
        <v>520</v>
      </c>
    </row>
    <row r="78" spans="1:43" ht="44.25" customHeight="1">
      <c r="A78" s="1302" t="s">
        <v>554</v>
      </c>
      <c r="B78" s="1964" t="s">
        <v>555</v>
      </c>
      <c r="C78" s="1966"/>
      <c r="D78" s="290" t="s">
        <v>216</v>
      </c>
      <c r="E78" s="57" t="s">
        <v>773</v>
      </c>
      <c r="F78" s="494"/>
      <c r="G78" s="494"/>
      <c r="H78" s="2398">
        <f>'R.FILE GOC'!H78</f>
        <v>36</v>
      </c>
      <c r="I78" s="2399"/>
      <c r="J78" s="2401"/>
      <c r="K78" s="2398">
        <f>'R.FILE GOC'!K78</f>
        <v>29</v>
      </c>
      <c r="L78" s="2399"/>
      <c r="M78" s="1335"/>
      <c r="N78" s="2398">
        <f>'R.FILE GOC'!N78</f>
        <v>0</v>
      </c>
      <c r="O78" s="2399"/>
      <c r="P78" s="2401"/>
      <c r="Q78" s="2398">
        <f>'R.FILE GOC'!Q78</f>
        <v>0</v>
      </c>
      <c r="R78" s="2401"/>
      <c r="S78" s="1254"/>
      <c r="T78" s="874"/>
      <c r="U78" s="874"/>
      <c r="V78" s="874"/>
      <c r="W78" s="874"/>
      <c r="X78" s="1254"/>
      <c r="Y78" s="1254"/>
      <c r="Z78" s="874"/>
      <c r="AA78" s="874"/>
      <c r="AB78" s="874"/>
      <c r="AC78" s="874"/>
      <c r="AD78" s="1254"/>
      <c r="AE78" s="1254"/>
      <c r="AF78" s="874"/>
      <c r="AG78" s="874"/>
      <c r="AH78" s="874"/>
      <c r="AI78" s="874"/>
      <c r="AJ78" s="1254"/>
      <c r="AK78" s="1254"/>
      <c r="AL78" s="874"/>
      <c r="AM78" s="874"/>
      <c r="AN78" s="874"/>
      <c r="AO78" s="874"/>
      <c r="AP78" s="1254"/>
      <c r="AQ78" s="13" t="s">
        <v>520</v>
      </c>
    </row>
    <row r="79" spans="1:43" ht="44.25" customHeight="1">
      <c r="A79" s="1302" t="s">
        <v>557</v>
      </c>
      <c r="B79" s="1964" t="s">
        <v>558</v>
      </c>
      <c r="C79" s="1966"/>
      <c r="D79" s="290" t="s">
        <v>216</v>
      </c>
      <c r="E79" s="57" t="s">
        <v>774</v>
      </c>
      <c r="F79" s="57" t="s">
        <v>774</v>
      </c>
      <c r="G79" s="494"/>
      <c r="H79" s="2398">
        <f>'R.FILE GOC'!H79</f>
        <v>31</v>
      </c>
      <c r="I79" s="2399"/>
      <c r="J79" s="2401"/>
      <c r="K79" s="2398">
        <f>'R.FILE GOC'!K79</f>
        <v>28</v>
      </c>
      <c r="L79" s="2399"/>
      <c r="M79" s="1335"/>
      <c r="N79" s="2398">
        <f>'R.FILE GOC'!N79</f>
        <v>0</v>
      </c>
      <c r="O79" s="2399"/>
      <c r="P79" s="2401"/>
      <c r="Q79" s="2398">
        <f>'R.FILE GOC'!Q79</f>
        <v>0</v>
      </c>
      <c r="R79" s="2401"/>
      <c r="S79" s="1254"/>
      <c r="T79" s="874"/>
      <c r="U79" s="874"/>
      <c r="V79" s="874"/>
      <c r="W79" s="874"/>
      <c r="X79" s="1254"/>
      <c r="Y79" s="1254"/>
      <c r="Z79" s="874"/>
      <c r="AA79" s="874"/>
      <c r="AB79" s="874"/>
      <c r="AC79" s="874"/>
      <c r="AD79" s="1254"/>
      <c r="AE79" s="1254"/>
      <c r="AF79" s="874"/>
      <c r="AG79" s="874"/>
      <c r="AH79" s="874"/>
      <c r="AI79" s="874"/>
      <c r="AJ79" s="1254"/>
      <c r="AK79" s="1254"/>
      <c r="AL79" s="874"/>
      <c r="AM79" s="874"/>
      <c r="AN79" s="874"/>
      <c r="AO79" s="874"/>
      <c r="AP79" s="1254"/>
      <c r="AQ79" s="13" t="s">
        <v>520</v>
      </c>
    </row>
    <row r="80" spans="1:43" ht="44.25" customHeight="1">
      <c r="A80" s="1302" t="s">
        <v>560</v>
      </c>
      <c r="B80" s="1964" t="s">
        <v>561</v>
      </c>
      <c r="C80" s="1966"/>
      <c r="D80" s="290" t="s">
        <v>216</v>
      </c>
      <c r="E80" s="57" t="s">
        <v>774</v>
      </c>
      <c r="F80" s="497"/>
      <c r="G80" s="494"/>
      <c r="H80" s="2398">
        <f>'R.FILE GOC'!H80</f>
        <v>0</v>
      </c>
      <c r="I80" s="2399"/>
      <c r="J80" s="2401"/>
      <c r="K80" s="2398">
        <f>'R.FILE GOC'!K80</f>
        <v>0</v>
      </c>
      <c r="L80" s="2399"/>
      <c r="M80" s="1335"/>
      <c r="N80" s="2398">
        <f>'R.FILE GOC'!N80</f>
        <v>0</v>
      </c>
      <c r="O80" s="2399"/>
      <c r="P80" s="2401"/>
      <c r="Q80" s="2398">
        <f>'R.FILE GOC'!Q80</f>
        <v>0</v>
      </c>
      <c r="R80" s="2401"/>
      <c r="S80" s="1254"/>
      <c r="T80" s="874"/>
      <c r="U80" s="874"/>
      <c r="V80" s="874"/>
      <c r="W80" s="874"/>
      <c r="X80" s="1254"/>
      <c r="Y80" s="1254"/>
      <c r="Z80" s="874"/>
      <c r="AA80" s="874"/>
      <c r="AB80" s="874"/>
      <c r="AC80" s="874"/>
      <c r="AD80" s="1254"/>
      <c r="AE80" s="1254"/>
      <c r="AF80" s="874"/>
      <c r="AG80" s="874"/>
      <c r="AH80" s="874"/>
      <c r="AI80" s="874"/>
      <c r="AJ80" s="1254"/>
      <c r="AK80" s="1254"/>
      <c r="AL80" s="874"/>
      <c r="AM80" s="874"/>
      <c r="AN80" s="874"/>
      <c r="AO80" s="874"/>
      <c r="AP80" s="1254"/>
      <c r="AQ80" s="13" t="s">
        <v>520</v>
      </c>
    </row>
    <row r="81" spans="1:43" ht="44.25" customHeight="1">
      <c r="A81" s="1302" t="s">
        <v>562</v>
      </c>
      <c r="B81" s="1964" t="s">
        <v>563</v>
      </c>
      <c r="C81" s="1966"/>
      <c r="D81" s="290" t="s">
        <v>216</v>
      </c>
      <c r="E81" s="57" t="s">
        <v>775</v>
      </c>
      <c r="F81" s="494"/>
      <c r="G81" s="494"/>
      <c r="H81" s="1899"/>
      <c r="I81" s="1900"/>
      <c r="J81" s="1901"/>
      <c r="K81" s="2398">
        <f>'R.FILE GOC'!K81</f>
        <v>30</v>
      </c>
      <c r="L81" s="2399"/>
      <c r="M81" s="1336"/>
      <c r="N81" s="1899"/>
      <c r="O81" s="1900"/>
      <c r="P81" s="1901"/>
      <c r="Q81" s="2400">
        <f>'R.FILE GOC'!Q81</f>
        <v>0</v>
      </c>
      <c r="R81" s="2400"/>
      <c r="S81" s="1254"/>
      <c r="T81" s="874"/>
      <c r="U81" s="874"/>
      <c r="V81" s="874"/>
      <c r="W81" s="874"/>
      <c r="X81" s="1254"/>
      <c r="Y81" s="1254"/>
      <c r="Z81" s="874"/>
      <c r="AA81" s="874"/>
      <c r="AB81" s="874"/>
      <c r="AC81" s="874"/>
      <c r="AD81" s="1254"/>
      <c r="AE81" s="1254"/>
      <c r="AF81" s="874"/>
      <c r="AG81" s="874"/>
      <c r="AH81" s="874"/>
      <c r="AI81" s="874"/>
      <c r="AJ81" s="1254"/>
      <c r="AK81" s="1254"/>
      <c r="AL81" s="874"/>
      <c r="AM81" s="874"/>
      <c r="AN81" s="874"/>
      <c r="AO81" s="874"/>
      <c r="AP81" s="1254"/>
      <c r="AQ81" s="13" t="s">
        <v>520</v>
      </c>
    </row>
    <row r="82" spans="1:43" s="287" customFormat="1" ht="47.25" hidden="1" customHeight="1">
      <c r="A82" s="1337"/>
      <c r="B82" s="507"/>
      <c r="C82" s="508"/>
      <c r="D82" s="508"/>
      <c r="E82" s="508"/>
      <c r="F82" s="508"/>
      <c r="G82" s="508"/>
      <c r="H82" s="509" t="s">
        <v>565</v>
      </c>
      <c r="I82" s="508"/>
      <c r="J82" s="508"/>
      <c r="K82" s="508"/>
      <c r="L82" s="508"/>
      <c r="M82" s="508"/>
      <c r="N82" s="508"/>
      <c r="O82" s="508"/>
      <c r="P82" s="508"/>
      <c r="Q82" s="508"/>
      <c r="R82" s="508"/>
      <c r="S82" s="508"/>
      <c r="T82" s="510"/>
      <c r="U82" s="510"/>
      <c r="V82" s="510"/>
      <c r="W82" s="510"/>
      <c r="X82" s="510"/>
      <c r="Y82" s="510"/>
      <c r="Z82" s="510"/>
      <c r="AA82" s="510"/>
      <c r="AB82" s="510"/>
      <c r="AC82" s="510"/>
      <c r="AD82" s="510"/>
      <c r="AE82" s="510"/>
      <c r="AF82" s="510"/>
      <c r="AG82" s="510"/>
      <c r="AH82" s="510"/>
      <c r="AI82" s="510"/>
      <c r="AJ82" s="510"/>
      <c r="AK82" s="510"/>
      <c r="AL82" s="510"/>
      <c r="AM82" s="510"/>
      <c r="AN82" s="510"/>
      <c r="AO82" s="510"/>
      <c r="AP82" s="510"/>
      <c r="AQ82" s="13" t="s">
        <v>520</v>
      </c>
    </row>
    <row r="83" spans="1:43" s="287" customFormat="1" ht="47.25" hidden="1" customHeight="1">
      <c r="A83" s="1338"/>
      <c r="B83" s="1964" t="s">
        <v>565</v>
      </c>
      <c r="C83" s="1966"/>
      <c r="D83" s="1255" t="s">
        <v>566</v>
      </c>
      <c r="E83" s="57" t="s">
        <v>567</v>
      </c>
      <c r="F83" s="484"/>
      <c r="G83" s="484" t="s">
        <v>566</v>
      </c>
      <c r="H83" s="1891">
        <f>'R.FILE GOC'!H83:L83</f>
        <v>0</v>
      </c>
      <c r="I83" s="1892"/>
      <c r="J83" s="1892"/>
      <c r="K83" s="1892"/>
      <c r="L83" s="1892"/>
      <c r="M83" s="1250"/>
      <c r="N83" s="1891">
        <f>'R.FILE GOC'!N83:R83</f>
        <v>0</v>
      </c>
      <c r="O83" s="1892"/>
      <c r="P83" s="1892"/>
      <c r="Q83" s="1892"/>
      <c r="R83" s="1892"/>
      <c r="S83" s="1134"/>
      <c r="T83" s="874"/>
      <c r="U83" s="874"/>
      <c r="V83" s="874"/>
      <c r="W83" s="874"/>
      <c r="X83" s="874"/>
      <c r="Y83" s="874"/>
      <c r="Z83" s="874"/>
      <c r="AA83" s="874"/>
      <c r="AB83" s="874"/>
      <c r="AC83" s="874"/>
      <c r="AD83" s="874"/>
      <c r="AE83" s="874"/>
      <c r="AF83" s="874"/>
      <c r="AG83" s="874"/>
      <c r="AH83" s="874"/>
      <c r="AI83" s="874"/>
      <c r="AJ83" s="874"/>
      <c r="AK83" s="874"/>
      <c r="AL83" s="874"/>
      <c r="AM83" s="874"/>
      <c r="AN83" s="874"/>
      <c r="AO83" s="874"/>
      <c r="AP83" s="874"/>
      <c r="AQ83" s="13" t="s">
        <v>520</v>
      </c>
    </row>
    <row r="84" spans="1:43" s="287" customFormat="1" ht="47.25" hidden="1" customHeight="1">
      <c r="A84" s="1338"/>
      <c r="B84" s="1964" t="s">
        <v>568</v>
      </c>
      <c r="C84" s="1966"/>
      <c r="D84" s="1255" t="s">
        <v>566</v>
      </c>
      <c r="E84" s="57" t="s">
        <v>569</v>
      </c>
      <c r="F84" s="484"/>
      <c r="G84" s="484" t="s">
        <v>566</v>
      </c>
      <c r="H84" s="1891">
        <f>'R.FILE GOC'!H84:L84</f>
        <v>0</v>
      </c>
      <c r="I84" s="1892"/>
      <c r="J84" s="1892"/>
      <c r="K84" s="1892"/>
      <c r="L84" s="1892"/>
      <c r="M84" s="1250"/>
      <c r="N84" s="1891">
        <f>'R.FILE GOC'!N84:R84</f>
        <v>0</v>
      </c>
      <c r="O84" s="1892"/>
      <c r="P84" s="1892"/>
      <c r="Q84" s="1892"/>
      <c r="R84" s="1892"/>
      <c r="S84" s="1134"/>
      <c r="T84" s="874"/>
      <c r="U84" s="874"/>
      <c r="V84" s="874"/>
      <c r="W84" s="874"/>
      <c r="X84" s="874"/>
      <c r="Y84" s="874"/>
      <c r="Z84" s="874"/>
      <c r="AA84" s="874"/>
      <c r="AB84" s="874"/>
      <c r="AC84" s="874"/>
      <c r="AD84" s="874"/>
      <c r="AE84" s="874"/>
      <c r="AF84" s="874"/>
      <c r="AG84" s="874"/>
      <c r="AH84" s="874"/>
      <c r="AI84" s="874"/>
      <c r="AJ84" s="874"/>
      <c r="AK84" s="874"/>
      <c r="AL84" s="874"/>
      <c r="AM84" s="874"/>
      <c r="AN84" s="874"/>
      <c r="AO84" s="874"/>
      <c r="AP84" s="874"/>
      <c r="AQ84" s="13" t="s">
        <v>520</v>
      </c>
    </row>
    <row r="85" spans="1:43" s="287" customFormat="1" ht="28.5" customHeight="1">
      <c r="A85" s="1699"/>
      <c r="B85" s="1252"/>
      <c r="C85" s="1252"/>
      <c r="D85" s="1302"/>
      <c r="E85" s="1252"/>
      <c r="F85" s="484"/>
      <c r="G85" s="484"/>
      <c r="H85" s="1251"/>
      <c r="I85" s="1251"/>
      <c r="J85" s="1251"/>
      <c r="K85" s="1251"/>
      <c r="L85" s="1251"/>
      <c r="M85" s="1251"/>
      <c r="N85" s="1251"/>
      <c r="O85" s="1251"/>
      <c r="P85" s="1251"/>
      <c r="Q85" s="1251"/>
      <c r="R85" s="1251"/>
      <c r="S85" s="1135"/>
      <c r="T85" s="874"/>
      <c r="U85" s="874"/>
      <c r="V85" s="874"/>
      <c r="W85" s="874"/>
      <c r="X85" s="874"/>
      <c r="Y85" s="874"/>
      <c r="Z85" s="874"/>
      <c r="AA85" s="874"/>
      <c r="AB85" s="874"/>
      <c r="AC85" s="874"/>
      <c r="AD85" s="874"/>
      <c r="AE85" s="874"/>
      <c r="AF85" s="874"/>
      <c r="AG85" s="874"/>
      <c r="AH85" s="874"/>
      <c r="AI85" s="874"/>
      <c r="AJ85" s="874"/>
      <c r="AK85" s="874"/>
      <c r="AL85" s="874"/>
      <c r="AM85" s="874"/>
      <c r="AN85" s="874"/>
      <c r="AO85" s="874"/>
      <c r="AP85" s="874"/>
      <c r="AQ85" s="13"/>
    </row>
    <row r="86" spans="1:43" ht="40.5" customHeight="1">
      <c r="A86" s="498" t="s">
        <v>570</v>
      </c>
      <c r="B86" s="499"/>
      <c r="C86" s="499"/>
      <c r="D86" s="499"/>
      <c r="E86" s="500"/>
      <c r="F86" s="501"/>
      <c r="G86" s="1324"/>
      <c r="H86" s="863" t="s">
        <v>75</v>
      </c>
      <c r="I86" s="864"/>
      <c r="J86" s="864"/>
      <c r="K86" s="864"/>
      <c r="L86" s="864"/>
      <c r="M86" s="864"/>
      <c r="N86" s="864"/>
      <c r="O86" s="864"/>
      <c r="P86" s="864"/>
      <c r="Q86" s="864"/>
      <c r="R86" s="1325"/>
      <c r="S86" s="1324"/>
      <c r="AD86" s="13"/>
      <c r="AP86" s="13"/>
    </row>
    <row r="87" spans="1:43" ht="27.75" customHeight="1">
      <c r="A87" s="468"/>
      <c r="B87" s="2414" t="s">
        <v>79</v>
      </c>
      <c r="C87" s="2415"/>
      <c r="D87" s="2402" t="s">
        <v>137</v>
      </c>
      <c r="E87" s="2404" t="s">
        <v>67</v>
      </c>
      <c r="F87" s="469"/>
      <c r="G87" s="471"/>
      <c r="H87" s="2407">
        <v>0.33333333333333331</v>
      </c>
      <c r="I87" s="2406"/>
      <c r="J87" s="2406"/>
      <c r="K87" s="2406"/>
      <c r="L87" s="2406"/>
      <c r="M87" s="471"/>
      <c r="N87" s="2187">
        <v>0.83333333333333337</v>
      </c>
      <c r="O87" s="2178"/>
      <c r="P87" s="2178"/>
      <c r="Q87" s="2178"/>
      <c r="R87" s="2178"/>
      <c r="S87" s="1326"/>
      <c r="T87" s="365"/>
      <c r="AD87" s="13"/>
      <c r="AE87" s="1326"/>
      <c r="AF87" s="365"/>
      <c r="AP87" s="13"/>
    </row>
    <row r="88" spans="1:43" ht="50.25" customHeight="1">
      <c r="A88" s="512" t="s">
        <v>276</v>
      </c>
      <c r="B88" s="2416"/>
      <c r="C88" s="2417"/>
      <c r="D88" s="2403"/>
      <c r="E88" s="2405"/>
      <c r="F88" s="473" t="s">
        <v>466</v>
      </c>
      <c r="G88" s="474"/>
      <c r="H88" s="56" t="s">
        <v>783</v>
      </c>
      <c r="I88" s="1339" t="s">
        <v>1</v>
      </c>
      <c r="J88" s="2410" t="s">
        <v>1</v>
      </c>
      <c r="K88" s="2410"/>
      <c r="L88" s="2410"/>
      <c r="M88" s="56"/>
      <c r="N88" s="1210" t="s">
        <v>783</v>
      </c>
      <c r="O88" s="1604" t="s">
        <v>1</v>
      </c>
      <c r="P88" s="1876" t="s">
        <v>1</v>
      </c>
      <c r="Q88" s="1876"/>
      <c r="R88" s="1876"/>
      <c r="S88" s="1340"/>
      <c r="T88" s="365"/>
      <c r="W88" s="1301" t="s">
        <v>1197</v>
      </c>
      <c r="X88" s="1341"/>
      <c r="Y88" s="1341"/>
      <c r="Z88" s="1341"/>
      <c r="AD88" s="13"/>
      <c r="AE88" s="1340"/>
      <c r="AF88" s="365"/>
      <c r="AP88" s="13"/>
    </row>
    <row r="89" spans="1:43" ht="34.5" customHeight="1">
      <c r="A89" s="1302" t="s">
        <v>571</v>
      </c>
      <c r="B89" s="1964" t="s">
        <v>572</v>
      </c>
      <c r="C89" s="1966"/>
      <c r="D89" s="1255" t="s">
        <v>4</v>
      </c>
      <c r="E89" s="1249" t="s">
        <v>573</v>
      </c>
      <c r="F89" s="515">
        <v>25</v>
      </c>
      <c r="G89" s="478">
        <f>R.HN!C51</f>
        <v>1.5</v>
      </c>
      <c r="H89" s="356">
        <f>G89*15.8</f>
        <v>23.700000000000003</v>
      </c>
      <c r="I89" s="356">
        <f>($F$89-H89)*1632/1000</f>
        <v>2.1215999999999955</v>
      </c>
      <c r="J89" s="351" t="s">
        <v>8</v>
      </c>
      <c r="K89" s="700">
        <f t="shared" ref="K89:K98" si="9">IF(I89&lt;0,0,I89)</f>
        <v>2.1215999999999955</v>
      </c>
      <c r="L89" s="320" t="s">
        <v>9</v>
      </c>
      <c r="M89" s="478">
        <f>R.HN!D51</f>
        <v>0</v>
      </c>
      <c r="N89" s="37">
        <f>M89*15.8</f>
        <v>0</v>
      </c>
      <c r="O89" s="37">
        <f>($F$89-N89)*1632/1000</f>
        <v>40.799999999999997</v>
      </c>
      <c r="P89" s="41" t="s">
        <v>8</v>
      </c>
      <c r="Q89" s="491">
        <f t="shared" ref="Q89:Q98" si="10">IF(O89&lt;0,0,O89)</f>
        <v>40.799999999999997</v>
      </c>
      <c r="R89" s="47" t="s">
        <v>9</v>
      </c>
      <c r="S89" s="1342"/>
      <c r="T89" s="365"/>
      <c r="W89" s="1303" t="s">
        <v>1119</v>
      </c>
      <c r="AD89" s="13"/>
      <c r="AE89" s="1342"/>
      <c r="AF89" s="365"/>
      <c r="AP89" s="13"/>
      <c r="AQ89" s="13" t="s">
        <v>574</v>
      </c>
    </row>
    <row r="90" spans="1:43" ht="34.5" customHeight="1">
      <c r="A90" s="1302" t="s">
        <v>575</v>
      </c>
      <c r="B90" s="1964" t="s">
        <v>576</v>
      </c>
      <c r="C90" s="1966"/>
      <c r="D90" s="1255" t="s">
        <v>4</v>
      </c>
      <c r="E90" s="1249" t="s">
        <v>573</v>
      </c>
      <c r="F90" s="515">
        <v>25</v>
      </c>
      <c r="G90" s="478">
        <f>R.HN!C52</f>
        <v>1.4</v>
      </c>
      <c r="H90" s="356">
        <f>G90*15.8</f>
        <v>22.12</v>
      </c>
      <c r="I90" s="356">
        <f>($F$90-H90)*1632/1000</f>
        <v>4.7001599999999977</v>
      </c>
      <c r="J90" s="351" t="s">
        <v>8</v>
      </c>
      <c r="K90" s="700">
        <f t="shared" si="9"/>
        <v>4.7001599999999977</v>
      </c>
      <c r="L90" s="320" t="s">
        <v>9</v>
      </c>
      <c r="M90" s="478">
        <f>R.HN!D52</f>
        <v>0</v>
      </c>
      <c r="N90" s="37">
        <f>M90*15.8</f>
        <v>0</v>
      </c>
      <c r="O90" s="37">
        <f>($F$90-N90)*1632/1000</f>
        <v>40.799999999999997</v>
      </c>
      <c r="P90" s="41" t="s">
        <v>8</v>
      </c>
      <c r="Q90" s="491">
        <f t="shared" si="10"/>
        <v>40.799999999999997</v>
      </c>
      <c r="R90" s="47" t="s">
        <v>9</v>
      </c>
      <c r="S90" s="1342"/>
      <c r="T90" s="365"/>
      <c r="AD90" s="13"/>
      <c r="AE90" s="1342"/>
      <c r="AF90" s="365"/>
      <c r="AP90" s="13"/>
      <c r="AQ90" s="13" t="s">
        <v>574</v>
      </c>
    </row>
    <row r="91" spans="1:43" ht="34.5" customHeight="1">
      <c r="A91" s="1302" t="s">
        <v>577</v>
      </c>
      <c r="B91" s="1964" t="s">
        <v>578</v>
      </c>
      <c r="C91" s="1966"/>
      <c r="D91" s="1255" t="s">
        <v>58</v>
      </c>
      <c r="E91" s="1249" t="s">
        <v>579</v>
      </c>
      <c r="F91" s="515">
        <v>250</v>
      </c>
      <c r="G91" s="478">
        <f>R.HN!C53</f>
        <v>3.6</v>
      </c>
      <c r="H91" s="356">
        <f>G91*65.2</f>
        <v>234.72000000000003</v>
      </c>
      <c r="I91" s="356">
        <f>($F$91-H91)*1632/1000</f>
        <v>24.936959999999956</v>
      </c>
      <c r="J91" s="351" t="s">
        <v>8</v>
      </c>
      <c r="K91" s="700">
        <f t="shared" si="9"/>
        <v>24.936959999999956</v>
      </c>
      <c r="L91" s="320" t="s">
        <v>1198</v>
      </c>
      <c r="M91" s="478">
        <f>R.HN!D53</f>
        <v>0</v>
      </c>
      <c r="N91" s="37">
        <f>M91*65.2</f>
        <v>0</v>
      </c>
      <c r="O91" s="37">
        <f>($F$91-N91)*1632/1000</f>
        <v>408</v>
      </c>
      <c r="P91" s="41" t="s">
        <v>8</v>
      </c>
      <c r="Q91" s="491">
        <f t="shared" si="10"/>
        <v>408</v>
      </c>
      <c r="R91" s="47" t="s">
        <v>1430</v>
      </c>
      <c r="S91" s="1342"/>
      <c r="T91" s="365"/>
      <c r="W91" s="1303" t="s">
        <v>1120</v>
      </c>
      <c r="AD91" s="13"/>
      <c r="AE91" s="1342"/>
      <c r="AF91" s="365"/>
      <c r="AP91" s="13"/>
      <c r="AQ91" s="13" t="s">
        <v>574</v>
      </c>
    </row>
    <row r="92" spans="1:43" ht="34.5" customHeight="1">
      <c r="A92" s="1302" t="s">
        <v>580</v>
      </c>
      <c r="B92" s="2419" t="s">
        <v>1199</v>
      </c>
      <c r="C92" s="2420"/>
      <c r="D92" s="1255" t="s">
        <v>4</v>
      </c>
      <c r="E92" s="1249" t="s">
        <v>581</v>
      </c>
      <c r="F92" s="515">
        <v>130</v>
      </c>
      <c r="G92" s="478">
        <f>R.HN!C54</f>
        <v>11</v>
      </c>
      <c r="H92" s="356">
        <f>G92*12.5</f>
        <v>137.5</v>
      </c>
      <c r="I92" s="356">
        <f>($F$92-H92)*1728/1000</f>
        <v>-12.96</v>
      </c>
      <c r="J92" s="351" t="s">
        <v>8</v>
      </c>
      <c r="K92" s="700">
        <f t="shared" si="9"/>
        <v>0</v>
      </c>
      <c r="L92" s="320" t="s">
        <v>9</v>
      </c>
      <c r="M92" s="478">
        <f>R.HN!D54</f>
        <v>0</v>
      </c>
      <c r="N92" s="37">
        <f>M92*12.5</f>
        <v>0</v>
      </c>
      <c r="O92" s="37">
        <f>($F$92-N92)*1728/1000</f>
        <v>224.64</v>
      </c>
      <c r="P92" s="41" t="s">
        <v>8</v>
      </c>
      <c r="Q92" s="491">
        <f t="shared" si="10"/>
        <v>224.64</v>
      </c>
      <c r="R92" s="47" t="s">
        <v>9</v>
      </c>
      <c r="S92" s="1342"/>
      <c r="T92" s="365"/>
      <c r="W92" s="1303" t="s">
        <v>1115</v>
      </c>
      <c r="AD92" s="13"/>
      <c r="AE92" s="1342"/>
      <c r="AF92" s="365"/>
      <c r="AP92" s="13"/>
      <c r="AQ92" s="13" t="s">
        <v>574</v>
      </c>
    </row>
    <row r="93" spans="1:43" ht="34.5" customHeight="1">
      <c r="A93" s="1302" t="s">
        <v>582</v>
      </c>
      <c r="B93" s="2419" t="s">
        <v>1200</v>
      </c>
      <c r="C93" s="2420"/>
      <c r="D93" s="1255" t="s">
        <v>4</v>
      </c>
      <c r="E93" s="1249" t="s">
        <v>583</v>
      </c>
      <c r="F93" s="518"/>
      <c r="G93" s="478">
        <f>R.HN!C55</f>
        <v>6.8</v>
      </c>
      <c r="H93" s="356">
        <f>(G92-G93)*1.25</f>
        <v>5.25</v>
      </c>
      <c r="I93" s="356" t="s">
        <v>478</v>
      </c>
      <c r="J93" s="351" t="s">
        <v>8</v>
      </c>
      <c r="K93" s="700"/>
      <c r="L93" s="320" t="s">
        <v>9</v>
      </c>
      <c r="M93" s="478">
        <f>R.HN!D55</f>
        <v>0</v>
      </c>
      <c r="N93" s="37">
        <f>(M92-M93)*1.25</f>
        <v>0</v>
      </c>
      <c r="O93" s="37" t="s">
        <v>478</v>
      </c>
      <c r="P93" s="41" t="s">
        <v>8</v>
      </c>
      <c r="Q93" s="491"/>
      <c r="R93" s="47" t="s">
        <v>9</v>
      </c>
      <c r="S93" s="1342"/>
      <c r="T93" s="365"/>
      <c r="W93" s="1303" t="s">
        <v>1116</v>
      </c>
      <c r="AD93" s="13"/>
      <c r="AE93" s="1342"/>
      <c r="AF93" s="365"/>
      <c r="AP93" s="13"/>
      <c r="AQ93" s="13" t="s">
        <v>574</v>
      </c>
    </row>
    <row r="94" spans="1:43" ht="34.5" customHeight="1">
      <c r="A94" s="1302" t="s">
        <v>584</v>
      </c>
      <c r="B94" s="2419" t="s">
        <v>1201</v>
      </c>
      <c r="C94" s="2420"/>
      <c r="D94" s="1255" t="s">
        <v>4</v>
      </c>
      <c r="E94" s="1249" t="s">
        <v>581</v>
      </c>
      <c r="F94" s="518">
        <v>130</v>
      </c>
      <c r="G94" s="478">
        <f>R.HN!C56</f>
        <v>12</v>
      </c>
      <c r="H94" s="356">
        <f>G94*12.5</f>
        <v>150</v>
      </c>
      <c r="I94" s="356">
        <f>($F$94-H94)*1728/1000</f>
        <v>-34.56</v>
      </c>
      <c r="J94" s="351" t="s">
        <v>8</v>
      </c>
      <c r="K94" s="700">
        <f t="shared" si="9"/>
        <v>0</v>
      </c>
      <c r="L94" s="320" t="s">
        <v>9</v>
      </c>
      <c r="M94" s="478">
        <f>R.HN!D56</f>
        <v>0</v>
      </c>
      <c r="N94" s="37">
        <f>M94*12.5</f>
        <v>0</v>
      </c>
      <c r="O94" s="37">
        <f>($F$94-N94)*1728/1000</f>
        <v>224.64</v>
      </c>
      <c r="P94" s="41" t="s">
        <v>8</v>
      </c>
      <c r="Q94" s="491">
        <f t="shared" si="10"/>
        <v>224.64</v>
      </c>
      <c r="R94" s="47" t="s">
        <v>9</v>
      </c>
      <c r="S94" s="1342"/>
      <c r="T94" s="365"/>
      <c r="AD94" s="13"/>
      <c r="AE94" s="1342"/>
      <c r="AF94" s="365"/>
      <c r="AP94" s="13"/>
      <c r="AQ94" s="13" t="s">
        <v>574</v>
      </c>
    </row>
    <row r="95" spans="1:43" ht="34.5" customHeight="1">
      <c r="A95" s="1302" t="s">
        <v>585</v>
      </c>
      <c r="B95" s="2419" t="s">
        <v>1202</v>
      </c>
      <c r="C95" s="2420"/>
      <c r="D95" s="1255" t="s">
        <v>4</v>
      </c>
      <c r="E95" s="1249" t="s">
        <v>583</v>
      </c>
      <c r="F95" s="518"/>
      <c r="G95" s="478">
        <f>R.HN!C57</f>
        <v>8.5</v>
      </c>
      <c r="H95" s="356">
        <f>(G94-G95)*1.25</f>
        <v>4.375</v>
      </c>
      <c r="I95" s="356" t="s">
        <v>478</v>
      </c>
      <c r="J95" s="351" t="s">
        <v>8</v>
      </c>
      <c r="K95" s="700"/>
      <c r="L95" s="320" t="s">
        <v>9</v>
      </c>
      <c r="M95" s="478">
        <f>R.HN!D57</f>
        <v>0</v>
      </c>
      <c r="N95" s="37">
        <f>(M94-M95)*1.25</f>
        <v>0</v>
      </c>
      <c r="O95" s="37" t="s">
        <v>478</v>
      </c>
      <c r="P95" s="41" t="s">
        <v>8</v>
      </c>
      <c r="Q95" s="491"/>
      <c r="R95" s="47" t="s">
        <v>9</v>
      </c>
      <c r="S95" s="1342"/>
      <c r="T95" s="365"/>
      <c r="AD95" s="13"/>
      <c r="AE95" s="1342"/>
      <c r="AF95" s="365"/>
      <c r="AP95" s="13"/>
      <c r="AQ95" s="13" t="s">
        <v>574</v>
      </c>
    </row>
    <row r="96" spans="1:43" ht="34.5" customHeight="1">
      <c r="A96" s="1302" t="s">
        <v>586</v>
      </c>
      <c r="B96" s="2419" t="s">
        <v>1203</v>
      </c>
      <c r="C96" s="2420"/>
      <c r="D96" s="1255" t="s">
        <v>4</v>
      </c>
      <c r="E96" s="1249" t="s">
        <v>581</v>
      </c>
      <c r="F96" s="518">
        <v>130</v>
      </c>
      <c r="G96" s="478">
        <f>R.HN!C58</f>
        <v>11.7</v>
      </c>
      <c r="H96" s="356">
        <f>G96*12.5</f>
        <v>146.25</v>
      </c>
      <c r="I96" s="356">
        <f>($F$96-H96)*1728/1000</f>
        <v>-28.08</v>
      </c>
      <c r="J96" s="351" t="s">
        <v>8</v>
      </c>
      <c r="K96" s="700">
        <f t="shared" si="9"/>
        <v>0</v>
      </c>
      <c r="L96" s="320" t="s">
        <v>9</v>
      </c>
      <c r="M96" s="478">
        <f>R.HN!D58</f>
        <v>0</v>
      </c>
      <c r="N96" s="37">
        <f>M96*12.5</f>
        <v>0</v>
      </c>
      <c r="O96" s="37">
        <f>($F$96-N96)*1728/1000</f>
        <v>224.64</v>
      </c>
      <c r="P96" s="41" t="s">
        <v>8</v>
      </c>
      <c r="Q96" s="491">
        <f t="shared" si="10"/>
        <v>224.64</v>
      </c>
      <c r="R96" s="47" t="s">
        <v>9</v>
      </c>
      <c r="S96" s="1342"/>
      <c r="T96" s="365"/>
      <c r="AD96" s="13"/>
      <c r="AE96" s="1342"/>
      <c r="AF96" s="365"/>
      <c r="AP96" s="13"/>
      <c r="AQ96" s="13" t="s">
        <v>574</v>
      </c>
    </row>
    <row r="97" spans="1:43" ht="34.5" customHeight="1">
      <c r="A97" s="1302" t="s">
        <v>587</v>
      </c>
      <c r="B97" s="2419" t="s">
        <v>1204</v>
      </c>
      <c r="C97" s="2420"/>
      <c r="D97" s="1255" t="s">
        <v>4</v>
      </c>
      <c r="E97" s="1249" t="s">
        <v>583</v>
      </c>
      <c r="F97" s="518"/>
      <c r="G97" s="478">
        <f>R.HN!C59</f>
        <v>8.1</v>
      </c>
      <c r="H97" s="356">
        <f>(G96-G97)*1.25</f>
        <v>4.5</v>
      </c>
      <c r="I97" s="356" t="s">
        <v>478</v>
      </c>
      <c r="J97" s="351" t="s">
        <v>8</v>
      </c>
      <c r="K97" s="700"/>
      <c r="L97" s="320" t="s">
        <v>9</v>
      </c>
      <c r="M97" s="478">
        <f>R.HN!D59</f>
        <v>0</v>
      </c>
      <c r="N97" s="37">
        <f>(M96-M97)*1.25</f>
        <v>0</v>
      </c>
      <c r="O97" s="37" t="s">
        <v>478</v>
      </c>
      <c r="P97" s="41" t="s">
        <v>8</v>
      </c>
      <c r="Q97" s="491"/>
      <c r="R97" s="47" t="s">
        <v>9</v>
      </c>
      <c r="S97" s="1342"/>
      <c r="T97" s="365"/>
      <c r="AD97" s="13"/>
      <c r="AE97" s="1342"/>
      <c r="AF97" s="365"/>
      <c r="AP97" s="13"/>
      <c r="AQ97" s="13" t="s">
        <v>574</v>
      </c>
    </row>
    <row r="98" spans="1:43" ht="34.5" customHeight="1">
      <c r="A98" s="1302" t="s">
        <v>588</v>
      </c>
      <c r="B98" s="1343" t="s">
        <v>589</v>
      </c>
      <c r="C98" s="1344"/>
      <c r="D98" s="1255" t="s">
        <v>4</v>
      </c>
      <c r="E98" s="1249" t="s">
        <v>590</v>
      </c>
      <c r="F98" s="519">
        <v>10</v>
      </c>
      <c r="G98" s="478">
        <f>R.HN!C60</f>
        <v>5.2</v>
      </c>
      <c r="H98" s="356">
        <f>G98*2.08</f>
        <v>10.816000000000001</v>
      </c>
      <c r="I98" s="356">
        <f>($F$98-H98)*1728/1000</f>
        <v>-1.4100480000000011</v>
      </c>
      <c r="J98" s="351" t="s">
        <v>8</v>
      </c>
      <c r="K98" s="700">
        <f t="shared" si="9"/>
        <v>0</v>
      </c>
      <c r="L98" s="320" t="s">
        <v>9</v>
      </c>
      <c r="M98" s="478">
        <f>R.HN!D60</f>
        <v>0</v>
      </c>
      <c r="N98" s="37">
        <f>M98*2.08</f>
        <v>0</v>
      </c>
      <c r="O98" s="37">
        <f>($F$98-N98)*1728/1000</f>
        <v>17.28</v>
      </c>
      <c r="P98" s="41" t="s">
        <v>8</v>
      </c>
      <c r="Q98" s="491">
        <f t="shared" si="10"/>
        <v>17.28</v>
      </c>
      <c r="R98" s="47" t="s">
        <v>9</v>
      </c>
      <c r="S98" s="1342"/>
      <c r="T98" s="365"/>
      <c r="W98" s="1303" t="s">
        <v>1117</v>
      </c>
      <c r="AD98" s="13"/>
      <c r="AE98" s="1342"/>
      <c r="AF98" s="365"/>
      <c r="AP98" s="13"/>
      <c r="AQ98" s="13" t="s">
        <v>574</v>
      </c>
    </row>
    <row r="99" spans="1:43" ht="34.5" customHeight="1">
      <c r="A99" s="1302" t="s">
        <v>591</v>
      </c>
      <c r="B99" s="1345" t="s">
        <v>5</v>
      </c>
      <c r="C99" s="1346"/>
      <c r="D99" s="1255" t="s">
        <v>5</v>
      </c>
      <c r="E99" s="1249" t="s">
        <v>592</v>
      </c>
      <c r="F99" s="519"/>
      <c r="G99" s="478"/>
      <c r="H99" s="1134">
        <f>'R.FILE GOC'!H99</f>
        <v>7</v>
      </c>
      <c r="I99" s="1135"/>
      <c r="J99" s="1135"/>
      <c r="K99" s="648"/>
      <c r="L99" s="701"/>
      <c r="M99" s="477"/>
      <c r="N99" s="699">
        <f>'R.FILE GOC'!N99</f>
        <v>0</v>
      </c>
      <c r="O99" s="1452"/>
      <c r="P99" s="1452"/>
      <c r="Q99" s="1452"/>
      <c r="R99" s="1517"/>
      <c r="S99" s="1342"/>
      <c r="T99" s="365"/>
      <c r="AD99" s="13"/>
      <c r="AE99" s="1342"/>
      <c r="AF99" s="365"/>
      <c r="AP99" s="13"/>
      <c r="AQ99" s="13" t="s">
        <v>574</v>
      </c>
    </row>
    <row r="100" spans="1:43" ht="34.5" hidden="1" customHeight="1">
      <c r="A100" s="1302" t="s">
        <v>593</v>
      </c>
      <c r="B100" s="1964" t="s">
        <v>594</v>
      </c>
      <c r="C100" s="1966"/>
      <c r="D100" s="1255" t="s">
        <v>5</v>
      </c>
      <c r="E100" s="57" t="s">
        <v>595</v>
      </c>
      <c r="F100" s="1255"/>
      <c r="G100" s="478"/>
      <c r="H100" s="866">
        <f>'R.FILE GOC'!H100</f>
        <v>0</v>
      </c>
      <c r="I100" s="648"/>
      <c r="J100" s="648"/>
      <c r="K100" s="648"/>
      <c r="L100" s="701"/>
      <c r="M100" s="477"/>
      <c r="N100" s="1520">
        <f>'R.FILE GOC'!N100</f>
        <v>0</v>
      </c>
      <c r="O100" s="1452"/>
      <c r="P100" s="1452"/>
      <c r="Q100" s="1452"/>
      <c r="R100" s="1517"/>
      <c r="S100" s="1342"/>
      <c r="T100" s="365"/>
      <c r="AD100" s="13"/>
      <c r="AE100" s="1342"/>
      <c r="AF100" s="365"/>
      <c r="AP100" s="13"/>
      <c r="AQ100" s="13" t="s">
        <v>574</v>
      </c>
    </row>
    <row r="101" spans="1:43" ht="34.5" hidden="1" customHeight="1">
      <c r="A101" s="1302" t="s">
        <v>596</v>
      </c>
      <c r="B101" s="1964" t="s">
        <v>597</v>
      </c>
      <c r="C101" s="1966"/>
      <c r="D101" s="1255" t="s">
        <v>5</v>
      </c>
      <c r="E101" s="57" t="s">
        <v>598</v>
      </c>
      <c r="F101" s="1255"/>
      <c r="G101" s="478"/>
      <c r="H101" s="866">
        <f>'R.FILE GOC'!H101</f>
        <v>0</v>
      </c>
      <c r="I101" s="648"/>
      <c r="J101" s="648"/>
      <c r="K101" s="648"/>
      <c r="L101" s="701"/>
      <c r="M101" s="477"/>
      <c r="N101" s="1520">
        <f>'R.FILE GOC'!N101</f>
        <v>0</v>
      </c>
      <c r="O101" s="1452"/>
      <c r="P101" s="1452"/>
      <c r="Q101" s="1452"/>
      <c r="R101" s="1517"/>
      <c r="S101" s="1342"/>
      <c r="T101" s="365"/>
      <c r="AD101" s="13"/>
      <c r="AE101" s="1342"/>
      <c r="AF101" s="365"/>
      <c r="AP101" s="13"/>
      <c r="AQ101" s="13" t="s">
        <v>574</v>
      </c>
    </row>
    <row r="102" spans="1:43" ht="34.5" customHeight="1">
      <c r="A102" s="1302" t="s">
        <v>599</v>
      </c>
      <c r="B102" s="1964" t="s">
        <v>600</v>
      </c>
      <c r="C102" s="1966"/>
      <c r="D102" s="1255" t="s">
        <v>5</v>
      </c>
      <c r="E102" s="57" t="s">
        <v>595</v>
      </c>
      <c r="F102" s="1255"/>
      <c r="G102" s="478"/>
      <c r="H102" s="1134">
        <f>'R.FILE GOC'!H102</f>
        <v>5.62</v>
      </c>
      <c r="I102" s="648"/>
      <c r="J102" s="648"/>
      <c r="K102" s="648"/>
      <c r="L102" s="701"/>
      <c r="M102" s="1347"/>
      <c r="N102" s="699">
        <f>'R.FILE GOC'!N102</f>
        <v>0</v>
      </c>
      <c r="O102" s="1452"/>
      <c r="P102" s="1452"/>
      <c r="Q102" s="1452"/>
      <c r="R102" s="1517"/>
      <c r="S102" s="1342"/>
      <c r="T102" s="365"/>
      <c r="AD102" s="13"/>
      <c r="AE102" s="1342"/>
      <c r="AF102" s="365"/>
      <c r="AP102" s="13"/>
      <c r="AQ102" s="13" t="s">
        <v>574</v>
      </c>
    </row>
    <row r="103" spans="1:43" ht="42" customHeight="1">
      <c r="A103" s="1317" t="s">
        <v>76</v>
      </c>
      <c r="B103" s="360"/>
      <c r="C103" s="360"/>
      <c r="D103" s="360"/>
      <c r="E103" s="349"/>
      <c r="F103" s="360"/>
      <c r="G103" s="360"/>
      <c r="H103" s="360"/>
      <c r="I103" s="360"/>
      <c r="J103" s="360"/>
      <c r="K103" s="360"/>
      <c r="L103" s="360"/>
      <c r="M103" s="360"/>
      <c r="N103" s="337"/>
      <c r="O103" s="336"/>
      <c r="P103" s="336"/>
      <c r="Q103" s="336"/>
      <c r="R103" s="337"/>
      <c r="S103" s="360"/>
      <c r="T103" s="365"/>
      <c r="AD103" s="13"/>
      <c r="AE103" s="1348"/>
      <c r="AF103" s="365"/>
      <c r="AP103" s="13"/>
    </row>
    <row r="104" spans="1:43" ht="37.5" customHeight="1">
      <c r="A104" s="512" t="s">
        <v>276</v>
      </c>
      <c r="B104" s="1964" t="s">
        <v>64</v>
      </c>
      <c r="C104" s="1966"/>
      <c r="D104" s="326" t="s">
        <v>66</v>
      </c>
      <c r="E104" s="326" t="s">
        <v>67</v>
      </c>
      <c r="F104" s="57"/>
      <c r="G104" s="57"/>
      <c r="H104" s="361" t="s">
        <v>48</v>
      </c>
      <c r="I104" s="362"/>
      <c r="J104" s="362"/>
      <c r="K104" s="361" t="s">
        <v>65</v>
      </c>
      <c r="L104" s="363"/>
      <c r="M104" s="326"/>
      <c r="N104" s="329" t="s">
        <v>48</v>
      </c>
      <c r="O104" s="330"/>
      <c r="P104" s="330"/>
      <c r="Q104" s="329" t="s">
        <v>65</v>
      </c>
      <c r="R104" s="346"/>
      <c r="S104" s="1349"/>
      <c r="T104" s="365"/>
      <c r="AD104" s="13"/>
      <c r="AE104" s="1349"/>
      <c r="AF104" s="365"/>
      <c r="AP104" s="13"/>
      <c r="AQ104" s="13" t="s">
        <v>574</v>
      </c>
    </row>
    <row r="105" spans="1:43" ht="38.25" customHeight="1">
      <c r="A105" s="1302" t="s">
        <v>601</v>
      </c>
      <c r="B105" s="1964" t="s">
        <v>572</v>
      </c>
      <c r="C105" s="1966"/>
      <c r="D105" s="292" t="s">
        <v>216</v>
      </c>
      <c r="E105" s="15" t="s">
        <v>1205</v>
      </c>
      <c r="F105" s="15"/>
      <c r="G105" s="15"/>
      <c r="H105" s="1893">
        <f>'R.FILE GOC'!H105</f>
        <v>66</v>
      </c>
      <c r="I105" s="1893"/>
      <c r="J105" s="1893"/>
      <c r="K105" s="1893">
        <f>'R.FILE GOC'!K105</f>
        <v>61</v>
      </c>
      <c r="L105" s="1893"/>
      <c r="M105" s="1350"/>
      <c r="N105" s="1869">
        <f>'R.FILE GOC'!N105</f>
        <v>0</v>
      </c>
      <c r="O105" s="1869"/>
      <c r="P105" s="1869"/>
      <c r="Q105" s="1869">
        <f>'R.FILE GOC'!Q105</f>
        <v>0</v>
      </c>
      <c r="R105" s="1869"/>
      <c r="S105" s="1351"/>
      <c r="T105" s="365"/>
      <c r="AD105" s="13"/>
      <c r="AE105" s="1351"/>
      <c r="AF105" s="365"/>
      <c r="AP105" s="13"/>
      <c r="AQ105" s="13" t="s">
        <v>574</v>
      </c>
    </row>
    <row r="106" spans="1:43" ht="38.25" customHeight="1">
      <c r="A106" s="1302" t="s">
        <v>602</v>
      </c>
      <c r="B106" s="1964" t="s">
        <v>576</v>
      </c>
      <c r="C106" s="1966"/>
      <c r="D106" s="292" t="s">
        <v>216</v>
      </c>
      <c r="E106" s="15" t="s">
        <v>1205</v>
      </c>
      <c r="F106" s="15"/>
      <c r="G106" s="15"/>
      <c r="H106" s="1893">
        <f>'R.FILE GOC'!H106</f>
        <v>67</v>
      </c>
      <c r="I106" s="1893"/>
      <c r="J106" s="1893"/>
      <c r="K106" s="1893">
        <f>'R.FILE GOC'!K106</f>
        <v>61</v>
      </c>
      <c r="L106" s="1893"/>
      <c r="M106" s="523"/>
      <c r="N106" s="1869">
        <f>'R.FILE GOC'!N106</f>
        <v>0</v>
      </c>
      <c r="O106" s="1869"/>
      <c r="P106" s="1869"/>
      <c r="Q106" s="1869">
        <f>'R.FILE GOC'!Q106</f>
        <v>0</v>
      </c>
      <c r="R106" s="1869"/>
      <c r="S106" s="1351"/>
      <c r="T106" s="365"/>
      <c r="AD106" s="13"/>
      <c r="AE106" s="1351"/>
      <c r="AF106" s="365"/>
      <c r="AP106" s="13"/>
      <c r="AQ106" s="13" t="s">
        <v>574</v>
      </c>
    </row>
    <row r="107" spans="1:43" ht="38.25" customHeight="1">
      <c r="A107" s="1302" t="s">
        <v>603</v>
      </c>
      <c r="B107" s="2419" t="s">
        <v>1206</v>
      </c>
      <c r="C107" s="2420"/>
      <c r="D107" s="292" t="s">
        <v>216</v>
      </c>
      <c r="E107" s="15" t="s">
        <v>1207</v>
      </c>
      <c r="F107" s="15"/>
      <c r="G107" s="15"/>
      <c r="H107" s="1893">
        <f>'R.FILE GOC'!H107</f>
        <v>22</v>
      </c>
      <c r="I107" s="1893"/>
      <c r="J107" s="1893"/>
      <c r="K107" s="1893">
        <f>'R.FILE GOC'!K107</f>
        <v>21</v>
      </c>
      <c r="L107" s="1893"/>
      <c r="M107" s="1893"/>
      <c r="N107" s="1869">
        <f>'R.FILE GOC'!N107</f>
        <v>0</v>
      </c>
      <c r="O107" s="1869"/>
      <c r="P107" s="1869"/>
      <c r="Q107" s="1869">
        <f>'R.FILE GOC'!Q107</f>
        <v>0</v>
      </c>
      <c r="R107" s="1869"/>
      <c r="S107" s="1351"/>
      <c r="T107" s="365"/>
      <c r="AD107" s="13"/>
      <c r="AE107" s="1351"/>
      <c r="AF107" s="365"/>
      <c r="AP107" s="13"/>
      <c r="AQ107" s="13" t="s">
        <v>574</v>
      </c>
    </row>
    <row r="108" spans="1:43" ht="38.25" customHeight="1">
      <c r="A108" s="1302" t="s">
        <v>604</v>
      </c>
      <c r="B108" s="2419" t="s">
        <v>1208</v>
      </c>
      <c r="C108" s="2420"/>
      <c r="D108" s="292" t="s">
        <v>216</v>
      </c>
      <c r="E108" s="15" t="s">
        <v>1207</v>
      </c>
      <c r="F108" s="15"/>
      <c r="G108" s="15"/>
      <c r="H108" s="1893">
        <f>'R.FILE GOC'!H108</f>
        <v>19</v>
      </c>
      <c r="I108" s="1893"/>
      <c r="J108" s="1893"/>
      <c r="K108" s="1893">
        <f>'R.FILE GOC'!K108</f>
        <v>17</v>
      </c>
      <c r="L108" s="1893"/>
      <c r="M108" s="1893"/>
      <c r="N108" s="1869">
        <f>'R.FILE GOC'!N108</f>
        <v>0</v>
      </c>
      <c r="O108" s="1869"/>
      <c r="P108" s="1869"/>
      <c r="Q108" s="1869">
        <f>'R.FILE GOC'!Q108</f>
        <v>0</v>
      </c>
      <c r="R108" s="1869"/>
      <c r="S108" s="1351"/>
      <c r="T108" s="365"/>
      <c r="AD108" s="13"/>
      <c r="AE108" s="1351"/>
      <c r="AF108" s="365"/>
      <c r="AP108" s="13"/>
      <c r="AQ108" s="13" t="s">
        <v>574</v>
      </c>
    </row>
    <row r="109" spans="1:43" ht="38.25" customHeight="1">
      <c r="A109" s="1302" t="s">
        <v>605</v>
      </c>
      <c r="B109" s="2419" t="s">
        <v>1209</v>
      </c>
      <c r="C109" s="2420"/>
      <c r="D109" s="292" t="s">
        <v>216</v>
      </c>
      <c r="E109" s="15" t="s">
        <v>1207</v>
      </c>
      <c r="F109" s="15"/>
      <c r="G109" s="15"/>
      <c r="H109" s="1893">
        <f>'R.FILE GOC'!H109</f>
        <v>21</v>
      </c>
      <c r="I109" s="1893"/>
      <c r="J109" s="1893"/>
      <c r="K109" s="1893">
        <f>'R.FILE GOC'!K109</f>
        <v>19</v>
      </c>
      <c r="L109" s="1893"/>
      <c r="M109" s="1893"/>
      <c r="N109" s="1869">
        <f>'R.FILE GOC'!N109</f>
        <v>0</v>
      </c>
      <c r="O109" s="1869"/>
      <c r="P109" s="1869"/>
      <c r="Q109" s="1869">
        <f>'R.FILE GOC'!Q109</f>
        <v>0</v>
      </c>
      <c r="R109" s="1869"/>
      <c r="S109" s="1351"/>
      <c r="T109" s="365"/>
      <c r="AD109" s="13"/>
      <c r="AE109" s="1351"/>
      <c r="AF109" s="365"/>
      <c r="AP109" s="13"/>
      <c r="AQ109" s="13" t="s">
        <v>574</v>
      </c>
    </row>
    <row r="110" spans="1:43" ht="38.25" customHeight="1">
      <c r="A110" s="1302" t="s">
        <v>606</v>
      </c>
      <c r="B110" s="1964" t="s">
        <v>589</v>
      </c>
      <c r="C110" s="1966"/>
      <c r="D110" s="292" t="s">
        <v>216</v>
      </c>
      <c r="E110" s="15" t="s">
        <v>1210</v>
      </c>
      <c r="F110" s="15"/>
      <c r="G110" s="15"/>
      <c r="H110" s="1893">
        <f>'R.FILE GOC'!H110</f>
        <v>39</v>
      </c>
      <c r="I110" s="1893"/>
      <c r="J110" s="1893"/>
      <c r="K110" s="1893">
        <f>'R.FILE GOC'!K110</f>
        <v>37</v>
      </c>
      <c r="L110" s="1893"/>
      <c r="M110" s="523"/>
      <c r="N110" s="1869">
        <f>'R.FILE GOC'!N110</f>
        <v>0</v>
      </c>
      <c r="O110" s="1869"/>
      <c r="P110" s="1869"/>
      <c r="Q110" s="1869">
        <f>'R.FILE GOC'!Q110</f>
        <v>0</v>
      </c>
      <c r="R110" s="1869"/>
      <c r="S110" s="1351"/>
      <c r="T110" s="365"/>
      <c r="AD110" s="13"/>
      <c r="AE110" s="1351"/>
      <c r="AF110" s="365"/>
      <c r="AP110" s="13"/>
      <c r="AQ110" s="13" t="s">
        <v>574</v>
      </c>
    </row>
    <row r="111" spans="1:43" ht="31.5" hidden="1" customHeight="1">
      <c r="A111" s="1302" t="s">
        <v>608</v>
      </c>
      <c r="B111" s="1964" t="s">
        <v>594</v>
      </c>
      <c r="C111" s="1966"/>
      <c r="D111" s="292" t="s">
        <v>216</v>
      </c>
      <c r="E111" s="15" t="s">
        <v>1211</v>
      </c>
      <c r="F111" s="1255"/>
      <c r="G111" s="1255"/>
      <c r="H111" s="1877">
        <f>'R.FILE GOC'!H111</f>
        <v>0</v>
      </c>
      <c r="I111" s="1877"/>
      <c r="J111" s="1877"/>
      <c r="K111" s="1877">
        <f>'R.FILE GOC'!K111</f>
        <v>0</v>
      </c>
      <c r="L111" s="1877"/>
      <c r="M111" s="523"/>
      <c r="N111" s="1875">
        <f>'R.FILE GOC'!N111</f>
        <v>0</v>
      </c>
      <c r="O111" s="1875"/>
      <c r="P111" s="1875"/>
      <c r="Q111" s="1875">
        <f>'R.FILE GOC'!Q111</f>
        <v>0</v>
      </c>
      <c r="R111" s="1875"/>
      <c r="S111" s="1352"/>
      <c r="T111" s="365"/>
      <c r="AD111" s="13"/>
      <c r="AE111" s="1352"/>
      <c r="AF111" s="365"/>
      <c r="AP111" s="13"/>
      <c r="AQ111" s="13" t="s">
        <v>574</v>
      </c>
    </row>
    <row r="112" spans="1:43" ht="31.5" hidden="1" customHeight="1">
      <c r="A112" s="1302" t="s">
        <v>609</v>
      </c>
      <c r="B112" s="1964" t="s">
        <v>597</v>
      </c>
      <c r="C112" s="1966"/>
      <c r="D112" s="292" t="s">
        <v>216</v>
      </c>
      <c r="E112" s="15" t="s">
        <v>1211</v>
      </c>
      <c r="F112" s="1255"/>
      <c r="G112" s="1255"/>
      <c r="H112" s="1877">
        <f>'R.FILE GOC'!H112</f>
        <v>0</v>
      </c>
      <c r="I112" s="1877"/>
      <c r="J112" s="1877"/>
      <c r="K112" s="1877">
        <f>'R.FILE GOC'!K112</f>
        <v>0</v>
      </c>
      <c r="L112" s="1877"/>
      <c r="M112" s="523"/>
      <c r="N112" s="1875">
        <f>'R.FILE GOC'!N112</f>
        <v>0</v>
      </c>
      <c r="O112" s="1875"/>
      <c r="P112" s="1875"/>
      <c r="Q112" s="1875">
        <f>'R.FILE GOC'!Q112</f>
        <v>0</v>
      </c>
      <c r="R112" s="1875"/>
      <c r="S112" s="1352"/>
      <c r="T112" s="365"/>
      <c r="AD112" s="13"/>
      <c r="AE112" s="1352"/>
      <c r="AF112" s="365"/>
      <c r="AP112" s="13"/>
      <c r="AQ112" s="13" t="s">
        <v>574</v>
      </c>
    </row>
    <row r="113" spans="1:43" ht="36.75" customHeight="1">
      <c r="A113" s="1302" t="s">
        <v>610</v>
      </c>
      <c r="B113" s="1964" t="s">
        <v>600</v>
      </c>
      <c r="C113" s="1966"/>
      <c r="D113" s="292" t="s">
        <v>216</v>
      </c>
      <c r="E113" s="15" t="s">
        <v>1212</v>
      </c>
      <c r="F113" s="1255"/>
      <c r="G113" s="1255"/>
      <c r="H113" s="1893">
        <f>'R.FILE GOC'!H113</f>
        <v>64</v>
      </c>
      <c r="I113" s="1893"/>
      <c r="J113" s="1893"/>
      <c r="K113" s="1893">
        <f>'R.FILE GOC'!K113</f>
        <v>61</v>
      </c>
      <c r="L113" s="1893"/>
      <c r="M113" s="523"/>
      <c r="N113" s="1869">
        <f>'R.FILE GOC'!N113</f>
        <v>0</v>
      </c>
      <c r="O113" s="1869"/>
      <c r="P113" s="1869"/>
      <c r="Q113" s="1869">
        <f>'R.FILE GOC'!Q113</f>
        <v>0</v>
      </c>
      <c r="R113" s="1869"/>
      <c r="S113" s="1352"/>
      <c r="T113" s="365"/>
      <c r="AD113" s="13"/>
      <c r="AE113" s="1352"/>
      <c r="AF113" s="365"/>
      <c r="AP113" s="13"/>
      <c r="AQ113" s="13" t="s">
        <v>574</v>
      </c>
    </row>
    <row r="114" spans="1:43" ht="36.75" customHeight="1">
      <c r="A114" s="1302" t="s">
        <v>611</v>
      </c>
      <c r="B114" s="1964" t="s">
        <v>612</v>
      </c>
      <c r="C114" s="1966"/>
      <c r="D114" s="292" t="s">
        <v>216</v>
      </c>
      <c r="E114" s="15" t="s">
        <v>1213</v>
      </c>
      <c r="F114" s="1255"/>
      <c r="G114" s="1255"/>
      <c r="H114" s="1877" t="s">
        <v>1214</v>
      </c>
      <c r="I114" s="1877"/>
      <c r="J114" s="1877"/>
      <c r="K114" s="1893">
        <f>'R.FILE GOC'!K114</f>
        <v>116</v>
      </c>
      <c r="L114" s="1893"/>
      <c r="M114" s="523"/>
      <c r="N114" s="1875" t="s">
        <v>1429</v>
      </c>
      <c r="O114" s="1875"/>
      <c r="P114" s="1875"/>
      <c r="Q114" s="1869">
        <f>'R.FILE GOC'!Q114</f>
        <v>0</v>
      </c>
      <c r="R114" s="1869"/>
      <c r="S114" s="1352"/>
      <c r="T114" s="365"/>
      <c r="AD114" s="13"/>
      <c r="AE114" s="1352"/>
      <c r="AF114" s="365"/>
      <c r="AP114" s="13"/>
      <c r="AQ114" s="13" t="s">
        <v>574</v>
      </c>
    </row>
  </sheetData>
  <sheetProtection formatCells="0" formatColumns="0" formatRows="0" insertColumns="0" insertRows="0" insertHyperlinks="0" deleteColumns="0" deleteRows="0" selectLockedCells="1" sort="0" autoFilter="0" pivotTables="0"/>
  <mergeCells count="310">
    <mergeCell ref="W58:W59"/>
    <mergeCell ref="AF36:AH36"/>
    <mergeCell ref="AI36:AJ36"/>
    <mergeCell ref="AL36:AN36"/>
    <mergeCell ref="AO36:AP36"/>
    <mergeCell ref="H36:J36"/>
    <mergeCell ref="K36:L36"/>
    <mergeCell ref="N36:P36"/>
    <mergeCell ref="Q36:R36"/>
    <mergeCell ref="T36:V36"/>
    <mergeCell ref="W36:X36"/>
    <mergeCell ref="Z52:AB52"/>
    <mergeCell ref="AC52:AD52"/>
    <mergeCell ref="AF52:AH52"/>
    <mergeCell ref="AI52:AJ52"/>
    <mergeCell ref="AL52:AN52"/>
    <mergeCell ref="AO52:AP52"/>
    <mergeCell ref="H52:J52"/>
    <mergeCell ref="K52:L52"/>
    <mergeCell ref="N52:P52"/>
    <mergeCell ref="Q52:R52"/>
    <mergeCell ref="T52:V52"/>
    <mergeCell ref="W52:X52"/>
    <mergeCell ref="T50:V50"/>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B109:C109"/>
    <mergeCell ref="B110:C110"/>
    <mergeCell ref="B111:C111"/>
    <mergeCell ref="B112:C112"/>
    <mergeCell ref="B113:C113"/>
    <mergeCell ref="B114:C114"/>
    <mergeCell ref="B102:C102"/>
    <mergeCell ref="B104:C104"/>
    <mergeCell ref="B105:C105"/>
    <mergeCell ref="B106:C106"/>
    <mergeCell ref="B107:C107"/>
    <mergeCell ref="B108:C108"/>
    <mergeCell ref="B95:C95"/>
    <mergeCell ref="B96:C96"/>
    <mergeCell ref="B97:C97"/>
    <mergeCell ref="B100:C100"/>
    <mergeCell ref="B101:C101"/>
    <mergeCell ref="B89:C89"/>
    <mergeCell ref="B90:C90"/>
    <mergeCell ref="B91:C91"/>
    <mergeCell ref="B92:C92"/>
    <mergeCell ref="B93:C93"/>
    <mergeCell ref="B94:C94"/>
    <mergeCell ref="B87:C88"/>
    <mergeCell ref="D87:D88"/>
    <mergeCell ref="E87:E88"/>
    <mergeCell ref="H87:L87"/>
    <mergeCell ref="N87:R87"/>
    <mergeCell ref="J88:L88"/>
    <mergeCell ref="P88:R88"/>
    <mergeCell ref="B83:C83"/>
    <mergeCell ref="H83:L83"/>
    <mergeCell ref="N83:R83"/>
    <mergeCell ref="B84:C84"/>
    <mergeCell ref="H84:L84"/>
    <mergeCell ref="N84:R84"/>
    <mergeCell ref="B76:C76"/>
    <mergeCell ref="B77:C77"/>
    <mergeCell ref="B78:C78"/>
    <mergeCell ref="B79:C79"/>
    <mergeCell ref="B80:C80"/>
    <mergeCell ref="B81:C81"/>
    <mergeCell ref="B69:C69"/>
    <mergeCell ref="B70:C70"/>
    <mergeCell ref="B71:C71"/>
    <mergeCell ref="B72:C72"/>
    <mergeCell ref="B74:C74"/>
    <mergeCell ref="B75:C75"/>
    <mergeCell ref="B63:C63"/>
    <mergeCell ref="B64:C64"/>
    <mergeCell ref="B65:C65"/>
    <mergeCell ref="B66:C66"/>
    <mergeCell ref="B67:C67"/>
    <mergeCell ref="B68:C68"/>
    <mergeCell ref="B57:C57"/>
    <mergeCell ref="B58:C58"/>
    <mergeCell ref="B59:C59"/>
    <mergeCell ref="B60:C60"/>
    <mergeCell ref="B61:C61"/>
    <mergeCell ref="B62:C62"/>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41:C41"/>
    <mergeCell ref="B42:C42"/>
    <mergeCell ref="C43:C45"/>
    <mergeCell ref="Z39:AD39"/>
    <mergeCell ref="AF39:AJ39"/>
    <mergeCell ref="AL39:AP39"/>
    <mergeCell ref="J40:L40"/>
    <mergeCell ref="P40:R40"/>
    <mergeCell ref="V40:X40"/>
    <mergeCell ref="AB40:AD40"/>
    <mergeCell ref="AH40:AJ40"/>
    <mergeCell ref="AN40:AP40"/>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H75:J75"/>
    <mergeCell ref="K75:L75"/>
    <mergeCell ref="N75:P75"/>
    <mergeCell ref="Q75:R75"/>
    <mergeCell ref="H76:J76"/>
    <mergeCell ref="K76:L76"/>
    <mergeCell ref="N76:P76"/>
    <mergeCell ref="Q76:R76"/>
    <mergeCell ref="H77:J77"/>
    <mergeCell ref="K77:L77"/>
    <mergeCell ref="N77:P77"/>
    <mergeCell ref="Q77:R7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H105:J105"/>
    <mergeCell ref="K105:L105"/>
    <mergeCell ref="N105:P105"/>
    <mergeCell ref="Q105:R105"/>
    <mergeCell ref="H106:J106"/>
    <mergeCell ref="K106:L106"/>
    <mergeCell ref="N106:P106"/>
    <mergeCell ref="Q106:R106"/>
    <mergeCell ref="H107:J107"/>
    <mergeCell ref="N107:P107"/>
    <mergeCell ref="Q107:R107"/>
    <mergeCell ref="K107:M107"/>
    <mergeCell ref="H108:J108"/>
    <mergeCell ref="N108:P108"/>
    <mergeCell ref="Q108:R108"/>
    <mergeCell ref="H109:J109"/>
    <mergeCell ref="N109:P109"/>
    <mergeCell ref="Q109:R109"/>
    <mergeCell ref="H110:J110"/>
    <mergeCell ref="K110:L110"/>
    <mergeCell ref="N110:P110"/>
    <mergeCell ref="Q110:R110"/>
    <mergeCell ref="K108:M108"/>
    <mergeCell ref="K109:M10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s>
  <phoneticPr fontId="6" type="noConversion"/>
  <conditionalFormatting sqref="H6:H7 H26 AL6:AL7 AF6:AF7 Z6:Z7 T6:T7 N6:N7 N26 T26 Z26 AF26 AL26 H42 N42 T42 Z42 AF42 AL42">
    <cfRule type="expression" dxfId="242" priority="494">
      <formula>H6&lt;10</formula>
    </cfRule>
    <cfRule type="expression" dxfId="241" priority="495">
      <formula>H6&gt;15</formula>
    </cfRule>
  </conditionalFormatting>
  <conditionalFormatting sqref="H11 H27 AL8 AL11 AF8 AF11 Z8 Z11 T8 T11 N8 N11 H8 N27 T27 Z27 AF27 AL27 H43 N43 T43 Z43 AF43 AL43">
    <cfRule type="expression" dxfId="240" priority="492">
      <formula>H8&lt;40</formula>
    </cfRule>
    <cfRule type="expression" dxfId="239" priority="493">
      <formula>H8&gt;60</formula>
    </cfRule>
  </conditionalFormatting>
  <conditionalFormatting sqref="H28 AL9 AL12 AF9 AF12 Z9 Z12 T9 T12 N9 N12 H9 H12 N28 T28 Z28 AF28 AL28 H44 N44 T44 Z44 AF44 AL44">
    <cfRule type="expression" dxfId="238" priority="490">
      <formula>H9&lt;5.2</formula>
    </cfRule>
    <cfRule type="expression" dxfId="237" priority="491">
      <formula>H9&gt;7.8</formula>
    </cfRule>
  </conditionalFormatting>
  <conditionalFormatting sqref="H29 AL10 AL13 AF10 AF13 Z10 Z13 T10 T13 N10 N13 H10 H13 N29 T29 Z29 AF29 AL29 H45 N45 T45 Z45 AF45 AL45">
    <cfRule type="expression" dxfId="236" priority="489">
      <formula>H10&gt;0.4</formula>
    </cfRule>
  </conditionalFormatting>
  <conditionalFormatting sqref="H30 AL14 AF14 Z14 T14 N14 H14 N30 T30 Z30 AF30 AL30 H46 N46 T46 Z46 AF46 AL46">
    <cfRule type="expression" dxfId="235" priority="487">
      <formula>H14&lt;0.8</formula>
    </cfRule>
    <cfRule type="expression" dxfId="234" priority="488">
      <formula>H14&gt;1.2</formula>
    </cfRule>
  </conditionalFormatting>
  <conditionalFormatting sqref="H31 AL15 AF15 Z15 T15 N15 H15 N31 T31 Z31 AF31 AL31 H47 N47 T47 Z47 AF47 AL47">
    <cfRule type="expression" dxfId="233" priority="485">
      <formula>H15&lt;8</formula>
    </cfRule>
    <cfRule type="expression" dxfId="232" priority="486">
      <formula>H15&gt;10</formula>
    </cfRule>
  </conditionalFormatting>
  <conditionalFormatting sqref="H25 N25 T25 Z25 AF25 AL25 H41 N41 T41 Z41 AF41 AL41">
    <cfRule type="expression" dxfId="231" priority="483">
      <formula>H25&lt;30</formula>
    </cfRule>
    <cfRule type="expression" dxfId="230" priority="484">
      <formula>H25&gt;50</formula>
    </cfRule>
  </conditionalFormatting>
  <conditionalFormatting sqref="N60 H60">
    <cfRule type="expression" dxfId="229" priority="481">
      <formula>H60&lt;5</formula>
    </cfRule>
    <cfRule type="expression" dxfId="228" priority="482">
      <formula>H60&gt;15</formula>
    </cfRule>
  </conditionalFormatting>
  <conditionalFormatting sqref="N61 H61">
    <cfRule type="expression" dxfId="227" priority="480">
      <formula>H61&gt;1.5</formula>
    </cfRule>
  </conditionalFormatting>
  <conditionalFormatting sqref="N62 H62">
    <cfRule type="expression" dxfId="226" priority="478">
      <formula>H62&lt;20</formula>
    </cfRule>
    <cfRule type="expression" dxfId="225" priority="479">
      <formula>H62&gt;25</formula>
    </cfRule>
  </conditionalFormatting>
  <conditionalFormatting sqref="N63 H63">
    <cfRule type="expression" dxfId="224" priority="476">
      <formula>H63&lt;6</formula>
    </cfRule>
    <cfRule type="expression" dxfId="223" priority="477">
      <formula>H63&gt;9</formula>
    </cfRule>
  </conditionalFormatting>
  <conditionalFormatting sqref="N64 H64">
    <cfRule type="expression" dxfId="222" priority="474">
      <formula>H64&lt;7</formula>
    </cfRule>
    <cfRule type="expression" dxfId="221" priority="475">
      <formula>H64&gt;10</formula>
    </cfRule>
  </conditionalFormatting>
  <conditionalFormatting sqref="N65:N66 H65:H66">
    <cfRule type="expression" dxfId="220" priority="472">
      <formula>H65&lt;5.3</formula>
    </cfRule>
    <cfRule type="expression" dxfId="219" priority="473">
      <formula>H65&gt;6</formula>
    </cfRule>
  </conditionalFormatting>
  <conditionalFormatting sqref="H67 H69">
    <cfRule type="expression" dxfId="218" priority="470">
      <formula>H67&lt;12</formula>
    </cfRule>
    <cfRule type="expression" dxfId="217" priority="471">
      <formula>H67&gt;18</formula>
    </cfRule>
  </conditionalFormatting>
  <conditionalFormatting sqref="H68 H70">
    <cfRule type="expression" dxfId="216" priority="468">
      <formula>H68&lt;8</formula>
    </cfRule>
    <cfRule type="expression" dxfId="215" priority="469">
      <formula>H68&gt;16</formula>
    </cfRule>
  </conditionalFormatting>
  <conditionalFormatting sqref="N89:N90 H89:H90">
    <cfRule type="expression" dxfId="214" priority="466">
      <formula>H89&lt;20</formula>
    </cfRule>
    <cfRule type="expression" dxfId="213" priority="467">
      <formula>H89&gt;30</formula>
    </cfRule>
  </conditionalFormatting>
  <conditionalFormatting sqref="N91 H91">
    <cfRule type="expression" dxfId="212" priority="464">
      <formula>H91&lt;210</formula>
    </cfRule>
    <cfRule type="expression" dxfId="211" priority="465">
      <formula>H91&gt;290</formula>
    </cfRule>
  </conditionalFormatting>
  <conditionalFormatting sqref="N92 N94 N96 H92 H94 H96">
    <cfRule type="expression" dxfId="210" priority="462">
      <formula>H92&lt;120</formula>
    </cfRule>
    <cfRule type="expression" dxfId="209" priority="463">
      <formula>H92&gt;150</formula>
    </cfRule>
  </conditionalFormatting>
  <conditionalFormatting sqref="N93 N95 N97 H93 H95 H97">
    <cfRule type="expression" dxfId="208" priority="460">
      <formula>H93&lt;1</formula>
    </cfRule>
    <cfRule type="expression" dxfId="207" priority="461">
      <formula>H93&gt;5</formula>
    </cfRule>
  </conditionalFormatting>
  <conditionalFormatting sqref="N98 H98">
    <cfRule type="expression" dxfId="206" priority="458">
      <formula>H98&lt;8</formula>
    </cfRule>
    <cfRule type="expression" dxfId="205" priority="459">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204" priority="457">
      <formula>H6&lt;1</formula>
    </cfRule>
  </conditionalFormatting>
  <conditionalFormatting sqref="H30 AL14 AF14 Z14 T14 N14 H14 N30 T30 Z30 AF30 AL30 H46 N46 T46 Z46 AF46 AL46">
    <cfRule type="expression" dxfId="203" priority="456">
      <formula>H14&lt;0.1</formula>
    </cfRule>
  </conditionalFormatting>
  <conditionalFormatting sqref="H18:L19 N18:R19 T18:X19 Z18:AD19 AF18:AJ19 AL18:AP19 H35:L35 N35:R35 T35:X35 Z35:AD35 AF35:AJ35 AL35:AP35 H51:L51 N51:R51 T51:X51 Z51:AD51 AF51:AJ51 AL51:AP51">
    <cfRule type="expression" dxfId="202" priority="454">
      <formula>H18&lt;65</formula>
    </cfRule>
    <cfRule type="expression" dxfId="201" priority="455">
      <formula>H18&gt;85</formula>
    </cfRule>
  </conditionalFormatting>
  <conditionalFormatting sqref="H20:L20 N20:R20 T20:X20 Z20:AD20 AF20:AJ20 AL20:AP20 H36:L36 N36:R36 T36:X36 Z36:AD36 AF36:AJ36 AL36:AP36 H52:L52 N52:R52 T52:X52 Z52:AD52 AF52:AJ52 AL52:AP52">
    <cfRule type="expression" dxfId="200" priority="452">
      <formula>H20&lt;80</formula>
    </cfRule>
    <cfRule type="expression" dxfId="199" priority="453">
      <formula>H20&gt;90</formula>
    </cfRule>
  </conditionalFormatting>
  <conditionalFormatting sqref="H34 K34 N34 Q34 T34 W34 Z34 AC34 AF34 AI34 AL34 AO34 H50 K50 N50 Q50 T50 W50 Z50 AC50 AF50 AI50 AL50 AO50 H113 K113 N113 Q113">
    <cfRule type="expression" dxfId="198" priority="354">
      <formula>H34&lt;55</formula>
    </cfRule>
    <cfRule type="expression" dxfId="197" priority="355">
      <formula>H34&gt;65</formula>
    </cfRule>
  </conditionalFormatting>
  <conditionalFormatting sqref="K75:L77 N75:R77 H75:H77">
    <cfRule type="expression" dxfId="196" priority="282">
      <formula>H75&lt;51</formula>
    </cfRule>
    <cfRule type="expression" dxfId="195" priority="283">
      <formula>H75&gt;59</formula>
    </cfRule>
  </conditionalFormatting>
  <conditionalFormatting sqref="K78:L78 H78 N78:R78">
    <cfRule type="expression" dxfId="194" priority="276">
      <formula>H78&lt;30</formula>
    </cfRule>
    <cfRule type="expression" dxfId="193" priority="277">
      <formula>H78&gt;40</formula>
    </cfRule>
  </conditionalFormatting>
  <conditionalFormatting sqref="K79:L80 N79:R80 H79:H80">
    <cfRule type="expression" dxfId="192" priority="273">
      <formula>H79&lt;26</formula>
    </cfRule>
    <cfRule type="expression" dxfId="191" priority="274">
      <formula>H79&gt;32</formula>
    </cfRule>
  </conditionalFormatting>
  <conditionalFormatting sqref="K81 Q81">
    <cfRule type="expression" dxfId="190" priority="252">
      <formula>K81&lt;170</formula>
    </cfRule>
    <cfRule type="expression" dxfId="189" priority="253">
      <formula>K81&gt;220</formula>
    </cfRule>
  </conditionalFormatting>
  <conditionalFormatting sqref="H57 N57">
    <cfRule type="expression" dxfId="188" priority="57">
      <formula>H57&lt;10</formula>
    </cfRule>
    <cfRule type="expression" dxfId="187" priority="58">
      <formula>H57&gt;20</formula>
    </cfRule>
  </conditionalFormatting>
  <conditionalFormatting sqref="H58:I59 N58:N59">
    <cfRule type="expression" dxfId="186" priority="56" stopIfTrue="1">
      <formula>H58&lt;40</formula>
    </cfRule>
  </conditionalFormatting>
  <conditionalFormatting sqref="H58:I59 N58:N59">
    <cfRule type="expression" dxfId="185" priority="55" stopIfTrue="1">
      <formula>H58&gt;60</formula>
    </cfRule>
  </conditionalFormatting>
  <conditionalFormatting sqref="H99 N99">
    <cfRule type="expression" dxfId="184" priority="51">
      <formula>H99&lt;6</formula>
    </cfRule>
    <cfRule type="expression" dxfId="183" priority="52">
      <formula>H99&gt;8</formula>
    </cfRule>
  </conditionalFormatting>
  <conditionalFormatting sqref="H102 N102">
    <cfRule type="expression" dxfId="182" priority="49">
      <formula>H102&lt;5.4</formula>
    </cfRule>
    <cfRule type="expression" dxfId="181" priority="50">
      <formula>H102&gt;5.8</formula>
    </cfRule>
  </conditionalFormatting>
  <conditionalFormatting sqref="H105:H106 K105:K106 N105:N106 Q105:Q106">
    <cfRule type="expression" dxfId="180" priority="43">
      <formula>H105&lt;45</formula>
    </cfRule>
    <cfRule type="expression" dxfId="179" priority="44">
      <formula>H105&gt;65</formula>
    </cfRule>
  </conditionalFormatting>
  <conditionalFormatting sqref="H110 K110 N110 Q110">
    <cfRule type="expression" dxfId="178" priority="39">
      <formula>H110&lt;30</formula>
    </cfRule>
    <cfRule type="expression" dxfId="177" priority="40">
      <formula>H110&gt;60</formula>
    </cfRule>
  </conditionalFormatting>
  <conditionalFormatting sqref="K114 Q114">
    <cfRule type="expression" dxfId="176" priority="35">
      <formula>K114&lt;100</formula>
    </cfRule>
    <cfRule type="expression" dxfId="175" priority="36">
      <formula>K114&gt;110</formula>
    </cfRule>
  </conditionalFormatting>
  <conditionalFormatting sqref="H107:H109 K107:K109 N107:N109 Q107:Q109">
    <cfRule type="expression" dxfId="174" priority="7">
      <formula>H107&lt;18</formula>
    </cfRule>
    <cfRule type="expression" dxfId="173" priority="8">
      <formula>H107&gt;25</formula>
    </cfRule>
  </conditionalFormatting>
  <hyperlinks>
    <hyperlink ref="AS6" r:id="rId1"/>
    <hyperlink ref="AS8" r:id="rId2"/>
    <hyperlink ref="AS27" r:id="rId3"/>
    <hyperlink ref="AS43" r:id="rId4"/>
    <hyperlink ref="AS41" r:id="rId5"/>
    <hyperlink ref="AS25" r:id="rId6"/>
    <hyperlink ref="AS26" r:id="rId7"/>
    <hyperlink ref="AS42" r:id="rId8"/>
    <hyperlink ref="AS11" r:id="rId9"/>
    <hyperlink ref="AS9" r:id="rId10"/>
    <hyperlink ref="AS28" r:id="rId11"/>
    <hyperlink ref="AS44" r:id="rId12"/>
    <hyperlink ref="AS12" r:id="rId13"/>
    <hyperlink ref="AS13" r:id="rId14"/>
    <hyperlink ref="AS29" r:id="rId15"/>
    <hyperlink ref="AS45" r:id="rId16"/>
    <hyperlink ref="AS10" r:id="rId17"/>
    <hyperlink ref="W58:W59" r:id="rId18" display="D:\2. Data hoa nghiem\1. PP HÓA NGHIỆM CÁC BỒN-XLBM\HALO-PPPT_CT-21A-XB-XT,XM-1F.pdf"/>
    <hyperlink ref="W92" r:id="rId19"/>
    <hyperlink ref="W93" r:id="rId20"/>
    <hyperlink ref="W98" r:id="rId21"/>
    <hyperlink ref="W89" r:id="rId22"/>
    <hyperlink ref="W91" r:id="rId23"/>
  </hyperlinks>
  <printOptions horizontalCentered="1"/>
  <pageMargins left="0.26" right="0.16" top="0.3" bottom="0.45" header="0.17" footer="0.27559055118110237"/>
  <pageSetup paperSize="9" scale="38" orientation="portrait" verticalDpi="300" r:id="rId24"/>
  <headerFooter alignWithMargins="0"/>
  <drawing r:id="rId25"/>
</worksheet>
</file>

<file path=xl/worksheets/sheet39.xml><?xml version="1.0" encoding="utf-8"?>
<worksheet xmlns="http://schemas.openxmlformats.org/spreadsheetml/2006/main" xmlns:r="http://schemas.openxmlformats.org/officeDocument/2006/relationships">
  <sheetPr codeName="Sheet33">
    <tabColor rgb="FF00B050"/>
  </sheetPr>
  <dimension ref="A1:Y128"/>
  <sheetViews>
    <sheetView zoomScale="70" zoomScaleNormal="70" workbookViewId="0">
      <selection sqref="A1:Y1"/>
    </sheetView>
  </sheetViews>
  <sheetFormatPr defaultRowHeight="18"/>
  <cols>
    <col min="1" max="1" width="3.375" style="702" customWidth="1"/>
    <col min="2" max="2" width="22.25" style="702" customWidth="1"/>
    <col min="3" max="4" width="5" style="702" customWidth="1"/>
    <col min="5" max="5" width="8.125" style="702" customWidth="1"/>
    <col min="6" max="6" width="15.5" style="762" customWidth="1"/>
    <col min="7" max="7" width="12" style="702" hidden="1" customWidth="1"/>
    <col min="8" max="8" width="8.75" style="702" hidden="1" customWidth="1"/>
    <col min="9" max="9" width="13.5" style="763" hidden="1" customWidth="1"/>
    <col min="10" max="10" width="11.25" style="763" hidden="1" customWidth="1"/>
    <col min="11" max="11" width="2.5" style="763" hidden="1" customWidth="1"/>
    <col min="12" max="12" width="9.5" style="764" hidden="1" customWidth="1"/>
    <col min="13" max="13" width="4.75" style="763" hidden="1" customWidth="1"/>
    <col min="14" max="14" width="6.25" style="763" hidden="1" customWidth="1"/>
    <col min="15" max="15" width="8.125" style="763" customWidth="1"/>
    <col min="16" max="16" width="11.25" style="763" hidden="1" customWidth="1"/>
    <col min="17" max="17" width="3" style="763" customWidth="1"/>
    <col min="18" max="18" width="9.25" style="764" customWidth="1"/>
    <col min="19" max="19" width="4.5" style="763" customWidth="1"/>
    <col min="20" max="20" width="9" style="763" hidden="1" customWidth="1"/>
    <col min="21" max="21" width="8.375" style="763" customWidth="1"/>
    <col min="22" max="22" width="9" style="763" hidden="1" customWidth="1"/>
    <col min="23" max="23" width="3.75" style="763" customWidth="1"/>
    <col min="24" max="24" width="8.5" style="764" customWidth="1"/>
    <col min="25" max="25" width="4.75" style="763" customWidth="1"/>
    <col min="26" max="16384" width="9" style="702"/>
  </cols>
  <sheetData>
    <row r="1" spans="1:25" ht="53.25" customHeight="1">
      <c r="A1" s="2428" t="s">
        <v>786</v>
      </c>
      <c r="B1" s="2428"/>
      <c r="C1" s="2428"/>
      <c r="D1" s="2428"/>
      <c r="E1" s="2428"/>
      <c r="F1" s="2428"/>
      <c r="G1" s="2428"/>
      <c r="H1" s="2428"/>
      <c r="I1" s="2428"/>
      <c r="J1" s="2428"/>
      <c r="K1" s="2428"/>
      <c r="L1" s="2428"/>
      <c r="M1" s="2428"/>
      <c r="N1" s="2428"/>
      <c r="O1" s="2428"/>
      <c r="P1" s="2428"/>
      <c r="Q1" s="2428"/>
      <c r="R1" s="2428"/>
      <c r="S1" s="2428"/>
      <c r="T1" s="2428"/>
      <c r="U1" s="2428"/>
      <c r="V1" s="2428"/>
      <c r="W1" s="2428"/>
      <c r="X1" s="2428"/>
      <c r="Y1" s="2428"/>
    </row>
    <row r="2" spans="1:25" ht="28.5" customHeight="1">
      <c r="A2" s="703"/>
      <c r="B2" s="703"/>
      <c r="C2" s="703"/>
      <c r="D2" s="703"/>
      <c r="E2" s="704"/>
      <c r="F2" s="705"/>
      <c r="G2" s="704"/>
      <c r="H2" s="704"/>
      <c r="I2" s="704"/>
      <c r="J2" s="704"/>
      <c r="K2" s="704"/>
      <c r="L2" s="1353"/>
      <c r="M2" s="704"/>
      <c r="N2" s="704"/>
      <c r="O2" s="704"/>
      <c r="P2" s="704"/>
      <c r="Q2" s="704"/>
      <c r="R2" s="706"/>
      <c r="S2" s="704"/>
      <c r="T2" s="704"/>
      <c r="U2" s="704"/>
      <c r="V2" s="704"/>
      <c r="W2" s="704"/>
      <c r="X2" s="1353"/>
      <c r="Y2" s="704"/>
    </row>
    <row r="3" spans="1:25" s="710" customFormat="1" ht="30.75" customHeight="1">
      <c r="A3" s="2429" t="s">
        <v>427</v>
      </c>
      <c r="B3" s="2430"/>
      <c r="C3" s="1257"/>
      <c r="D3" s="1257"/>
      <c r="E3" s="2431" t="str">
        <f>'1.xi den'!G3</f>
        <v>2022/12/03</v>
      </c>
      <c r="F3" s="2432"/>
      <c r="G3" s="707"/>
      <c r="H3" s="708"/>
      <c r="I3" s="708"/>
      <c r="J3" s="708"/>
      <c r="K3" s="708"/>
      <c r="L3" s="708"/>
      <c r="M3" s="708"/>
      <c r="N3" s="708"/>
      <c r="O3" s="708" t="s">
        <v>787</v>
      </c>
      <c r="P3" s="708"/>
      <c r="Q3" s="708"/>
      <c r="R3" s="708"/>
      <c r="S3" s="708"/>
      <c r="T3" s="708"/>
      <c r="U3" s="708"/>
      <c r="V3" s="708"/>
      <c r="W3" s="708"/>
      <c r="X3" s="708"/>
      <c r="Y3" s="709"/>
    </row>
    <row r="4" spans="1:25" ht="30.75" customHeight="1">
      <c r="A4" s="2433" t="s">
        <v>7</v>
      </c>
      <c r="B4" s="1984" t="s">
        <v>788</v>
      </c>
      <c r="C4" s="1985"/>
      <c r="D4" s="2436"/>
      <c r="E4" s="2441" t="s">
        <v>789</v>
      </c>
      <c r="F4" s="2444" t="s">
        <v>790</v>
      </c>
      <c r="G4" s="711"/>
      <c r="H4" s="712"/>
      <c r="I4" s="2447" t="s">
        <v>791</v>
      </c>
      <c r="J4" s="2448"/>
      <c r="K4" s="2448"/>
      <c r="L4" s="2448"/>
      <c r="M4" s="2448"/>
      <c r="N4" s="713"/>
      <c r="O4" s="2447" t="s">
        <v>1215</v>
      </c>
      <c r="P4" s="2448"/>
      <c r="Q4" s="2448"/>
      <c r="R4" s="2448"/>
      <c r="S4" s="2448"/>
      <c r="T4" s="713"/>
      <c r="U4" s="2447" t="s">
        <v>1216</v>
      </c>
      <c r="V4" s="2448"/>
      <c r="W4" s="2448"/>
      <c r="X4" s="2448"/>
      <c r="Y4" s="2448"/>
    </row>
    <row r="5" spans="1:25" ht="30.75" customHeight="1">
      <c r="A5" s="2434"/>
      <c r="B5" s="2437"/>
      <c r="C5" s="2438"/>
      <c r="D5" s="2439"/>
      <c r="E5" s="2442"/>
      <c r="F5" s="2445"/>
      <c r="G5" s="714" t="s">
        <v>466</v>
      </c>
      <c r="H5" s="715"/>
      <c r="I5" s="2422" t="s">
        <v>792</v>
      </c>
      <c r="J5" s="717" t="s">
        <v>793</v>
      </c>
      <c r="K5" s="2424" t="s">
        <v>1</v>
      </c>
      <c r="L5" s="2424"/>
      <c r="M5" s="2425"/>
      <c r="N5" s="716"/>
      <c r="O5" s="2422" t="s">
        <v>792</v>
      </c>
      <c r="P5" s="717" t="s">
        <v>793</v>
      </c>
      <c r="Q5" s="2424" t="s">
        <v>1</v>
      </c>
      <c r="R5" s="2424"/>
      <c r="S5" s="2425"/>
      <c r="T5" s="715"/>
      <c r="U5" s="2422" t="s">
        <v>792</v>
      </c>
      <c r="V5" s="717" t="s">
        <v>793</v>
      </c>
      <c r="W5" s="2424" t="s">
        <v>1</v>
      </c>
      <c r="X5" s="2424"/>
      <c r="Y5" s="2425"/>
    </row>
    <row r="6" spans="1:25" ht="30.75" customHeight="1">
      <c r="A6" s="2435"/>
      <c r="B6" s="1986"/>
      <c r="C6" s="1987"/>
      <c r="D6" s="2440"/>
      <c r="E6" s="2443"/>
      <c r="F6" s="2446"/>
      <c r="G6" s="714"/>
      <c r="H6" s="715"/>
      <c r="I6" s="2423"/>
      <c r="J6" s="718"/>
      <c r="K6" s="2426"/>
      <c r="L6" s="2426"/>
      <c r="M6" s="2427"/>
      <c r="N6" s="716"/>
      <c r="O6" s="2423"/>
      <c r="P6" s="718"/>
      <c r="Q6" s="2426"/>
      <c r="R6" s="2426"/>
      <c r="S6" s="2427"/>
      <c r="T6" s="715"/>
      <c r="U6" s="2423"/>
      <c r="V6" s="718"/>
      <c r="W6" s="2426"/>
      <c r="X6" s="2426"/>
      <c r="Y6" s="2427"/>
    </row>
    <row r="7" spans="1:25" ht="30.75" customHeight="1">
      <c r="A7" s="719">
        <v>1</v>
      </c>
      <c r="B7" s="2449" t="s">
        <v>794</v>
      </c>
      <c r="C7" s="2450"/>
      <c r="D7" s="2451"/>
      <c r="E7" s="720" t="s">
        <v>475</v>
      </c>
      <c r="F7" s="721" t="s">
        <v>780</v>
      </c>
      <c r="G7" s="722">
        <v>40</v>
      </c>
      <c r="H7" s="723">
        <f>R.HN!C16</f>
        <v>3.9</v>
      </c>
      <c r="I7" s="729"/>
      <c r="J7" s="729"/>
      <c r="K7" s="730"/>
      <c r="L7" s="1354"/>
      <c r="M7" s="731"/>
      <c r="N7" s="724">
        <f>R.HN!D16</f>
        <v>4.8</v>
      </c>
      <c r="O7" s="356">
        <f>'R.GUI MAIL'!H25</f>
        <v>39</v>
      </c>
      <c r="P7" s="725"/>
      <c r="Q7" s="726" t="s">
        <v>8</v>
      </c>
      <c r="R7" s="1355">
        <f>'R.GUI MAIL'!K25</f>
        <v>2.33</v>
      </c>
      <c r="S7" s="727" t="s">
        <v>9</v>
      </c>
      <c r="T7" s="724"/>
      <c r="U7" s="356">
        <f>'R.GUI MAIL'!H41</f>
        <v>0</v>
      </c>
      <c r="V7" s="729"/>
      <c r="W7" s="726" t="s">
        <v>8</v>
      </c>
      <c r="X7" s="1356">
        <f>'R.GUI MAIL'!K41</f>
        <v>93.2</v>
      </c>
      <c r="Y7" s="727" t="s">
        <v>1217</v>
      </c>
    </row>
    <row r="8" spans="1:25" ht="30.75" customHeight="1">
      <c r="A8" s="719">
        <v>2</v>
      </c>
      <c r="B8" s="2449" t="s">
        <v>469</v>
      </c>
      <c r="C8" s="2450"/>
      <c r="D8" s="2451"/>
      <c r="E8" s="728" t="s">
        <v>3</v>
      </c>
      <c r="F8" s="721" t="s">
        <v>470</v>
      </c>
      <c r="G8" s="722">
        <v>22</v>
      </c>
      <c r="H8" s="723">
        <f>R.HN!C17</f>
        <v>3.6</v>
      </c>
      <c r="I8" s="356">
        <f>'R.GUI MAIL'!H6</f>
        <v>0</v>
      </c>
      <c r="J8" s="725"/>
      <c r="K8" s="726" t="s">
        <v>8</v>
      </c>
      <c r="L8" s="1355">
        <f>'R.GUI MAIL'!K6</f>
        <v>292.1875</v>
      </c>
      <c r="M8" s="727" t="s">
        <v>10</v>
      </c>
      <c r="N8" s="724">
        <f>R.HN!D17</f>
        <v>3.1</v>
      </c>
      <c r="O8" s="356">
        <f>'R.GUI MAIL'!H26</f>
        <v>13.14</v>
      </c>
      <c r="P8" s="725"/>
      <c r="Q8" s="726" t="s">
        <v>8</v>
      </c>
      <c r="R8" s="1355">
        <f>'R.GUI MAIL'!K26</f>
        <v>0</v>
      </c>
      <c r="S8" s="727" t="s">
        <v>10</v>
      </c>
      <c r="T8" s="724"/>
      <c r="U8" s="356">
        <f>'R.GUI MAIL'!H42</f>
        <v>0</v>
      </c>
      <c r="V8" s="725"/>
      <c r="W8" s="726" t="s">
        <v>8</v>
      </c>
      <c r="X8" s="1355">
        <f>'R.GUI MAIL'!K42</f>
        <v>1017.578125</v>
      </c>
      <c r="Y8" s="727" t="str">
        <f>'R.GUI MAIL'!L41</f>
        <v>kg</v>
      </c>
    </row>
    <row r="9" spans="1:25" ht="24.75" hidden="1" customHeight="1">
      <c r="A9" s="719">
        <v>3</v>
      </c>
      <c r="B9" s="2452" t="s">
        <v>433</v>
      </c>
      <c r="C9" s="2453"/>
      <c r="D9" s="2454"/>
      <c r="E9" s="728" t="s">
        <v>3</v>
      </c>
      <c r="F9" s="721" t="s">
        <v>470</v>
      </c>
      <c r="G9" s="722"/>
      <c r="H9" s="723"/>
      <c r="I9" s="1304">
        <f>'R.GUI MAIL'!H7</f>
        <v>0</v>
      </c>
      <c r="J9" s="725"/>
      <c r="K9" s="726" t="s">
        <v>8</v>
      </c>
      <c r="L9" s="1355">
        <f>'R.GUI MAIL'!K7</f>
        <v>292.1875</v>
      </c>
      <c r="M9" s="727" t="s">
        <v>10</v>
      </c>
      <c r="N9" s="724"/>
      <c r="O9" s="729"/>
      <c r="P9" s="729"/>
      <c r="Q9" s="730"/>
      <c r="R9" s="1354"/>
      <c r="S9" s="731"/>
      <c r="T9" s="732"/>
      <c r="U9" s="1304">
        <f>'R.GUI MAIL'!H42</f>
        <v>0</v>
      </c>
      <c r="V9" s="725"/>
      <c r="W9" s="726" t="s">
        <v>8</v>
      </c>
      <c r="X9" s="1355">
        <f>'R.GUI MAIL'!K42</f>
        <v>1017.578125</v>
      </c>
      <c r="Y9" s="727" t="str">
        <f>'R.GUI MAIL'!L42</f>
        <v>L</v>
      </c>
    </row>
    <row r="10" spans="1:25" ht="30.75" customHeight="1">
      <c r="A10" s="719">
        <v>4</v>
      </c>
      <c r="B10" s="2455" t="s">
        <v>795</v>
      </c>
      <c r="C10" s="1357" t="s">
        <v>796</v>
      </c>
      <c r="D10" s="1358">
        <f>R.HN!$C$12</f>
        <v>3</v>
      </c>
      <c r="E10" s="2457" t="s">
        <v>475</v>
      </c>
      <c r="F10" s="721" t="s">
        <v>782</v>
      </c>
      <c r="G10" s="722">
        <v>50</v>
      </c>
      <c r="H10" s="723">
        <f>R.HN!C18</f>
        <v>5.6</v>
      </c>
      <c r="I10" s="356">
        <f>'R.GUI MAIL'!H8</f>
        <v>0</v>
      </c>
      <c r="J10" s="725"/>
      <c r="K10" s="726" t="s">
        <v>8</v>
      </c>
      <c r="L10" s="1355">
        <f>'R.GUI MAIL'!K8</f>
        <v>69.400000000000006</v>
      </c>
      <c r="M10" s="727" t="s">
        <v>9</v>
      </c>
      <c r="N10" s="724">
        <f>R.HN!D18</f>
        <v>5.4</v>
      </c>
      <c r="O10" s="356">
        <f>'R.GUI MAIL'!H27</f>
        <v>56</v>
      </c>
      <c r="P10" s="725"/>
      <c r="Q10" s="726" t="s">
        <v>8</v>
      </c>
      <c r="R10" s="1355">
        <f>'R.GUI MAIL'!K27</f>
        <v>0</v>
      </c>
      <c r="S10" s="727" t="s">
        <v>9</v>
      </c>
      <c r="T10" s="724"/>
      <c r="U10" s="356">
        <f>'R.GUI MAIL'!H43</f>
        <v>0</v>
      </c>
      <c r="V10" s="725"/>
      <c r="W10" s="726" t="s">
        <v>8</v>
      </c>
      <c r="X10" s="1355">
        <f>'R.GUI MAIL'!K43</f>
        <v>246.75</v>
      </c>
      <c r="Y10" s="727" t="str">
        <f>'R.GUI MAIL'!L43</f>
        <v>kg</v>
      </c>
    </row>
    <row r="11" spans="1:25" ht="30.75" customHeight="1">
      <c r="A11" s="719">
        <v>5</v>
      </c>
      <c r="B11" s="2456"/>
      <c r="C11" s="1359"/>
      <c r="D11" s="1360"/>
      <c r="E11" s="2457"/>
      <c r="F11" s="721" t="s">
        <v>778</v>
      </c>
      <c r="G11" s="733">
        <v>6</v>
      </c>
      <c r="H11" s="723">
        <f>R.HN!C19</f>
        <v>6.8</v>
      </c>
      <c r="I11" s="356">
        <f>'R.GUI MAIL'!H9</f>
        <v>0</v>
      </c>
      <c r="J11" s="725"/>
      <c r="K11" s="726" t="s">
        <v>8</v>
      </c>
      <c r="L11" s="1355">
        <f>'R.GUI MAIL'!K9</f>
        <v>4.5110000000000001</v>
      </c>
      <c r="M11" s="727" t="s">
        <v>9</v>
      </c>
      <c r="N11" s="724">
        <f>R.HN!D19</f>
        <v>5.8</v>
      </c>
      <c r="O11" s="356">
        <f>'R.GUI MAIL'!H28</f>
        <v>8.2352941176470598</v>
      </c>
      <c r="P11" s="725"/>
      <c r="Q11" s="726"/>
      <c r="R11" s="1355">
        <f>'R.GUI MAIL'!K28</f>
        <v>0</v>
      </c>
      <c r="S11" s="727" t="s">
        <v>9</v>
      </c>
      <c r="T11" s="724"/>
      <c r="U11" s="356">
        <f>'R.GUI MAIL'!H44</f>
        <v>0</v>
      </c>
      <c r="V11" s="725"/>
      <c r="W11" s="726" t="s">
        <v>8</v>
      </c>
      <c r="X11" s="1355">
        <f>'R.GUI MAIL'!K44</f>
        <v>32.077500000000001</v>
      </c>
      <c r="Y11" s="727" t="str">
        <f>'R.GUI MAIL'!L44</f>
        <v>kg</v>
      </c>
    </row>
    <row r="12" spans="1:25" ht="30.75" customHeight="1">
      <c r="A12" s="719">
        <v>6</v>
      </c>
      <c r="B12" s="2456"/>
      <c r="C12" s="1359"/>
      <c r="D12" s="1360"/>
      <c r="E12" s="2457"/>
      <c r="F12" s="721" t="s">
        <v>660</v>
      </c>
      <c r="G12" s="733">
        <v>0.4</v>
      </c>
      <c r="H12" s="723">
        <f>R.HN!C20</f>
        <v>0.14000000000000001</v>
      </c>
      <c r="I12" s="481">
        <f>'R.GUI MAIL'!H10</f>
        <v>0</v>
      </c>
      <c r="J12" s="725"/>
      <c r="K12" s="726" t="s">
        <v>8</v>
      </c>
      <c r="L12" s="1355">
        <f>'R.GUI MAIL'!K10</f>
        <v>0</v>
      </c>
      <c r="M12" s="727" t="s">
        <v>9</v>
      </c>
      <c r="N12" s="724">
        <f>R.HN!D20</f>
        <v>0.4</v>
      </c>
      <c r="O12" s="481">
        <f>'R.GUI MAIL'!H29</f>
        <v>0.14000000000000001</v>
      </c>
      <c r="P12" s="734"/>
      <c r="Q12" s="735"/>
      <c r="R12" s="1355">
        <f>'R.GUI MAIL'!K29</f>
        <v>0</v>
      </c>
      <c r="S12" s="736" t="s">
        <v>9</v>
      </c>
      <c r="T12" s="737"/>
      <c r="U12" s="481">
        <f>'R.GUI MAIL'!H45</f>
        <v>0</v>
      </c>
      <c r="V12" s="725"/>
      <c r="W12" s="726" t="s">
        <v>8</v>
      </c>
      <c r="X12" s="1355">
        <f>'R.GUI MAIL'!K45</f>
        <v>0</v>
      </c>
      <c r="Y12" s="727">
        <f>'R.GUI MAIL'!L45</f>
        <v>0</v>
      </c>
    </row>
    <row r="13" spans="1:25" ht="30.75" customHeight="1">
      <c r="A13" s="719">
        <v>7</v>
      </c>
      <c r="B13" s="2455" t="s">
        <v>795</v>
      </c>
      <c r="C13" s="1357" t="s">
        <v>796</v>
      </c>
      <c r="D13" s="1358">
        <f>R.HN!$C$13</f>
        <v>4</v>
      </c>
      <c r="E13" s="2458" t="s">
        <v>475</v>
      </c>
      <c r="F13" s="721" t="s">
        <v>782</v>
      </c>
      <c r="G13" s="722">
        <v>50</v>
      </c>
      <c r="H13" s="723" t="e">
        <f>R.HN!#REF!</f>
        <v>#REF!</v>
      </c>
      <c r="I13" s="356">
        <f>'R.GUI MAIL'!H11</f>
        <v>0</v>
      </c>
      <c r="J13" s="750"/>
      <c r="K13" s="726" t="s">
        <v>8</v>
      </c>
      <c r="L13" s="1355">
        <f>'R.GUI MAIL'!K11</f>
        <v>69.400000000000006</v>
      </c>
      <c r="M13" s="727" t="s">
        <v>9</v>
      </c>
      <c r="N13" s="724" t="e">
        <f>R.HN!#REF!</f>
        <v>#REF!</v>
      </c>
      <c r="O13" s="729"/>
      <c r="P13" s="729"/>
      <c r="Q13" s="730"/>
      <c r="R13" s="1354"/>
      <c r="S13" s="731"/>
      <c r="T13" s="724"/>
      <c r="U13" s="729"/>
      <c r="V13" s="729"/>
      <c r="W13" s="730"/>
      <c r="X13" s="1354"/>
      <c r="Y13" s="731"/>
    </row>
    <row r="14" spans="1:25" ht="30.75" customHeight="1">
      <c r="A14" s="719">
        <v>8</v>
      </c>
      <c r="B14" s="2456"/>
      <c r="C14" s="1359"/>
      <c r="D14" s="1360"/>
      <c r="E14" s="2458"/>
      <c r="F14" s="721" t="s">
        <v>778</v>
      </c>
      <c r="G14" s="733">
        <v>6</v>
      </c>
      <c r="H14" s="723" t="e">
        <f>R.HN!#REF!</f>
        <v>#REF!</v>
      </c>
      <c r="I14" s="356">
        <f>'R.GUI MAIL'!H12</f>
        <v>0</v>
      </c>
      <c r="J14" s="725"/>
      <c r="K14" s="726" t="s">
        <v>8</v>
      </c>
      <c r="L14" s="1355">
        <f>'R.GUI MAIL'!K12</f>
        <v>4.5110000000000001</v>
      </c>
      <c r="M14" s="727" t="s">
        <v>9</v>
      </c>
      <c r="N14" s="724" t="e">
        <f>R.HN!#REF!</f>
        <v>#REF!</v>
      </c>
      <c r="O14" s="729"/>
      <c r="P14" s="729"/>
      <c r="Q14" s="730"/>
      <c r="R14" s="1354"/>
      <c r="S14" s="731"/>
      <c r="T14" s="724"/>
      <c r="U14" s="729"/>
      <c r="V14" s="729"/>
      <c r="W14" s="730"/>
      <c r="X14" s="1354"/>
      <c r="Y14" s="731"/>
    </row>
    <row r="15" spans="1:25" ht="30.75" customHeight="1">
      <c r="A15" s="719">
        <v>9</v>
      </c>
      <c r="B15" s="2456"/>
      <c r="C15" s="1359"/>
      <c r="D15" s="1360"/>
      <c r="E15" s="2458"/>
      <c r="F15" s="721" t="s">
        <v>660</v>
      </c>
      <c r="G15" s="733">
        <v>0.4</v>
      </c>
      <c r="H15" s="723" t="e">
        <f>R.HN!#REF!</f>
        <v>#REF!</v>
      </c>
      <c r="I15" s="481">
        <f>'R.GUI MAIL'!H13</f>
        <v>0</v>
      </c>
      <c r="J15" s="750"/>
      <c r="K15" s="726" t="s">
        <v>8</v>
      </c>
      <c r="L15" s="1355">
        <f>'R.GUI MAIL'!K13</f>
        <v>0</v>
      </c>
      <c r="M15" s="727" t="s">
        <v>9</v>
      </c>
      <c r="N15" s="724" t="e">
        <f>R.HN!#REF!</f>
        <v>#REF!</v>
      </c>
      <c r="O15" s="738"/>
      <c r="P15" s="738"/>
      <c r="Q15" s="739"/>
      <c r="R15" s="1354"/>
      <c r="S15" s="740"/>
      <c r="T15" s="737"/>
      <c r="U15" s="738"/>
      <c r="V15" s="738"/>
      <c r="W15" s="739"/>
      <c r="X15" s="1354"/>
      <c r="Y15" s="740"/>
    </row>
    <row r="16" spans="1:25" ht="30.75" customHeight="1">
      <c r="A16" s="719">
        <v>10</v>
      </c>
      <c r="B16" s="2452" t="s">
        <v>797</v>
      </c>
      <c r="C16" s="2453"/>
      <c r="D16" s="2454"/>
      <c r="E16" s="719" t="s">
        <v>475</v>
      </c>
      <c r="F16" s="741" t="s">
        <v>485</v>
      </c>
      <c r="G16" s="733">
        <v>2</v>
      </c>
      <c r="H16" s="723">
        <f>R.HN!C21</f>
        <v>0.95</v>
      </c>
      <c r="I16" s="356">
        <f>'R.GUI MAIL'!H14</f>
        <v>0</v>
      </c>
      <c r="J16" s="725"/>
      <c r="K16" s="726" t="s">
        <v>8</v>
      </c>
      <c r="L16" s="1355">
        <f>'R.GUI MAIL'!K14</f>
        <v>4.3680000000000003</v>
      </c>
      <c r="M16" s="727" t="s">
        <v>9</v>
      </c>
      <c r="N16" s="724">
        <f>R.HN!D21</f>
        <v>0.9</v>
      </c>
      <c r="O16" s="356">
        <f>'R.GUI MAIL'!H30</f>
        <v>0.95</v>
      </c>
      <c r="P16" s="725"/>
      <c r="Q16" s="726" t="s">
        <v>8</v>
      </c>
      <c r="R16" s="1355">
        <f>'R.GUI MAIL'!K30</f>
        <v>6.1700000000000053E-2</v>
      </c>
      <c r="S16" s="727" t="s">
        <v>9</v>
      </c>
      <c r="T16" s="724"/>
      <c r="U16" s="356">
        <f>'R.GUI MAIL'!H46</f>
        <v>0</v>
      </c>
      <c r="V16" s="725"/>
      <c r="W16" s="726" t="s">
        <v>8</v>
      </c>
      <c r="X16" s="1355">
        <f>'R.GUI MAIL'!K46</f>
        <v>1.234</v>
      </c>
      <c r="Y16" s="727" t="str">
        <f>'R.GUI MAIL'!L46</f>
        <v>kg</v>
      </c>
    </row>
    <row r="17" spans="1:25" ht="30.75" customHeight="1">
      <c r="A17" s="719">
        <v>11</v>
      </c>
      <c r="B17" s="2468"/>
      <c r="C17" s="2469"/>
      <c r="D17" s="2470"/>
      <c r="E17" s="719" t="s">
        <v>5</v>
      </c>
      <c r="F17" s="1361" t="s">
        <v>1218</v>
      </c>
      <c r="G17" s="742">
        <v>9</v>
      </c>
      <c r="H17" s="723">
        <f>R.HN!C22</f>
        <v>9</v>
      </c>
      <c r="I17" s="356">
        <f>'R.GUI MAIL'!H15</f>
        <v>0</v>
      </c>
      <c r="J17" s="725"/>
      <c r="K17" s="726" t="s">
        <v>8</v>
      </c>
      <c r="L17" s="1355">
        <f>'R.GUI MAIL'!K15</f>
        <v>0</v>
      </c>
      <c r="M17" s="727"/>
      <c r="N17" s="724">
        <f>R.HN!D22</f>
        <v>9</v>
      </c>
      <c r="O17" s="356">
        <f>'R.GUI MAIL'!H31</f>
        <v>9</v>
      </c>
      <c r="P17" s="725"/>
      <c r="Q17" s="726"/>
      <c r="R17" s="1355">
        <f>'R.GUI MAIL'!K31</f>
        <v>0</v>
      </c>
      <c r="S17" s="727"/>
      <c r="T17" s="724"/>
      <c r="U17" s="356">
        <f>'R.GUI MAIL'!H47</f>
        <v>0</v>
      </c>
      <c r="V17" s="725"/>
      <c r="W17" s="726" t="s">
        <v>8</v>
      </c>
      <c r="X17" s="1355">
        <f>'R.GUI MAIL'!K47</f>
        <v>0</v>
      </c>
      <c r="Y17" s="727"/>
    </row>
    <row r="18" spans="1:25" ht="30.75" customHeight="1">
      <c r="A18" s="743"/>
      <c r="B18" s="744"/>
      <c r="C18" s="744"/>
      <c r="D18" s="744"/>
      <c r="E18" s="744" t="s">
        <v>2</v>
      </c>
      <c r="F18" s="744"/>
      <c r="G18" s="744"/>
      <c r="H18" s="744"/>
      <c r="I18" s="744"/>
      <c r="J18" s="744"/>
      <c r="K18" s="744"/>
      <c r="L18" s="744"/>
      <c r="M18" s="744"/>
      <c r="N18" s="744"/>
      <c r="O18" s="744"/>
      <c r="P18" s="744"/>
      <c r="Q18" s="744"/>
      <c r="R18" s="744"/>
      <c r="S18" s="744"/>
      <c r="T18" s="744"/>
      <c r="U18" s="744"/>
      <c r="V18" s="744"/>
      <c r="W18" s="744"/>
      <c r="X18" s="744"/>
      <c r="Y18" s="1362"/>
    </row>
    <row r="19" spans="1:25" ht="30.75" customHeight="1">
      <c r="A19" s="745" t="s">
        <v>57</v>
      </c>
      <c r="B19" s="2449" t="s">
        <v>798</v>
      </c>
      <c r="C19" s="2450"/>
      <c r="D19" s="2451"/>
      <c r="E19" s="746" t="s">
        <v>799</v>
      </c>
      <c r="F19" s="746" t="s">
        <v>800</v>
      </c>
      <c r="G19" s="747" t="s">
        <v>791</v>
      </c>
      <c r="H19" s="748"/>
      <c r="I19" s="2459" t="s">
        <v>48</v>
      </c>
      <c r="J19" s="2460"/>
      <c r="K19" s="2460"/>
      <c r="L19" s="2461" t="s">
        <v>65</v>
      </c>
      <c r="M19" s="2462"/>
      <c r="N19" s="713"/>
      <c r="O19" s="2459" t="s">
        <v>48</v>
      </c>
      <c r="P19" s="2460"/>
      <c r="Q19" s="2460"/>
      <c r="R19" s="2461" t="s">
        <v>65</v>
      </c>
      <c r="S19" s="2462"/>
      <c r="T19" s="713"/>
      <c r="U19" s="2459" t="s">
        <v>48</v>
      </c>
      <c r="V19" s="2460"/>
      <c r="W19" s="2460"/>
      <c r="X19" s="2461" t="s">
        <v>65</v>
      </c>
      <c r="Y19" s="2462"/>
    </row>
    <row r="20" spans="1:25" ht="30.75" customHeight="1">
      <c r="A20" s="745">
        <v>1</v>
      </c>
      <c r="B20" s="2449" t="s">
        <v>801</v>
      </c>
      <c r="C20" s="2450"/>
      <c r="D20" s="2451"/>
      <c r="E20" s="749" t="s">
        <v>802</v>
      </c>
      <c r="F20" s="741" t="s">
        <v>1219</v>
      </c>
      <c r="G20" s="747"/>
      <c r="H20" s="748"/>
      <c r="I20" s="2463"/>
      <c r="J20" s="2464"/>
      <c r="K20" s="2464"/>
      <c r="L20" s="2464"/>
      <c r="M20" s="2465"/>
      <c r="N20" s="725"/>
      <c r="O20" s="2466">
        <f>'R.GUI MAIL'!H34</f>
        <v>0</v>
      </c>
      <c r="P20" s="2467"/>
      <c r="Q20" s="2467"/>
      <c r="R20" s="1891">
        <f>'R.GUI MAIL'!K34</f>
        <v>60</v>
      </c>
      <c r="S20" s="1892"/>
      <c r="T20" s="725"/>
      <c r="U20" s="2466">
        <f>'R.GUI MAIL'!H50</f>
        <v>0</v>
      </c>
      <c r="V20" s="2467"/>
      <c r="W20" s="2467"/>
      <c r="X20" s="1891">
        <f>'R.GUI MAIL'!K50</f>
        <v>0</v>
      </c>
      <c r="Y20" s="1892"/>
    </row>
    <row r="21" spans="1:25" ht="30.75" customHeight="1">
      <c r="A21" s="745">
        <v>2</v>
      </c>
      <c r="B21" s="2449" t="s">
        <v>803</v>
      </c>
      <c r="C21" s="2450"/>
      <c r="D21" s="2451"/>
      <c r="E21" s="749" t="s">
        <v>802</v>
      </c>
      <c r="F21" s="741" t="s">
        <v>804</v>
      </c>
      <c r="G21" s="750" t="str">
        <f>'[5]file goc'!G62</f>
        <v>7:00</v>
      </c>
      <c r="H21" s="750"/>
      <c r="I21" s="1891">
        <f>'R.GUI MAIL'!H18</f>
        <v>0</v>
      </c>
      <c r="J21" s="1892"/>
      <c r="K21" s="1892"/>
      <c r="L21" s="1891">
        <f>'R.GUI MAIL'!K18</f>
        <v>0</v>
      </c>
      <c r="M21" s="1892"/>
      <c r="N21" s="1251"/>
      <c r="O21" s="2466">
        <f>'R.GUI MAIL'!H35</f>
        <v>0</v>
      </c>
      <c r="P21" s="2467"/>
      <c r="Q21" s="2467"/>
      <c r="R21" s="1891">
        <f>'R.GUI MAIL'!K35</f>
        <v>70</v>
      </c>
      <c r="S21" s="1940"/>
      <c r="T21" s="725"/>
      <c r="U21" s="2466">
        <f>'R.GUI MAIL'!H51</f>
        <v>0</v>
      </c>
      <c r="V21" s="2467"/>
      <c r="W21" s="2471"/>
      <c r="X21" s="1891">
        <f>'R.GUI MAIL'!K51</f>
        <v>0</v>
      </c>
      <c r="Y21" s="1940"/>
    </row>
    <row r="22" spans="1:25" ht="30.75" customHeight="1">
      <c r="A22" s="745">
        <v>3</v>
      </c>
      <c r="B22" s="2449" t="s">
        <v>805</v>
      </c>
      <c r="C22" s="2450"/>
      <c r="D22" s="2451"/>
      <c r="E22" s="749" t="s">
        <v>802</v>
      </c>
      <c r="F22" s="741" t="s">
        <v>804</v>
      </c>
      <c r="G22" s="751" t="str">
        <f>'[5]file goc'!G63</f>
        <v>濃度 g/L</v>
      </c>
      <c r="H22" s="750"/>
      <c r="I22" s="1891">
        <f>'R.GUI MAIL'!H19</f>
        <v>0</v>
      </c>
      <c r="J22" s="1892"/>
      <c r="K22" s="1892"/>
      <c r="L22" s="1891">
        <f>'R.GUI MAIL'!K19</f>
        <v>0</v>
      </c>
      <c r="M22" s="1892"/>
      <c r="N22" s="725"/>
      <c r="O22" s="1375"/>
      <c r="P22" s="1376"/>
      <c r="Q22" s="1376"/>
      <c r="R22" s="752"/>
      <c r="S22" s="753"/>
      <c r="T22" s="725"/>
      <c r="U22" s="1377"/>
      <c r="V22" s="1377"/>
      <c r="W22" s="1377"/>
      <c r="X22" s="961"/>
      <c r="Y22" s="961"/>
    </row>
    <row r="23" spans="1:25" ht="30.75" customHeight="1">
      <c r="A23" s="745">
        <v>6</v>
      </c>
      <c r="B23" s="2449" t="s">
        <v>806</v>
      </c>
      <c r="C23" s="2450"/>
      <c r="D23" s="2451"/>
      <c r="E23" s="749" t="s">
        <v>802</v>
      </c>
      <c r="F23" s="741" t="s">
        <v>807</v>
      </c>
      <c r="G23" s="751">
        <f>'[5]file goc'!G66</f>
        <v>0</v>
      </c>
      <c r="H23" s="750"/>
      <c r="I23" s="1891">
        <f>'R.GUI MAIL'!H20</f>
        <v>0</v>
      </c>
      <c r="J23" s="1892"/>
      <c r="K23" s="1892"/>
      <c r="L23" s="1891">
        <f>'R.GUI MAIL'!K20</f>
        <v>0</v>
      </c>
      <c r="M23" s="1892"/>
      <c r="N23" s="725"/>
      <c r="O23" s="2466">
        <f>'R.GUI MAIL'!H36</f>
        <v>0</v>
      </c>
      <c r="P23" s="2467"/>
      <c r="Q23" s="2467"/>
      <c r="R23" s="1891">
        <f>'R.GUI MAIL'!K36</f>
        <v>89</v>
      </c>
      <c r="S23" s="1940"/>
      <c r="T23" s="725"/>
      <c r="U23" s="2466">
        <f>'R.GUI MAIL'!H52</f>
        <v>0</v>
      </c>
      <c r="V23" s="2467"/>
      <c r="W23" s="2471"/>
      <c r="X23" s="1891">
        <f>'R.GUI MAIL'!K52</f>
        <v>0</v>
      </c>
      <c r="Y23" s="1940"/>
    </row>
    <row r="24" spans="1:25" s="710" customFormat="1" ht="30.75" customHeight="1">
      <c r="A24" s="2472" t="s">
        <v>428</v>
      </c>
      <c r="B24" s="2473"/>
      <c r="C24" s="1256"/>
      <c r="D24" s="1256"/>
      <c r="E24" s="2431" t="str">
        <f>$E$3</f>
        <v>2022/12/03</v>
      </c>
      <c r="F24" s="2432"/>
      <c r="G24" s="754" t="s">
        <v>808</v>
      </c>
      <c r="H24" s="755"/>
      <c r="I24" s="708"/>
      <c r="J24" s="708"/>
      <c r="K24" s="708"/>
      <c r="L24" s="708"/>
      <c r="M24" s="708"/>
      <c r="N24" s="708"/>
      <c r="O24" s="708" t="s">
        <v>787</v>
      </c>
      <c r="P24" s="708"/>
      <c r="Q24" s="708"/>
      <c r="R24" s="708"/>
      <c r="S24" s="708"/>
      <c r="T24" s="708"/>
      <c r="U24" s="708"/>
      <c r="V24" s="708"/>
      <c r="W24" s="708"/>
      <c r="X24" s="708"/>
      <c r="Y24" s="709"/>
    </row>
    <row r="25" spans="1:25" ht="30.75" customHeight="1">
      <c r="A25" s="2433" t="s">
        <v>7</v>
      </c>
      <c r="B25" s="1984" t="s">
        <v>788</v>
      </c>
      <c r="C25" s="1985"/>
      <c r="D25" s="2436"/>
      <c r="E25" s="2441" t="s">
        <v>789</v>
      </c>
      <c r="F25" s="2444" t="s">
        <v>790</v>
      </c>
      <c r="G25" s="711"/>
      <c r="H25" s="712"/>
      <c r="I25" s="2447" t="s">
        <v>791</v>
      </c>
      <c r="J25" s="2448"/>
      <c r="K25" s="2448"/>
      <c r="L25" s="2448"/>
      <c r="M25" s="2448"/>
      <c r="N25" s="713"/>
      <c r="O25" s="2447" t="s">
        <v>1220</v>
      </c>
      <c r="P25" s="2448"/>
      <c r="Q25" s="2448"/>
      <c r="R25" s="2448"/>
      <c r="S25" s="2448"/>
      <c r="T25" s="713"/>
      <c r="U25" s="2447" t="s">
        <v>1221</v>
      </c>
      <c r="V25" s="2448"/>
      <c r="W25" s="2448"/>
      <c r="X25" s="2448"/>
      <c r="Y25" s="2448"/>
    </row>
    <row r="26" spans="1:25" ht="30.75" customHeight="1">
      <c r="A26" s="2434"/>
      <c r="B26" s="2437"/>
      <c r="C26" s="2438"/>
      <c r="D26" s="2439"/>
      <c r="E26" s="2442"/>
      <c r="F26" s="2445"/>
      <c r="G26" s="714" t="s">
        <v>466</v>
      </c>
      <c r="H26" s="715"/>
      <c r="I26" s="2422" t="s">
        <v>792</v>
      </c>
      <c r="J26" s="717" t="s">
        <v>793</v>
      </c>
      <c r="K26" s="2424" t="s">
        <v>1</v>
      </c>
      <c r="L26" s="2424"/>
      <c r="M26" s="2425"/>
      <c r="N26" s="716"/>
      <c r="O26" s="2422" t="s">
        <v>792</v>
      </c>
      <c r="P26" s="717" t="s">
        <v>793</v>
      </c>
      <c r="Q26" s="2424" t="s">
        <v>1</v>
      </c>
      <c r="R26" s="2424"/>
      <c r="S26" s="2425"/>
      <c r="T26" s="715"/>
      <c r="U26" s="2422" t="s">
        <v>792</v>
      </c>
      <c r="V26" s="717" t="s">
        <v>793</v>
      </c>
      <c r="W26" s="2424" t="s">
        <v>1</v>
      </c>
      <c r="X26" s="2424"/>
      <c r="Y26" s="2425"/>
    </row>
    <row r="27" spans="1:25" ht="30.75" customHeight="1">
      <c r="A27" s="2435"/>
      <c r="B27" s="1986"/>
      <c r="C27" s="1987"/>
      <c r="D27" s="2440"/>
      <c r="E27" s="2443"/>
      <c r="F27" s="2446"/>
      <c r="G27" s="714"/>
      <c r="H27" s="715"/>
      <c r="I27" s="2423"/>
      <c r="J27" s="718"/>
      <c r="K27" s="2426"/>
      <c r="L27" s="2426"/>
      <c r="M27" s="2427"/>
      <c r="N27" s="716"/>
      <c r="O27" s="2423"/>
      <c r="P27" s="718"/>
      <c r="Q27" s="2426"/>
      <c r="R27" s="2426"/>
      <c r="S27" s="2427"/>
      <c r="T27" s="715"/>
      <c r="U27" s="2423"/>
      <c r="V27" s="718"/>
      <c r="W27" s="2426"/>
      <c r="X27" s="2426"/>
      <c r="Y27" s="2427"/>
    </row>
    <row r="28" spans="1:25" ht="30.75" customHeight="1">
      <c r="A28" s="719">
        <v>1</v>
      </c>
      <c r="B28" s="2449" t="s">
        <v>794</v>
      </c>
      <c r="C28" s="2450"/>
      <c r="D28" s="2451"/>
      <c r="E28" s="720" t="s">
        <v>475</v>
      </c>
      <c r="F28" s="721" t="s">
        <v>780</v>
      </c>
      <c r="G28" s="722">
        <v>40</v>
      </c>
      <c r="H28" s="723" t="e">
        <f>R.HN!#REF!</f>
        <v>#REF!</v>
      </c>
      <c r="I28" s="729"/>
      <c r="J28" s="729"/>
      <c r="K28" s="730"/>
      <c r="L28" s="1354"/>
      <c r="M28" s="731"/>
      <c r="N28" s="724" t="e">
        <f>R.HN!#REF!</f>
        <v>#REF!</v>
      </c>
      <c r="O28" s="356">
        <f>'R.GUI MAIL'!N25</f>
        <v>48</v>
      </c>
      <c r="P28" s="725"/>
      <c r="Q28" s="726" t="s">
        <v>8</v>
      </c>
      <c r="R28" s="1355">
        <f>'R.GUI MAIL'!Q25</f>
        <v>0</v>
      </c>
      <c r="S28" s="727" t="s">
        <v>9</v>
      </c>
      <c r="T28" s="724"/>
      <c r="U28" s="356">
        <f>'R.GUI MAIL'!N41</f>
        <v>0</v>
      </c>
      <c r="V28" s="725"/>
      <c r="W28" s="726" t="s">
        <v>8</v>
      </c>
      <c r="X28" s="1356">
        <f>'R.GUI MAIL'!Q41</f>
        <v>93.2</v>
      </c>
      <c r="Y28" s="727" t="s">
        <v>9</v>
      </c>
    </row>
    <row r="29" spans="1:25" ht="30.75" customHeight="1">
      <c r="A29" s="719">
        <v>2</v>
      </c>
      <c r="B29" s="2449" t="s">
        <v>469</v>
      </c>
      <c r="C29" s="2450"/>
      <c r="D29" s="2451"/>
      <c r="E29" s="728" t="s">
        <v>3</v>
      </c>
      <c r="F29" s="721" t="s">
        <v>470</v>
      </c>
      <c r="G29" s="722">
        <v>22</v>
      </c>
      <c r="H29" s="723" t="e">
        <f>R.HN!#REF!</f>
        <v>#REF!</v>
      </c>
      <c r="I29" s="356">
        <f>'R.GUI MAIL'!N6</f>
        <v>0</v>
      </c>
      <c r="J29" s="725"/>
      <c r="K29" s="726" t="s">
        <v>8</v>
      </c>
      <c r="L29" s="1355">
        <f>'R.GUI MAIL'!Q6</f>
        <v>292.1875</v>
      </c>
      <c r="M29" s="727" t="s">
        <v>10</v>
      </c>
      <c r="N29" s="724" t="e">
        <f>R.HN!#REF!</f>
        <v>#REF!</v>
      </c>
      <c r="O29" s="356">
        <f>'R.GUI MAIL'!N26</f>
        <v>11.315000000000001</v>
      </c>
      <c r="P29" s="725"/>
      <c r="Q29" s="726" t="s">
        <v>8</v>
      </c>
      <c r="R29" s="1355">
        <f>'R.GUI MAIL'!Q26</f>
        <v>96.466406249999892</v>
      </c>
      <c r="S29" s="727" t="s">
        <v>10</v>
      </c>
      <c r="T29" s="724"/>
      <c r="U29" s="356">
        <f>'R.GUI MAIL'!N42</f>
        <v>0</v>
      </c>
      <c r="V29" s="725"/>
      <c r="W29" s="726" t="s">
        <v>8</v>
      </c>
      <c r="X29" s="1355">
        <f>'R.GUI MAIL'!Q42</f>
        <v>1017.578125</v>
      </c>
      <c r="Y29" s="727" t="s">
        <v>10</v>
      </c>
    </row>
    <row r="30" spans="1:25" ht="30.75" hidden="1" customHeight="1">
      <c r="A30" s="719">
        <v>3</v>
      </c>
      <c r="B30" s="2452" t="s">
        <v>433</v>
      </c>
      <c r="C30" s="2453"/>
      <c r="D30" s="2454"/>
      <c r="E30" s="728" t="s">
        <v>3</v>
      </c>
      <c r="F30" s="721" t="s">
        <v>470</v>
      </c>
      <c r="G30" s="722"/>
      <c r="H30" s="723"/>
      <c r="I30" s="1304">
        <f>'R.GUI MAIL'!N7</f>
        <v>0</v>
      </c>
      <c r="J30" s="725"/>
      <c r="K30" s="726" t="s">
        <v>8</v>
      </c>
      <c r="L30" s="1355">
        <f>'R.GUI MAIL'!Q7</f>
        <v>292.1875</v>
      </c>
      <c r="M30" s="727" t="s">
        <v>10</v>
      </c>
      <c r="N30" s="724"/>
      <c r="O30" s="729"/>
      <c r="P30" s="729"/>
      <c r="Q30" s="730"/>
      <c r="R30" s="1354"/>
      <c r="S30" s="731"/>
      <c r="T30" s="732"/>
      <c r="U30" s="1304">
        <f>'R.GUI MAIL'!N42</f>
        <v>0</v>
      </c>
      <c r="V30" s="725"/>
      <c r="W30" s="726" t="s">
        <v>8</v>
      </c>
      <c r="X30" s="1355">
        <f>'R.GUI MAIL'!Q42</f>
        <v>1017.578125</v>
      </c>
      <c r="Y30" s="727" t="s">
        <v>10</v>
      </c>
    </row>
    <row r="31" spans="1:25" ht="30.75" customHeight="1">
      <c r="A31" s="719">
        <v>4</v>
      </c>
      <c r="B31" s="2455" t="s">
        <v>795</v>
      </c>
      <c r="C31" s="1357" t="s">
        <v>796</v>
      </c>
      <c r="D31" s="1358">
        <f>R.HN!D12</f>
        <v>3</v>
      </c>
      <c r="E31" s="2458" t="s">
        <v>475</v>
      </c>
      <c r="F31" s="721" t="s">
        <v>782</v>
      </c>
      <c r="G31" s="722">
        <v>50</v>
      </c>
      <c r="H31" s="723">
        <f>R.HN!C27</f>
        <v>0</v>
      </c>
      <c r="I31" s="356">
        <f>'R.GUI MAIL'!N8</f>
        <v>0</v>
      </c>
      <c r="J31" s="725"/>
      <c r="K31" s="726" t="s">
        <v>8</v>
      </c>
      <c r="L31" s="1355">
        <f>'R.GUI MAIL'!Q8</f>
        <v>69.400000000000006</v>
      </c>
      <c r="M31" s="727" t="s">
        <v>9</v>
      </c>
      <c r="N31" s="724">
        <f>R.HN!D27</f>
        <v>0</v>
      </c>
      <c r="O31" s="356">
        <f>'R.GUI MAIL'!N27</f>
        <v>54</v>
      </c>
      <c r="P31" s="725"/>
      <c r="Q31" s="726" t="s">
        <v>8</v>
      </c>
      <c r="R31" s="1355">
        <f>'R.GUI MAIL'!Q27</f>
        <v>0</v>
      </c>
      <c r="S31" s="727" t="s">
        <v>9</v>
      </c>
      <c r="T31" s="724"/>
      <c r="U31" s="356">
        <f>'R.GUI MAIL'!N43</f>
        <v>0</v>
      </c>
      <c r="V31" s="725"/>
      <c r="W31" s="726" t="s">
        <v>8</v>
      </c>
      <c r="X31" s="1355">
        <f>'R.GUI MAIL'!Q43</f>
        <v>246.75</v>
      </c>
      <c r="Y31" s="727" t="s">
        <v>9</v>
      </c>
    </row>
    <row r="32" spans="1:25" ht="30.75" customHeight="1">
      <c r="A32" s="719">
        <v>5</v>
      </c>
      <c r="B32" s="2456"/>
      <c r="C32" s="1359"/>
      <c r="D32" s="1360"/>
      <c r="E32" s="2458"/>
      <c r="F32" s="721" t="s">
        <v>778</v>
      </c>
      <c r="G32" s="733">
        <v>6</v>
      </c>
      <c r="H32" s="723">
        <f>R.HN!C28</f>
        <v>0</v>
      </c>
      <c r="I32" s="356">
        <f>'R.GUI MAIL'!N9</f>
        <v>0</v>
      </c>
      <c r="J32" s="725"/>
      <c r="K32" s="726" t="s">
        <v>8</v>
      </c>
      <c r="L32" s="1355">
        <f>'R.GUI MAIL'!Q9</f>
        <v>4.5110000000000001</v>
      </c>
      <c r="M32" s="727" t="s">
        <v>9</v>
      </c>
      <c r="N32" s="724">
        <f>R.HN!D28</f>
        <v>0</v>
      </c>
      <c r="O32" s="356">
        <f>'R.GUI MAIL'!N28</f>
        <v>9.3103448275862064</v>
      </c>
      <c r="P32" s="725"/>
      <c r="Q32" s="726"/>
      <c r="R32" s="1355">
        <f>'R.GUI MAIL'!Q28</f>
        <v>0</v>
      </c>
      <c r="S32" s="727" t="s">
        <v>9</v>
      </c>
      <c r="T32" s="724"/>
      <c r="U32" s="356">
        <f>'R.GUI MAIL'!N44</f>
        <v>0</v>
      </c>
      <c r="V32" s="725"/>
      <c r="W32" s="726"/>
      <c r="X32" s="1355">
        <f>'R.GUI MAIL'!Q44</f>
        <v>32.077500000000001</v>
      </c>
      <c r="Y32" s="727" t="s">
        <v>9</v>
      </c>
    </row>
    <row r="33" spans="1:25" ht="30.75" customHeight="1">
      <c r="A33" s="719">
        <v>6</v>
      </c>
      <c r="B33" s="2456"/>
      <c r="C33" s="1359"/>
      <c r="D33" s="1360"/>
      <c r="E33" s="2458"/>
      <c r="F33" s="721" t="s">
        <v>660</v>
      </c>
      <c r="G33" s="733">
        <v>0.4</v>
      </c>
      <c r="H33" s="723">
        <f>R.HN!C29</f>
        <v>0</v>
      </c>
      <c r="I33" s="481">
        <f>'R.GUI MAIL'!N10</f>
        <v>0</v>
      </c>
      <c r="J33" s="725"/>
      <c r="K33" s="726" t="s">
        <v>8</v>
      </c>
      <c r="L33" s="1355">
        <f>'R.GUI MAIL'!Q10</f>
        <v>0</v>
      </c>
      <c r="M33" s="727" t="s">
        <v>9</v>
      </c>
      <c r="N33" s="724">
        <f>R.HN!D29</f>
        <v>0</v>
      </c>
      <c r="O33" s="481">
        <f>'R.GUI MAIL'!N29</f>
        <v>0.4</v>
      </c>
      <c r="P33" s="734"/>
      <c r="Q33" s="735"/>
      <c r="R33" s="1355">
        <f>'R.GUI MAIL'!Q29</f>
        <v>0</v>
      </c>
      <c r="S33" s="736" t="s">
        <v>9</v>
      </c>
      <c r="T33" s="737"/>
      <c r="U33" s="481">
        <f>'R.GUI MAIL'!N45</f>
        <v>0</v>
      </c>
      <c r="V33" s="725"/>
      <c r="W33" s="726"/>
      <c r="X33" s="1355">
        <f>'R.GUI MAIL'!Q45</f>
        <v>0</v>
      </c>
      <c r="Y33" s="727" t="s">
        <v>9</v>
      </c>
    </row>
    <row r="34" spans="1:25" ht="30.75" customHeight="1">
      <c r="A34" s="719">
        <v>7</v>
      </c>
      <c r="B34" s="2455" t="s">
        <v>795</v>
      </c>
      <c r="C34" s="1357" t="s">
        <v>796</v>
      </c>
      <c r="D34" s="1358">
        <f>R.HN!D13</f>
        <v>4</v>
      </c>
      <c r="E34" s="2458" t="s">
        <v>475</v>
      </c>
      <c r="F34" s="721" t="s">
        <v>782</v>
      </c>
      <c r="G34" s="722">
        <v>50</v>
      </c>
      <c r="H34" s="723">
        <f>R.HN!C30</f>
        <v>0</v>
      </c>
      <c r="I34" s="356">
        <f>'R.GUI MAIL'!N11</f>
        <v>0</v>
      </c>
      <c r="J34" s="750"/>
      <c r="K34" s="726" t="s">
        <v>8</v>
      </c>
      <c r="L34" s="1355">
        <f>'R.GUI MAIL'!Q11</f>
        <v>69.400000000000006</v>
      </c>
      <c r="M34" s="727" t="s">
        <v>9</v>
      </c>
      <c r="N34" s="724">
        <f>R.HN!D30</f>
        <v>0</v>
      </c>
      <c r="O34" s="729"/>
      <c r="P34" s="729"/>
      <c r="Q34" s="730"/>
      <c r="R34" s="1354"/>
      <c r="S34" s="731"/>
      <c r="T34" s="724"/>
      <c r="U34" s="729"/>
      <c r="V34" s="729"/>
      <c r="W34" s="730"/>
      <c r="X34" s="1354"/>
      <c r="Y34" s="731"/>
    </row>
    <row r="35" spans="1:25" ht="30.75" customHeight="1">
      <c r="A35" s="719">
        <v>8</v>
      </c>
      <c r="B35" s="2456"/>
      <c r="C35" s="1359"/>
      <c r="D35" s="1360"/>
      <c r="E35" s="2458"/>
      <c r="F35" s="721" t="s">
        <v>778</v>
      </c>
      <c r="G35" s="733">
        <v>6</v>
      </c>
      <c r="H35" s="723">
        <f>R.HN!C31</f>
        <v>0</v>
      </c>
      <c r="I35" s="356">
        <f>'R.GUI MAIL'!N12</f>
        <v>0</v>
      </c>
      <c r="J35" s="725"/>
      <c r="K35" s="726" t="s">
        <v>8</v>
      </c>
      <c r="L35" s="1355">
        <f>'R.GUI MAIL'!Q12</f>
        <v>4.5110000000000001</v>
      </c>
      <c r="M35" s="727" t="s">
        <v>9</v>
      </c>
      <c r="N35" s="724">
        <f>R.HN!D31</f>
        <v>0</v>
      </c>
      <c r="O35" s="729"/>
      <c r="P35" s="729"/>
      <c r="Q35" s="730"/>
      <c r="R35" s="1354"/>
      <c r="S35" s="731"/>
      <c r="T35" s="724"/>
      <c r="U35" s="729"/>
      <c r="V35" s="729"/>
      <c r="W35" s="730"/>
      <c r="X35" s="1354"/>
      <c r="Y35" s="731"/>
    </row>
    <row r="36" spans="1:25" ht="30.75" customHeight="1">
      <c r="A36" s="719">
        <v>9</v>
      </c>
      <c r="B36" s="2456"/>
      <c r="C36" s="1359"/>
      <c r="D36" s="1360"/>
      <c r="E36" s="2458"/>
      <c r="F36" s="721" t="s">
        <v>660</v>
      </c>
      <c r="G36" s="733">
        <v>0.4</v>
      </c>
      <c r="H36" s="723">
        <f>R.HN!C32</f>
        <v>0</v>
      </c>
      <c r="I36" s="481">
        <f>'R.GUI MAIL'!N13</f>
        <v>0</v>
      </c>
      <c r="J36" s="750"/>
      <c r="K36" s="726" t="s">
        <v>8</v>
      </c>
      <c r="L36" s="1355">
        <f>'R.GUI MAIL'!Q13</f>
        <v>0</v>
      </c>
      <c r="M36" s="727" t="s">
        <v>9</v>
      </c>
      <c r="N36" s="724">
        <f>R.HN!D32</f>
        <v>0</v>
      </c>
      <c r="O36" s="738"/>
      <c r="P36" s="738"/>
      <c r="Q36" s="739"/>
      <c r="R36" s="1354"/>
      <c r="S36" s="740"/>
      <c r="T36" s="737"/>
      <c r="U36" s="738"/>
      <c r="V36" s="738"/>
      <c r="W36" s="739"/>
      <c r="X36" s="1354"/>
      <c r="Y36" s="740"/>
    </row>
    <row r="37" spans="1:25" ht="30.75" customHeight="1">
      <c r="A37" s="719">
        <v>10</v>
      </c>
      <c r="B37" s="2452" t="s">
        <v>797</v>
      </c>
      <c r="C37" s="2453"/>
      <c r="D37" s="2454"/>
      <c r="E37" s="719" t="s">
        <v>475</v>
      </c>
      <c r="F37" s="741" t="s">
        <v>485</v>
      </c>
      <c r="G37" s="733">
        <v>2</v>
      </c>
      <c r="H37" s="723">
        <f>R.HN!C33</f>
        <v>0</v>
      </c>
      <c r="I37" s="356">
        <f>'R.GUI MAIL'!N14</f>
        <v>0</v>
      </c>
      <c r="J37" s="725"/>
      <c r="K37" s="726" t="s">
        <v>8</v>
      </c>
      <c r="L37" s="1363">
        <f>'R.GUI MAIL'!Q14</f>
        <v>4.3680000000000003</v>
      </c>
      <c r="M37" s="727" t="s">
        <v>9</v>
      </c>
      <c r="N37" s="724">
        <f>R.HN!D33</f>
        <v>0</v>
      </c>
      <c r="O37" s="356">
        <f>'R.GUI MAIL'!N30</f>
        <v>0.9</v>
      </c>
      <c r="P37" s="725"/>
      <c r="Q37" s="726" t="s">
        <v>8</v>
      </c>
      <c r="R37" s="1355">
        <f>'R.GUI MAIL'!Q30</f>
        <v>0.12339999999999998</v>
      </c>
      <c r="S37" s="727" t="s">
        <v>9</v>
      </c>
      <c r="T37" s="724"/>
      <c r="U37" s="356">
        <f>'R.GUI MAIL'!N46</f>
        <v>0</v>
      </c>
      <c r="V37" s="725"/>
      <c r="W37" s="726" t="s">
        <v>8</v>
      </c>
      <c r="X37" s="1355">
        <f>'R.GUI MAIL'!Q46</f>
        <v>1.234</v>
      </c>
      <c r="Y37" s="727" t="s">
        <v>9</v>
      </c>
    </row>
    <row r="38" spans="1:25" ht="30.75" customHeight="1">
      <c r="A38" s="719">
        <v>11</v>
      </c>
      <c r="B38" s="2468"/>
      <c r="C38" s="2469"/>
      <c r="D38" s="2470"/>
      <c r="E38" s="720" t="s">
        <v>5</v>
      </c>
      <c r="F38" s="1361" t="s">
        <v>1222</v>
      </c>
      <c r="G38" s="756">
        <v>9</v>
      </c>
      <c r="H38" s="757">
        <f>R.HN!C34</f>
        <v>0</v>
      </c>
      <c r="I38" s="356">
        <f>'R.GUI MAIL'!N15</f>
        <v>0</v>
      </c>
      <c r="J38" s="759"/>
      <c r="K38" s="760"/>
      <c r="L38" s="1364"/>
      <c r="M38" s="761"/>
      <c r="N38" s="758">
        <f>R.HN!D34</f>
        <v>0</v>
      </c>
      <c r="O38" s="356">
        <f>'R.GUI MAIL'!N31</f>
        <v>9</v>
      </c>
      <c r="P38" s="759"/>
      <c r="Q38" s="760"/>
      <c r="R38" s="1364"/>
      <c r="S38" s="761"/>
      <c r="T38" s="758"/>
      <c r="U38" s="356">
        <f>'R.GUI MAIL'!N47</f>
        <v>0</v>
      </c>
      <c r="V38" s="759"/>
      <c r="W38" s="760"/>
      <c r="X38" s="1355"/>
      <c r="Y38" s="761"/>
    </row>
    <row r="39" spans="1:25" ht="30.75" customHeight="1">
      <c r="A39" s="743"/>
      <c r="B39" s="744"/>
      <c r="C39" s="744"/>
      <c r="D39" s="744"/>
      <c r="E39" s="744" t="s">
        <v>2</v>
      </c>
      <c r="F39" s="744"/>
      <c r="G39" s="744"/>
      <c r="H39" s="744"/>
      <c r="I39" s="744"/>
      <c r="J39" s="744"/>
      <c r="K39" s="744"/>
      <c r="L39" s="744"/>
      <c r="M39" s="744"/>
      <c r="N39" s="744"/>
      <c r="O39" s="744"/>
      <c r="P39" s="744"/>
      <c r="Q39" s="744"/>
      <c r="R39" s="744"/>
      <c r="S39" s="744"/>
      <c r="T39" s="744"/>
      <c r="U39" s="744"/>
      <c r="V39" s="744"/>
      <c r="W39" s="744"/>
      <c r="X39" s="744"/>
      <c r="Y39" s="1362"/>
    </row>
    <row r="40" spans="1:25" ht="30.75" customHeight="1">
      <c r="A40" s="745" t="s">
        <v>57</v>
      </c>
      <c r="B40" s="2449" t="s">
        <v>798</v>
      </c>
      <c r="C40" s="2450"/>
      <c r="D40" s="2451"/>
      <c r="E40" s="746" t="s">
        <v>799</v>
      </c>
      <c r="F40" s="746" t="s">
        <v>800</v>
      </c>
      <c r="G40" s="747" t="s">
        <v>791</v>
      </c>
      <c r="H40" s="748"/>
      <c r="I40" s="2459" t="s">
        <v>48</v>
      </c>
      <c r="J40" s="2460"/>
      <c r="K40" s="2460"/>
      <c r="L40" s="2461" t="s">
        <v>65</v>
      </c>
      <c r="M40" s="2462"/>
      <c r="N40" s="713"/>
      <c r="O40" s="2459" t="s">
        <v>48</v>
      </c>
      <c r="P40" s="2460"/>
      <c r="Q40" s="2460"/>
      <c r="R40" s="2461" t="s">
        <v>65</v>
      </c>
      <c r="S40" s="2462"/>
      <c r="T40" s="713"/>
      <c r="U40" s="2459" t="s">
        <v>48</v>
      </c>
      <c r="V40" s="2460"/>
      <c r="W40" s="2460"/>
      <c r="X40" s="2461" t="s">
        <v>65</v>
      </c>
      <c r="Y40" s="2462"/>
    </row>
    <row r="41" spans="1:25" ht="30.75" customHeight="1">
      <c r="A41" s="745">
        <v>1</v>
      </c>
      <c r="B41" s="2449" t="s">
        <v>801</v>
      </c>
      <c r="C41" s="2450"/>
      <c r="D41" s="2451"/>
      <c r="E41" s="749" t="s">
        <v>802</v>
      </c>
      <c r="F41" s="741" t="s">
        <v>1219</v>
      </c>
      <c r="G41" s="747"/>
      <c r="H41" s="748"/>
      <c r="I41" s="1365"/>
      <c r="J41" s="1366"/>
      <c r="K41" s="1366"/>
      <c r="L41" s="1367"/>
      <c r="M41" s="1368"/>
      <c r="N41" s="725"/>
      <c r="O41" s="2466">
        <f>'R.GUI MAIL'!N34</f>
        <v>0</v>
      </c>
      <c r="P41" s="2467"/>
      <c r="Q41" s="2467"/>
      <c r="R41" s="1891">
        <f>'R.GUI MAIL'!Q34</f>
        <v>61</v>
      </c>
      <c r="S41" s="1892"/>
      <c r="T41" s="725"/>
      <c r="U41" s="2466">
        <f>'R.GUI MAIL'!N50</f>
        <v>0</v>
      </c>
      <c r="V41" s="2467"/>
      <c r="W41" s="2467"/>
      <c r="X41" s="1891">
        <f>'R.GUI MAIL'!Q50</f>
        <v>0</v>
      </c>
      <c r="Y41" s="1892"/>
    </row>
    <row r="42" spans="1:25" ht="30.75" customHeight="1">
      <c r="A42" s="745">
        <v>2</v>
      </c>
      <c r="B42" s="2449" t="s">
        <v>803</v>
      </c>
      <c r="C42" s="2450"/>
      <c r="D42" s="2451"/>
      <c r="E42" s="749" t="s">
        <v>802</v>
      </c>
      <c r="F42" s="741" t="s">
        <v>804</v>
      </c>
      <c r="G42" s="750" t="e">
        <f>'[5]file goc'!G91</f>
        <v>#REF!</v>
      </c>
      <c r="H42" s="750"/>
      <c r="I42" s="1891">
        <f>'R.GUI MAIL'!N18</f>
        <v>0</v>
      </c>
      <c r="J42" s="1892"/>
      <c r="K42" s="1892"/>
      <c r="L42" s="1891">
        <f>'R.GUI MAIL'!Q18</f>
        <v>0</v>
      </c>
      <c r="M42" s="1892"/>
      <c r="N42" s="1251"/>
      <c r="O42" s="2466">
        <f>'R.GUI MAIL'!N35</f>
        <v>0</v>
      </c>
      <c r="P42" s="2467"/>
      <c r="Q42" s="2467"/>
      <c r="R42" s="1891">
        <f>'R.GUI MAIL'!Q35</f>
        <v>69</v>
      </c>
      <c r="S42" s="1940"/>
      <c r="T42" s="725"/>
      <c r="U42" s="2466">
        <f>'R.GUI MAIL'!N51</f>
        <v>0</v>
      </c>
      <c r="V42" s="2467"/>
      <c r="W42" s="2471"/>
      <c r="X42" s="1891">
        <f>'R.GUI MAIL'!Q51</f>
        <v>0</v>
      </c>
      <c r="Y42" s="1940"/>
    </row>
    <row r="43" spans="1:25" ht="30.75" customHeight="1">
      <c r="A43" s="745">
        <v>3</v>
      </c>
      <c r="B43" s="2449" t="s">
        <v>805</v>
      </c>
      <c r="C43" s="2450"/>
      <c r="D43" s="2451"/>
      <c r="E43" s="749" t="s">
        <v>802</v>
      </c>
      <c r="F43" s="741" t="s">
        <v>804</v>
      </c>
      <c r="G43" s="751" t="str">
        <f>'[5]file goc'!G92</f>
        <v>7:00</v>
      </c>
      <c r="H43" s="750"/>
      <c r="I43" s="1891">
        <f>'R.GUI MAIL'!N19</f>
        <v>0</v>
      </c>
      <c r="J43" s="1892"/>
      <c r="K43" s="1892"/>
      <c r="L43" s="1891">
        <f>'R.GUI MAIL'!Q19</f>
        <v>0</v>
      </c>
      <c r="M43" s="1940"/>
      <c r="N43" s="725"/>
      <c r="O43" s="1375"/>
      <c r="P43" s="1376"/>
      <c r="Q43" s="1376"/>
      <c r="R43" s="752"/>
      <c r="S43" s="753"/>
      <c r="T43" s="725"/>
      <c r="U43" s="1377"/>
      <c r="V43" s="1377"/>
      <c r="W43" s="1377"/>
      <c r="X43" s="961"/>
      <c r="Y43" s="961"/>
    </row>
    <row r="44" spans="1:25" ht="30.75" customHeight="1">
      <c r="A44" s="745">
        <v>6</v>
      </c>
      <c r="B44" s="2449" t="s">
        <v>806</v>
      </c>
      <c r="C44" s="2450"/>
      <c r="D44" s="2451"/>
      <c r="E44" s="749" t="s">
        <v>802</v>
      </c>
      <c r="F44" s="741" t="s">
        <v>807</v>
      </c>
      <c r="G44" s="751">
        <f>'[5]file goc'!G95</f>
        <v>0</v>
      </c>
      <c r="H44" s="750"/>
      <c r="I44" s="1891">
        <f>'R.GUI MAIL'!N20</f>
        <v>0</v>
      </c>
      <c r="J44" s="1892"/>
      <c r="K44" s="1892"/>
      <c r="L44" s="1891">
        <f>'R.GUI MAIL'!Q20</f>
        <v>0</v>
      </c>
      <c r="M44" s="1940"/>
      <c r="N44" s="725"/>
      <c r="O44" s="2466">
        <f>'R.GUI MAIL'!N36</f>
        <v>0</v>
      </c>
      <c r="P44" s="2467"/>
      <c r="Q44" s="2467"/>
      <c r="R44" s="1891">
        <f>'R.GUI MAIL'!Q36</f>
        <v>78</v>
      </c>
      <c r="S44" s="1940"/>
      <c r="T44" s="725"/>
      <c r="U44" s="2466">
        <f>'R.GUI MAIL'!N52</f>
        <v>0</v>
      </c>
      <c r="V44" s="2467"/>
      <c r="W44" s="2471"/>
      <c r="X44" s="1891">
        <f>'R.GUI MAIL'!Q52</f>
        <v>0</v>
      </c>
      <c r="Y44" s="1940"/>
    </row>
    <row r="45" spans="1:25" s="710" customFormat="1" ht="30.75" customHeight="1">
      <c r="A45" s="2472" t="s">
        <v>429</v>
      </c>
      <c r="B45" s="2473"/>
      <c r="C45" s="1256"/>
      <c r="D45" s="1256"/>
      <c r="E45" s="2431" t="str">
        <f>$E$3</f>
        <v>2022/12/03</v>
      </c>
      <c r="F45" s="2432"/>
      <c r="G45" s="754"/>
      <c r="H45" s="755"/>
      <c r="I45" s="708"/>
      <c r="J45" s="708"/>
      <c r="K45" s="708"/>
      <c r="L45" s="708"/>
      <c r="M45" s="708"/>
      <c r="N45" s="708"/>
      <c r="O45" s="708" t="s">
        <v>787</v>
      </c>
      <c r="P45" s="708"/>
      <c r="Q45" s="708"/>
      <c r="R45" s="708"/>
      <c r="S45" s="708"/>
      <c r="T45" s="708"/>
      <c r="U45" s="708"/>
      <c r="V45" s="708"/>
      <c r="W45" s="708"/>
      <c r="X45" s="708"/>
      <c r="Y45" s="709"/>
    </row>
    <row r="46" spans="1:25" ht="30.75" customHeight="1">
      <c r="A46" s="2433" t="s">
        <v>7</v>
      </c>
      <c r="B46" s="1984" t="s">
        <v>788</v>
      </c>
      <c r="C46" s="1985"/>
      <c r="D46" s="2436"/>
      <c r="E46" s="2441" t="s">
        <v>789</v>
      </c>
      <c r="F46" s="2444" t="s">
        <v>790</v>
      </c>
      <c r="G46" s="711"/>
      <c r="H46" s="712"/>
      <c r="I46" s="2447" t="s">
        <v>791</v>
      </c>
      <c r="J46" s="2448"/>
      <c r="K46" s="2448"/>
      <c r="L46" s="2448"/>
      <c r="M46" s="2448"/>
      <c r="N46" s="713"/>
      <c r="O46" s="2447" t="s">
        <v>1215</v>
      </c>
      <c r="P46" s="2448"/>
      <c r="Q46" s="2448"/>
      <c r="R46" s="2448"/>
      <c r="S46" s="2448"/>
      <c r="T46" s="713"/>
      <c r="U46" s="2447" t="s">
        <v>1216</v>
      </c>
      <c r="V46" s="2448"/>
      <c r="W46" s="2448"/>
      <c r="X46" s="2448"/>
      <c r="Y46" s="2448"/>
    </row>
    <row r="47" spans="1:25" ht="30.75" customHeight="1">
      <c r="A47" s="2434"/>
      <c r="B47" s="2437"/>
      <c r="C47" s="2438"/>
      <c r="D47" s="2439"/>
      <c r="E47" s="2442"/>
      <c r="F47" s="2445"/>
      <c r="G47" s="714" t="s">
        <v>466</v>
      </c>
      <c r="H47" s="715"/>
      <c r="I47" s="2422" t="s">
        <v>792</v>
      </c>
      <c r="J47" s="717" t="s">
        <v>793</v>
      </c>
      <c r="K47" s="2424" t="s">
        <v>1</v>
      </c>
      <c r="L47" s="2424"/>
      <c r="M47" s="2425"/>
      <c r="N47" s="716"/>
      <c r="O47" s="2422" t="s">
        <v>792</v>
      </c>
      <c r="P47" s="717" t="s">
        <v>793</v>
      </c>
      <c r="Q47" s="2424" t="s">
        <v>1</v>
      </c>
      <c r="R47" s="2424"/>
      <c r="S47" s="2425"/>
      <c r="T47" s="715"/>
      <c r="U47" s="2422" t="s">
        <v>792</v>
      </c>
      <c r="V47" s="717" t="s">
        <v>793</v>
      </c>
      <c r="W47" s="2424" t="s">
        <v>1</v>
      </c>
      <c r="X47" s="2424"/>
      <c r="Y47" s="2425"/>
    </row>
    <row r="48" spans="1:25" ht="30.75" customHeight="1">
      <c r="A48" s="2435"/>
      <c r="B48" s="1986"/>
      <c r="C48" s="1987"/>
      <c r="D48" s="2440"/>
      <c r="E48" s="2443"/>
      <c r="F48" s="2446"/>
      <c r="G48" s="714"/>
      <c r="H48" s="715"/>
      <c r="I48" s="2423"/>
      <c r="J48" s="718"/>
      <c r="K48" s="2426"/>
      <c r="L48" s="2426"/>
      <c r="M48" s="2427"/>
      <c r="N48" s="716"/>
      <c r="O48" s="2423"/>
      <c r="P48" s="718"/>
      <c r="Q48" s="2426"/>
      <c r="R48" s="2426"/>
      <c r="S48" s="2427"/>
      <c r="T48" s="715"/>
      <c r="U48" s="2423"/>
      <c r="V48" s="718"/>
      <c r="W48" s="2426"/>
      <c r="X48" s="2426"/>
      <c r="Y48" s="2427"/>
    </row>
    <row r="49" spans="1:25" ht="30.75" customHeight="1">
      <c r="A49" s="719">
        <v>1</v>
      </c>
      <c r="B49" s="2449" t="s">
        <v>794</v>
      </c>
      <c r="C49" s="2450"/>
      <c r="D49" s="2451"/>
      <c r="E49" s="720" t="s">
        <v>475</v>
      </c>
      <c r="F49" s="721" t="s">
        <v>780</v>
      </c>
      <c r="G49" s="722">
        <v>40</v>
      </c>
      <c r="H49" s="723">
        <f>R.HN!C52</f>
        <v>1.4</v>
      </c>
      <c r="I49" s="729"/>
      <c r="J49" s="729"/>
      <c r="K49" s="730"/>
      <c r="L49" s="1354"/>
      <c r="M49" s="731"/>
      <c r="N49" s="724">
        <f>R.HN!D52</f>
        <v>0</v>
      </c>
      <c r="O49" s="356">
        <f>'R.GUI MAIL'!T25</f>
        <v>0</v>
      </c>
      <c r="P49" s="725"/>
      <c r="Q49" s="726" t="s">
        <v>8</v>
      </c>
      <c r="R49" s="1355">
        <f>'R.GUI MAIL'!W25</f>
        <v>93.2</v>
      </c>
      <c r="S49" s="727" t="s">
        <v>9</v>
      </c>
      <c r="T49" s="724"/>
      <c r="U49" s="356">
        <f>'R.GUI MAIL'!T41</f>
        <v>0</v>
      </c>
      <c r="V49" s="725"/>
      <c r="W49" s="726" t="s">
        <v>8</v>
      </c>
      <c r="X49" s="1356">
        <f>'R.GUI MAIL'!W41</f>
        <v>93.2</v>
      </c>
      <c r="Y49" s="727" t="s">
        <v>9</v>
      </c>
    </row>
    <row r="50" spans="1:25" ht="30.75" customHeight="1">
      <c r="A50" s="719">
        <v>2</v>
      </c>
      <c r="B50" s="2449" t="s">
        <v>469</v>
      </c>
      <c r="C50" s="2450"/>
      <c r="D50" s="2451"/>
      <c r="E50" s="728" t="s">
        <v>3</v>
      </c>
      <c r="F50" s="721" t="s">
        <v>470</v>
      </c>
      <c r="G50" s="722">
        <v>22</v>
      </c>
      <c r="H50" s="723">
        <f>R.HN!C53</f>
        <v>3.6</v>
      </c>
      <c r="I50" s="356">
        <f>'R.GUI MAIL'!T6</f>
        <v>0</v>
      </c>
      <c r="J50" s="725"/>
      <c r="K50" s="726" t="s">
        <v>8</v>
      </c>
      <c r="L50" s="1355">
        <f>'R.GUI MAIL'!W6</f>
        <v>292.1875</v>
      </c>
      <c r="M50" s="727" t="s">
        <v>10</v>
      </c>
      <c r="N50" s="724">
        <f>R.HN!D53</f>
        <v>0</v>
      </c>
      <c r="O50" s="356">
        <f>'R.GUI MAIL'!T26</f>
        <v>0</v>
      </c>
      <c r="P50" s="725"/>
      <c r="Q50" s="726" t="s">
        <v>8</v>
      </c>
      <c r="R50" s="1355">
        <f>'R.GUI MAIL'!W26</f>
        <v>1017.578125</v>
      </c>
      <c r="S50" s="727" t="s">
        <v>10</v>
      </c>
      <c r="T50" s="724"/>
      <c r="U50" s="356">
        <f>'R.GUI MAIL'!T42</f>
        <v>0</v>
      </c>
      <c r="V50" s="725"/>
      <c r="W50" s="726" t="s">
        <v>8</v>
      </c>
      <c r="X50" s="1355">
        <f>'R.GUI MAIL'!W42</f>
        <v>1017.578125</v>
      </c>
      <c r="Y50" s="727" t="s">
        <v>10</v>
      </c>
    </row>
    <row r="51" spans="1:25" ht="30.75" hidden="1" customHeight="1">
      <c r="A51" s="719">
        <v>3</v>
      </c>
      <c r="B51" s="2452" t="s">
        <v>433</v>
      </c>
      <c r="C51" s="2453"/>
      <c r="D51" s="2454"/>
      <c r="E51" s="728" t="s">
        <v>3</v>
      </c>
      <c r="F51" s="721" t="s">
        <v>470</v>
      </c>
      <c r="G51" s="722"/>
      <c r="H51" s="723"/>
      <c r="I51" s="1304">
        <f>'R.GUI MAIL'!T7</f>
        <v>0</v>
      </c>
      <c r="J51" s="725"/>
      <c r="K51" s="726" t="s">
        <v>8</v>
      </c>
      <c r="L51" s="1355">
        <f>'R.GUI MAIL'!W7</f>
        <v>292.1875</v>
      </c>
      <c r="M51" s="727" t="s">
        <v>10</v>
      </c>
      <c r="N51" s="724"/>
      <c r="O51" s="729"/>
      <c r="P51" s="729"/>
      <c r="Q51" s="730"/>
      <c r="R51" s="1354"/>
      <c r="S51" s="731"/>
      <c r="T51" s="732"/>
      <c r="U51" s="1304">
        <f>'R.GUI MAIL'!T42</f>
        <v>0</v>
      </c>
      <c r="V51" s="725"/>
      <c r="W51" s="726" t="s">
        <v>8</v>
      </c>
      <c r="X51" s="1355">
        <f>'R.GUI MAIL'!W42</f>
        <v>1017.578125</v>
      </c>
      <c r="Y51" s="727" t="s">
        <v>10</v>
      </c>
    </row>
    <row r="52" spans="1:25" ht="30.75" customHeight="1">
      <c r="A52" s="719">
        <v>4</v>
      </c>
      <c r="B52" s="2455" t="s">
        <v>795</v>
      </c>
      <c r="C52" s="1357" t="s">
        <v>796</v>
      </c>
      <c r="D52" s="1358">
        <f>R.HN!E12</f>
        <v>3</v>
      </c>
      <c r="E52" s="2458" t="s">
        <v>475</v>
      </c>
      <c r="F52" s="721" t="s">
        <v>782</v>
      </c>
      <c r="G52" s="722">
        <v>50</v>
      </c>
      <c r="H52" s="723">
        <f>R.HN!C54</f>
        <v>11</v>
      </c>
      <c r="I52" s="356">
        <f>'R.GUI MAIL'!T8</f>
        <v>0</v>
      </c>
      <c r="J52" s="725"/>
      <c r="K52" s="726" t="s">
        <v>8</v>
      </c>
      <c r="L52" s="1355">
        <f>'R.GUI MAIL'!W8</f>
        <v>69.400000000000006</v>
      </c>
      <c r="M52" s="727" t="s">
        <v>9</v>
      </c>
      <c r="N52" s="724">
        <f>R.HN!D54</f>
        <v>0</v>
      </c>
      <c r="O52" s="356">
        <f>'R.GUI MAIL'!T27</f>
        <v>0</v>
      </c>
      <c r="P52" s="725"/>
      <c r="Q52" s="726" t="s">
        <v>8</v>
      </c>
      <c r="R52" s="1355">
        <f>'R.GUI MAIL'!W27</f>
        <v>246.75</v>
      </c>
      <c r="S52" s="727" t="s">
        <v>9</v>
      </c>
      <c r="T52" s="724"/>
      <c r="U52" s="356">
        <f>'R.GUI MAIL'!T43</f>
        <v>0</v>
      </c>
      <c r="V52" s="725"/>
      <c r="W52" s="726" t="s">
        <v>8</v>
      </c>
      <c r="X52" s="1355">
        <f>'R.GUI MAIL'!W43</f>
        <v>246.75</v>
      </c>
      <c r="Y52" s="727" t="s">
        <v>9</v>
      </c>
    </row>
    <row r="53" spans="1:25" ht="30.75" customHeight="1">
      <c r="A53" s="719">
        <v>5</v>
      </c>
      <c r="B53" s="2456"/>
      <c r="C53" s="1359"/>
      <c r="D53" s="1360"/>
      <c r="E53" s="2458"/>
      <c r="F53" s="721" t="s">
        <v>778</v>
      </c>
      <c r="G53" s="733">
        <v>6</v>
      </c>
      <c r="H53" s="723">
        <f>R.HN!C55</f>
        <v>6.8</v>
      </c>
      <c r="I53" s="356">
        <f>'R.GUI MAIL'!T9</f>
        <v>0</v>
      </c>
      <c r="J53" s="725"/>
      <c r="K53" s="726" t="s">
        <v>8</v>
      </c>
      <c r="L53" s="1355">
        <f>'R.GUI MAIL'!W9</f>
        <v>4.5110000000000001</v>
      </c>
      <c r="M53" s="727" t="s">
        <v>9</v>
      </c>
      <c r="N53" s="724">
        <f>R.HN!D55</f>
        <v>0</v>
      </c>
      <c r="O53" s="356">
        <f>'R.GUI MAIL'!T28</f>
        <v>0</v>
      </c>
      <c r="P53" s="725"/>
      <c r="Q53" s="726"/>
      <c r="R53" s="1355">
        <f>'R.GUI MAIL'!W28</f>
        <v>32.077500000000001</v>
      </c>
      <c r="S53" s="727" t="s">
        <v>9</v>
      </c>
      <c r="T53" s="724"/>
      <c r="U53" s="356">
        <f>'R.GUI MAIL'!T44</f>
        <v>0</v>
      </c>
      <c r="V53" s="725"/>
      <c r="W53" s="726"/>
      <c r="X53" s="1355">
        <f>'R.GUI MAIL'!W44</f>
        <v>32.077500000000001</v>
      </c>
      <c r="Y53" s="727" t="s">
        <v>9</v>
      </c>
    </row>
    <row r="54" spans="1:25" ht="30.75" customHeight="1">
      <c r="A54" s="719">
        <v>6</v>
      </c>
      <c r="B54" s="2456"/>
      <c r="C54" s="1359"/>
      <c r="D54" s="1360"/>
      <c r="E54" s="2458"/>
      <c r="F54" s="721" t="s">
        <v>660</v>
      </c>
      <c r="G54" s="733">
        <v>0.4</v>
      </c>
      <c r="H54" s="723">
        <f>R.HN!C56</f>
        <v>12</v>
      </c>
      <c r="I54" s="481">
        <f>'R.GUI MAIL'!T10</f>
        <v>0</v>
      </c>
      <c r="J54" s="725"/>
      <c r="K54" s="726" t="s">
        <v>8</v>
      </c>
      <c r="L54" s="1355">
        <f>'R.GUI MAIL'!W10</f>
        <v>0</v>
      </c>
      <c r="M54" s="727" t="s">
        <v>9</v>
      </c>
      <c r="N54" s="724">
        <f>R.HN!D56</f>
        <v>0</v>
      </c>
      <c r="O54" s="481">
        <f>'R.GUI MAIL'!T29</f>
        <v>0</v>
      </c>
      <c r="P54" s="734"/>
      <c r="Q54" s="735"/>
      <c r="R54" s="1355">
        <f>'R.GUI MAIL'!W29</f>
        <v>0</v>
      </c>
      <c r="S54" s="736" t="s">
        <v>9</v>
      </c>
      <c r="T54" s="737"/>
      <c r="U54" s="481">
        <f>'R.GUI MAIL'!T45</f>
        <v>0</v>
      </c>
      <c r="V54" s="725"/>
      <c r="W54" s="726"/>
      <c r="X54" s="1355">
        <f>'R.GUI MAIL'!W45</f>
        <v>0</v>
      </c>
      <c r="Y54" s="727" t="s">
        <v>9</v>
      </c>
    </row>
    <row r="55" spans="1:25" ht="30.75" customHeight="1">
      <c r="A55" s="719">
        <v>7</v>
      </c>
      <c r="B55" s="2455" t="s">
        <v>795</v>
      </c>
      <c r="C55" s="1357" t="s">
        <v>796</v>
      </c>
      <c r="D55" s="1358">
        <f>R.HN!E13</f>
        <v>4</v>
      </c>
      <c r="E55" s="2458" t="s">
        <v>475</v>
      </c>
      <c r="F55" s="721" t="s">
        <v>782</v>
      </c>
      <c r="G55" s="722">
        <v>50</v>
      </c>
      <c r="H55" s="723">
        <f>R.HN!C57</f>
        <v>8.5</v>
      </c>
      <c r="I55" s="356">
        <f>'R.GUI MAIL'!T11</f>
        <v>0</v>
      </c>
      <c r="J55" s="750"/>
      <c r="K55" s="726" t="s">
        <v>8</v>
      </c>
      <c r="L55" s="1355">
        <f>'R.GUI MAIL'!W11</f>
        <v>69.400000000000006</v>
      </c>
      <c r="M55" s="727" t="s">
        <v>9</v>
      </c>
      <c r="N55" s="724">
        <f>R.HN!D57</f>
        <v>0</v>
      </c>
      <c r="O55" s="729"/>
      <c r="P55" s="729"/>
      <c r="Q55" s="730"/>
      <c r="R55" s="1354"/>
      <c r="S55" s="731"/>
      <c r="T55" s="724"/>
      <c r="U55" s="729"/>
      <c r="V55" s="729"/>
      <c r="W55" s="730"/>
      <c r="X55" s="1354"/>
      <c r="Y55" s="731"/>
    </row>
    <row r="56" spans="1:25" ht="30.75" customHeight="1">
      <c r="A56" s="719">
        <v>8</v>
      </c>
      <c r="B56" s="2456"/>
      <c r="C56" s="1359"/>
      <c r="D56" s="1360"/>
      <c r="E56" s="2458"/>
      <c r="F56" s="721" t="s">
        <v>778</v>
      </c>
      <c r="G56" s="733">
        <v>6</v>
      </c>
      <c r="H56" s="723">
        <f>R.HN!C58</f>
        <v>11.7</v>
      </c>
      <c r="I56" s="356">
        <f>'R.GUI MAIL'!T12</f>
        <v>0</v>
      </c>
      <c r="J56" s="725"/>
      <c r="K56" s="726" t="s">
        <v>8</v>
      </c>
      <c r="L56" s="1355">
        <f>'R.GUI MAIL'!W12</f>
        <v>4.5110000000000001</v>
      </c>
      <c r="M56" s="727" t="s">
        <v>9</v>
      </c>
      <c r="N56" s="724">
        <f>R.HN!D58</f>
        <v>0</v>
      </c>
      <c r="O56" s="729"/>
      <c r="P56" s="729"/>
      <c r="Q56" s="730"/>
      <c r="R56" s="1354"/>
      <c r="S56" s="731"/>
      <c r="T56" s="724"/>
      <c r="U56" s="729"/>
      <c r="V56" s="729"/>
      <c r="W56" s="730"/>
      <c r="X56" s="1354"/>
      <c r="Y56" s="731"/>
    </row>
    <row r="57" spans="1:25" ht="30.75" customHeight="1">
      <c r="A57" s="719">
        <v>9</v>
      </c>
      <c r="B57" s="2456"/>
      <c r="C57" s="1359"/>
      <c r="D57" s="1360"/>
      <c r="E57" s="2458"/>
      <c r="F57" s="721" t="s">
        <v>660</v>
      </c>
      <c r="G57" s="733">
        <v>0.4</v>
      </c>
      <c r="H57" s="723">
        <f>R.HN!C59</f>
        <v>8.1</v>
      </c>
      <c r="I57" s="481">
        <f>'R.GUI MAIL'!T13</f>
        <v>0</v>
      </c>
      <c r="J57" s="750"/>
      <c r="K57" s="726" t="s">
        <v>8</v>
      </c>
      <c r="L57" s="1355">
        <f>'R.GUI MAIL'!W13</f>
        <v>0</v>
      </c>
      <c r="M57" s="727" t="s">
        <v>9</v>
      </c>
      <c r="N57" s="724">
        <f>R.HN!D59</f>
        <v>0</v>
      </c>
      <c r="O57" s="738"/>
      <c r="P57" s="738"/>
      <c r="Q57" s="739"/>
      <c r="R57" s="1354"/>
      <c r="S57" s="740"/>
      <c r="T57" s="737"/>
      <c r="U57" s="738"/>
      <c r="V57" s="738"/>
      <c r="W57" s="739"/>
      <c r="X57" s="1354"/>
      <c r="Y57" s="740"/>
    </row>
    <row r="58" spans="1:25" ht="30.75" customHeight="1">
      <c r="A58" s="719">
        <v>10</v>
      </c>
      <c r="B58" s="2452" t="s">
        <v>797</v>
      </c>
      <c r="C58" s="2453"/>
      <c r="D58" s="2454"/>
      <c r="E58" s="719" t="s">
        <v>475</v>
      </c>
      <c r="F58" s="741" t="s">
        <v>485</v>
      </c>
      <c r="G58" s="733">
        <v>2</v>
      </c>
      <c r="H58" s="723">
        <f>R.HN!C41</f>
        <v>9</v>
      </c>
      <c r="I58" s="356">
        <f>'R.GUI MAIL'!T14</f>
        <v>0</v>
      </c>
      <c r="J58" s="725"/>
      <c r="K58" s="726" t="s">
        <v>8</v>
      </c>
      <c r="L58" s="1363">
        <f>'R.GUI MAIL'!W14</f>
        <v>4.3680000000000003</v>
      </c>
      <c r="M58" s="727" t="s">
        <v>9</v>
      </c>
      <c r="N58" s="724">
        <f>R.HN!D41</f>
        <v>8.9</v>
      </c>
      <c r="O58" s="356">
        <f>'R.GUI MAIL'!T30</f>
        <v>0</v>
      </c>
      <c r="P58" s="725"/>
      <c r="Q58" s="726" t="s">
        <v>8</v>
      </c>
      <c r="R58" s="1355">
        <f>'R.GUI MAIL'!W30</f>
        <v>1.234</v>
      </c>
      <c r="S58" s="727" t="s">
        <v>9</v>
      </c>
      <c r="T58" s="724"/>
      <c r="U58" s="356">
        <f>'R.GUI MAIL'!T46</f>
        <v>0</v>
      </c>
      <c r="V58" s="725"/>
      <c r="W58" s="726" t="s">
        <v>8</v>
      </c>
      <c r="X58" s="1355">
        <f>'R.GUI MAIL'!W46</f>
        <v>1.234</v>
      </c>
      <c r="Y58" s="727" t="s">
        <v>9</v>
      </c>
    </row>
    <row r="59" spans="1:25" ht="30.75" customHeight="1">
      <c r="A59" s="719">
        <v>11</v>
      </c>
      <c r="B59" s="2468"/>
      <c r="C59" s="2469"/>
      <c r="D59" s="2470"/>
      <c r="E59" s="719" t="s">
        <v>5</v>
      </c>
      <c r="F59" s="1361" t="s">
        <v>1222</v>
      </c>
      <c r="G59" s="742">
        <v>9</v>
      </c>
      <c r="H59" s="723">
        <f>R.HN!C42</f>
        <v>0</v>
      </c>
      <c r="I59" s="356">
        <f>'R.GUI MAIL'!T15</f>
        <v>0</v>
      </c>
      <c r="J59" s="725"/>
      <c r="K59" s="726"/>
      <c r="L59" s="1355"/>
      <c r="M59" s="727"/>
      <c r="N59" s="724">
        <f>R.HN!D42</f>
        <v>0</v>
      </c>
      <c r="O59" s="356">
        <f>'R.GUI MAIL'!T31</f>
        <v>0</v>
      </c>
      <c r="P59" s="725"/>
      <c r="Q59" s="726"/>
      <c r="R59" s="1355"/>
      <c r="S59" s="727"/>
      <c r="T59" s="724"/>
      <c r="U59" s="356">
        <f>'R.GUI MAIL'!T47</f>
        <v>0</v>
      </c>
      <c r="V59" s="725"/>
      <c r="W59" s="726"/>
      <c r="X59" s="1355"/>
      <c r="Y59" s="727"/>
    </row>
    <row r="60" spans="1:25" ht="30.75" customHeight="1">
      <c r="A60" s="743"/>
      <c r="B60" s="744"/>
      <c r="C60" s="744"/>
      <c r="D60" s="744"/>
      <c r="E60" s="744" t="s">
        <v>2</v>
      </c>
      <c r="F60" s="744"/>
      <c r="G60" s="744"/>
      <c r="H60" s="744"/>
      <c r="I60" s="744"/>
      <c r="J60" s="744"/>
      <c r="K60" s="744"/>
      <c r="L60" s="744"/>
      <c r="M60" s="744"/>
      <c r="N60" s="744"/>
      <c r="O60" s="744"/>
      <c r="P60" s="744"/>
      <c r="Q60" s="744"/>
      <c r="R60" s="744"/>
      <c r="S60" s="744"/>
      <c r="T60" s="744"/>
      <c r="U60" s="744"/>
      <c r="V60" s="744"/>
      <c r="W60" s="744"/>
      <c r="X60" s="744"/>
      <c r="Y60" s="1362"/>
    </row>
    <row r="61" spans="1:25" ht="30.75" customHeight="1">
      <c r="A61" s="745" t="s">
        <v>57</v>
      </c>
      <c r="B61" s="2449" t="s">
        <v>798</v>
      </c>
      <c r="C61" s="2450"/>
      <c r="D61" s="2451"/>
      <c r="E61" s="746" t="s">
        <v>799</v>
      </c>
      <c r="F61" s="746" t="s">
        <v>800</v>
      </c>
      <c r="G61" s="747" t="s">
        <v>791</v>
      </c>
      <c r="H61" s="748"/>
      <c r="I61" s="2459" t="s">
        <v>48</v>
      </c>
      <c r="J61" s="2460"/>
      <c r="K61" s="2460"/>
      <c r="L61" s="2461" t="s">
        <v>65</v>
      </c>
      <c r="M61" s="2462"/>
      <c r="N61" s="713"/>
      <c r="O61" s="2459" t="s">
        <v>48</v>
      </c>
      <c r="P61" s="2460"/>
      <c r="Q61" s="2460"/>
      <c r="R61" s="2461" t="s">
        <v>65</v>
      </c>
      <c r="S61" s="2462"/>
      <c r="T61" s="713"/>
      <c r="U61" s="2459" t="s">
        <v>48</v>
      </c>
      <c r="V61" s="2460"/>
      <c r="W61" s="2460"/>
      <c r="X61" s="2461" t="s">
        <v>65</v>
      </c>
      <c r="Y61" s="2462"/>
    </row>
    <row r="62" spans="1:25" ht="30.75" customHeight="1">
      <c r="A62" s="745">
        <v>1</v>
      </c>
      <c r="B62" s="2449" t="s">
        <v>801</v>
      </c>
      <c r="C62" s="2450"/>
      <c r="D62" s="2451"/>
      <c r="E62" s="749" t="s">
        <v>802</v>
      </c>
      <c r="F62" s="741" t="s">
        <v>1219</v>
      </c>
      <c r="G62" s="747"/>
      <c r="H62" s="748"/>
      <c r="I62" s="1369"/>
      <c r="J62" s="1370"/>
      <c r="K62" s="1370"/>
      <c r="L62" s="1367"/>
      <c r="M62" s="1368"/>
      <c r="N62" s="725"/>
      <c r="O62" s="2466">
        <f>'R.GUI MAIL'!T34</f>
        <v>0</v>
      </c>
      <c r="P62" s="2467"/>
      <c r="Q62" s="2467"/>
      <c r="R62" s="1891">
        <f>'R.GUI MAIL'!W34</f>
        <v>60</v>
      </c>
      <c r="S62" s="1892"/>
      <c r="T62" s="725"/>
      <c r="U62" s="2466">
        <f>'R.GUI MAIL'!T50</f>
        <v>0</v>
      </c>
      <c r="V62" s="2467"/>
      <c r="W62" s="2467"/>
      <c r="X62" s="1891">
        <f>'R.GUI MAIL'!W50</f>
        <v>0</v>
      </c>
      <c r="Y62" s="1892"/>
    </row>
    <row r="63" spans="1:25" ht="30.75" customHeight="1">
      <c r="A63" s="745">
        <v>2</v>
      </c>
      <c r="B63" s="2449" t="s">
        <v>803</v>
      </c>
      <c r="C63" s="2450"/>
      <c r="D63" s="2451"/>
      <c r="E63" s="749" t="s">
        <v>802</v>
      </c>
      <c r="F63" s="741" t="s">
        <v>804</v>
      </c>
      <c r="G63" s="750" t="e">
        <f>'[5]file goc'!G125</f>
        <v>#REF!</v>
      </c>
      <c r="H63" s="750"/>
      <c r="I63" s="1891">
        <f>'R.GUI MAIL'!T18</f>
        <v>0</v>
      </c>
      <c r="J63" s="1892"/>
      <c r="K63" s="1892"/>
      <c r="L63" s="1891">
        <f>'R.GUI MAIL'!W18</f>
        <v>0</v>
      </c>
      <c r="M63" s="1892"/>
      <c r="N63" s="1251"/>
      <c r="O63" s="2466">
        <f>'R.GUI MAIL'!T35</f>
        <v>0</v>
      </c>
      <c r="P63" s="2467"/>
      <c r="Q63" s="2467"/>
      <c r="R63" s="1891">
        <f>'R.GUI MAIL'!W35</f>
        <v>67</v>
      </c>
      <c r="S63" s="1940"/>
      <c r="T63" s="725"/>
      <c r="U63" s="2466">
        <f>'R.GUI MAIL'!T51</f>
        <v>0</v>
      </c>
      <c r="V63" s="2467"/>
      <c r="W63" s="2471"/>
      <c r="X63" s="1891">
        <f>'R.GUI MAIL'!W51</f>
        <v>0</v>
      </c>
      <c r="Y63" s="1940"/>
    </row>
    <row r="64" spans="1:25" ht="30.75" customHeight="1">
      <c r="A64" s="745">
        <v>3</v>
      </c>
      <c r="B64" s="2449" t="s">
        <v>805</v>
      </c>
      <c r="C64" s="2450"/>
      <c r="D64" s="2451"/>
      <c r="E64" s="749" t="s">
        <v>802</v>
      </c>
      <c r="F64" s="741" t="s">
        <v>804</v>
      </c>
      <c r="G64" s="751" t="e">
        <f>'[5]file goc'!G126</f>
        <v>#REF!</v>
      </c>
      <c r="H64" s="750"/>
      <c r="I64" s="1891">
        <f>'R.GUI MAIL'!T19</f>
        <v>0</v>
      </c>
      <c r="J64" s="1892"/>
      <c r="K64" s="1892"/>
      <c r="L64" s="1891">
        <f>'R.GUI MAIL'!W19</f>
        <v>0</v>
      </c>
      <c r="M64" s="1940"/>
      <c r="N64" s="725"/>
      <c r="O64" s="1375"/>
      <c r="P64" s="1376"/>
      <c r="Q64" s="1376"/>
      <c r="R64" s="752"/>
      <c r="S64" s="753"/>
      <c r="T64" s="725"/>
      <c r="U64" s="1377"/>
      <c r="V64" s="1377"/>
      <c r="W64" s="1377"/>
      <c r="X64" s="961"/>
      <c r="Y64" s="961"/>
    </row>
    <row r="65" spans="1:25" ht="30.75" customHeight="1">
      <c r="A65" s="745">
        <v>6</v>
      </c>
      <c r="B65" s="2449" t="s">
        <v>806</v>
      </c>
      <c r="C65" s="2450"/>
      <c r="D65" s="2451"/>
      <c r="E65" s="749" t="s">
        <v>802</v>
      </c>
      <c r="F65" s="741" t="s">
        <v>807</v>
      </c>
      <c r="G65" s="751" t="e">
        <f>'[5]file goc'!G129</f>
        <v>#REF!</v>
      </c>
      <c r="H65" s="750"/>
      <c r="I65" s="1891">
        <f>'R.GUI MAIL'!T20</f>
        <v>0</v>
      </c>
      <c r="J65" s="1892"/>
      <c r="K65" s="1892"/>
      <c r="L65" s="1891">
        <f>'R.GUI MAIL'!W20</f>
        <v>0</v>
      </c>
      <c r="M65" s="1940"/>
      <c r="N65" s="725"/>
      <c r="O65" s="2466">
        <f>'R.GUI MAIL'!T36</f>
        <v>0</v>
      </c>
      <c r="P65" s="2467"/>
      <c r="Q65" s="2467"/>
      <c r="R65" s="1891">
        <f>'R.GUI MAIL'!W36</f>
        <v>85</v>
      </c>
      <c r="S65" s="1940"/>
      <c r="T65" s="725"/>
      <c r="U65" s="2466">
        <f>'R.GUI MAIL'!T52</f>
        <v>0</v>
      </c>
      <c r="V65" s="2467"/>
      <c r="W65" s="2471"/>
      <c r="X65" s="1891">
        <f>'R.GUI MAIL'!W52</f>
        <v>0</v>
      </c>
      <c r="Y65" s="1940"/>
    </row>
    <row r="66" spans="1:25" s="710" customFormat="1" ht="30.75" customHeight="1">
      <c r="A66" s="2472" t="s">
        <v>430</v>
      </c>
      <c r="B66" s="2473"/>
      <c r="C66" s="1256"/>
      <c r="D66" s="1256"/>
      <c r="E66" s="2431" t="str">
        <f>$E$3</f>
        <v>2022/12/03</v>
      </c>
      <c r="F66" s="2432"/>
      <c r="G66" s="754"/>
      <c r="H66" s="755"/>
      <c r="I66" s="708"/>
      <c r="J66" s="708"/>
      <c r="K66" s="708"/>
      <c r="L66" s="708"/>
      <c r="M66" s="708"/>
      <c r="N66" s="708"/>
      <c r="O66" s="708" t="s">
        <v>787</v>
      </c>
      <c r="P66" s="708"/>
      <c r="Q66" s="708"/>
      <c r="R66" s="708"/>
      <c r="S66" s="708"/>
      <c r="T66" s="708"/>
      <c r="U66" s="708"/>
      <c r="V66" s="708"/>
      <c r="W66" s="708"/>
      <c r="X66" s="708"/>
      <c r="Y66" s="709"/>
    </row>
    <row r="67" spans="1:25" ht="30.75" customHeight="1">
      <c r="A67" s="2433" t="s">
        <v>7</v>
      </c>
      <c r="B67" s="1984" t="s">
        <v>788</v>
      </c>
      <c r="C67" s="1985"/>
      <c r="D67" s="2436"/>
      <c r="E67" s="2441" t="s">
        <v>789</v>
      </c>
      <c r="F67" s="2444" t="s">
        <v>790</v>
      </c>
      <c r="G67" s="711"/>
      <c r="H67" s="712"/>
      <c r="I67" s="2447" t="s">
        <v>791</v>
      </c>
      <c r="J67" s="2448"/>
      <c r="K67" s="2448"/>
      <c r="L67" s="2448"/>
      <c r="M67" s="2448"/>
      <c r="N67" s="713"/>
      <c r="O67" s="2447" t="s">
        <v>1215</v>
      </c>
      <c r="P67" s="2448"/>
      <c r="Q67" s="2448"/>
      <c r="R67" s="2448"/>
      <c r="S67" s="2448"/>
      <c r="T67" s="713"/>
      <c r="U67" s="2447" t="s">
        <v>1216</v>
      </c>
      <c r="V67" s="2448"/>
      <c r="W67" s="2448"/>
      <c r="X67" s="2448"/>
      <c r="Y67" s="2448"/>
    </row>
    <row r="68" spans="1:25" ht="30.75" customHeight="1">
      <c r="A68" s="2434"/>
      <c r="B68" s="2437"/>
      <c r="C68" s="2438"/>
      <c r="D68" s="2439"/>
      <c r="E68" s="2442"/>
      <c r="F68" s="2445"/>
      <c r="G68" s="714" t="s">
        <v>466</v>
      </c>
      <c r="H68" s="715"/>
      <c r="I68" s="2422" t="s">
        <v>792</v>
      </c>
      <c r="J68" s="717" t="s">
        <v>793</v>
      </c>
      <c r="K68" s="2424" t="s">
        <v>1</v>
      </c>
      <c r="L68" s="2424"/>
      <c r="M68" s="2425"/>
      <c r="N68" s="716"/>
      <c r="O68" s="2422" t="s">
        <v>792</v>
      </c>
      <c r="P68" s="717" t="s">
        <v>793</v>
      </c>
      <c r="Q68" s="2424" t="s">
        <v>1</v>
      </c>
      <c r="R68" s="2424"/>
      <c r="S68" s="2425"/>
      <c r="T68" s="715"/>
      <c r="U68" s="2422" t="s">
        <v>792</v>
      </c>
      <c r="V68" s="717" t="s">
        <v>793</v>
      </c>
      <c r="W68" s="2424" t="s">
        <v>1</v>
      </c>
      <c r="X68" s="2424"/>
      <c r="Y68" s="2425"/>
    </row>
    <row r="69" spans="1:25" ht="30.75" customHeight="1">
      <c r="A69" s="2435"/>
      <c r="B69" s="1986"/>
      <c r="C69" s="1987"/>
      <c r="D69" s="2440"/>
      <c r="E69" s="2443"/>
      <c r="F69" s="2446"/>
      <c r="G69" s="714"/>
      <c r="H69" s="715"/>
      <c r="I69" s="2423"/>
      <c r="J69" s="718"/>
      <c r="K69" s="2426"/>
      <c r="L69" s="2426"/>
      <c r="M69" s="2427"/>
      <c r="N69" s="716"/>
      <c r="O69" s="2423"/>
      <c r="P69" s="718"/>
      <c r="Q69" s="2426"/>
      <c r="R69" s="2426"/>
      <c r="S69" s="2427"/>
      <c r="T69" s="715"/>
      <c r="U69" s="2423"/>
      <c r="V69" s="718"/>
      <c r="W69" s="2426"/>
      <c r="X69" s="2426"/>
      <c r="Y69" s="2427"/>
    </row>
    <row r="70" spans="1:25" ht="30.75" customHeight="1">
      <c r="A70" s="719">
        <v>1</v>
      </c>
      <c r="B70" s="2449" t="s">
        <v>794</v>
      </c>
      <c r="C70" s="2450"/>
      <c r="D70" s="2451"/>
      <c r="E70" s="720" t="s">
        <v>475</v>
      </c>
      <c r="F70" s="721" t="s">
        <v>780</v>
      </c>
      <c r="G70" s="722">
        <v>40</v>
      </c>
      <c r="H70" s="723">
        <f>R.HN!C73</f>
        <v>0</v>
      </c>
      <c r="I70" s="729"/>
      <c r="J70" s="738"/>
      <c r="K70" s="739"/>
      <c r="L70" s="1354"/>
      <c r="M70" s="740"/>
      <c r="N70" s="724">
        <f>R.HN!D73</f>
        <v>0</v>
      </c>
      <c r="O70" s="356">
        <f>'R.GUI MAIL'!Z25</f>
        <v>0</v>
      </c>
      <c r="P70" s="725"/>
      <c r="Q70" s="726" t="s">
        <v>8</v>
      </c>
      <c r="R70" s="1355">
        <f>'R.GUI MAIL'!AC25</f>
        <v>93.2</v>
      </c>
      <c r="S70" s="727" t="s">
        <v>9</v>
      </c>
      <c r="T70" s="724"/>
      <c r="U70" s="356">
        <f>'R.GUI MAIL'!Z41</f>
        <v>0</v>
      </c>
      <c r="V70" s="725"/>
      <c r="W70" s="726" t="s">
        <v>8</v>
      </c>
      <c r="X70" s="1356">
        <f>'R.GUI MAIL'!AC41</f>
        <v>93.2</v>
      </c>
      <c r="Y70" s="727" t="s">
        <v>9</v>
      </c>
    </row>
    <row r="71" spans="1:25" ht="30.75" customHeight="1">
      <c r="A71" s="719">
        <v>2</v>
      </c>
      <c r="B71" s="2449" t="s">
        <v>469</v>
      </c>
      <c r="C71" s="2450"/>
      <c r="D71" s="2451"/>
      <c r="E71" s="728" t="s">
        <v>3</v>
      </c>
      <c r="F71" s="721" t="s">
        <v>470</v>
      </c>
      <c r="G71" s="722">
        <v>22</v>
      </c>
      <c r="H71" s="723">
        <f>R.HN!C74</f>
        <v>0</v>
      </c>
      <c r="I71" s="356">
        <f>'R.GUI MAIL'!Z6</f>
        <v>0</v>
      </c>
      <c r="J71" s="725"/>
      <c r="K71" s="726" t="s">
        <v>8</v>
      </c>
      <c r="L71" s="1355">
        <f>'R.GUI MAIL'!AC6</f>
        <v>292.1875</v>
      </c>
      <c r="M71" s="1371" t="s">
        <v>10</v>
      </c>
      <c r="N71" s="724">
        <f>R.HN!D74</f>
        <v>0</v>
      </c>
      <c r="O71" s="356">
        <f>'R.GUI MAIL'!Z26</f>
        <v>0</v>
      </c>
      <c r="P71" s="725"/>
      <c r="Q71" s="726" t="s">
        <v>8</v>
      </c>
      <c r="R71" s="1355">
        <f>'R.GUI MAIL'!AC26</f>
        <v>1017.578125</v>
      </c>
      <c r="S71" s="727" t="s">
        <v>10</v>
      </c>
      <c r="T71" s="724"/>
      <c r="U71" s="356">
        <f>'R.GUI MAIL'!Z42</f>
        <v>0</v>
      </c>
      <c r="V71" s="725"/>
      <c r="W71" s="726" t="s">
        <v>8</v>
      </c>
      <c r="X71" s="1355">
        <f>'R.GUI MAIL'!AC42</f>
        <v>1017.578125</v>
      </c>
      <c r="Y71" s="727" t="s">
        <v>10</v>
      </c>
    </row>
    <row r="72" spans="1:25" ht="30.75" hidden="1" customHeight="1">
      <c r="A72" s="719">
        <v>3</v>
      </c>
      <c r="B72" s="2452" t="s">
        <v>433</v>
      </c>
      <c r="C72" s="2453"/>
      <c r="D72" s="2454"/>
      <c r="E72" s="728" t="s">
        <v>3</v>
      </c>
      <c r="F72" s="721" t="s">
        <v>470</v>
      </c>
      <c r="G72" s="722"/>
      <c r="H72" s="723"/>
      <c r="I72" s="1304">
        <f>'R.GUI MAIL'!Z7</f>
        <v>0</v>
      </c>
      <c r="J72" s="725"/>
      <c r="K72" s="726" t="s">
        <v>8</v>
      </c>
      <c r="L72" s="1355">
        <f>'R.GUI MAIL'!AC7</f>
        <v>292.1875</v>
      </c>
      <c r="M72" s="1371" t="s">
        <v>10</v>
      </c>
      <c r="N72" s="724"/>
      <c r="O72" s="729"/>
      <c r="P72" s="729"/>
      <c r="Q72" s="730"/>
      <c r="R72" s="1354"/>
      <c r="S72" s="731"/>
      <c r="T72" s="732"/>
      <c r="U72" s="1304">
        <f>'R.GUI MAIL'!Z42</f>
        <v>0</v>
      </c>
      <c r="V72" s="725"/>
      <c r="W72" s="726" t="s">
        <v>8</v>
      </c>
      <c r="X72" s="1355">
        <f>'R.GUI MAIL'!AC42</f>
        <v>1017.578125</v>
      </c>
      <c r="Y72" s="727" t="s">
        <v>10</v>
      </c>
    </row>
    <row r="73" spans="1:25" ht="30.75" customHeight="1">
      <c r="A73" s="719">
        <v>4</v>
      </c>
      <c r="B73" s="2455" t="s">
        <v>795</v>
      </c>
      <c r="C73" s="1357" t="s">
        <v>796</v>
      </c>
      <c r="D73" s="1358">
        <f>R.HN!F12</f>
        <v>3</v>
      </c>
      <c r="E73" s="2458" t="s">
        <v>475</v>
      </c>
      <c r="F73" s="721" t="s">
        <v>782</v>
      </c>
      <c r="G73" s="722">
        <v>50</v>
      </c>
      <c r="H73" s="723">
        <f>R.HN!C75</f>
        <v>0</v>
      </c>
      <c r="I73" s="356">
        <f>'R.GUI MAIL'!Z8</f>
        <v>0</v>
      </c>
      <c r="J73" s="725"/>
      <c r="K73" s="726" t="s">
        <v>8</v>
      </c>
      <c r="L73" s="1355">
        <f>'R.GUI MAIL'!AC8</f>
        <v>69.400000000000006</v>
      </c>
      <c r="M73" s="1371" t="s">
        <v>9</v>
      </c>
      <c r="N73" s="724">
        <f>R.HN!D75</f>
        <v>0</v>
      </c>
      <c r="O73" s="356">
        <f>'R.GUI MAIL'!Z27</f>
        <v>0</v>
      </c>
      <c r="P73" s="725"/>
      <c r="Q73" s="726" t="s">
        <v>8</v>
      </c>
      <c r="R73" s="1355">
        <f>'R.GUI MAIL'!AC27</f>
        <v>246.75</v>
      </c>
      <c r="S73" s="727" t="s">
        <v>9</v>
      </c>
      <c r="T73" s="724"/>
      <c r="U73" s="356">
        <f>'R.GUI MAIL'!Z43</f>
        <v>0</v>
      </c>
      <c r="V73" s="725"/>
      <c r="W73" s="726" t="s">
        <v>8</v>
      </c>
      <c r="X73" s="1355">
        <f>'R.GUI MAIL'!AC43</f>
        <v>246.75</v>
      </c>
      <c r="Y73" s="727" t="s">
        <v>9</v>
      </c>
    </row>
    <row r="74" spans="1:25" ht="30.75" customHeight="1">
      <c r="A74" s="719">
        <v>5</v>
      </c>
      <c r="B74" s="2456"/>
      <c r="C74" s="1359"/>
      <c r="D74" s="1360"/>
      <c r="E74" s="2458"/>
      <c r="F74" s="721" t="s">
        <v>778</v>
      </c>
      <c r="G74" s="733">
        <v>6</v>
      </c>
      <c r="H74" s="723">
        <f>R.HN!C76</f>
        <v>0</v>
      </c>
      <c r="I74" s="356">
        <f>'R.GUI MAIL'!Z9</f>
        <v>0</v>
      </c>
      <c r="J74" s="725"/>
      <c r="K74" s="726" t="s">
        <v>8</v>
      </c>
      <c r="L74" s="1355">
        <f>'R.GUI MAIL'!AC9</f>
        <v>4.5110000000000001</v>
      </c>
      <c r="M74" s="1371" t="s">
        <v>9</v>
      </c>
      <c r="N74" s="724">
        <f>R.HN!D76</f>
        <v>0</v>
      </c>
      <c r="O74" s="356">
        <f>'R.GUI MAIL'!Z28</f>
        <v>0</v>
      </c>
      <c r="P74" s="725"/>
      <c r="Q74" s="726"/>
      <c r="R74" s="1355">
        <f>'R.GUI MAIL'!AC28</f>
        <v>32.077500000000001</v>
      </c>
      <c r="S74" s="727" t="s">
        <v>9</v>
      </c>
      <c r="T74" s="724"/>
      <c r="U74" s="356">
        <f>'R.GUI MAIL'!Z44</f>
        <v>0</v>
      </c>
      <c r="V74" s="725"/>
      <c r="W74" s="726"/>
      <c r="X74" s="1355">
        <f>'R.GUI MAIL'!AC44</f>
        <v>32.077500000000001</v>
      </c>
      <c r="Y74" s="727" t="s">
        <v>9</v>
      </c>
    </row>
    <row r="75" spans="1:25" ht="30.75" customHeight="1">
      <c r="A75" s="719">
        <v>6</v>
      </c>
      <c r="B75" s="2456"/>
      <c r="C75" s="1359"/>
      <c r="D75" s="1360"/>
      <c r="E75" s="2458"/>
      <c r="F75" s="721" t="s">
        <v>660</v>
      </c>
      <c r="G75" s="733">
        <v>0.4</v>
      </c>
      <c r="H75" s="723">
        <f>R.HN!C77</f>
        <v>0</v>
      </c>
      <c r="I75" s="481">
        <f>'R.GUI MAIL'!Z10</f>
        <v>0</v>
      </c>
      <c r="J75" s="725"/>
      <c r="K75" s="726" t="s">
        <v>8</v>
      </c>
      <c r="L75" s="1355">
        <f>'R.GUI MAIL'!AC10</f>
        <v>0</v>
      </c>
      <c r="M75" s="1371" t="s">
        <v>9</v>
      </c>
      <c r="N75" s="724">
        <f>R.HN!D77</f>
        <v>0</v>
      </c>
      <c r="O75" s="481">
        <f>'R.GUI MAIL'!Z29</f>
        <v>0</v>
      </c>
      <c r="P75" s="725"/>
      <c r="Q75" s="726"/>
      <c r="R75" s="1355">
        <f>'R.GUI MAIL'!AC29</f>
        <v>0</v>
      </c>
      <c r="S75" s="727" t="s">
        <v>9</v>
      </c>
      <c r="T75" s="724"/>
      <c r="U75" s="481">
        <f>'R.GUI MAIL'!Z45</f>
        <v>0</v>
      </c>
      <c r="V75" s="725"/>
      <c r="W75" s="726"/>
      <c r="X75" s="1355">
        <f>'R.GUI MAIL'!AC45</f>
        <v>0</v>
      </c>
      <c r="Y75" s="727" t="s">
        <v>9</v>
      </c>
    </row>
    <row r="76" spans="1:25" ht="30.75" customHeight="1">
      <c r="A76" s="719">
        <v>7</v>
      </c>
      <c r="B76" s="2455" t="s">
        <v>795</v>
      </c>
      <c r="C76" s="1357" t="s">
        <v>796</v>
      </c>
      <c r="D76" s="1358">
        <f>R.HN!F13</f>
        <v>4</v>
      </c>
      <c r="E76" s="2458" t="s">
        <v>475</v>
      </c>
      <c r="F76" s="721" t="s">
        <v>782</v>
      </c>
      <c r="G76" s="722">
        <v>50</v>
      </c>
      <c r="H76" s="723">
        <f>R.HN!C78</f>
        <v>0</v>
      </c>
      <c r="I76" s="356">
        <f>'R.GUI MAIL'!Z11</f>
        <v>0</v>
      </c>
      <c r="J76" s="750"/>
      <c r="K76" s="726" t="s">
        <v>8</v>
      </c>
      <c r="L76" s="1355">
        <f>'R.GUI MAIL'!AC11</f>
        <v>69.400000000000006</v>
      </c>
      <c r="M76" s="1371" t="s">
        <v>9</v>
      </c>
      <c r="N76" s="724">
        <f>R.HN!D78</f>
        <v>0</v>
      </c>
      <c r="O76" s="729"/>
      <c r="P76" s="738"/>
      <c r="Q76" s="739"/>
      <c r="R76" s="1354"/>
      <c r="S76" s="740"/>
      <c r="T76" s="737"/>
      <c r="U76" s="729"/>
      <c r="V76" s="729"/>
      <c r="W76" s="730"/>
      <c r="X76" s="1354"/>
      <c r="Y76" s="731"/>
    </row>
    <row r="77" spans="1:25" ht="30.75" customHeight="1">
      <c r="A77" s="719">
        <v>8</v>
      </c>
      <c r="B77" s="2456"/>
      <c r="C77" s="1359"/>
      <c r="D77" s="1360"/>
      <c r="E77" s="2458"/>
      <c r="F77" s="721" t="s">
        <v>778</v>
      </c>
      <c r="G77" s="733">
        <v>6</v>
      </c>
      <c r="H77" s="723">
        <f>R.HN!C79</f>
        <v>0</v>
      </c>
      <c r="I77" s="356">
        <f>'R.GUI MAIL'!Z12</f>
        <v>0</v>
      </c>
      <c r="J77" s="725"/>
      <c r="K77" s="726" t="s">
        <v>8</v>
      </c>
      <c r="L77" s="1355">
        <f>'R.GUI MAIL'!AC12</f>
        <v>4.5110000000000001</v>
      </c>
      <c r="M77" s="1371" t="s">
        <v>9</v>
      </c>
      <c r="N77" s="724">
        <f>R.HN!D79</f>
        <v>0</v>
      </c>
      <c r="O77" s="729"/>
      <c r="P77" s="738"/>
      <c r="Q77" s="739"/>
      <c r="R77" s="1354"/>
      <c r="S77" s="740"/>
      <c r="T77" s="724"/>
      <c r="U77" s="729"/>
      <c r="V77" s="729"/>
      <c r="W77" s="730"/>
      <c r="X77" s="1354"/>
      <c r="Y77" s="731"/>
    </row>
    <row r="78" spans="1:25" ht="30.75" customHeight="1">
      <c r="A78" s="719">
        <v>9</v>
      </c>
      <c r="B78" s="2456"/>
      <c r="C78" s="1359"/>
      <c r="D78" s="1360"/>
      <c r="E78" s="2458"/>
      <c r="F78" s="721" t="s">
        <v>660</v>
      </c>
      <c r="G78" s="733">
        <v>0.4</v>
      </c>
      <c r="H78" s="723">
        <f>R.HN!C80</f>
        <v>0</v>
      </c>
      <c r="I78" s="481">
        <f>'R.GUI MAIL'!Z13</f>
        <v>0</v>
      </c>
      <c r="J78" s="750"/>
      <c r="K78" s="726" t="s">
        <v>8</v>
      </c>
      <c r="L78" s="1355">
        <f>'R.GUI MAIL'!AC13</f>
        <v>0</v>
      </c>
      <c r="M78" s="1371" t="s">
        <v>9</v>
      </c>
      <c r="N78" s="724">
        <f>R.HN!D80</f>
        <v>0</v>
      </c>
      <c r="O78" s="738"/>
      <c r="P78" s="738"/>
      <c r="Q78" s="739"/>
      <c r="R78" s="1354"/>
      <c r="S78" s="740"/>
      <c r="T78" s="737"/>
      <c r="U78" s="738"/>
      <c r="V78" s="738"/>
      <c r="W78" s="739"/>
      <c r="X78" s="1354"/>
      <c r="Y78" s="740"/>
    </row>
    <row r="79" spans="1:25" ht="30.75" customHeight="1">
      <c r="A79" s="719">
        <v>10</v>
      </c>
      <c r="B79" s="2452" t="s">
        <v>797</v>
      </c>
      <c r="C79" s="2453"/>
      <c r="D79" s="2454"/>
      <c r="E79" s="719" t="s">
        <v>475</v>
      </c>
      <c r="F79" s="741" t="s">
        <v>485</v>
      </c>
      <c r="G79" s="733">
        <v>2</v>
      </c>
      <c r="H79" s="723">
        <f>R.HN!C87</f>
        <v>0</v>
      </c>
      <c r="I79" s="356">
        <f>'R.GUI MAIL'!Z14</f>
        <v>0</v>
      </c>
      <c r="J79" s="725"/>
      <c r="K79" s="726" t="s">
        <v>8</v>
      </c>
      <c r="L79" s="1363">
        <f>'R.GUI MAIL'!AC14</f>
        <v>4.3680000000000003</v>
      </c>
      <c r="M79" s="1371" t="s">
        <v>9</v>
      </c>
      <c r="N79" s="724">
        <f>R.HN!D87</f>
        <v>0</v>
      </c>
      <c r="O79" s="356">
        <f>'R.GUI MAIL'!Z30</f>
        <v>0</v>
      </c>
      <c r="P79" s="725"/>
      <c r="Q79" s="726" t="s">
        <v>8</v>
      </c>
      <c r="R79" s="1355">
        <f>'R.GUI MAIL'!AC30</f>
        <v>1.234</v>
      </c>
      <c r="S79" s="727" t="s">
        <v>9</v>
      </c>
      <c r="T79" s="724"/>
      <c r="U79" s="356">
        <f>'R.GUI MAIL'!Z46</f>
        <v>0</v>
      </c>
      <c r="V79" s="725"/>
      <c r="W79" s="726" t="s">
        <v>8</v>
      </c>
      <c r="X79" s="1355">
        <f>'R.GUI MAIL'!AC46</f>
        <v>1.234</v>
      </c>
      <c r="Y79" s="727" t="s">
        <v>9</v>
      </c>
    </row>
    <row r="80" spans="1:25" ht="30.75" customHeight="1">
      <c r="A80" s="719">
        <v>11</v>
      </c>
      <c r="B80" s="2468"/>
      <c r="C80" s="2469"/>
      <c r="D80" s="2470"/>
      <c r="E80" s="719" t="s">
        <v>5</v>
      </c>
      <c r="F80" s="1361" t="s">
        <v>1222</v>
      </c>
      <c r="G80" s="742">
        <v>9</v>
      </c>
      <c r="H80" s="723">
        <f>R.HN!C88</f>
        <v>0</v>
      </c>
      <c r="I80" s="356">
        <f>'R.GUI MAIL'!Z15</f>
        <v>0</v>
      </c>
      <c r="J80" s="725"/>
      <c r="K80" s="726"/>
      <c r="L80" s="1355"/>
      <c r="M80" s="727"/>
      <c r="N80" s="724">
        <f>R.HN!D88</f>
        <v>0</v>
      </c>
      <c r="O80" s="356">
        <f>'R.GUI MAIL'!Z31</f>
        <v>0</v>
      </c>
      <c r="P80" s="725"/>
      <c r="Q80" s="726"/>
      <c r="R80" s="1355"/>
      <c r="S80" s="727"/>
      <c r="T80" s="724"/>
      <c r="U80" s="356">
        <f>'R.GUI MAIL'!Z47</f>
        <v>0</v>
      </c>
      <c r="V80" s="725"/>
      <c r="W80" s="726"/>
      <c r="X80" s="1355"/>
      <c r="Y80" s="727"/>
    </row>
    <row r="81" spans="1:25" ht="30.75" customHeight="1">
      <c r="A81" s="743"/>
      <c r="B81" s="744"/>
      <c r="C81" s="744"/>
      <c r="D81" s="744"/>
      <c r="E81" s="744" t="s">
        <v>2</v>
      </c>
      <c r="F81" s="744"/>
      <c r="G81" s="744"/>
      <c r="H81" s="744"/>
      <c r="I81" s="744"/>
      <c r="J81" s="744"/>
      <c r="K81" s="744"/>
      <c r="L81" s="744"/>
      <c r="M81" s="744"/>
      <c r="N81" s="744"/>
      <c r="O81" s="744"/>
      <c r="P81" s="744"/>
      <c r="Q81" s="744"/>
      <c r="R81" s="744"/>
      <c r="S81" s="744"/>
      <c r="T81" s="744"/>
      <c r="U81" s="744"/>
      <c r="V81" s="744"/>
      <c r="W81" s="744"/>
      <c r="X81" s="744"/>
      <c r="Y81" s="1362"/>
    </row>
    <row r="82" spans="1:25" ht="30.75" customHeight="1">
      <c r="A82" s="745" t="s">
        <v>57</v>
      </c>
      <c r="B82" s="2449" t="s">
        <v>798</v>
      </c>
      <c r="C82" s="2450"/>
      <c r="D82" s="2451"/>
      <c r="E82" s="746" t="s">
        <v>799</v>
      </c>
      <c r="F82" s="746" t="s">
        <v>800</v>
      </c>
      <c r="G82" s="747" t="s">
        <v>791</v>
      </c>
      <c r="H82" s="748"/>
      <c r="I82" s="2459" t="s">
        <v>48</v>
      </c>
      <c r="J82" s="2460"/>
      <c r="K82" s="2460"/>
      <c r="L82" s="2461" t="s">
        <v>65</v>
      </c>
      <c r="M82" s="2462"/>
      <c r="N82" s="713"/>
      <c r="O82" s="2459" t="s">
        <v>48</v>
      </c>
      <c r="P82" s="2460"/>
      <c r="Q82" s="2460"/>
      <c r="R82" s="2461" t="s">
        <v>65</v>
      </c>
      <c r="S82" s="2462"/>
      <c r="T82" s="713"/>
      <c r="U82" s="2459" t="s">
        <v>48</v>
      </c>
      <c r="V82" s="2460"/>
      <c r="W82" s="2460"/>
      <c r="X82" s="2461" t="s">
        <v>65</v>
      </c>
      <c r="Y82" s="2462"/>
    </row>
    <row r="83" spans="1:25" ht="30.75" customHeight="1">
      <c r="A83" s="745">
        <v>1</v>
      </c>
      <c r="B83" s="2449" t="s">
        <v>801</v>
      </c>
      <c r="C83" s="2450"/>
      <c r="D83" s="2451"/>
      <c r="E83" s="749" t="s">
        <v>802</v>
      </c>
      <c r="F83" s="741" t="s">
        <v>1219</v>
      </c>
      <c r="G83" s="747"/>
      <c r="H83" s="748"/>
      <c r="I83" s="1365"/>
      <c r="J83" s="1366"/>
      <c r="K83" s="1366"/>
      <c r="L83" s="1367"/>
      <c r="M83" s="1368"/>
      <c r="N83" s="725"/>
      <c r="O83" s="2466">
        <f>'R.GUI MAIL'!Z34</f>
        <v>0</v>
      </c>
      <c r="P83" s="2467"/>
      <c r="Q83" s="2467"/>
      <c r="R83" s="1891">
        <f>'R.GUI MAIL'!AC34</f>
        <v>0</v>
      </c>
      <c r="S83" s="1892"/>
      <c r="T83" s="725"/>
      <c r="U83" s="2466">
        <f>'R.GUI MAIL'!Z50</f>
        <v>0</v>
      </c>
      <c r="V83" s="2467"/>
      <c r="W83" s="2467"/>
      <c r="X83" s="1891">
        <f>'R.GUI MAIL'!AC50</f>
        <v>0</v>
      </c>
      <c r="Y83" s="1892"/>
    </row>
    <row r="84" spans="1:25" ht="30.75" customHeight="1">
      <c r="A84" s="745">
        <v>2</v>
      </c>
      <c r="B84" s="2449" t="s">
        <v>803</v>
      </c>
      <c r="C84" s="2450"/>
      <c r="D84" s="2451"/>
      <c r="E84" s="749" t="s">
        <v>802</v>
      </c>
      <c r="F84" s="741" t="s">
        <v>804</v>
      </c>
      <c r="G84" s="750" t="e">
        <f>'[5]file goc'!G158</f>
        <v>#REF!</v>
      </c>
      <c r="H84" s="750"/>
      <c r="I84" s="1891">
        <f>'R.GUI MAIL'!Z18</f>
        <v>0</v>
      </c>
      <c r="J84" s="1892"/>
      <c r="K84" s="1892"/>
      <c r="L84" s="1891">
        <f>'R.GUI MAIL'!AC18</f>
        <v>0</v>
      </c>
      <c r="M84" s="1892"/>
      <c r="N84" s="1251"/>
      <c r="O84" s="2466">
        <f>'R.GUI MAIL'!Z35</f>
        <v>0</v>
      </c>
      <c r="P84" s="2467"/>
      <c r="Q84" s="2467"/>
      <c r="R84" s="1891">
        <f>'R.GUI MAIL'!AC35</f>
        <v>0</v>
      </c>
      <c r="S84" s="1940"/>
      <c r="T84" s="725"/>
      <c r="U84" s="2466">
        <f>'R.GUI MAIL'!Z51</f>
        <v>0</v>
      </c>
      <c r="V84" s="2467"/>
      <c r="W84" s="2471"/>
      <c r="X84" s="1891">
        <f>'R.GUI MAIL'!AC51</f>
        <v>0</v>
      </c>
      <c r="Y84" s="1940"/>
    </row>
    <row r="85" spans="1:25" ht="30.75" customHeight="1">
      <c r="A85" s="745">
        <v>3</v>
      </c>
      <c r="B85" s="2449" t="s">
        <v>805</v>
      </c>
      <c r="C85" s="2450"/>
      <c r="D85" s="2451"/>
      <c r="E85" s="749" t="s">
        <v>802</v>
      </c>
      <c r="F85" s="741" t="s">
        <v>804</v>
      </c>
      <c r="G85" s="751" t="e">
        <f>'[5]file goc'!G159</f>
        <v>#REF!</v>
      </c>
      <c r="H85" s="750"/>
      <c r="I85" s="1891">
        <f>'R.GUI MAIL'!Z19</f>
        <v>0</v>
      </c>
      <c r="J85" s="1892"/>
      <c r="K85" s="1892"/>
      <c r="L85" s="1891">
        <f>'R.GUI MAIL'!AC19</f>
        <v>0</v>
      </c>
      <c r="M85" s="1940"/>
      <c r="N85" s="725"/>
      <c r="O85" s="1375"/>
      <c r="P85" s="1376"/>
      <c r="Q85" s="1376"/>
      <c r="R85" s="752"/>
      <c r="S85" s="753"/>
      <c r="T85" s="725"/>
      <c r="U85" s="1377"/>
      <c r="V85" s="1377"/>
      <c r="W85" s="1377"/>
      <c r="X85" s="961"/>
      <c r="Y85" s="961"/>
    </row>
    <row r="86" spans="1:25" ht="30.75" customHeight="1">
      <c r="A86" s="745">
        <v>6</v>
      </c>
      <c r="B86" s="2449" t="s">
        <v>806</v>
      </c>
      <c r="C86" s="2450"/>
      <c r="D86" s="2451"/>
      <c r="E86" s="749" t="s">
        <v>802</v>
      </c>
      <c r="F86" s="741" t="s">
        <v>807</v>
      </c>
      <c r="G86" s="751" t="e">
        <f>'[5]file goc'!G162</f>
        <v>#REF!</v>
      </c>
      <c r="H86" s="750"/>
      <c r="I86" s="1891">
        <f>'R.GUI MAIL'!Z20</f>
        <v>0</v>
      </c>
      <c r="J86" s="1892"/>
      <c r="K86" s="1892"/>
      <c r="L86" s="1891">
        <f>'R.GUI MAIL'!AC20</f>
        <v>0</v>
      </c>
      <c r="M86" s="1940"/>
      <c r="N86" s="725"/>
      <c r="O86" s="2466">
        <f>'R.GUI MAIL'!Z36</f>
        <v>0</v>
      </c>
      <c r="P86" s="2467"/>
      <c r="Q86" s="2467"/>
      <c r="R86" s="1891">
        <f>'R.GUI MAIL'!AC36</f>
        <v>0</v>
      </c>
      <c r="S86" s="1940"/>
      <c r="T86" s="725"/>
      <c r="U86" s="2466">
        <f>'R.GUI MAIL'!Z52</f>
        <v>0</v>
      </c>
      <c r="V86" s="2467"/>
      <c r="W86" s="2471"/>
      <c r="X86" s="1891">
        <f>'R.GUI MAIL'!AC52</f>
        <v>0</v>
      </c>
      <c r="Y86" s="1940"/>
    </row>
    <row r="87" spans="1:25" ht="33" customHeight="1">
      <c r="A87" s="2472" t="s">
        <v>431</v>
      </c>
      <c r="B87" s="2473"/>
      <c r="C87" s="1256"/>
      <c r="D87" s="1256"/>
      <c r="E87" s="2431" t="str">
        <f>$E$3</f>
        <v>2022/12/03</v>
      </c>
      <c r="F87" s="2432"/>
      <c r="G87" s="754"/>
      <c r="H87" s="755"/>
      <c r="I87" s="708"/>
      <c r="J87" s="708"/>
      <c r="K87" s="708"/>
      <c r="L87" s="708"/>
      <c r="M87" s="708"/>
      <c r="N87" s="708"/>
      <c r="O87" s="708" t="s">
        <v>787</v>
      </c>
      <c r="P87" s="708"/>
      <c r="Q87" s="708"/>
      <c r="R87" s="708"/>
      <c r="S87" s="708"/>
      <c r="T87" s="708"/>
      <c r="U87" s="708"/>
      <c r="V87" s="708"/>
      <c r="W87" s="708"/>
      <c r="X87" s="708"/>
      <c r="Y87" s="709"/>
    </row>
    <row r="88" spans="1:25" ht="27" customHeight="1">
      <c r="A88" s="2433" t="s">
        <v>7</v>
      </c>
      <c r="B88" s="1984" t="s">
        <v>788</v>
      </c>
      <c r="C88" s="1985"/>
      <c r="D88" s="2436"/>
      <c r="E88" s="2441" t="s">
        <v>789</v>
      </c>
      <c r="F88" s="2444" t="s">
        <v>790</v>
      </c>
      <c r="G88" s="711"/>
      <c r="H88" s="712"/>
      <c r="I88" s="2447" t="s">
        <v>791</v>
      </c>
      <c r="J88" s="2448"/>
      <c r="K88" s="2448"/>
      <c r="L88" s="2448"/>
      <c r="M88" s="2448"/>
      <c r="N88" s="713"/>
      <c r="O88" s="2447" t="s">
        <v>1215</v>
      </c>
      <c r="P88" s="2448"/>
      <c r="Q88" s="2448"/>
      <c r="R88" s="2448"/>
      <c r="S88" s="2448"/>
      <c r="T88" s="713"/>
      <c r="U88" s="2447" t="s">
        <v>1216</v>
      </c>
      <c r="V88" s="2448"/>
      <c r="W88" s="2448"/>
      <c r="X88" s="2448"/>
      <c r="Y88" s="2448"/>
    </row>
    <row r="89" spans="1:25" ht="17.25">
      <c r="A89" s="2434"/>
      <c r="B89" s="2437"/>
      <c r="C89" s="2438"/>
      <c r="D89" s="2439"/>
      <c r="E89" s="2442"/>
      <c r="F89" s="2445"/>
      <c r="G89" s="714" t="s">
        <v>466</v>
      </c>
      <c r="H89" s="715"/>
      <c r="I89" s="2422" t="s">
        <v>792</v>
      </c>
      <c r="J89" s="717" t="s">
        <v>793</v>
      </c>
      <c r="K89" s="2424" t="s">
        <v>1</v>
      </c>
      <c r="L89" s="2424"/>
      <c r="M89" s="2425"/>
      <c r="N89" s="716"/>
      <c r="O89" s="2422" t="s">
        <v>1223</v>
      </c>
      <c r="P89" s="717" t="s">
        <v>793</v>
      </c>
      <c r="Q89" s="2424" t="s">
        <v>1</v>
      </c>
      <c r="R89" s="2424"/>
      <c r="S89" s="2425"/>
      <c r="T89" s="715"/>
      <c r="U89" s="2422" t="s">
        <v>792</v>
      </c>
      <c r="V89" s="717" t="s">
        <v>793</v>
      </c>
      <c r="W89" s="2424" t="s">
        <v>1</v>
      </c>
      <c r="X89" s="2424"/>
      <c r="Y89" s="2425"/>
    </row>
    <row r="90" spans="1:25" ht="17.25">
      <c r="A90" s="2435"/>
      <c r="B90" s="1986"/>
      <c r="C90" s="1987"/>
      <c r="D90" s="2440"/>
      <c r="E90" s="2443"/>
      <c r="F90" s="2446"/>
      <c r="G90" s="714"/>
      <c r="H90" s="715"/>
      <c r="I90" s="2423"/>
      <c r="J90" s="718"/>
      <c r="K90" s="2426"/>
      <c r="L90" s="2426"/>
      <c r="M90" s="2427"/>
      <c r="N90" s="716"/>
      <c r="O90" s="2423"/>
      <c r="P90" s="718"/>
      <c r="Q90" s="2426"/>
      <c r="R90" s="2426"/>
      <c r="S90" s="2427"/>
      <c r="T90" s="715"/>
      <c r="U90" s="2423"/>
      <c r="V90" s="718"/>
      <c r="W90" s="2426"/>
      <c r="X90" s="2426"/>
      <c r="Y90" s="2427"/>
    </row>
    <row r="91" spans="1:25" ht="33.75" customHeight="1">
      <c r="A91" s="719">
        <v>1</v>
      </c>
      <c r="B91" s="2449" t="s">
        <v>794</v>
      </c>
      <c r="C91" s="2450"/>
      <c r="D91" s="2451"/>
      <c r="E91" s="720" t="s">
        <v>475</v>
      </c>
      <c r="F91" s="721" t="s">
        <v>780</v>
      </c>
      <c r="G91" s="722">
        <v>40</v>
      </c>
      <c r="H91" s="723">
        <f>R.HN!C95</f>
        <v>0</v>
      </c>
      <c r="I91" s="729"/>
      <c r="J91" s="738"/>
      <c r="K91" s="739"/>
      <c r="L91" s="1354"/>
      <c r="M91" s="740"/>
      <c r="N91" s="724">
        <f>R.HN!D95</f>
        <v>0</v>
      </c>
      <c r="O91" s="356">
        <f>'R.GUI MAIL'!AF25</f>
        <v>0</v>
      </c>
      <c r="P91" s="725"/>
      <c r="Q91" s="726" t="s">
        <v>8</v>
      </c>
      <c r="R91" s="1355">
        <f>'R.GUI MAIL'!AI25</f>
        <v>93.2</v>
      </c>
      <c r="S91" s="727" t="s">
        <v>9</v>
      </c>
      <c r="T91" s="724"/>
      <c r="U91" s="356">
        <f>'R.GUI MAIL'!AF41</f>
        <v>0</v>
      </c>
      <c r="V91" s="725"/>
      <c r="W91" s="726" t="s">
        <v>8</v>
      </c>
      <c r="X91" s="1356">
        <f>'R.GUI MAIL'!AI41</f>
        <v>93.2</v>
      </c>
      <c r="Y91" s="727" t="s">
        <v>9</v>
      </c>
    </row>
    <row r="92" spans="1:25" ht="33.75" customHeight="1">
      <c r="A92" s="719">
        <v>2</v>
      </c>
      <c r="B92" s="2449" t="s">
        <v>469</v>
      </c>
      <c r="C92" s="2450"/>
      <c r="D92" s="2451"/>
      <c r="E92" s="728" t="s">
        <v>3</v>
      </c>
      <c r="F92" s="721" t="s">
        <v>470</v>
      </c>
      <c r="G92" s="722">
        <v>22</v>
      </c>
      <c r="H92" s="723">
        <f>R.HN!C96</f>
        <v>0</v>
      </c>
      <c r="I92" s="356">
        <f>'R.GUI MAIL'!AF6</f>
        <v>0</v>
      </c>
      <c r="J92" s="725"/>
      <c r="K92" s="726" t="s">
        <v>8</v>
      </c>
      <c r="L92" s="1355">
        <f>'R.GUI MAIL'!AI6</f>
        <v>292.1875</v>
      </c>
      <c r="M92" s="1371" t="s">
        <v>10</v>
      </c>
      <c r="N92" s="724">
        <f>R.HN!D96</f>
        <v>0</v>
      </c>
      <c r="O92" s="356">
        <f>'R.GUI MAIL'!AF26</f>
        <v>0</v>
      </c>
      <c r="P92" s="725"/>
      <c r="Q92" s="726" t="s">
        <v>8</v>
      </c>
      <c r="R92" s="1355">
        <f>'R.GUI MAIL'!AI26</f>
        <v>1017.578125</v>
      </c>
      <c r="S92" s="727" t="s">
        <v>10</v>
      </c>
      <c r="T92" s="724"/>
      <c r="U92" s="356">
        <f>'R.GUI MAIL'!AF42</f>
        <v>0</v>
      </c>
      <c r="V92" s="356"/>
      <c r="W92" s="1372" t="s">
        <v>8</v>
      </c>
      <c r="X92" s="1355">
        <f>'R.GUI MAIL'!AI42</f>
        <v>1017.578125</v>
      </c>
      <c r="Y92" s="1371" t="s">
        <v>10</v>
      </c>
    </row>
    <row r="93" spans="1:25" ht="33.75" hidden="1" customHeight="1">
      <c r="A93" s="719">
        <v>3</v>
      </c>
      <c r="B93" s="2452" t="s">
        <v>433</v>
      </c>
      <c r="C93" s="2453"/>
      <c r="D93" s="2454"/>
      <c r="E93" s="728" t="s">
        <v>3</v>
      </c>
      <c r="F93" s="721" t="s">
        <v>470</v>
      </c>
      <c r="G93" s="722"/>
      <c r="H93" s="723"/>
      <c r="I93" s="1304">
        <f>'R.GUI MAIL'!AF7</f>
        <v>0</v>
      </c>
      <c r="J93" s="725"/>
      <c r="K93" s="726" t="s">
        <v>8</v>
      </c>
      <c r="L93" s="1355">
        <f>'R.GUI MAIL'!AI7</f>
        <v>292.1875</v>
      </c>
      <c r="M93" s="1371" t="s">
        <v>10</v>
      </c>
      <c r="N93" s="724"/>
      <c r="O93" s="729"/>
      <c r="P93" s="729"/>
      <c r="Q93" s="730"/>
      <c r="R93" s="1354"/>
      <c r="S93" s="731"/>
      <c r="T93" s="732"/>
      <c r="U93" s="1304">
        <f>'R.GUI MAIL'!AF42</f>
        <v>0</v>
      </c>
      <c r="V93" s="356"/>
      <c r="W93" s="1372" t="s">
        <v>8</v>
      </c>
      <c r="X93" s="1355">
        <f>'R.GUI MAIL'!AI42</f>
        <v>1017.578125</v>
      </c>
      <c r="Y93" s="1371" t="s">
        <v>10</v>
      </c>
    </row>
    <row r="94" spans="1:25" ht="33.75" customHeight="1">
      <c r="A94" s="719">
        <v>4</v>
      </c>
      <c r="B94" s="2455" t="s">
        <v>795</v>
      </c>
      <c r="C94" s="1357" t="s">
        <v>796</v>
      </c>
      <c r="D94" s="1358">
        <f>R.HN!$C$12</f>
        <v>3</v>
      </c>
      <c r="E94" s="2458" t="s">
        <v>475</v>
      </c>
      <c r="F94" s="721" t="s">
        <v>782</v>
      </c>
      <c r="G94" s="722">
        <v>50</v>
      </c>
      <c r="H94" s="723">
        <f>R.HN!C97</f>
        <v>0</v>
      </c>
      <c r="I94" s="356">
        <f>'R.GUI MAIL'!AF8</f>
        <v>0</v>
      </c>
      <c r="J94" s="725"/>
      <c r="K94" s="726" t="s">
        <v>8</v>
      </c>
      <c r="L94" s="1355">
        <f>'R.GUI MAIL'!AI8</f>
        <v>69.400000000000006</v>
      </c>
      <c r="M94" s="1371" t="s">
        <v>9</v>
      </c>
      <c r="N94" s="724">
        <f>R.HN!D97</f>
        <v>0</v>
      </c>
      <c r="O94" s="356">
        <f>'R.GUI MAIL'!AF27</f>
        <v>0</v>
      </c>
      <c r="P94" s="725"/>
      <c r="Q94" s="726" t="s">
        <v>8</v>
      </c>
      <c r="R94" s="1355">
        <f>'R.GUI MAIL'!AI27</f>
        <v>246.75</v>
      </c>
      <c r="S94" s="727" t="s">
        <v>9</v>
      </c>
      <c r="T94" s="724"/>
      <c r="U94" s="356">
        <f>'R.GUI MAIL'!AF43</f>
        <v>0</v>
      </c>
      <c r="V94" s="356"/>
      <c r="W94" s="1372" t="s">
        <v>8</v>
      </c>
      <c r="X94" s="1355">
        <f>'R.GUI MAIL'!AI43</f>
        <v>246.75</v>
      </c>
      <c r="Y94" s="1371" t="s">
        <v>9</v>
      </c>
    </row>
    <row r="95" spans="1:25" ht="33.75" customHeight="1">
      <c r="A95" s="719">
        <v>5</v>
      </c>
      <c r="B95" s="2456"/>
      <c r="C95" s="1359"/>
      <c r="D95" s="1360"/>
      <c r="E95" s="2458"/>
      <c r="F95" s="721" t="s">
        <v>778</v>
      </c>
      <c r="G95" s="733">
        <v>6</v>
      </c>
      <c r="H95" s="723">
        <f>R.HN!C98</f>
        <v>0</v>
      </c>
      <c r="I95" s="356">
        <f>'R.GUI MAIL'!AF9</f>
        <v>0</v>
      </c>
      <c r="J95" s="725"/>
      <c r="K95" s="726" t="s">
        <v>8</v>
      </c>
      <c r="L95" s="1355">
        <f>'R.GUI MAIL'!AI9</f>
        <v>4.5110000000000001</v>
      </c>
      <c r="M95" s="1371" t="s">
        <v>9</v>
      </c>
      <c r="N95" s="724">
        <f>R.HN!D98</f>
        <v>0</v>
      </c>
      <c r="O95" s="356">
        <f>'R.GUI MAIL'!AF28</f>
        <v>0</v>
      </c>
      <c r="P95" s="725"/>
      <c r="Q95" s="726"/>
      <c r="R95" s="1355">
        <f>'R.GUI MAIL'!AI28</f>
        <v>32.077500000000001</v>
      </c>
      <c r="S95" s="727" t="s">
        <v>9</v>
      </c>
      <c r="T95" s="724"/>
      <c r="U95" s="356">
        <f>'R.GUI MAIL'!AF44</f>
        <v>0</v>
      </c>
      <c r="V95" s="356"/>
      <c r="W95" s="1372"/>
      <c r="X95" s="1355">
        <f>'R.GUI MAIL'!AI44</f>
        <v>32.077500000000001</v>
      </c>
      <c r="Y95" s="1371" t="s">
        <v>9</v>
      </c>
    </row>
    <row r="96" spans="1:25" ht="33.75" customHeight="1">
      <c r="A96" s="719">
        <v>6</v>
      </c>
      <c r="B96" s="2456"/>
      <c r="C96" s="1359"/>
      <c r="D96" s="1360"/>
      <c r="E96" s="2458"/>
      <c r="F96" s="721" t="s">
        <v>660</v>
      </c>
      <c r="G96" s="733">
        <v>0.4</v>
      </c>
      <c r="H96" s="723">
        <f>R.HN!C99</f>
        <v>0</v>
      </c>
      <c r="I96" s="481">
        <f>'R.GUI MAIL'!AF10</f>
        <v>0</v>
      </c>
      <c r="J96" s="725"/>
      <c r="K96" s="726" t="s">
        <v>8</v>
      </c>
      <c r="L96" s="1355">
        <f>'R.GUI MAIL'!AI10</f>
        <v>0</v>
      </c>
      <c r="M96" s="1371" t="s">
        <v>9</v>
      </c>
      <c r="N96" s="724">
        <f>R.HN!D99</f>
        <v>0</v>
      </c>
      <c r="O96" s="481">
        <f>'R.GUI MAIL'!AF29</f>
        <v>0</v>
      </c>
      <c r="P96" s="725"/>
      <c r="Q96" s="726"/>
      <c r="R96" s="1355">
        <f>'R.GUI MAIL'!AI29</f>
        <v>0</v>
      </c>
      <c r="S96" s="727" t="s">
        <v>9</v>
      </c>
      <c r="T96" s="724"/>
      <c r="U96" s="481">
        <f>'R.GUI MAIL'!AF45</f>
        <v>0</v>
      </c>
      <c r="V96" s="356"/>
      <c r="W96" s="1372"/>
      <c r="X96" s="1355">
        <f>'R.GUI MAIL'!AI45</f>
        <v>0</v>
      </c>
      <c r="Y96" s="1371" t="s">
        <v>9</v>
      </c>
    </row>
    <row r="97" spans="1:25" ht="33.75" customHeight="1">
      <c r="A97" s="719">
        <v>7</v>
      </c>
      <c r="B97" s="2455" t="s">
        <v>795</v>
      </c>
      <c r="C97" s="1357" t="s">
        <v>796</v>
      </c>
      <c r="D97" s="1358">
        <f>R.HN!$C$13</f>
        <v>4</v>
      </c>
      <c r="E97" s="2458" t="s">
        <v>475</v>
      </c>
      <c r="F97" s="721" t="s">
        <v>782</v>
      </c>
      <c r="G97" s="722">
        <v>50</v>
      </c>
      <c r="H97" s="723">
        <f>R.HN!C100</f>
        <v>0</v>
      </c>
      <c r="I97" s="356">
        <f>'R.GUI MAIL'!AF11</f>
        <v>0</v>
      </c>
      <c r="J97" s="750"/>
      <c r="K97" s="726" t="s">
        <v>8</v>
      </c>
      <c r="L97" s="1355">
        <f>'R.GUI MAIL'!AI11</f>
        <v>69.400000000000006</v>
      </c>
      <c r="M97" s="1371" t="s">
        <v>9</v>
      </c>
      <c r="N97" s="724">
        <f>R.HN!D100</f>
        <v>0</v>
      </c>
      <c r="O97" s="729"/>
      <c r="P97" s="738"/>
      <c r="Q97" s="739"/>
      <c r="R97" s="1354"/>
      <c r="S97" s="740"/>
      <c r="T97" s="737"/>
      <c r="U97" s="729"/>
      <c r="V97" s="729"/>
      <c r="W97" s="730"/>
      <c r="X97" s="1354"/>
      <c r="Y97" s="731"/>
    </row>
    <row r="98" spans="1:25" ht="33.75" customHeight="1">
      <c r="A98" s="719">
        <v>8</v>
      </c>
      <c r="B98" s="2456"/>
      <c r="C98" s="1359"/>
      <c r="D98" s="1360"/>
      <c r="E98" s="2458"/>
      <c r="F98" s="721" t="s">
        <v>778</v>
      </c>
      <c r="G98" s="733">
        <v>6</v>
      </c>
      <c r="H98" s="723">
        <f>R.HN!C101</f>
        <v>0</v>
      </c>
      <c r="I98" s="356">
        <f>'R.GUI MAIL'!AF12</f>
        <v>0</v>
      </c>
      <c r="J98" s="725"/>
      <c r="K98" s="726" t="s">
        <v>8</v>
      </c>
      <c r="L98" s="1355">
        <f>'R.GUI MAIL'!AI12</f>
        <v>4.5110000000000001</v>
      </c>
      <c r="M98" s="1371" t="s">
        <v>9</v>
      </c>
      <c r="N98" s="724">
        <f>R.HN!D101</f>
        <v>0</v>
      </c>
      <c r="O98" s="729"/>
      <c r="P98" s="738"/>
      <c r="Q98" s="739"/>
      <c r="R98" s="1354"/>
      <c r="S98" s="740"/>
      <c r="T98" s="724"/>
      <c r="U98" s="729"/>
      <c r="V98" s="729"/>
      <c r="W98" s="730"/>
      <c r="X98" s="1354"/>
      <c r="Y98" s="731"/>
    </row>
    <row r="99" spans="1:25" ht="33.75" customHeight="1">
      <c r="A99" s="719">
        <v>9</v>
      </c>
      <c r="B99" s="2456"/>
      <c r="C99" s="1359"/>
      <c r="D99" s="1360"/>
      <c r="E99" s="2458"/>
      <c r="F99" s="721" t="s">
        <v>660</v>
      </c>
      <c r="G99" s="733">
        <v>0.4</v>
      </c>
      <c r="H99" s="723">
        <f>R.HN!C102</f>
        <v>0</v>
      </c>
      <c r="I99" s="481">
        <f>'R.GUI MAIL'!AF13</f>
        <v>0</v>
      </c>
      <c r="J99" s="750"/>
      <c r="K99" s="726" t="s">
        <v>8</v>
      </c>
      <c r="L99" s="1355">
        <f>'R.GUI MAIL'!AI13</f>
        <v>0</v>
      </c>
      <c r="M99" s="1371" t="s">
        <v>9</v>
      </c>
      <c r="N99" s="724">
        <f>R.HN!D102</f>
        <v>0</v>
      </c>
      <c r="O99" s="738"/>
      <c r="P99" s="738"/>
      <c r="Q99" s="739"/>
      <c r="R99" s="1354"/>
      <c r="S99" s="740"/>
      <c r="T99" s="737"/>
      <c r="U99" s="738"/>
      <c r="V99" s="738"/>
      <c r="W99" s="739"/>
      <c r="X99" s="1354"/>
      <c r="Y99" s="740"/>
    </row>
    <row r="100" spans="1:25" ht="33.75" customHeight="1">
      <c r="A100" s="719">
        <v>10</v>
      </c>
      <c r="B100" s="2452" t="s">
        <v>797</v>
      </c>
      <c r="C100" s="2453"/>
      <c r="D100" s="2454"/>
      <c r="E100" s="719" t="s">
        <v>475</v>
      </c>
      <c r="F100" s="741" t="s">
        <v>485</v>
      </c>
      <c r="G100" s="733">
        <v>2</v>
      </c>
      <c r="H100" s="723">
        <f>R.HN!C109</f>
        <v>0</v>
      </c>
      <c r="I100" s="356">
        <f>'R.GUI MAIL'!AF14</f>
        <v>0</v>
      </c>
      <c r="J100" s="725"/>
      <c r="K100" s="726" t="s">
        <v>8</v>
      </c>
      <c r="L100" s="1363">
        <f>'R.GUI MAIL'!AI14</f>
        <v>4.3680000000000003</v>
      </c>
      <c r="M100" s="1371" t="s">
        <v>9</v>
      </c>
      <c r="N100" s="724">
        <f>R.HN!D109</f>
        <v>0</v>
      </c>
      <c r="O100" s="356">
        <f>'R.GUI MAIL'!AF30</f>
        <v>0</v>
      </c>
      <c r="P100" s="725"/>
      <c r="Q100" s="726" t="s">
        <v>8</v>
      </c>
      <c r="R100" s="1355">
        <f>'R.GUI MAIL'!AI30</f>
        <v>1.234</v>
      </c>
      <c r="S100" s="727" t="s">
        <v>9</v>
      </c>
      <c r="T100" s="724"/>
      <c r="U100" s="356">
        <f>'R.GUI MAIL'!AF46</f>
        <v>0</v>
      </c>
      <c r="V100" s="356"/>
      <c r="W100" s="1372" t="s">
        <v>8</v>
      </c>
      <c r="X100" s="1355">
        <f>'R.GUI MAIL'!AI46</f>
        <v>1.234</v>
      </c>
      <c r="Y100" s="1371" t="s">
        <v>9</v>
      </c>
    </row>
    <row r="101" spans="1:25" ht="33.75" customHeight="1">
      <c r="A101" s="719">
        <v>11</v>
      </c>
      <c r="B101" s="2468"/>
      <c r="C101" s="2469"/>
      <c r="D101" s="2470"/>
      <c r="E101" s="719" t="s">
        <v>5</v>
      </c>
      <c r="F101" s="1361" t="s">
        <v>1222</v>
      </c>
      <c r="G101" s="742">
        <v>9</v>
      </c>
      <c r="H101" s="723">
        <f>R.HN!C110</f>
        <v>0</v>
      </c>
      <c r="I101" s="356">
        <f>'R.GUI MAIL'!AF15</f>
        <v>0</v>
      </c>
      <c r="J101" s="725"/>
      <c r="K101" s="726"/>
      <c r="L101" s="1355"/>
      <c r="M101" s="727"/>
      <c r="N101" s="724">
        <f>R.HN!D110</f>
        <v>0</v>
      </c>
      <c r="O101" s="356">
        <f>'R.GUI MAIL'!AF31</f>
        <v>0</v>
      </c>
      <c r="P101" s="725"/>
      <c r="Q101" s="726"/>
      <c r="R101" s="1355">
        <f>'R.GUI MAIL'!AI31</f>
        <v>0</v>
      </c>
      <c r="S101" s="727"/>
      <c r="T101" s="724"/>
      <c r="U101" s="356">
        <f>'R.GUI MAIL'!AF47</f>
        <v>0</v>
      </c>
      <c r="V101" s="356"/>
      <c r="W101" s="1372"/>
      <c r="X101" s="1355"/>
      <c r="Y101" s="1371"/>
    </row>
    <row r="102" spans="1:25" ht="33.75" customHeight="1">
      <c r="A102" s="743"/>
      <c r="B102" s="744"/>
      <c r="C102" s="744"/>
      <c r="D102" s="744"/>
      <c r="E102" s="744" t="s">
        <v>2</v>
      </c>
      <c r="F102" s="744"/>
      <c r="G102" s="744"/>
      <c r="H102" s="744"/>
      <c r="I102" s="744"/>
      <c r="J102" s="744"/>
      <c r="K102" s="744"/>
      <c r="L102" s="744"/>
      <c r="M102" s="744"/>
      <c r="N102" s="744"/>
      <c r="O102" s="744"/>
      <c r="P102" s="744"/>
      <c r="Q102" s="744"/>
      <c r="R102" s="744"/>
      <c r="S102" s="744"/>
      <c r="T102" s="744"/>
      <c r="U102" s="744"/>
      <c r="V102" s="744"/>
      <c r="W102" s="744"/>
      <c r="X102" s="744"/>
      <c r="Y102" s="1362"/>
    </row>
    <row r="103" spans="1:25" ht="33.75" customHeight="1">
      <c r="A103" s="745" t="s">
        <v>57</v>
      </c>
      <c r="B103" s="2449" t="s">
        <v>798</v>
      </c>
      <c r="C103" s="2450"/>
      <c r="D103" s="2451"/>
      <c r="E103" s="746" t="s">
        <v>799</v>
      </c>
      <c r="F103" s="746" t="s">
        <v>800</v>
      </c>
      <c r="G103" s="747" t="s">
        <v>791</v>
      </c>
      <c r="H103" s="748"/>
      <c r="I103" s="2459" t="s">
        <v>48</v>
      </c>
      <c r="J103" s="2461"/>
      <c r="K103" s="2461"/>
      <c r="L103" s="2461" t="s">
        <v>65</v>
      </c>
      <c r="M103" s="2462"/>
      <c r="N103" s="713"/>
      <c r="O103" s="2459" t="s">
        <v>48</v>
      </c>
      <c r="P103" s="2461"/>
      <c r="Q103" s="2461"/>
      <c r="R103" s="2461" t="s">
        <v>65</v>
      </c>
      <c r="S103" s="2462"/>
      <c r="T103" s="713"/>
      <c r="U103" s="2459" t="s">
        <v>48</v>
      </c>
      <c r="V103" s="2460"/>
      <c r="W103" s="2460"/>
      <c r="X103" s="2461" t="s">
        <v>65</v>
      </c>
      <c r="Y103" s="2462"/>
    </row>
    <row r="104" spans="1:25" ht="33.75" customHeight="1">
      <c r="A104" s="745">
        <v>1</v>
      </c>
      <c r="B104" s="2449" t="s">
        <v>801</v>
      </c>
      <c r="C104" s="2450"/>
      <c r="D104" s="2451"/>
      <c r="E104" s="749" t="s">
        <v>802</v>
      </c>
      <c r="F104" s="741" t="s">
        <v>1219</v>
      </c>
      <c r="G104" s="747"/>
      <c r="H104" s="748"/>
      <c r="I104" s="1369"/>
      <c r="J104" s="1370"/>
      <c r="K104" s="1370"/>
      <c r="L104" s="1367"/>
      <c r="M104" s="1368"/>
      <c r="N104" s="725"/>
      <c r="O104" s="2466">
        <f>'R.GUI MAIL'!AF34</f>
        <v>0</v>
      </c>
      <c r="P104" s="2467"/>
      <c r="Q104" s="2467"/>
      <c r="R104" s="1891">
        <f>'R.GUI MAIL'!AI34</f>
        <v>0</v>
      </c>
      <c r="S104" s="1892"/>
      <c r="T104" s="725"/>
      <c r="U104" s="2466">
        <f>'R.GUI MAIL'!AF50</f>
        <v>0</v>
      </c>
      <c r="V104" s="2467"/>
      <c r="W104" s="2467"/>
      <c r="X104" s="1891">
        <f>'R.GUI MAIL'!AI50</f>
        <v>0</v>
      </c>
      <c r="Y104" s="1892"/>
    </row>
    <row r="105" spans="1:25" ht="33.75" customHeight="1">
      <c r="A105" s="745">
        <v>2</v>
      </c>
      <c r="B105" s="2449" t="s">
        <v>803</v>
      </c>
      <c r="C105" s="2450"/>
      <c r="D105" s="2451"/>
      <c r="E105" s="749" t="s">
        <v>802</v>
      </c>
      <c r="F105" s="741" t="s">
        <v>804</v>
      </c>
      <c r="G105" s="750" t="e">
        <f>'[5]file goc'!G180</f>
        <v>#REF!</v>
      </c>
      <c r="H105" s="750"/>
      <c r="I105" s="1891">
        <f>'R.GUI MAIL'!AF18</f>
        <v>0</v>
      </c>
      <c r="J105" s="1892"/>
      <c r="K105" s="1892"/>
      <c r="L105" s="1891">
        <f>'R.GUI MAIL'!AI18</f>
        <v>0</v>
      </c>
      <c r="M105" s="1892"/>
      <c r="N105" s="1251"/>
      <c r="O105" s="2466">
        <f>'R.GUI MAIL'!AF35</f>
        <v>0</v>
      </c>
      <c r="P105" s="2467"/>
      <c r="Q105" s="2467"/>
      <c r="R105" s="1891">
        <f>'R.GUI MAIL'!AI35</f>
        <v>0</v>
      </c>
      <c r="S105" s="1940"/>
      <c r="T105" s="725"/>
      <c r="U105" s="2466">
        <f>'R.GUI MAIL'!AF51</f>
        <v>0</v>
      </c>
      <c r="V105" s="2467"/>
      <c r="W105" s="2471"/>
      <c r="X105" s="1891">
        <f>'R.GUI MAIL'!AI51</f>
        <v>0</v>
      </c>
      <c r="Y105" s="1940"/>
    </row>
    <row r="106" spans="1:25" ht="33.75" customHeight="1">
      <c r="A106" s="745">
        <v>3</v>
      </c>
      <c r="B106" s="2449" t="s">
        <v>805</v>
      </c>
      <c r="C106" s="2450"/>
      <c r="D106" s="2451"/>
      <c r="E106" s="749" t="s">
        <v>802</v>
      </c>
      <c r="F106" s="741" t="s">
        <v>804</v>
      </c>
      <c r="G106" s="751" t="e">
        <f>'[5]file goc'!G181</f>
        <v>#REF!</v>
      </c>
      <c r="H106" s="750"/>
      <c r="I106" s="1891">
        <f>'R.GUI MAIL'!AF19</f>
        <v>0</v>
      </c>
      <c r="J106" s="1892"/>
      <c r="K106" s="1892"/>
      <c r="L106" s="1891">
        <f>'R.GUI MAIL'!AI19</f>
        <v>0</v>
      </c>
      <c r="M106" s="1940"/>
      <c r="N106" s="725"/>
      <c r="O106" s="1375"/>
      <c r="P106" s="1376"/>
      <c r="Q106" s="1376"/>
      <c r="R106" s="752"/>
      <c r="S106" s="753"/>
      <c r="T106" s="725"/>
      <c r="U106" s="1377"/>
      <c r="V106" s="1377"/>
      <c r="W106" s="1377"/>
      <c r="X106" s="961"/>
      <c r="Y106" s="961"/>
    </row>
    <row r="107" spans="1:25" ht="33.75" customHeight="1">
      <c r="A107" s="745">
        <v>6</v>
      </c>
      <c r="B107" s="2449" t="s">
        <v>806</v>
      </c>
      <c r="C107" s="2450"/>
      <c r="D107" s="2451"/>
      <c r="E107" s="749" t="s">
        <v>802</v>
      </c>
      <c r="F107" s="741" t="s">
        <v>807</v>
      </c>
      <c r="G107" s="751" t="e">
        <f>'[5]file goc'!G184</f>
        <v>#REF!</v>
      </c>
      <c r="H107" s="750"/>
      <c r="I107" s="1891">
        <f>'R.GUI MAIL'!AF20</f>
        <v>0</v>
      </c>
      <c r="J107" s="1892"/>
      <c r="K107" s="1892"/>
      <c r="L107" s="1891">
        <f>'R.GUI MAIL'!AI20</f>
        <v>0</v>
      </c>
      <c r="M107" s="1940"/>
      <c r="N107" s="725"/>
      <c r="O107" s="2466">
        <f>'R.GUI MAIL'!AF36</f>
        <v>0</v>
      </c>
      <c r="P107" s="2467"/>
      <c r="Q107" s="2467"/>
      <c r="R107" s="1891">
        <f>'R.GUI MAIL'!AI36</f>
        <v>0</v>
      </c>
      <c r="S107" s="1940"/>
      <c r="T107" s="725"/>
      <c r="U107" s="2466">
        <f>'R.GUI MAIL'!AF52</f>
        <v>0</v>
      </c>
      <c r="V107" s="2467"/>
      <c r="W107" s="2471"/>
      <c r="X107" s="1891">
        <f>'R.GUI MAIL'!AI52</f>
        <v>0</v>
      </c>
      <c r="Y107" s="1940"/>
    </row>
    <row r="108" spans="1:25" ht="26.25" customHeight="1">
      <c r="A108" s="2472" t="s">
        <v>432</v>
      </c>
      <c r="B108" s="2473"/>
      <c r="C108" s="1256"/>
      <c r="D108" s="1256"/>
      <c r="E108" s="2431" t="str">
        <f>$E$3</f>
        <v>2022/12/03</v>
      </c>
      <c r="F108" s="2432"/>
      <c r="G108" s="754"/>
      <c r="H108" s="755"/>
      <c r="I108" s="708"/>
      <c r="J108" s="708"/>
      <c r="K108" s="708"/>
      <c r="L108" s="708"/>
      <c r="M108" s="708"/>
      <c r="N108" s="708"/>
      <c r="O108" s="708" t="s">
        <v>787</v>
      </c>
      <c r="P108" s="708"/>
      <c r="Q108" s="708"/>
      <c r="R108" s="708"/>
      <c r="S108" s="708"/>
      <c r="T108" s="708"/>
      <c r="U108" s="708"/>
      <c r="V108" s="708"/>
      <c r="W108" s="708"/>
      <c r="X108" s="708"/>
      <c r="Y108" s="709"/>
    </row>
    <row r="109" spans="1:25" ht="27" customHeight="1">
      <c r="A109" s="2433" t="s">
        <v>7</v>
      </c>
      <c r="B109" s="1984" t="s">
        <v>788</v>
      </c>
      <c r="C109" s="1985"/>
      <c r="D109" s="2436"/>
      <c r="E109" s="2441" t="s">
        <v>789</v>
      </c>
      <c r="F109" s="2444" t="s">
        <v>790</v>
      </c>
      <c r="G109" s="711"/>
      <c r="H109" s="712"/>
      <c r="I109" s="2447" t="s">
        <v>791</v>
      </c>
      <c r="J109" s="2448"/>
      <c r="K109" s="2448"/>
      <c r="L109" s="2448"/>
      <c r="M109" s="2448"/>
      <c r="N109" s="713"/>
      <c r="O109" s="2447" t="s">
        <v>1215</v>
      </c>
      <c r="P109" s="2448"/>
      <c r="Q109" s="2448"/>
      <c r="R109" s="2448"/>
      <c r="S109" s="2448"/>
      <c r="T109" s="713"/>
      <c r="U109" s="2447" t="s">
        <v>1216</v>
      </c>
      <c r="V109" s="2448"/>
      <c r="W109" s="2448"/>
      <c r="X109" s="2448"/>
      <c r="Y109" s="2448"/>
    </row>
    <row r="110" spans="1:25" ht="17.25">
      <c r="A110" s="2434"/>
      <c r="B110" s="2437"/>
      <c r="C110" s="2438"/>
      <c r="D110" s="2439"/>
      <c r="E110" s="2442"/>
      <c r="F110" s="2445"/>
      <c r="G110" s="714" t="s">
        <v>466</v>
      </c>
      <c r="H110" s="715"/>
      <c r="I110" s="2422" t="s">
        <v>792</v>
      </c>
      <c r="J110" s="717" t="s">
        <v>793</v>
      </c>
      <c r="K110" s="2424" t="s">
        <v>1</v>
      </c>
      <c r="L110" s="2424"/>
      <c r="M110" s="2425"/>
      <c r="N110" s="716"/>
      <c r="O110" s="2422" t="s">
        <v>792</v>
      </c>
      <c r="P110" s="717" t="s">
        <v>793</v>
      </c>
      <c r="Q110" s="2424" t="s">
        <v>1</v>
      </c>
      <c r="R110" s="2424"/>
      <c r="S110" s="2425"/>
      <c r="T110" s="715"/>
      <c r="U110" s="2422" t="s">
        <v>792</v>
      </c>
      <c r="V110" s="717" t="s">
        <v>793</v>
      </c>
      <c r="W110" s="2424" t="s">
        <v>1</v>
      </c>
      <c r="X110" s="2424"/>
      <c r="Y110" s="2425"/>
    </row>
    <row r="111" spans="1:25" ht="17.25">
      <c r="A111" s="2435"/>
      <c r="B111" s="1986"/>
      <c r="C111" s="1987"/>
      <c r="D111" s="2440"/>
      <c r="E111" s="2443"/>
      <c r="F111" s="2446"/>
      <c r="G111" s="714"/>
      <c r="H111" s="715"/>
      <c r="I111" s="2423"/>
      <c r="J111" s="718"/>
      <c r="K111" s="2426"/>
      <c r="L111" s="2426"/>
      <c r="M111" s="2427"/>
      <c r="N111" s="716"/>
      <c r="O111" s="2423"/>
      <c r="P111" s="718"/>
      <c r="Q111" s="2426"/>
      <c r="R111" s="2426"/>
      <c r="S111" s="2427"/>
      <c r="T111" s="715"/>
      <c r="U111" s="2423"/>
      <c r="V111" s="718"/>
      <c r="W111" s="2426"/>
      <c r="X111" s="2426"/>
      <c r="Y111" s="2427"/>
    </row>
    <row r="112" spans="1:25" ht="33.75" customHeight="1">
      <c r="A112" s="719">
        <v>1</v>
      </c>
      <c r="B112" s="2449" t="s">
        <v>794</v>
      </c>
      <c r="C112" s="2450"/>
      <c r="D112" s="2451"/>
      <c r="E112" s="720" t="s">
        <v>475</v>
      </c>
      <c r="F112" s="721" t="s">
        <v>780</v>
      </c>
      <c r="G112" s="722">
        <v>40</v>
      </c>
      <c r="H112" s="723">
        <f>R.HN!C117</f>
        <v>0</v>
      </c>
      <c r="I112" s="729"/>
      <c r="J112" s="738"/>
      <c r="K112" s="739"/>
      <c r="L112" s="1354"/>
      <c r="M112" s="740"/>
      <c r="N112" s="724">
        <f>R.HN!D117</f>
        <v>0</v>
      </c>
      <c r="O112" s="356">
        <f>'R.GUI MAIL'!AL25</f>
        <v>0</v>
      </c>
      <c r="P112" s="725"/>
      <c r="Q112" s="726" t="s">
        <v>8</v>
      </c>
      <c r="R112" s="1355">
        <f>'R.GUI MAIL'!AO25</f>
        <v>93.2</v>
      </c>
      <c r="S112" s="727" t="s">
        <v>9</v>
      </c>
      <c r="T112" s="724"/>
      <c r="U112" s="356">
        <f>'R.GUI MAIL'!AL41</f>
        <v>0</v>
      </c>
      <c r="V112" s="725"/>
      <c r="W112" s="726" t="s">
        <v>8</v>
      </c>
      <c r="X112" s="1356">
        <f>'R.GUI MAIL'!AO41</f>
        <v>93.2</v>
      </c>
      <c r="Y112" s="727" t="s">
        <v>9</v>
      </c>
    </row>
    <row r="113" spans="1:25" ht="33.75" customHeight="1">
      <c r="A113" s="719">
        <v>2</v>
      </c>
      <c r="B113" s="2449" t="s">
        <v>469</v>
      </c>
      <c r="C113" s="2450"/>
      <c r="D113" s="2451"/>
      <c r="E113" s="728" t="s">
        <v>3</v>
      </c>
      <c r="F113" s="721" t="s">
        <v>470</v>
      </c>
      <c r="G113" s="722">
        <v>22</v>
      </c>
      <c r="H113" s="723">
        <f>R.HN!C118</f>
        <v>0</v>
      </c>
      <c r="I113" s="356">
        <f>'R.GUI MAIL'!AL6</f>
        <v>0</v>
      </c>
      <c r="J113" s="725"/>
      <c r="K113" s="726" t="s">
        <v>8</v>
      </c>
      <c r="L113" s="1355">
        <f>'R.GUI MAIL'!AO6</f>
        <v>292.1875</v>
      </c>
      <c r="M113" s="1371" t="s">
        <v>10</v>
      </c>
      <c r="N113" s="724">
        <f>R.HN!D118</f>
        <v>0</v>
      </c>
      <c r="O113" s="356">
        <f>'R.GUI MAIL'!AL26</f>
        <v>0</v>
      </c>
      <c r="P113" s="725"/>
      <c r="Q113" s="726" t="s">
        <v>8</v>
      </c>
      <c r="R113" s="1355">
        <f>'R.GUI MAIL'!AO26</f>
        <v>1017.578125</v>
      </c>
      <c r="S113" s="727" t="s">
        <v>10</v>
      </c>
      <c r="T113" s="724"/>
      <c r="U113" s="356">
        <f>'R.GUI MAIL'!AL42</f>
        <v>0</v>
      </c>
      <c r="V113" s="356"/>
      <c r="W113" s="1372" t="s">
        <v>8</v>
      </c>
      <c r="X113" s="1355">
        <f>'R.GUI MAIL'!AO42</f>
        <v>1017.578125</v>
      </c>
      <c r="Y113" s="1371" t="s">
        <v>10</v>
      </c>
    </row>
    <row r="114" spans="1:25" ht="33.75" hidden="1" customHeight="1">
      <c r="A114" s="719">
        <v>3</v>
      </c>
      <c r="B114" s="2452" t="s">
        <v>433</v>
      </c>
      <c r="C114" s="2453"/>
      <c r="D114" s="2454"/>
      <c r="E114" s="728" t="s">
        <v>3</v>
      </c>
      <c r="F114" s="721" t="s">
        <v>470</v>
      </c>
      <c r="G114" s="722"/>
      <c r="H114" s="723"/>
      <c r="I114" s="1304">
        <f>'R.GUI MAIL'!AL7</f>
        <v>0</v>
      </c>
      <c r="J114" s="725"/>
      <c r="K114" s="726" t="s">
        <v>8</v>
      </c>
      <c r="L114" s="1355">
        <f>'R.GUI MAIL'!AO7</f>
        <v>292.1875</v>
      </c>
      <c r="M114" s="1371" t="s">
        <v>10</v>
      </c>
      <c r="N114" s="724"/>
      <c r="O114" s="729"/>
      <c r="P114" s="729"/>
      <c r="Q114" s="730"/>
      <c r="R114" s="1354"/>
      <c r="S114" s="731"/>
      <c r="T114" s="732"/>
      <c r="U114" s="1304">
        <f>'R.GUI MAIL'!AL42</f>
        <v>0</v>
      </c>
      <c r="V114" s="356"/>
      <c r="W114" s="1372" t="s">
        <v>8</v>
      </c>
      <c r="X114" s="1355">
        <f>'R.GUI MAIL'!AO42</f>
        <v>1017.578125</v>
      </c>
      <c r="Y114" s="1371" t="s">
        <v>10</v>
      </c>
    </row>
    <row r="115" spans="1:25" ht="33.75" customHeight="1">
      <c r="A115" s="719">
        <v>4</v>
      </c>
      <c r="B115" s="2455" t="s">
        <v>795</v>
      </c>
      <c r="C115" s="1357" t="s">
        <v>796</v>
      </c>
      <c r="D115" s="1358">
        <f>R.HN!$C$12</f>
        <v>3</v>
      </c>
      <c r="E115" s="2458" t="s">
        <v>475</v>
      </c>
      <c r="F115" s="721" t="s">
        <v>782</v>
      </c>
      <c r="G115" s="722">
        <v>50</v>
      </c>
      <c r="H115" s="723">
        <f>R.HN!C119</f>
        <v>0</v>
      </c>
      <c r="I115" s="356">
        <f>'R.GUI MAIL'!AL8</f>
        <v>0</v>
      </c>
      <c r="J115" s="725"/>
      <c r="K115" s="726" t="s">
        <v>8</v>
      </c>
      <c r="L115" s="1355">
        <f>'R.GUI MAIL'!AO8</f>
        <v>69.400000000000006</v>
      </c>
      <c r="M115" s="1371" t="s">
        <v>9</v>
      </c>
      <c r="N115" s="724">
        <f>R.HN!D119</f>
        <v>0</v>
      </c>
      <c r="O115" s="356">
        <f>'R.GUI MAIL'!AL27</f>
        <v>0</v>
      </c>
      <c r="P115" s="725"/>
      <c r="Q115" s="726" t="s">
        <v>8</v>
      </c>
      <c r="R115" s="1355">
        <f>'R.GUI MAIL'!AO27</f>
        <v>246.75</v>
      </c>
      <c r="S115" s="727" t="s">
        <v>9</v>
      </c>
      <c r="T115" s="724"/>
      <c r="U115" s="356">
        <f>'R.GUI MAIL'!AL43</f>
        <v>0</v>
      </c>
      <c r="V115" s="356"/>
      <c r="W115" s="1372" t="s">
        <v>8</v>
      </c>
      <c r="X115" s="1355">
        <f>'R.GUI MAIL'!AO43</f>
        <v>246.75</v>
      </c>
      <c r="Y115" s="1371" t="s">
        <v>9</v>
      </c>
    </row>
    <row r="116" spans="1:25" ht="33.75" customHeight="1">
      <c r="A116" s="719">
        <v>5</v>
      </c>
      <c r="B116" s="2456"/>
      <c r="C116" s="1359"/>
      <c r="D116" s="1360"/>
      <c r="E116" s="2458"/>
      <c r="F116" s="721" t="s">
        <v>778</v>
      </c>
      <c r="G116" s="733">
        <v>6</v>
      </c>
      <c r="H116" s="723">
        <f>R.HN!C120</f>
        <v>0</v>
      </c>
      <c r="I116" s="356">
        <f>'R.GUI MAIL'!AL9</f>
        <v>0</v>
      </c>
      <c r="J116" s="725"/>
      <c r="K116" s="726" t="s">
        <v>8</v>
      </c>
      <c r="L116" s="1355">
        <f>'R.GUI MAIL'!AO9</f>
        <v>4.5110000000000001</v>
      </c>
      <c r="M116" s="1371" t="s">
        <v>9</v>
      </c>
      <c r="N116" s="724">
        <f>R.HN!D120</f>
        <v>0</v>
      </c>
      <c r="O116" s="356">
        <f>'R.GUI MAIL'!AL28</f>
        <v>0</v>
      </c>
      <c r="P116" s="725"/>
      <c r="Q116" s="726"/>
      <c r="R116" s="1355">
        <f>'R.GUI MAIL'!AO28</f>
        <v>32.077500000000001</v>
      </c>
      <c r="S116" s="727" t="s">
        <v>9</v>
      </c>
      <c r="T116" s="724"/>
      <c r="U116" s="356">
        <f>'R.GUI MAIL'!AL44</f>
        <v>0</v>
      </c>
      <c r="V116" s="356"/>
      <c r="W116" s="1372"/>
      <c r="X116" s="1355">
        <f>'R.GUI MAIL'!AO44</f>
        <v>32.077500000000001</v>
      </c>
      <c r="Y116" s="1371" t="s">
        <v>9</v>
      </c>
    </row>
    <row r="117" spans="1:25" ht="33.75" customHeight="1">
      <c r="A117" s="719">
        <v>6</v>
      </c>
      <c r="B117" s="2456"/>
      <c r="C117" s="1359"/>
      <c r="D117" s="1360"/>
      <c r="E117" s="2458"/>
      <c r="F117" s="721" t="s">
        <v>660</v>
      </c>
      <c r="G117" s="733">
        <v>0.4</v>
      </c>
      <c r="H117" s="723">
        <f>R.HN!C121</f>
        <v>0</v>
      </c>
      <c r="I117" s="481">
        <f>'R.GUI MAIL'!AL10</f>
        <v>0</v>
      </c>
      <c r="J117" s="725"/>
      <c r="K117" s="726" t="s">
        <v>8</v>
      </c>
      <c r="L117" s="1355">
        <f>'R.GUI MAIL'!AO10</f>
        <v>0</v>
      </c>
      <c r="M117" s="1371" t="s">
        <v>9</v>
      </c>
      <c r="N117" s="724">
        <f>R.HN!D121</f>
        <v>0</v>
      </c>
      <c r="O117" s="481">
        <f>'R.GUI MAIL'!AL29</f>
        <v>0</v>
      </c>
      <c r="P117" s="725"/>
      <c r="Q117" s="726"/>
      <c r="R117" s="1355">
        <f>'R.GUI MAIL'!AO29</f>
        <v>0</v>
      </c>
      <c r="S117" s="727" t="s">
        <v>9</v>
      </c>
      <c r="T117" s="724"/>
      <c r="U117" s="481">
        <f>'R.GUI MAIL'!AL45</f>
        <v>0</v>
      </c>
      <c r="V117" s="356"/>
      <c r="W117" s="1372"/>
      <c r="X117" s="1355">
        <f>'R.GUI MAIL'!AO45</f>
        <v>0</v>
      </c>
      <c r="Y117" s="1371" t="s">
        <v>9</v>
      </c>
    </row>
    <row r="118" spans="1:25" ht="33.75" customHeight="1">
      <c r="A118" s="719">
        <v>7</v>
      </c>
      <c r="B118" s="2455" t="s">
        <v>795</v>
      </c>
      <c r="C118" s="1357" t="s">
        <v>796</v>
      </c>
      <c r="D118" s="1358">
        <f>R.HN!$C$13</f>
        <v>4</v>
      </c>
      <c r="E118" s="2458" t="s">
        <v>475</v>
      </c>
      <c r="F118" s="721" t="s">
        <v>782</v>
      </c>
      <c r="G118" s="722">
        <v>50</v>
      </c>
      <c r="H118" s="723">
        <f>R.HN!C122</f>
        <v>0</v>
      </c>
      <c r="I118" s="356">
        <f>'R.GUI MAIL'!AL11</f>
        <v>0</v>
      </c>
      <c r="J118" s="750"/>
      <c r="K118" s="726" t="s">
        <v>8</v>
      </c>
      <c r="L118" s="1355">
        <f>'R.GUI MAIL'!AO11</f>
        <v>69.400000000000006</v>
      </c>
      <c r="M118" s="1371" t="s">
        <v>9</v>
      </c>
      <c r="N118" s="724">
        <f>R.HN!D122</f>
        <v>0</v>
      </c>
      <c r="O118" s="729"/>
      <c r="P118" s="738"/>
      <c r="Q118" s="739"/>
      <c r="R118" s="1354"/>
      <c r="S118" s="740"/>
      <c r="T118" s="737"/>
      <c r="U118" s="729"/>
      <c r="V118" s="729"/>
      <c r="W118" s="730"/>
      <c r="X118" s="1354"/>
      <c r="Y118" s="731"/>
    </row>
    <row r="119" spans="1:25" ht="33.75" customHeight="1">
      <c r="A119" s="719">
        <v>8</v>
      </c>
      <c r="B119" s="2456"/>
      <c r="C119" s="1359"/>
      <c r="D119" s="1360"/>
      <c r="E119" s="2458"/>
      <c r="F119" s="721" t="s">
        <v>778</v>
      </c>
      <c r="G119" s="733">
        <v>6</v>
      </c>
      <c r="H119" s="723">
        <f>R.HN!C123</f>
        <v>0</v>
      </c>
      <c r="I119" s="356">
        <f>'R.GUI MAIL'!AL12</f>
        <v>0</v>
      </c>
      <c r="J119" s="725"/>
      <c r="K119" s="726" t="s">
        <v>8</v>
      </c>
      <c r="L119" s="1355">
        <f>'R.GUI MAIL'!AO12</f>
        <v>4.5110000000000001</v>
      </c>
      <c r="M119" s="1371" t="s">
        <v>9</v>
      </c>
      <c r="N119" s="724">
        <f>R.HN!D123</f>
        <v>0</v>
      </c>
      <c r="O119" s="729"/>
      <c r="P119" s="738"/>
      <c r="Q119" s="739"/>
      <c r="R119" s="1354"/>
      <c r="S119" s="740"/>
      <c r="T119" s="724"/>
      <c r="U119" s="729"/>
      <c r="V119" s="729"/>
      <c r="W119" s="730"/>
      <c r="X119" s="1354"/>
      <c r="Y119" s="731"/>
    </row>
    <row r="120" spans="1:25" ht="33.75" customHeight="1">
      <c r="A120" s="719">
        <v>9</v>
      </c>
      <c r="B120" s="2456"/>
      <c r="C120" s="1359"/>
      <c r="D120" s="1360"/>
      <c r="E120" s="2458"/>
      <c r="F120" s="721" t="s">
        <v>660</v>
      </c>
      <c r="G120" s="733">
        <v>0.4</v>
      </c>
      <c r="H120" s="723">
        <f>R.HN!C124</f>
        <v>0</v>
      </c>
      <c r="I120" s="481">
        <f>'R.GUI MAIL'!AL13</f>
        <v>0</v>
      </c>
      <c r="J120" s="750"/>
      <c r="K120" s="726" t="s">
        <v>8</v>
      </c>
      <c r="L120" s="1355">
        <f>'R.GUI MAIL'!AO13</f>
        <v>0</v>
      </c>
      <c r="M120" s="1371" t="s">
        <v>9</v>
      </c>
      <c r="N120" s="724">
        <f>R.HN!D124</f>
        <v>0</v>
      </c>
      <c r="O120" s="738"/>
      <c r="P120" s="738"/>
      <c r="Q120" s="739"/>
      <c r="R120" s="1354"/>
      <c r="S120" s="740"/>
      <c r="T120" s="737"/>
      <c r="U120" s="738"/>
      <c r="V120" s="738"/>
      <c r="W120" s="739"/>
      <c r="X120" s="1354"/>
      <c r="Y120" s="740"/>
    </row>
    <row r="121" spans="1:25" ht="33.75" customHeight="1">
      <c r="A121" s="719">
        <v>10</v>
      </c>
      <c r="B121" s="2452" t="s">
        <v>797</v>
      </c>
      <c r="C121" s="2453"/>
      <c r="D121" s="2454"/>
      <c r="E121" s="719" t="s">
        <v>475</v>
      </c>
      <c r="F121" s="741" t="s">
        <v>485</v>
      </c>
      <c r="G121" s="733">
        <v>2</v>
      </c>
      <c r="H121" s="723">
        <f>R.HN!C131</f>
        <v>0</v>
      </c>
      <c r="I121" s="356">
        <f>'R.GUI MAIL'!AL14</f>
        <v>0</v>
      </c>
      <c r="J121" s="725"/>
      <c r="K121" s="726" t="s">
        <v>8</v>
      </c>
      <c r="L121" s="1363">
        <f>'R.GUI MAIL'!AO14</f>
        <v>4.3680000000000003</v>
      </c>
      <c r="M121" s="1371" t="s">
        <v>9</v>
      </c>
      <c r="N121" s="724">
        <f>R.HN!D131</f>
        <v>0</v>
      </c>
      <c r="O121" s="356">
        <f>'R.GUI MAIL'!AL30</f>
        <v>0</v>
      </c>
      <c r="P121" s="725"/>
      <c r="Q121" s="726" t="s">
        <v>8</v>
      </c>
      <c r="R121" s="1355">
        <f>'R.GUI MAIL'!AO30</f>
        <v>1.234</v>
      </c>
      <c r="S121" s="727" t="s">
        <v>9</v>
      </c>
      <c r="T121" s="724"/>
      <c r="U121" s="356">
        <f>'R.GUI MAIL'!AL46</f>
        <v>0</v>
      </c>
      <c r="V121" s="356"/>
      <c r="W121" s="1372" t="s">
        <v>8</v>
      </c>
      <c r="X121" s="1355">
        <f>'R.GUI MAIL'!AO46</f>
        <v>1.234</v>
      </c>
      <c r="Y121" s="1371" t="s">
        <v>9</v>
      </c>
    </row>
    <row r="122" spans="1:25" ht="33.75" customHeight="1">
      <c r="A122" s="719">
        <v>11</v>
      </c>
      <c r="B122" s="2468"/>
      <c r="C122" s="2469"/>
      <c r="D122" s="2470"/>
      <c r="E122" s="719" t="s">
        <v>5</v>
      </c>
      <c r="F122" s="1361" t="s">
        <v>1222</v>
      </c>
      <c r="G122" s="742">
        <v>9</v>
      </c>
      <c r="H122" s="723">
        <f>R.HN!C132</f>
        <v>0</v>
      </c>
      <c r="I122" s="356">
        <f>'R.GUI MAIL'!AL15</f>
        <v>0</v>
      </c>
      <c r="J122" s="725"/>
      <c r="K122" s="726"/>
      <c r="L122" s="1355"/>
      <c r="M122" s="727"/>
      <c r="N122" s="724">
        <f>R.HN!D132</f>
        <v>0</v>
      </c>
      <c r="O122" s="356">
        <f>'R.GUI MAIL'!AL31</f>
        <v>0</v>
      </c>
      <c r="P122" s="725"/>
      <c r="Q122" s="726"/>
      <c r="R122" s="1355"/>
      <c r="S122" s="727"/>
      <c r="T122" s="724"/>
      <c r="U122" s="356">
        <f>'R.GUI MAIL'!AL47</f>
        <v>0</v>
      </c>
      <c r="V122" s="356"/>
      <c r="W122" s="1372"/>
      <c r="X122" s="1355"/>
      <c r="Y122" s="1371"/>
    </row>
    <row r="123" spans="1:25" ht="33.75" customHeight="1">
      <c r="A123" s="743"/>
      <c r="B123" s="744"/>
      <c r="C123" s="744"/>
      <c r="D123" s="744"/>
      <c r="E123" s="744" t="s">
        <v>2</v>
      </c>
      <c r="F123" s="744"/>
      <c r="G123" s="744"/>
      <c r="H123" s="744"/>
      <c r="I123" s="744"/>
      <c r="J123" s="744"/>
      <c r="K123" s="744"/>
      <c r="L123" s="744"/>
      <c r="M123" s="744"/>
      <c r="N123" s="744"/>
      <c r="O123" s="744"/>
      <c r="P123" s="744"/>
      <c r="Q123" s="744"/>
      <c r="R123" s="744"/>
      <c r="S123" s="744"/>
      <c r="T123" s="744"/>
      <c r="U123" s="744"/>
      <c r="V123" s="744"/>
      <c r="W123" s="744"/>
      <c r="X123" s="744"/>
      <c r="Y123" s="1362"/>
    </row>
    <row r="124" spans="1:25" ht="33.75" customHeight="1">
      <c r="A124" s="745" t="s">
        <v>57</v>
      </c>
      <c r="B124" s="2449" t="s">
        <v>798</v>
      </c>
      <c r="C124" s="2450"/>
      <c r="D124" s="2451"/>
      <c r="E124" s="746" t="s">
        <v>799</v>
      </c>
      <c r="F124" s="746" t="s">
        <v>800</v>
      </c>
      <c r="G124" s="747" t="s">
        <v>791</v>
      </c>
      <c r="H124" s="748"/>
      <c r="I124" s="2459" t="s">
        <v>48</v>
      </c>
      <c r="J124" s="2460"/>
      <c r="K124" s="2460"/>
      <c r="L124" s="2461" t="s">
        <v>65</v>
      </c>
      <c r="M124" s="2462"/>
      <c r="N124" s="713"/>
      <c r="O124" s="2459" t="s">
        <v>48</v>
      </c>
      <c r="P124" s="2460"/>
      <c r="Q124" s="2460"/>
      <c r="R124" s="2461" t="s">
        <v>65</v>
      </c>
      <c r="S124" s="2462"/>
      <c r="T124" s="713"/>
      <c r="U124" s="2459" t="s">
        <v>48</v>
      </c>
      <c r="V124" s="2460"/>
      <c r="W124" s="2460"/>
      <c r="X124" s="2461" t="s">
        <v>65</v>
      </c>
      <c r="Y124" s="2462"/>
    </row>
    <row r="125" spans="1:25" ht="33.75" customHeight="1">
      <c r="A125" s="745">
        <v>1</v>
      </c>
      <c r="B125" s="2449" t="s">
        <v>801</v>
      </c>
      <c r="C125" s="2450"/>
      <c r="D125" s="2451"/>
      <c r="E125" s="749" t="s">
        <v>802</v>
      </c>
      <c r="F125" s="741" t="s">
        <v>1219</v>
      </c>
      <c r="G125" s="747"/>
      <c r="H125" s="748"/>
      <c r="I125" s="1369"/>
      <c r="J125" s="1370"/>
      <c r="K125" s="1370"/>
      <c r="L125" s="1367"/>
      <c r="M125" s="1368"/>
      <c r="N125" s="725"/>
      <c r="O125" s="2466">
        <f>'R.GUI MAIL'!AL34</f>
        <v>0</v>
      </c>
      <c r="P125" s="2467"/>
      <c r="Q125" s="2467"/>
      <c r="R125" s="1891">
        <f>'R.GUI MAIL'!AO34</f>
        <v>0</v>
      </c>
      <c r="S125" s="1892"/>
      <c r="T125" s="725"/>
      <c r="U125" s="2466">
        <f>'R.GUI MAIL'!AL50</f>
        <v>0</v>
      </c>
      <c r="V125" s="2467"/>
      <c r="W125" s="2467"/>
      <c r="X125" s="1891">
        <f>'R.GUI MAIL'!AO50</f>
        <v>0</v>
      </c>
      <c r="Y125" s="1892"/>
    </row>
    <row r="126" spans="1:25" ht="33.75" customHeight="1">
      <c r="A126" s="745">
        <v>2</v>
      </c>
      <c r="B126" s="2449" t="s">
        <v>803</v>
      </c>
      <c r="C126" s="2450"/>
      <c r="D126" s="2451"/>
      <c r="E126" s="749" t="s">
        <v>802</v>
      </c>
      <c r="F126" s="741" t="s">
        <v>804</v>
      </c>
      <c r="G126" s="750" t="e">
        <f>'[5]file goc'!G202</f>
        <v>#REF!</v>
      </c>
      <c r="H126" s="750"/>
      <c r="I126" s="1891">
        <f>'R.GUI MAIL'!AL18</f>
        <v>0</v>
      </c>
      <c r="J126" s="1892"/>
      <c r="K126" s="1892"/>
      <c r="L126" s="1891">
        <f>'R.GUI MAIL'!AO18</f>
        <v>0</v>
      </c>
      <c r="M126" s="1892"/>
      <c r="N126" s="1251"/>
      <c r="O126" s="2466">
        <f>'R.GUI MAIL'!AL35</f>
        <v>0</v>
      </c>
      <c r="P126" s="2467"/>
      <c r="Q126" s="2467"/>
      <c r="R126" s="1891">
        <f>'R.GUI MAIL'!AO35</f>
        <v>0</v>
      </c>
      <c r="S126" s="1940"/>
      <c r="T126" s="725"/>
      <c r="U126" s="2466">
        <f>'R.GUI MAIL'!AL51</f>
        <v>0</v>
      </c>
      <c r="V126" s="2467"/>
      <c r="W126" s="2471"/>
      <c r="X126" s="1891">
        <f>'R.GUI MAIL'!AO51</f>
        <v>0</v>
      </c>
      <c r="Y126" s="1940"/>
    </row>
    <row r="127" spans="1:25" ht="33.75" customHeight="1">
      <c r="A127" s="745">
        <v>3</v>
      </c>
      <c r="B127" s="2449" t="s">
        <v>805</v>
      </c>
      <c r="C127" s="2450"/>
      <c r="D127" s="2451"/>
      <c r="E127" s="749" t="s">
        <v>802</v>
      </c>
      <c r="F127" s="741" t="s">
        <v>804</v>
      </c>
      <c r="G127" s="751" t="e">
        <f>'[5]file goc'!G203</f>
        <v>#REF!</v>
      </c>
      <c r="H127" s="750"/>
      <c r="I127" s="1891">
        <f>'R.GUI MAIL'!AL19</f>
        <v>0</v>
      </c>
      <c r="J127" s="1892"/>
      <c r="K127" s="1892"/>
      <c r="L127" s="1891">
        <f>'R.GUI MAIL'!AO19</f>
        <v>0</v>
      </c>
      <c r="M127" s="1940"/>
      <c r="N127" s="725"/>
      <c r="O127" s="1375"/>
      <c r="P127" s="1376"/>
      <c r="Q127" s="1376"/>
      <c r="R127" s="752"/>
      <c r="S127" s="753"/>
      <c r="T127" s="725"/>
      <c r="U127" s="1377"/>
      <c r="V127" s="1377"/>
      <c r="W127" s="1377"/>
      <c r="X127" s="961"/>
      <c r="Y127" s="961"/>
    </row>
    <row r="128" spans="1:25" ht="33.75" customHeight="1">
      <c r="A128" s="745">
        <v>6</v>
      </c>
      <c r="B128" s="2449" t="s">
        <v>806</v>
      </c>
      <c r="C128" s="2450"/>
      <c r="D128" s="2451"/>
      <c r="E128" s="749" t="s">
        <v>802</v>
      </c>
      <c r="F128" s="741" t="s">
        <v>807</v>
      </c>
      <c r="G128" s="751" t="e">
        <f>'[5]file goc'!G206</f>
        <v>#REF!</v>
      </c>
      <c r="H128" s="750"/>
      <c r="I128" s="1891">
        <f>'R.GUI MAIL'!AL20</f>
        <v>0</v>
      </c>
      <c r="J128" s="1892"/>
      <c r="K128" s="1892"/>
      <c r="L128" s="1891">
        <f>'R.GUI MAIL'!AO20</f>
        <v>0</v>
      </c>
      <c r="M128" s="1940"/>
      <c r="N128" s="725"/>
      <c r="O128" s="2466">
        <f>'R.GUI MAIL'!AL36</f>
        <v>0</v>
      </c>
      <c r="P128" s="2467"/>
      <c r="Q128" s="2467"/>
      <c r="R128" s="1891">
        <f>'R.GUI MAIL'!AO36</f>
        <v>0</v>
      </c>
      <c r="S128" s="1940"/>
      <c r="T128" s="725"/>
      <c r="U128" s="2466">
        <f>'R.GUI MAIL'!AL52</f>
        <v>0</v>
      </c>
      <c r="V128" s="2467"/>
      <c r="W128" s="2471"/>
      <c r="X128" s="1891">
        <f>'R.GUI MAIL'!AO52</f>
        <v>0</v>
      </c>
      <c r="Y128" s="1940"/>
    </row>
  </sheetData>
  <sheetProtection formatCells="0" formatColumns="0" formatRows="0" insertColumns="0" insertRows="0" insertHyperlinks="0" deleteColumns="0" deleteRows="0" selectLockedCells="1" sort="0" autoFilter="0" pivotTables="0"/>
  <mergeCells count="314">
    <mergeCell ref="X128:Y128"/>
    <mergeCell ref="B128:D128"/>
    <mergeCell ref="I128:K128"/>
    <mergeCell ref="L128:M128"/>
    <mergeCell ref="O128:Q128"/>
    <mergeCell ref="R128:S128"/>
    <mergeCell ref="U128:W128"/>
    <mergeCell ref="U126:W126"/>
    <mergeCell ref="X126:Y126"/>
    <mergeCell ref="B127:D127"/>
    <mergeCell ref="I127:K127"/>
    <mergeCell ref="L127:M127"/>
    <mergeCell ref="U124:W124"/>
    <mergeCell ref="X124:Y124"/>
    <mergeCell ref="B125:D125"/>
    <mergeCell ref="O125:Q125"/>
    <mergeCell ref="R125:S125"/>
    <mergeCell ref="B126:D126"/>
    <mergeCell ref="I126:K126"/>
    <mergeCell ref="L126:M126"/>
    <mergeCell ref="O126:Q126"/>
    <mergeCell ref="R126:S126"/>
    <mergeCell ref="U125:W125"/>
    <mergeCell ref="X125:Y125"/>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I110:I111"/>
    <mergeCell ref="K110:M111"/>
    <mergeCell ref="O110:O111"/>
    <mergeCell ref="Q110:S111"/>
    <mergeCell ref="U110:U111"/>
    <mergeCell ref="W110:Y111"/>
    <mergeCell ref="X107:Y107"/>
    <mergeCell ref="A108:B108"/>
    <mergeCell ref="E108:F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U105:W105"/>
    <mergeCell ref="X105:Y105"/>
    <mergeCell ref="B106:D106"/>
    <mergeCell ref="I106:K106"/>
    <mergeCell ref="L106:M106"/>
    <mergeCell ref="U103:W103"/>
    <mergeCell ref="X103:Y103"/>
    <mergeCell ref="B104:D104"/>
    <mergeCell ref="O104:Q104"/>
    <mergeCell ref="R104:S104"/>
    <mergeCell ref="B105:D105"/>
    <mergeCell ref="I105:K105"/>
    <mergeCell ref="L105:M105"/>
    <mergeCell ref="O105:Q105"/>
    <mergeCell ref="R105:S105"/>
    <mergeCell ref="U104:W104"/>
    <mergeCell ref="X104:Y104"/>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I89:I90"/>
    <mergeCell ref="K89:M90"/>
    <mergeCell ref="O89:O90"/>
    <mergeCell ref="Q89:S90"/>
    <mergeCell ref="U89:U90"/>
    <mergeCell ref="W89:Y90"/>
    <mergeCell ref="X86:Y86"/>
    <mergeCell ref="A87:B87"/>
    <mergeCell ref="E87:F87"/>
    <mergeCell ref="A88:A90"/>
    <mergeCell ref="B88:D90"/>
    <mergeCell ref="E88:E90"/>
    <mergeCell ref="F88:F90"/>
    <mergeCell ref="I88:M88"/>
    <mergeCell ref="O88:S88"/>
    <mergeCell ref="U88:Y88"/>
    <mergeCell ref="B86:D86"/>
    <mergeCell ref="I86:K86"/>
    <mergeCell ref="L86:M86"/>
    <mergeCell ref="O86:Q86"/>
    <mergeCell ref="R86:S86"/>
    <mergeCell ref="U86:W86"/>
    <mergeCell ref="U84:W84"/>
    <mergeCell ref="X84:Y84"/>
    <mergeCell ref="B85:D85"/>
    <mergeCell ref="I85:K85"/>
    <mergeCell ref="L85:M85"/>
    <mergeCell ref="U82:W82"/>
    <mergeCell ref="X82:Y82"/>
    <mergeCell ref="B83:D83"/>
    <mergeCell ref="O83:Q83"/>
    <mergeCell ref="R83:S83"/>
    <mergeCell ref="B84:D84"/>
    <mergeCell ref="I84:K84"/>
    <mergeCell ref="L84:M84"/>
    <mergeCell ref="O84:Q84"/>
    <mergeCell ref="R84:S84"/>
    <mergeCell ref="U83:W83"/>
    <mergeCell ref="X83:Y83"/>
    <mergeCell ref="B79:D80"/>
    <mergeCell ref="B82:D82"/>
    <mergeCell ref="I82:K82"/>
    <mergeCell ref="L82:M82"/>
    <mergeCell ref="O82:Q82"/>
    <mergeCell ref="R82:S82"/>
    <mergeCell ref="B70:D70"/>
    <mergeCell ref="B71:D71"/>
    <mergeCell ref="B72:D72"/>
    <mergeCell ref="B73:B75"/>
    <mergeCell ref="E73:E75"/>
    <mergeCell ref="B76:B78"/>
    <mergeCell ref="E76:E78"/>
    <mergeCell ref="I68:I69"/>
    <mergeCell ref="K68:M69"/>
    <mergeCell ref="O68:O69"/>
    <mergeCell ref="Q68:S69"/>
    <mergeCell ref="U68:U69"/>
    <mergeCell ref="W68:Y69"/>
    <mergeCell ref="X65:Y65"/>
    <mergeCell ref="A66:B66"/>
    <mergeCell ref="E66:F66"/>
    <mergeCell ref="A67:A69"/>
    <mergeCell ref="B67:D69"/>
    <mergeCell ref="E67:E69"/>
    <mergeCell ref="F67:F69"/>
    <mergeCell ref="I67:M67"/>
    <mergeCell ref="O67:S67"/>
    <mergeCell ref="U67:Y67"/>
    <mergeCell ref="B65:D65"/>
    <mergeCell ref="I65:K65"/>
    <mergeCell ref="L65:M65"/>
    <mergeCell ref="O65:Q65"/>
    <mergeCell ref="R65:S65"/>
    <mergeCell ref="U65:W65"/>
    <mergeCell ref="U63:W63"/>
    <mergeCell ref="X63:Y63"/>
    <mergeCell ref="B64:D64"/>
    <mergeCell ref="I64:K64"/>
    <mergeCell ref="L64:M64"/>
    <mergeCell ref="U61:W61"/>
    <mergeCell ref="X61:Y61"/>
    <mergeCell ref="B62:D62"/>
    <mergeCell ref="O62:Q62"/>
    <mergeCell ref="R62:S62"/>
    <mergeCell ref="B63:D63"/>
    <mergeCell ref="I63:K63"/>
    <mergeCell ref="L63:M63"/>
    <mergeCell ref="O63:Q63"/>
    <mergeCell ref="R63:S63"/>
    <mergeCell ref="U62:W62"/>
    <mergeCell ref="X62:Y62"/>
    <mergeCell ref="B58:D59"/>
    <mergeCell ref="B61:D61"/>
    <mergeCell ref="I61:K61"/>
    <mergeCell ref="L61:M61"/>
    <mergeCell ref="O61:Q61"/>
    <mergeCell ref="R61:S61"/>
    <mergeCell ref="B49:D49"/>
    <mergeCell ref="B50:D50"/>
    <mergeCell ref="B51:D51"/>
    <mergeCell ref="B52:B54"/>
    <mergeCell ref="E52:E54"/>
    <mergeCell ref="B55:B57"/>
    <mergeCell ref="E55:E57"/>
    <mergeCell ref="I47:I48"/>
    <mergeCell ref="K47:M48"/>
    <mergeCell ref="O47:O48"/>
    <mergeCell ref="Q47:S48"/>
    <mergeCell ref="U47:U48"/>
    <mergeCell ref="W47:Y48"/>
    <mergeCell ref="X44:Y44"/>
    <mergeCell ref="A45:B45"/>
    <mergeCell ref="E45:F45"/>
    <mergeCell ref="A46:A48"/>
    <mergeCell ref="B46:D48"/>
    <mergeCell ref="E46:E48"/>
    <mergeCell ref="F46:F48"/>
    <mergeCell ref="I46:M46"/>
    <mergeCell ref="O46:S46"/>
    <mergeCell ref="U46:Y46"/>
    <mergeCell ref="B44:D44"/>
    <mergeCell ref="I44:K44"/>
    <mergeCell ref="L44:M44"/>
    <mergeCell ref="O44:Q44"/>
    <mergeCell ref="R44:S44"/>
    <mergeCell ref="U44:W44"/>
    <mergeCell ref="U42:W42"/>
    <mergeCell ref="X42:Y42"/>
    <mergeCell ref="B43:D43"/>
    <mergeCell ref="I43:K43"/>
    <mergeCell ref="L43:M43"/>
    <mergeCell ref="U40:W40"/>
    <mergeCell ref="X40:Y40"/>
    <mergeCell ref="B41:D41"/>
    <mergeCell ref="O41:Q41"/>
    <mergeCell ref="R41:S41"/>
    <mergeCell ref="B42:D42"/>
    <mergeCell ref="I42:K42"/>
    <mergeCell ref="L42:M42"/>
    <mergeCell ref="O42:Q42"/>
    <mergeCell ref="R42:S42"/>
    <mergeCell ref="U41:W41"/>
    <mergeCell ref="X41:Y41"/>
    <mergeCell ref="B37:D38"/>
    <mergeCell ref="B40:D40"/>
    <mergeCell ref="I40:K40"/>
    <mergeCell ref="L40:M40"/>
    <mergeCell ref="O40:Q40"/>
    <mergeCell ref="R40:S40"/>
    <mergeCell ref="B28:D28"/>
    <mergeCell ref="B29:D29"/>
    <mergeCell ref="B30:D30"/>
    <mergeCell ref="B31:B33"/>
    <mergeCell ref="E31:E33"/>
    <mergeCell ref="B34:B36"/>
    <mergeCell ref="E34:E36"/>
    <mergeCell ref="I26:I27"/>
    <mergeCell ref="K26:M27"/>
    <mergeCell ref="O26:O27"/>
    <mergeCell ref="Q26:S27"/>
    <mergeCell ref="U26:U27"/>
    <mergeCell ref="W26:Y27"/>
    <mergeCell ref="X23:Y23"/>
    <mergeCell ref="A24:B24"/>
    <mergeCell ref="E24:F24"/>
    <mergeCell ref="A25:A27"/>
    <mergeCell ref="B25:D27"/>
    <mergeCell ref="E25:E27"/>
    <mergeCell ref="F25:F27"/>
    <mergeCell ref="I25:M25"/>
    <mergeCell ref="O25:S25"/>
    <mergeCell ref="U25:Y25"/>
    <mergeCell ref="B23:D23"/>
    <mergeCell ref="I23:K23"/>
    <mergeCell ref="L23:M23"/>
    <mergeCell ref="O23:Q23"/>
    <mergeCell ref="R23:S23"/>
    <mergeCell ref="U23:W23"/>
    <mergeCell ref="X21:Y21"/>
    <mergeCell ref="B22:D22"/>
    <mergeCell ref="I22:K22"/>
    <mergeCell ref="L22:M22"/>
    <mergeCell ref="B21:D21"/>
    <mergeCell ref="I21:K21"/>
    <mergeCell ref="L21:M21"/>
    <mergeCell ref="O21:Q21"/>
    <mergeCell ref="R21:S21"/>
    <mergeCell ref="U21:W21"/>
    <mergeCell ref="U19:W19"/>
    <mergeCell ref="X19:Y19"/>
    <mergeCell ref="B20:D20"/>
    <mergeCell ref="I20:M20"/>
    <mergeCell ref="O20:Q20"/>
    <mergeCell ref="R20:S20"/>
    <mergeCell ref="B16:D17"/>
    <mergeCell ref="B19:D19"/>
    <mergeCell ref="I19:K19"/>
    <mergeCell ref="L19:M19"/>
    <mergeCell ref="O19:Q19"/>
    <mergeCell ref="R19:S19"/>
    <mergeCell ref="U20:W20"/>
    <mergeCell ref="X20:Y20"/>
    <mergeCell ref="B7:D7"/>
    <mergeCell ref="B8:D8"/>
    <mergeCell ref="B9:D9"/>
    <mergeCell ref="B10:B12"/>
    <mergeCell ref="E10:E12"/>
    <mergeCell ref="B13:B15"/>
    <mergeCell ref="E13:E15"/>
    <mergeCell ref="I5:I6"/>
    <mergeCell ref="K5:M6"/>
    <mergeCell ref="O5:O6"/>
    <mergeCell ref="Q5:S6"/>
    <mergeCell ref="U5:U6"/>
    <mergeCell ref="W5:Y6"/>
    <mergeCell ref="A1:Y1"/>
    <mergeCell ref="A3:B3"/>
    <mergeCell ref="E3:F3"/>
    <mergeCell ref="A4:A6"/>
    <mergeCell ref="B4:D6"/>
    <mergeCell ref="E4:E6"/>
    <mergeCell ref="F4:F6"/>
    <mergeCell ref="I4:M4"/>
    <mergeCell ref="O4:S4"/>
    <mergeCell ref="U4:Y4"/>
  </mergeCells>
  <phoneticPr fontId="6" type="noConversion"/>
  <conditionalFormatting sqref="O71 O50 O29 I8:I9 O8 O113 U113:U114 I29:I30 U29:U30 I50:I51 U50:U51 I71:I72 U71:U72 I92:I93 U92:U93 I113:I114 U9 O91:O92">
    <cfRule type="expression" dxfId="172" priority="95">
      <formula>I8&lt;10</formula>
    </cfRule>
    <cfRule type="expression" dxfId="171" priority="96">
      <formula>I8&gt;15</formula>
    </cfRule>
  </conditionalFormatting>
  <conditionalFormatting sqref="I73 I76 O73 U73 I115 I52 I55 O52 U52 I118 I31 I34 O31 U31 U115 I10 I13 O10 U10 O115 O94 I94 I97 U94">
    <cfRule type="expression" dxfId="170" priority="93">
      <formula>I10&lt;40</formula>
    </cfRule>
    <cfRule type="expression" dxfId="169" priority="94">
      <formula>I10&gt;60</formula>
    </cfRule>
  </conditionalFormatting>
  <conditionalFormatting sqref="I74 O74 U74 I77 I116 I56 I119 I53 O53 U53 I32 O32 U32 I35 U116 O116 U11 I14 I11 O11 O95 I95 I98 U95">
    <cfRule type="expression" dxfId="168" priority="91">
      <formula>I11&lt;5.2</formula>
    </cfRule>
    <cfRule type="expression" dxfId="167" priority="92">
      <formula>I11&gt;7.8</formula>
    </cfRule>
  </conditionalFormatting>
  <conditionalFormatting sqref="I75 I78 O75 U75 I117 I54 I57 O54 U54 I120 I33 I36 O33 U33 U117 I12 I15 O12 U12 O117 O96 I96 I99 U96">
    <cfRule type="expression" dxfId="166" priority="90">
      <formula>I12&gt;0.4</formula>
    </cfRule>
  </conditionalFormatting>
  <conditionalFormatting sqref="I79 O79 U79 I58 O58 U58 I37 O37 U37 I16 O16 U16 O100 I100 U100 O121 I121 U121">
    <cfRule type="expression" dxfId="165" priority="88">
      <formula>I16&lt;0.8</formula>
    </cfRule>
    <cfRule type="expression" dxfId="164" priority="89">
      <formula>I16&gt;1.2</formula>
    </cfRule>
  </conditionalFormatting>
  <conditionalFormatting sqref="I80 U80 O80 U59 I59 O59 U38 I38 O38 U17 O17 I17 O101 I101 U101 O122 I122 U122">
    <cfRule type="expression" dxfId="163" priority="86">
      <formula>I17&lt;8</formula>
    </cfRule>
    <cfRule type="expression" dxfId="162" priority="87">
      <formula>I17&gt;10</formula>
    </cfRule>
  </conditionalFormatting>
  <conditionalFormatting sqref="O20 O7 O28 O49 O70 O91 O112">
    <cfRule type="expression" dxfId="161" priority="84">
      <formula>O7&lt;30</formula>
    </cfRule>
    <cfRule type="expression" dxfId="160" priority="85">
      <formula>O7&gt;50</formula>
    </cfRule>
  </conditionalFormatting>
  <conditionalFormatting sqref="I84:I85 X84 R84:S84 U105 L84:L86 I63:I64 X63 L63:L64 R63:S63 U84 I42:I43 X42 L42:L43 R42:S42 U63 I21:I22 O21 X21 U42 R21:S21 L21:L22 I105:I106 X105 L105:L106 R105:S105 U21 O42 O63 O84 O105">
    <cfRule type="expression" dxfId="159" priority="82">
      <formula>I21&lt;65</formula>
    </cfRule>
    <cfRule type="expression" dxfId="158" priority="83">
      <formula>I21&gt;85</formula>
    </cfRule>
  </conditionalFormatting>
  <conditionalFormatting sqref="I86 U86 L86 R86:S86 X86 I65 U65 L65 R65:S65 X65 I44 U44 L44 R44:S44 X44 I23 O23 U23 X23 R23:S23 L23 I107 U107 L107 R107:S107 X107 O44 O65 O86 O107">
    <cfRule type="expression" dxfId="157" priority="80">
      <formula>I23&lt;80</formula>
    </cfRule>
    <cfRule type="expression" dxfId="156" priority="81">
      <formula>I23&gt;90</formula>
    </cfRule>
  </conditionalFormatting>
  <conditionalFormatting sqref="U86 U107 I84:L86 O73:O74 I76:I77 O80 I92:I95 U65 I63:L65 X86:Y86 U80 I80 U59 I59 I55:I56 O59 U92:U95 O52:O53 O42:S42 U44 I42:L44 X65:Y65 U38 I38 O31:O32 I34:I35 O38 I113:I116 R21:S21 I21:I23 O20:O21 O23 R23:S23 X23 X44:Y44 O7:O8 U9:U11 I8:I11 O10:O11 I13:I14 U17 O17 I17 L21:L23 R20 O28:O29 R41 O49:O50 R62 O70:O71 O94:O95 O101 I97:I98 I101 U71:U74 U101 R83 O115:O116 O122 X107:Y107 U50:U53 I105:L107 I118:I119 I122 I71:I74 U122 R104 O112:O113 U113:U116 I29:I32 U29:U32 I50:I53 X105:Y105 U105 U84 X84:Y84 U63 X63:Y63 U42 X42:Y42 X21 U21 U23 O41:O42 O44:S44 O63:S63 O62:O63 O65:S65 O84:S84 O83:O84 O86:S86 O105:S105 O104:O105 O107:S107 O91:O92">
    <cfRule type="expression" dxfId="155" priority="79">
      <formula>I7&lt;1</formula>
    </cfRule>
  </conditionalFormatting>
  <conditionalFormatting sqref="I79 O79 U79 I58 O58 U58 I37 O37 U37 I16 O16 U16 O100 I100 U100 O121 I121 U121">
    <cfRule type="expression" dxfId="154" priority="78">
      <formula>I16&lt;0.1</formula>
    </cfRule>
  </conditionalFormatting>
  <conditionalFormatting sqref="I126:I127 O126 X126 L126:L127 R126:S126 U126">
    <cfRule type="expression" dxfId="153" priority="76">
      <formula>I126&lt;65</formula>
    </cfRule>
    <cfRule type="expression" dxfId="152" priority="77">
      <formula>I126&gt;85</formula>
    </cfRule>
  </conditionalFormatting>
  <conditionalFormatting sqref="I128 O128 U128 L128 R128:S128 X128">
    <cfRule type="expression" dxfId="151" priority="74">
      <formula>I128&lt;80</formula>
    </cfRule>
    <cfRule type="expression" dxfId="150" priority="75">
      <formula>I128&gt;90</formula>
    </cfRule>
  </conditionalFormatting>
  <conditionalFormatting sqref="X128:Y128 O126:S126 O128:S128 I126:L128 X126:Y126 U126 U128">
    <cfRule type="expression" dxfId="149" priority="73">
      <formula>I126&lt;1</formula>
    </cfRule>
  </conditionalFormatting>
  <conditionalFormatting sqref="R20 O41 R41 R62 R83 R104 O62 O83 O104">
    <cfRule type="expression" dxfId="148" priority="71">
      <formula>O20&lt;55</formula>
    </cfRule>
    <cfRule type="expression" dxfId="147" priority="72">
      <formula>O20&gt;65</formula>
    </cfRule>
  </conditionalFormatting>
  <conditionalFormatting sqref="O125">
    <cfRule type="expression" dxfId="146" priority="69">
      <formula>O125&lt;55</formula>
    </cfRule>
    <cfRule type="expression" dxfId="145" priority="70">
      <formula>O125&gt;65</formula>
    </cfRule>
  </conditionalFormatting>
  <conditionalFormatting sqref="O125">
    <cfRule type="expression" dxfId="144" priority="68">
      <formula>O125&lt;1</formula>
    </cfRule>
  </conditionalFormatting>
  <conditionalFormatting sqref="R125">
    <cfRule type="expression" dxfId="143" priority="66">
      <formula>R125&lt;55</formula>
    </cfRule>
    <cfRule type="expression" dxfId="142" priority="67">
      <formula>R125&gt;65</formula>
    </cfRule>
  </conditionalFormatting>
  <conditionalFormatting sqref="R125">
    <cfRule type="expression" dxfId="141" priority="65">
      <formula>R125&lt;1</formula>
    </cfRule>
  </conditionalFormatting>
  <conditionalFormatting sqref="U8">
    <cfRule type="expression" dxfId="140" priority="60">
      <formula>U8&lt;10</formula>
    </cfRule>
    <cfRule type="expression" dxfId="139" priority="61">
      <formula>U8&gt;15</formula>
    </cfRule>
  </conditionalFormatting>
  <conditionalFormatting sqref="U8">
    <cfRule type="expression" dxfId="138" priority="59">
      <formula>U8&lt;1</formula>
    </cfRule>
  </conditionalFormatting>
  <conditionalFormatting sqref="U28">
    <cfRule type="expression" dxfId="137" priority="57">
      <formula>U28&lt;30</formula>
    </cfRule>
    <cfRule type="expression" dxfId="136" priority="58">
      <formula>U28&gt;50</formula>
    </cfRule>
  </conditionalFormatting>
  <conditionalFormatting sqref="U28">
    <cfRule type="expression" dxfId="135" priority="56">
      <formula>U28&lt;1</formula>
    </cfRule>
  </conditionalFormatting>
  <conditionalFormatting sqref="U49">
    <cfRule type="expression" dxfId="134" priority="54">
      <formula>U49&lt;30</formula>
    </cfRule>
    <cfRule type="expression" dxfId="133" priority="55">
      <formula>U49&gt;50</formula>
    </cfRule>
  </conditionalFormatting>
  <conditionalFormatting sqref="U49">
    <cfRule type="expression" dxfId="132" priority="53">
      <formula>U49&lt;1</formula>
    </cfRule>
  </conditionalFormatting>
  <conditionalFormatting sqref="U70">
    <cfRule type="expression" dxfId="131" priority="51">
      <formula>U70&lt;30</formula>
    </cfRule>
    <cfRule type="expression" dxfId="130" priority="52">
      <formula>U70&gt;50</formula>
    </cfRule>
  </conditionalFormatting>
  <conditionalFormatting sqref="U70">
    <cfRule type="expression" dxfId="129" priority="50">
      <formula>U70&lt;1</formula>
    </cfRule>
  </conditionalFormatting>
  <conditionalFormatting sqref="U91">
    <cfRule type="expression" dxfId="128" priority="48">
      <formula>U91&lt;30</formula>
    </cfRule>
    <cfRule type="expression" dxfId="127" priority="49">
      <formula>U91&gt;50</formula>
    </cfRule>
  </conditionalFormatting>
  <conditionalFormatting sqref="U91">
    <cfRule type="expression" dxfId="126" priority="47">
      <formula>U91&lt;1</formula>
    </cfRule>
  </conditionalFormatting>
  <conditionalFormatting sqref="U112">
    <cfRule type="expression" dxfId="125" priority="45">
      <formula>U112&lt;30</formula>
    </cfRule>
    <cfRule type="expression" dxfId="124" priority="46">
      <formula>U112&gt;50</formula>
    </cfRule>
  </conditionalFormatting>
  <conditionalFormatting sqref="U112">
    <cfRule type="expression" dxfId="123" priority="44">
      <formula>U112&lt;1</formula>
    </cfRule>
  </conditionalFormatting>
  <conditionalFormatting sqref="U20">
    <cfRule type="expression" dxfId="122" priority="42">
      <formula>U20&lt;30</formula>
    </cfRule>
    <cfRule type="expression" dxfId="121" priority="43">
      <formula>U20&gt;50</formula>
    </cfRule>
  </conditionalFormatting>
  <conditionalFormatting sqref="U20 X20">
    <cfRule type="expression" dxfId="120" priority="41">
      <formula>U20&lt;1</formula>
    </cfRule>
  </conditionalFormatting>
  <conditionalFormatting sqref="X20">
    <cfRule type="expression" dxfId="119" priority="39">
      <formula>X20&lt;55</formula>
    </cfRule>
    <cfRule type="expression" dxfId="118" priority="40">
      <formula>X20&gt;65</formula>
    </cfRule>
  </conditionalFormatting>
  <conditionalFormatting sqref="U41 X41">
    <cfRule type="expression" dxfId="117" priority="38">
      <formula>U41&lt;1</formula>
    </cfRule>
  </conditionalFormatting>
  <conditionalFormatting sqref="U41 X41">
    <cfRule type="expression" dxfId="116" priority="36">
      <formula>U41&lt;55</formula>
    </cfRule>
    <cfRule type="expression" dxfId="115" priority="37">
      <formula>U41&gt;65</formula>
    </cfRule>
  </conditionalFormatting>
  <conditionalFormatting sqref="U62 X62">
    <cfRule type="expression" dxfId="114" priority="35">
      <formula>U62&lt;1</formula>
    </cfRule>
  </conditionalFormatting>
  <conditionalFormatting sqref="U62 X62">
    <cfRule type="expression" dxfId="113" priority="33">
      <formula>U62&lt;55</formula>
    </cfRule>
    <cfRule type="expression" dxfId="112" priority="34">
      <formula>U62&gt;65</formula>
    </cfRule>
  </conditionalFormatting>
  <conditionalFormatting sqref="U83 X83">
    <cfRule type="expression" dxfId="111" priority="32">
      <formula>U83&lt;1</formula>
    </cfRule>
  </conditionalFormatting>
  <conditionalFormatting sqref="U83 X83">
    <cfRule type="expression" dxfId="110" priority="30">
      <formula>U83&lt;55</formula>
    </cfRule>
    <cfRule type="expression" dxfId="109" priority="31">
      <formula>U83&gt;65</formula>
    </cfRule>
  </conditionalFormatting>
  <conditionalFormatting sqref="U104 X104">
    <cfRule type="expression" dxfId="108" priority="29">
      <formula>U104&lt;1</formula>
    </cfRule>
  </conditionalFormatting>
  <conditionalFormatting sqref="U104 X104">
    <cfRule type="expression" dxfId="107" priority="27">
      <formula>U104&lt;55</formula>
    </cfRule>
    <cfRule type="expression" dxfId="106" priority="28">
      <formula>U104&gt;65</formula>
    </cfRule>
  </conditionalFormatting>
  <conditionalFormatting sqref="U125">
    <cfRule type="expression" dxfId="105" priority="25">
      <formula>U125&lt;55</formula>
    </cfRule>
    <cfRule type="expression" dxfId="104" priority="26">
      <formula>U125&gt;65</formula>
    </cfRule>
  </conditionalFormatting>
  <conditionalFormatting sqref="U125">
    <cfRule type="expression" dxfId="103" priority="24">
      <formula>U125&lt;1</formula>
    </cfRule>
  </conditionalFormatting>
  <conditionalFormatting sqref="X125">
    <cfRule type="expression" dxfId="102" priority="22">
      <formula>X125&lt;55</formula>
    </cfRule>
    <cfRule type="expression" dxfId="101" priority="23">
      <formula>X125&gt;65</formula>
    </cfRule>
  </conditionalFormatting>
  <conditionalFormatting sqref="X125">
    <cfRule type="expression" dxfId="100" priority="21">
      <formula>X125&lt;1</formula>
    </cfRule>
  </conditionalFormatting>
  <conditionalFormatting sqref="O41">
    <cfRule type="expression" dxfId="99" priority="19">
      <formula>O41&lt;30</formula>
    </cfRule>
    <cfRule type="expression" dxfId="98" priority="20">
      <formula>O41&gt;50</formula>
    </cfRule>
  </conditionalFormatting>
  <conditionalFormatting sqref="O62">
    <cfRule type="expression" dxfId="97" priority="17">
      <formula>O62&lt;30</formula>
    </cfRule>
    <cfRule type="expression" dxfId="96" priority="18">
      <formula>O62&gt;50</formula>
    </cfRule>
  </conditionalFormatting>
  <conditionalFormatting sqref="O83">
    <cfRule type="expression" dxfId="95" priority="15">
      <formula>O83&lt;30</formula>
    </cfRule>
    <cfRule type="expression" dxfId="94" priority="16">
      <formula>O83&gt;50</formula>
    </cfRule>
  </conditionalFormatting>
  <conditionalFormatting sqref="O104">
    <cfRule type="expression" dxfId="93" priority="13">
      <formula>O104&lt;30</formula>
    </cfRule>
    <cfRule type="expression" dxfId="92" priority="14">
      <formula>O104&gt;50</formula>
    </cfRule>
  </conditionalFormatting>
  <conditionalFormatting sqref="O126">
    <cfRule type="expression" dxfId="91" priority="11">
      <formula>O126&lt;65</formula>
    </cfRule>
    <cfRule type="expression" dxfId="90" priority="12">
      <formula>O126&gt;85</formula>
    </cfRule>
  </conditionalFormatting>
  <conditionalFormatting sqref="O128">
    <cfRule type="expression" dxfId="89" priority="9">
      <formula>O128&lt;80</formula>
    </cfRule>
    <cfRule type="expression" dxfId="88" priority="10">
      <formula>O128&gt;90</formula>
    </cfRule>
  </conditionalFormatting>
  <conditionalFormatting sqref="O126:Q126 O125 O128:Q128">
    <cfRule type="expression" dxfId="87" priority="8">
      <formula>O125&lt;1</formula>
    </cfRule>
  </conditionalFormatting>
  <conditionalFormatting sqref="O125">
    <cfRule type="expression" dxfId="86" priority="6">
      <formula>O125&lt;55</formula>
    </cfRule>
    <cfRule type="expression" dxfId="85" priority="7">
      <formula>O125&gt;65</formula>
    </cfRule>
  </conditionalFormatting>
  <conditionalFormatting sqref="O125">
    <cfRule type="expression" dxfId="84" priority="4">
      <formula>O125&lt;30</formula>
    </cfRule>
    <cfRule type="expression" dxfId="83" priority="5">
      <formula>O125&gt;50</formula>
    </cfRule>
  </conditionalFormatting>
  <conditionalFormatting sqref="U7">
    <cfRule type="expression" dxfId="82" priority="2">
      <formula>U7&lt;30</formula>
    </cfRule>
    <cfRule type="expression" dxfId="81" priority="3">
      <formula>U7&gt;50</formula>
    </cfRule>
  </conditionalFormatting>
  <conditionalFormatting sqref="U7">
    <cfRule type="expression" dxfId="80" priority="1">
      <formula>U7&lt;1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0.xml><?xml version="1.0" encoding="utf-8"?>
<worksheet xmlns="http://schemas.openxmlformats.org/spreadsheetml/2006/main" xmlns:r="http://schemas.openxmlformats.org/officeDocument/2006/relationships">
  <sheetPr codeName="Sheet34">
    <tabColor rgb="FFFFC000"/>
  </sheetPr>
  <dimension ref="A1:I186"/>
  <sheetViews>
    <sheetView workbookViewId="0"/>
  </sheetViews>
  <sheetFormatPr defaultColWidth="4.125" defaultRowHeight="12.75" customHeight="1"/>
  <cols>
    <col min="1" max="1" width="2.75" style="765" customWidth="1"/>
    <col min="2" max="2" width="16.875" style="765" customWidth="1"/>
    <col min="3" max="4" width="9.5" style="767" customWidth="1"/>
    <col min="5" max="8" width="7" style="767" customWidth="1"/>
    <col min="9" max="9" width="4.875" style="767" customWidth="1"/>
    <col min="10" max="35" width="4.125" style="765"/>
    <col min="36" max="36" width="4.125" style="765" customWidth="1"/>
    <col min="37" max="16384" width="4.125" style="765"/>
  </cols>
  <sheetData>
    <row r="1" spans="1:9" ht="18" customHeight="1">
      <c r="B1" s="766"/>
      <c r="C1" s="766"/>
    </row>
    <row r="2" spans="1:9" ht="12.75" customHeight="1">
      <c r="B2" s="768" t="s">
        <v>791</v>
      </c>
      <c r="C2" s="769" t="str">
        <f>'1.xi den'!G3</f>
        <v>2022/12/03</v>
      </c>
    </row>
    <row r="3" spans="1:9" s="772" customFormat="1" ht="12.75" customHeight="1">
      <c r="A3" s="2475" t="s">
        <v>7</v>
      </c>
      <c r="B3" s="2477" t="s">
        <v>809</v>
      </c>
      <c r="C3" s="770"/>
      <c r="D3" s="771" t="s">
        <v>173</v>
      </c>
      <c r="E3" s="771"/>
      <c r="F3" s="771"/>
      <c r="G3" s="771"/>
      <c r="H3" s="771"/>
      <c r="I3" s="771"/>
    </row>
    <row r="4" spans="1:9" s="772" customFormat="1" ht="12.75" customHeight="1" thickBot="1">
      <c r="A4" s="2476"/>
      <c r="B4" s="2478"/>
      <c r="C4" s="773"/>
      <c r="D4" s="774" t="s">
        <v>427</v>
      </c>
      <c r="E4" s="774" t="s">
        <v>428</v>
      </c>
      <c r="F4" s="774" t="s">
        <v>429</v>
      </c>
      <c r="G4" s="774" t="s">
        <v>430</v>
      </c>
      <c r="H4" s="774" t="s">
        <v>431</v>
      </c>
      <c r="I4" s="774" t="s">
        <v>432</v>
      </c>
    </row>
    <row r="5" spans="1:9" s="778" customFormat="1" ht="12.75" customHeight="1">
      <c r="A5" s="379">
        <v>1</v>
      </c>
      <c r="B5" s="164" t="s">
        <v>810</v>
      </c>
      <c r="C5" s="457" t="s">
        <v>811</v>
      </c>
      <c r="D5" s="775">
        <f>'2.RL E'!F7</f>
        <v>0</v>
      </c>
      <c r="E5" s="776">
        <f>'2.RL E'!J7</f>
        <v>0</v>
      </c>
      <c r="F5" s="776">
        <f>'2.RL E'!N7</f>
        <v>0</v>
      </c>
      <c r="G5" s="776">
        <f>'2.RL E'!F28</f>
        <v>0</v>
      </c>
      <c r="H5" s="776">
        <f>'2.RL E'!J28</f>
        <v>0</v>
      </c>
      <c r="I5" s="777">
        <f>'2.RL E'!N28</f>
        <v>0</v>
      </c>
    </row>
    <row r="6" spans="1:9" s="778" customFormat="1" ht="12.75" hidden="1" customHeight="1">
      <c r="A6" s="379"/>
      <c r="B6" s="164" t="s">
        <v>810</v>
      </c>
      <c r="C6" s="457" t="s">
        <v>811</v>
      </c>
      <c r="D6" s="779">
        <f>'2.RL E'!F8</f>
        <v>0</v>
      </c>
      <c r="E6" s="780">
        <f>'2.RL E'!J8</f>
        <v>0</v>
      </c>
      <c r="F6" s="780">
        <f>'2.RL E'!N8</f>
        <v>0</v>
      </c>
      <c r="G6" s="780">
        <f>'2.RL E'!F29</f>
        <v>0</v>
      </c>
      <c r="H6" s="780">
        <f>'2.RL E'!J29</f>
        <v>0</v>
      </c>
      <c r="I6" s="781">
        <f>'2.RL E'!N29</f>
        <v>0</v>
      </c>
    </row>
    <row r="7" spans="1:9" s="778" customFormat="1" ht="12.75" hidden="1" customHeight="1">
      <c r="A7" s="379">
        <v>2</v>
      </c>
      <c r="B7" s="2479" t="s">
        <v>812</v>
      </c>
      <c r="C7" s="782" t="s">
        <v>654</v>
      </c>
      <c r="D7" s="779">
        <f>'2.RL E'!F9</f>
        <v>0</v>
      </c>
      <c r="E7" s="780">
        <f>'2.RL E'!J9</f>
        <v>0</v>
      </c>
      <c r="F7" s="780">
        <f>'2.RL E'!N9</f>
        <v>0</v>
      </c>
      <c r="G7" s="780">
        <f>'2.RL E'!F30</f>
        <v>0</v>
      </c>
      <c r="H7" s="780">
        <f>'2.RL E'!J30</f>
        <v>0</v>
      </c>
      <c r="I7" s="781">
        <f>'2.RL E'!N30</f>
        <v>0</v>
      </c>
    </row>
    <row r="8" spans="1:9" s="778" customFormat="1" ht="12.75" hidden="1" customHeight="1">
      <c r="A8" s="379">
        <v>3</v>
      </c>
      <c r="B8" s="2480"/>
      <c r="C8" s="782" t="s">
        <v>658</v>
      </c>
      <c r="D8" s="779">
        <f>'2.RL E'!F10</f>
        <v>0</v>
      </c>
      <c r="E8" s="780">
        <f>'2.RL E'!J10</f>
        <v>0</v>
      </c>
      <c r="F8" s="780">
        <f>'2.RL E'!N10</f>
        <v>0</v>
      </c>
      <c r="G8" s="780">
        <f>'2.RL E'!F31</f>
        <v>0</v>
      </c>
      <c r="H8" s="780">
        <f>'2.RL E'!J31</f>
        <v>0</v>
      </c>
      <c r="I8" s="781">
        <f>'2.RL E'!N31</f>
        <v>0</v>
      </c>
    </row>
    <row r="9" spans="1:9" s="778" customFormat="1" ht="12.75" hidden="1" customHeight="1">
      <c r="A9" s="379">
        <v>4</v>
      </c>
      <c r="B9" s="2481"/>
      <c r="C9" s="782" t="s">
        <v>660</v>
      </c>
      <c r="D9" s="779">
        <f>'2.RL E'!F11</f>
        <v>0</v>
      </c>
      <c r="E9" s="780">
        <f>'2.RL E'!J11</f>
        <v>0</v>
      </c>
      <c r="F9" s="780">
        <f>'2.RL E'!N11</f>
        <v>0</v>
      </c>
      <c r="G9" s="780">
        <f>'2.RL E'!F32</f>
        <v>0</v>
      </c>
      <c r="H9" s="780">
        <f>'2.RL E'!J32</f>
        <v>0</v>
      </c>
      <c r="I9" s="781">
        <f>'2.RL E'!N32</f>
        <v>0</v>
      </c>
    </row>
    <row r="10" spans="1:9" s="778" customFormat="1" ht="12.75" hidden="1" customHeight="1">
      <c r="A10" s="379">
        <v>5</v>
      </c>
      <c r="B10" s="2479" t="s">
        <v>813</v>
      </c>
      <c r="C10" s="782" t="s">
        <v>654</v>
      </c>
      <c r="D10" s="779">
        <f>'2.RL E'!F12</f>
        <v>0</v>
      </c>
      <c r="E10" s="780">
        <f>'2.RL E'!J12</f>
        <v>0</v>
      </c>
      <c r="F10" s="780">
        <f>'2.RL E'!N12</f>
        <v>0</v>
      </c>
      <c r="G10" s="780">
        <f>'2.RL E'!F33</f>
        <v>0</v>
      </c>
      <c r="H10" s="780">
        <f>'2.RL E'!J33</f>
        <v>0</v>
      </c>
      <c r="I10" s="781">
        <f>'2.RL E'!N33</f>
        <v>0</v>
      </c>
    </row>
    <row r="11" spans="1:9" s="778" customFormat="1" ht="12.75" hidden="1" customHeight="1">
      <c r="A11" s="379">
        <v>6</v>
      </c>
      <c r="B11" s="2480"/>
      <c r="C11" s="782" t="s">
        <v>658</v>
      </c>
      <c r="D11" s="779">
        <f>'2.RL E'!F13</f>
        <v>0</v>
      </c>
      <c r="E11" s="780">
        <f>'2.RL E'!J13</f>
        <v>0</v>
      </c>
      <c r="F11" s="780">
        <f>'2.RL E'!N13</f>
        <v>0</v>
      </c>
      <c r="G11" s="780">
        <f>'2.RL E'!F34</f>
        <v>0</v>
      </c>
      <c r="H11" s="780">
        <f>'2.RL E'!J34</f>
        <v>0</v>
      </c>
      <c r="I11" s="781">
        <f>'2.RL E'!N34</f>
        <v>0</v>
      </c>
    </row>
    <row r="12" spans="1:9" s="778" customFormat="1" ht="12.75" hidden="1" customHeight="1">
      <c r="A12" s="379">
        <v>7</v>
      </c>
      <c r="B12" s="2481"/>
      <c r="C12" s="782" t="s">
        <v>660</v>
      </c>
      <c r="D12" s="779">
        <f>'2.RL E'!F14</f>
        <v>0</v>
      </c>
      <c r="E12" s="780">
        <f>'2.RL E'!J14</f>
        <v>0</v>
      </c>
      <c r="F12" s="780">
        <f>'2.RL E'!N14</f>
        <v>0</v>
      </c>
      <c r="G12" s="780">
        <f>'2.RL E'!F35</f>
        <v>0</v>
      </c>
      <c r="H12" s="780">
        <f>'2.RL E'!J35</f>
        <v>0</v>
      </c>
      <c r="I12" s="781">
        <f>'2.RL E'!N35</f>
        <v>0</v>
      </c>
    </row>
    <row r="13" spans="1:9" s="783" customFormat="1" ht="12.75" hidden="1" customHeight="1">
      <c r="A13" s="379">
        <v>8</v>
      </c>
      <c r="B13" s="2479" t="s">
        <v>814</v>
      </c>
      <c r="C13" s="457" t="s">
        <v>815</v>
      </c>
      <c r="D13" s="779">
        <f>'2.RL E'!F15</f>
        <v>0</v>
      </c>
      <c r="E13" s="780">
        <f>'2.RL E'!J15</f>
        <v>0</v>
      </c>
      <c r="F13" s="780">
        <f>'2.RL E'!N15</f>
        <v>0</v>
      </c>
      <c r="G13" s="780">
        <f>'2.RL E'!F36</f>
        <v>0</v>
      </c>
      <c r="H13" s="780">
        <f>'2.RL E'!J36</f>
        <v>0</v>
      </c>
      <c r="I13" s="781">
        <f>'2.RL E'!N36</f>
        <v>0</v>
      </c>
    </row>
    <row r="14" spans="1:9" s="783" customFormat="1" ht="12.75" hidden="1" customHeight="1">
      <c r="A14" s="379">
        <v>9</v>
      </c>
      <c r="B14" s="2481"/>
      <c r="C14" s="457" t="s">
        <v>666</v>
      </c>
      <c r="D14" s="779">
        <f>'2.RL E'!F16</f>
        <v>0</v>
      </c>
      <c r="E14" s="780">
        <f>'2.RL E'!J16</f>
        <v>0</v>
      </c>
      <c r="F14" s="780">
        <f>'2.RL E'!N16</f>
        <v>0</v>
      </c>
      <c r="G14" s="780">
        <f>'2.RL E'!F37</f>
        <v>0</v>
      </c>
      <c r="H14" s="780">
        <f>'2.RL E'!J37</f>
        <v>0</v>
      </c>
      <c r="I14" s="781">
        <f>'2.RL E'!N37</f>
        <v>0</v>
      </c>
    </row>
    <row r="15" spans="1:9" s="783" customFormat="1" ht="12.75" hidden="1" customHeight="1">
      <c r="A15" s="2474" t="s">
        <v>2</v>
      </c>
      <c r="B15" s="2474"/>
      <c r="C15" s="770"/>
      <c r="D15" s="784" t="s">
        <v>175</v>
      </c>
      <c r="E15" s="771"/>
      <c r="F15" s="771"/>
      <c r="G15" s="771"/>
      <c r="H15" s="771"/>
      <c r="I15" s="785"/>
    </row>
    <row r="16" spans="1:9" s="783" customFormat="1" ht="12.75" hidden="1" customHeight="1">
      <c r="A16" s="176" t="s">
        <v>57</v>
      </c>
      <c r="B16" s="786" t="s">
        <v>816</v>
      </c>
      <c r="C16" s="770"/>
      <c r="D16" s="787" t="s">
        <v>427</v>
      </c>
      <c r="E16" s="774" t="s">
        <v>428</v>
      </c>
      <c r="F16" s="774" t="s">
        <v>429</v>
      </c>
      <c r="G16" s="774" t="s">
        <v>430</v>
      </c>
      <c r="H16" s="774" t="s">
        <v>431</v>
      </c>
      <c r="I16" s="788" t="s">
        <v>432</v>
      </c>
    </row>
    <row r="17" spans="1:9" s="783" customFormat="1" ht="12.75" hidden="1" customHeight="1">
      <c r="A17" s="379">
        <v>1</v>
      </c>
      <c r="B17" s="789" t="s">
        <v>489</v>
      </c>
      <c r="C17" s="790"/>
      <c r="D17" s="779">
        <f>'2.RL E'!F19</f>
        <v>0</v>
      </c>
      <c r="E17" s="780">
        <f>'2.RL E'!J19</f>
        <v>0</v>
      </c>
      <c r="F17" s="780">
        <f>'2.RL E'!N19</f>
        <v>0</v>
      </c>
      <c r="G17" s="780">
        <f>'2.RL E'!F40</f>
        <v>0</v>
      </c>
      <c r="H17" s="780">
        <f>'2.RL E'!J40</f>
        <v>0</v>
      </c>
      <c r="I17" s="785">
        <f>'2.RL E'!N40</f>
        <v>0</v>
      </c>
    </row>
    <row r="18" spans="1:9" s="783" customFormat="1" ht="12.75" hidden="1" customHeight="1">
      <c r="A18" s="379">
        <v>2</v>
      </c>
      <c r="B18" s="789" t="s">
        <v>491</v>
      </c>
      <c r="C18" s="790"/>
      <c r="D18" s="779">
        <f>'2.RL E'!F20</f>
        <v>0</v>
      </c>
      <c r="E18" s="780">
        <f>'2.RL E'!J20</f>
        <v>0</v>
      </c>
      <c r="F18" s="780">
        <f>'2.RL E'!N20</f>
        <v>0</v>
      </c>
      <c r="G18" s="780">
        <f>'2.RL E'!F41</f>
        <v>0</v>
      </c>
      <c r="H18" s="780">
        <f>'2.RL E'!J41</f>
        <v>0</v>
      </c>
      <c r="I18" s="785">
        <f>'2.RL E'!N41</f>
        <v>0</v>
      </c>
    </row>
    <row r="19" spans="1:9" s="783" customFormat="1" ht="12.75" hidden="1" customHeight="1">
      <c r="A19" s="379">
        <v>3</v>
      </c>
      <c r="B19" s="789" t="s">
        <v>484</v>
      </c>
      <c r="C19" s="790"/>
      <c r="D19" s="779">
        <f>'2.RL E'!F21</f>
        <v>0</v>
      </c>
      <c r="E19" s="780">
        <f>'2.RL E'!J21</f>
        <v>0</v>
      </c>
      <c r="F19" s="780">
        <f>'2.RL E'!N21</f>
        <v>0</v>
      </c>
      <c r="G19" s="780">
        <f>'2.RL E'!F42</f>
        <v>0</v>
      </c>
      <c r="H19" s="780">
        <f>'2.RL E'!J42</f>
        <v>0</v>
      </c>
      <c r="I19" s="785">
        <f>'2.RL E'!N42</f>
        <v>0</v>
      </c>
    </row>
    <row r="20" spans="1:9" s="783" customFormat="1" ht="12.75" hidden="1" customHeight="1">
      <c r="A20" s="379">
        <v>4</v>
      </c>
      <c r="B20" s="789" t="s">
        <v>817</v>
      </c>
      <c r="C20" s="790"/>
      <c r="D20" s="779">
        <f>'2.RL E'!F22</f>
        <v>0</v>
      </c>
      <c r="E20" s="780">
        <f>'2.RL E'!J22</f>
        <v>0</v>
      </c>
      <c r="F20" s="780">
        <f>'2.RL E'!N22</f>
        <v>0</v>
      </c>
      <c r="G20" s="780">
        <f>'2.RL E'!F43</f>
        <v>0</v>
      </c>
      <c r="H20" s="780">
        <f>'2.RL E'!J43</f>
        <v>0</v>
      </c>
      <c r="I20" s="785">
        <f>'2.RL E'!N43</f>
        <v>0</v>
      </c>
    </row>
    <row r="21" spans="1:9" ht="12.75" hidden="1" customHeight="1">
      <c r="A21" s="2475" t="s">
        <v>7</v>
      </c>
      <c r="B21" s="2477" t="s">
        <v>809</v>
      </c>
      <c r="C21" s="770"/>
      <c r="D21" s="784" t="s">
        <v>174</v>
      </c>
      <c r="E21" s="771"/>
      <c r="F21" s="771"/>
      <c r="G21" s="771"/>
      <c r="H21" s="771"/>
      <c r="I21" s="791"/>
    </row>
    <row r="22" spans="1:9" ht="12.75" hidden="1" customHeight="1">
      <c r="A22" s="2476"/>
      <c r="B22" s="2478"/>
      <c r="C22" s="773"/>
      <c r="D22" s="787" t="s">
        <v>427</v>
      </c>
      <c r="E22" s="774" t="s">
        <v>428</v>
      </c>
      <c r="F22" s="774" t="s">
        <v>429</v>
      </c>
      <c r="G22" s="774" t="s">
        <v>430</v>
      </c>
      <c r="H22" s="774" t="s">
        <v>431</v>
      </c>
      <c r="I22" s="788" t="s">
        <v>432</v>
      </c>
    </row>
    <row r="23" spans="1:9" ht="12.75" hidden="1" customHeight="1">
      <c r="A23" s="379">
        <v>1</v>
      </c>
      <c r="B23" s="164" t="s">
        <v>810</v>
      </c>
      <c r="C23" s="457"/>
      <c r="D23" s="792">
        <f>'2.RL E'!H7</f>
        <v>292.1875</v>
      </c>
      <c r="E23" s="793">
        <f>'2.RL E'!L7</f>
        <v>292.1875</v>
      </c>
      <c r="F23" s="793">
        <f>'2.RL E'!P7</f>
        <v>292.1875</v>
      </c>
      <c r="G23" s="793">
        <f>'2.RL E'!H28</f>
        <v>292.1875</v>
      </c>
      <c r="H23" s="793">
        <f>'2.RL E'!L28</f>
        <v>292.1875</v>
      </c>
      <c r="I23" s="794">
        <f>'2.RL E'!P28</f>
        <v>292.1875</v>
      </c>
    </row>
    <row r="24" spans="1:9" ht="12.75" hidden="1" customHeight="1">
      <c r="A24" s="379"/>
      <c r="B24" s="164" t="s">
        <v>810</v>
      </c>
      <c r="C24" s="457"/>
      <c r="D24" s="792">
        <f>'2.RL E'!H8</f>
        <v>292.1875</v>
      </c>
      <c r="E24" s="793">
        <f>'2.RL E'!L8</f>
        <v>292.1875</v>
      </c>
      <c r="F24" s="793">
        <f>'2.RL E'!P8</f>
        <v>292.1875</v>
      </c>
      <c r="G24" s="793">
        <f>'2.RL E'!H29</f>
        <v>292.1875</v>
      </c>
      <c r="H24" s="793">
        <f>'2.RL E'!L29</f>
        <v>292.1875</v>
      </c>
      <c r="I24" s="794">
        <f>'2.RL E'!P29</f>
        <v>292.1875</v>
      </c>
    </row>
    <row r="25" spans="1:9" ht="12.75" hidden="1" customHeight="1">
      <c r="A25" s="379">
        <v>2</v>
      </c>
      <c r="B25" s="2479" t="s">
        <v>812</v>
      </c>
      <c r="C25" s="457"/>
      <c r="D25" s="792">
        <f>'2.RL E'!H9</f>
        <v>69.400000000000006</v>
      </c>
      <c r="E25" s="793">
        <f>'2.RL E'!L9</f>
        <v>69.400000000000006</v>
      </c>
      <c r="F25" s="793">
        <f>'2.RL E'!P9</f>
        <v>69.400000000000006</v>
      </c>
      <c r="G25" s="793">
        <f>'2.RL E'!H30</f>
        <v>69.400000000000006</v>
      </c>
      <c r="H25" s="793">
        <f>'2.RL E'!L30</f>
        <v>69.400000000000006</v>
      </c>
      <c r="I25" s="794">
        <f>'2.RL E'!P30</f>
        <v>69.400000000000006</v>
      </c>
    </row>
    <row r="26" spans="1:9" ht="12.75" hidden="1" customHeight="1">
      <c r="A26" s="379">
        <v>3</v>
      </c>
      <c r="B26" s="2480"/>
      <c r="C26" s="457"/>
      <c r="D26" s="792">
        <f>'2.RL E'!H10</f>
        <v>4.5110000000000001</v>
      </c>
      <c r="E26" s="793">
        <f>'2.RL E'!L10</f>
        <v>4.5110000000000001</v>
      </c>
      <c r="F26" s="793">
        <f>'2.RL E'!P10</f>
        <v>4.5110000000000001</v>
      </c>
      <c r="G26" s="793">
        <f>'2.RL E'!H31</f>
        <v>4.5110000000000001</v>
      </c>
      <c r="H26" s="793">
        <f>'2.RL E'!L31</f>
        <v>4.5110000000000001</v>
      </c>
      <c r="I26" s="794">
        <f>'2.RL E'!P31</f>
        <v>4.5110000000000001</v>
      </c>
    </row>
    <row r="27" spans="1:9" ht="12.75" hidden="1" customHeight="1">
      <c r="A27" s="379">
        <v>4</v>
      </c>
      <c r="B27" s="2481"/>
      <c r="C27" s="457"/>
      <c r="D27" s="792" t="str">
        <f>'2.RL E'!H11</f>
        <v>N/A</v>
      </c>
      <c r="E27" s="793" t="str">
        <f>'2.RL E'!L11</f>
        <v>N/A</v>
      </c>
      <c r="F27" s="793" t="str">
        <f>'2.RL E'!P11</f>
        <v>N/A</v>
      </c>
      <c r="G27" s="793" t="str">
        <f>'2.RL E'!H32</f>
        <v>N/A</v>
      </c>
      <c r="H27" s="793" t="str">
        <f>'2.RL E'!L32</f>
        <v>N/A</v>
      </c>
      <c r="I27" s="794" t="str">
        <f>'2.RL E'!P32</f>
        <v>N/A</v>
      </c>
    </row>
    <row r="28" spans="1:9" ht="12.75" hidden="1" customHeight="1">
      <c r="A28" s="379">
        <v>5</v>
      </c>
      <c r="B28" s="2479" t="s">
        <v>813</v>
      </c>
      <c r="C28" s="457"/>
      <c r="D28" s="792">
        <f>'2.RL E'!H12</f>
        <v>69.400000000000006</v>
      </c>
      <c r="E28" s="793">
        <f>'2.RL E'!L12</f>
        <v>69.400000000000006</v>
      </c>
      <c r="F28" s="793">
        <f>'2.RL E'!P12</f>
        <v>69.400000000000006</v>
      </c>
      <c r="G28" s="793">
        <f>'2.RL E'!H33</f>
        <v>69.400000000000006</v>
      </c>
      <c r="H28" s="793">
        <f>'2.RL E'!L33</f>
        <v>69.400000000000006</v>
      </c>
      <c r="I28" s="794">
        <f>'2.RL E'!P33</f>
        <v>69.400000000000006</v>
      </c>
    </row>
    <row r="29" spans="1:9" ht="12.75" hidden="1" customHeight="1">
      <c r="A29" s="379">
        <v>6</v>
      </c>
      <c r="B29" s="2480"/>
      <c r="C29" s="457"/>
      <c r="D29" s="792">
        <f>'2.RL E'!H13</f>
        <v>4.5110000000000001</v>
      </c>
      <c r="E29" s="793">
        <f>'2.RL E'!L13</f>
        <v>4.5110000000000001</v>
      </c>
      <c r="F29" s="793">
        <f>'2.RL E'!P13</f>
        <v>4.5110000000000001</v>
      </c>
      <c r="G29" s="793">
        <f>'2.RL E'!H34</f>
        <v>4.5110000000000001</v>
      </c>
      <c r="H29" s="793">
        <f>'2.RL E'!L34</f>
        <v>4.5110000000000001</v>
      </c>
      <c r="I29" s="794">
        <f>'2.RL E'!P34</f>
        <v>4.5110000000000001</v>
      </c>
    </row>
    <row r="30" spans="1:9" ht="12.75" hidden="1" customHeight="1">
      <c r="A30" s="379">
        <v>7</v>
      </c>
      <c r="B30" s="2481"/>
      <c r="C30" s="457"/>
      <c r="D30" s="792" t="str">
        <f>'2.RL E'!H14</f>
        <v>N/A</v>
      </c>
      <c r="E30" s="793" t="str">
        <f>'2.RL E'!L14</f>
        <v>N/A</v>
      </c>
      <c r="F30" s="793" t="str">
        <f>'2.RL E'!P14</f>
        <v>N/A</v>
      </c>
      <c r="G30" s="793" t="str">
        <f>'2.RL E'!H35</f>
        <v>N/A</v>
      </c>
      <c r="H30" s="793" t="str">
        <f>'2.RL E'!L35</f>
        <v>N/A</v>
      </c>
      <c r="I30" s="794" t="str">
        <f>'2.RL E'!P35</f>
        <v>N/A</v>
      </c>
    </row>
    <row r="31" spans="1:9" ht="12.75" hidden="1" customHeight="1">
      <c r="A31" s="379">
        <v>8</v>
      </c>
      <c r="B31" s="2479" t="s">
        <v>814</v>
      </c>
      <c r="C31" s="457"/>
      <c r="D31" s="792">
        <f>'2.RL E'!H15</f>
        <v>4.3680000000000003</v>
      </c>
      <c r="E31" s="793">
        <f>'2.RL E'!L15</f>
        <v>4.3680000000000003</v>
      </c>
      <c r="F31" s="793">
        <f>'2.RL E'!P15</f>
        <v>4.3680000000000003</v>
      </c>
      <c r="G31" s="793">
        <f>'2.RL E'!H36</f>
        <v>4.3680000000000003</v>
      </c>
      <c r="H31" s="793">
        <f>'2.RL E'!L36</f>
        <v>4.3680000000000003</v>
      </c>
      <c r="I31" s="794">
        <f>'2.RL E'!P36</f>
        <v>4.3680000000000003</v>
      </c>
    </row>
    <row r="32" spans="1:9" ht="12.75" hidden="1" customHeight="1">
      <c r="A32" s="379">
        <v>9</v>
      </c>
      <c r="B32" s="2481"/>
      <c r="C32" s="457"/>
      <c r="D32" s="792">
        <f>'2.RL E'!H16</f>
        <v>0</v>
      </c>
      <c r="E32" s="793">
        <f>'2.RL E'!L16</f>
        <v>0</v>
      </c>
      <c r="F32" s="793">
        <f>'2.RL E'!P16</f>
        <v>0</v>
      </c>
      <c r="G32" s="793">
        <f>'2.RL E'!H37</f>
        <v>0</v>
      </c>
      <c r="H32" s="793">
        <f>'2.RL E'!L37</f>
        <v>0</v>
      </c>
      <c r="I32" s="794">
        <f>'2.RL E'!P37</f>
        <v>0</v>
      </c>
    </row>
    <row r="33" spans="1:9" ht="12.75" hidden="1" customHeight="1">
      <c r="D33" s="795"/>
      <c r="I33" s="791"/>
    </row>
    <row r="34" spans="1:9" ht="12.75" hidden="1" customHeight="1">
      <c r="B34" s="768" t="s">
        <v>982</v>
      </c>
      <c r="C34" s="796"/>
      <c r="D34" s="795"/>
      <c r="I34" s="791"/>
    </row>
    <row r="35" spans="1:9" ht="12.75" hidden="1" customHeight="1">
      <c r="A35" s="2475" t="s">
        <v>7</v>
      </c>
      <c r="B35" s="2477" t="s">
        <v>809</v>
      </c>
      <c r="C35" s="770"/>
      <c r="D35" s="784" t="s">
        <v>173</v>
      </c>
      <c r="E35" s="771"/>
      <c r="F35" s="771"/>
      <c r="G35" s="771"/>
      <c r="H35" s="771"/>
      <c r="I35" s="791"/>
    </row>
    <row r="36" spans="1:9" ht="12.75" hidden="1" customHeight="1">
      <c r="A36" s="2476"/>
      <c r="B36" s="2478"/>
      <c r="C36" s="773"/>
      <c r="D36" s="787" t="s">
        <v>427</v>
      </c>
      <c r="E36" s="774" t="s">
        <v>428</v>
      </c>
      <c r="F36" s="774" t="s">
        <v>429</v>
      </c>
      <c r="G36" s="774" t="s">
        <v>430</v>
      </c>
      <c r="H36" s="774" t="s">
        <v>431</v>
      </c>
      <c r="I36" s="788" t="s">
        <v>432</v>
      </c>
    </row>
    <row r="37" spans="1:9" ht="12.75" hidden="1" customHeight="1">
      <c r="A37" s="379">
        <v>1</v>
      </c>
      <c r="B37" s="797" t="s">
        <v>493</v>
      </c>
      <c r="C37" s="457"/>
      <c r="D37" s="779">
        <f>'3.RL G'!E7</f>
        <v>39</v>
      </c>
      <c r="E37" s="780">
        <f>'3.RL G'!I7</f>
        <v>48</v>
      </c>
      <c r="F37" s="780">
        <f>'3.RL G'!M7</f>
        <v>47</v>
      </c>
      <c r="G37" s="780">
        <f>'3.RL G'!E24</f>
        <v>0</v>
      </c>
      <c r="H37" s="780">
        <f>'3.RL G'!I24</f>
        <v>0</v>
      </c>
      <c r="I37" s="791">
        <f>'3.RL G'!M24</f>
        <v>0</v>
      </c>
    </row>
    <row r="38" spans="1:9" ht="12.75" hidden="1" customHeight="1">
      <c r="A38" s="379">
        <v>2</v>
      </c>
      <c r="B38" s="797" t="s">
        <v>496</v>
      </c>
      <c r="C38" s="457"/>
      <c r="D38" s="779">
        <f>'3.RL G'!E8</f>
        <v>13.14</v>
      </c>
      <c r="E38" s="780">
        <f>'3.RL G'!I8</f>
        <v>11.315000000000001</v>
      </c>
      <c r="F38" s="780">
        <f>'3.RL G'!M8</f>
        <v>12</v>
      </c>
      <c r="G38" s="780">
        <f>'3.RL G'!E25</f>
        <v>0</v>
      </c>
      <c r="H38" s="780">
        <f>'3.RL G'!I25</f>
        <v>0</v>
      </c>
      <c r="I38" s="791">
        <f>'3.RL G'!M25</f>
        <v>0</v>
      </c>
    </row>
    <row r="39" spans="1:9" ht="12.75" hidden="1" customHeight="1">
      <c r="A39" s="379">
        <v>3</v>
      </c>
      <c r="B39" s="2479" t="s">
        <v>818</v>
      </c>
      <c r="C39" s="782" t="s">
        <v>654</v>
      </c>
      <c r="D39" s="779">
        <f>'3.RL G'!E9</f>
        <v>56</v>
      </c>
      <c r="E39" s="780">
        <f>'3.RL G'!I9</f>
        <v>54</v>
      </c>
      <c r="F39" s="780">
        <f>'3.RL G'!M9</f>
        <v>52</v>
      </c>
      <c r="G39" s="780">
        <f>'3.RL G'!E26</f>
        <v>0</v>
      </c>
      <c r="H39" s="780">
        <f>'3.RL G'!I26</f>
        <v>0</v>
      </c>
      <c r="I39" s="791">
        <f>'3.RL G'!M26</f>
        <v>0</v>
      </c>
    </row>
    <row r="40" spans="1:9" ht="12.75" hidden="1" customHeight="1">
      <c r="A40" s="379">
        <v>4</v>
      </c>
      <c r="B40" s="2480"/>
      <c r="C40" s="782" t="s">
        <v>658</v>
      </c>
      <c r="D40" s="779">
        <f>'3.RL G'!E10</f>
        <v>7</v>
      </c>
      <c r="E40" s="780">
        <f>'3.RL G'!I10</f>
        <v>7.2</v>
      </c>
      <c r="F40" s="780">
        <f>'3.RL G'!M10</f>
        <v>7</v>
      </c>
      <c r="G40" s="780">
        <f>'3.RL G'!E27</f>
        <v>0</v>
      </c>
      <c r="H40" s="780">
        <f>'3.RL G'!I27</f>
        <v>0</v>
      </c>
      <c r="I40" s="791">
        <f>'3.RL G'!M27</f>
        <v>0</v>
      </c>
    </row>
    <row r="41" spans="1:9" ht="12.75" hidden="1" customHeight="1">
      <c r="A41" s="379">
        <v>5</v>
      </c>
      <c r="B41" s="2481"/>
      <c r="C41" s="782" t="s">
        <v>660</v>
      </c>
      <c r="D41" s="779">
        <f>'3.RL G'!E11</f>
        <v>0.14000000000000001</v>
      </c>
      <c r="E41" s="780">
        <f>'3.RL G'!I11</f>
        <v>0.4</v>
      </c>
      <c r="F41" s="780">
        <f>'3.RL G'!M11</f>
        <v>0.32</v>
      </c>
      <c r="G41" s="780">
        <f>'3.RL G'!E28</f>
        <v>0</v>
      </c>
      <c r="H41" s="780">
        <f>'3.RL G'!I28</f>
        <v>0</v>
      </c>
      <c r="I41" s="791">
        <f>'3.RL G'!M28</f>
        <v>0</v>
      </c>
    </row>
    <row r="42" spans="1:9" ht="12.75" hidden="1" customHeight="1">
      <c r="A42" s="379">
        <v>6</v>
      </c>
      <c r="B42" s="2479" t="s">
        <v>819</v>
      </c>
      <c r="C42" s="457"/>
      <c r="D42" s="779">
        <f>'3.RL G'!E12</f>
        <v>0.95</v>
      </c>
      <c r="E42" s="780">
        <f>'3.RL G'!I12</f>
        <v>0.9</v>
      </c>
      <c r="F42" s="780">
        <f>'3.RL G'!M12</f>
        <v>0.9</v>
      </c>
      <c r="G42" s="780">
        <f>'3.RL G'!E29</f>
        <v>0</v>
      </c>
      <c r="H42" s="780">
        <f>'3.RL G'!I29</f>
        <v>0</v>
      </c>
      <c r="I42" s="791">
        <f>'3.RL G'!M29</f>
        <v>0</v>
      </c>
    </row>
    <row r="43" spans="1:9" ht="12.75" hidden="1" customHeight="1">
      <c r="A43" s="379">
        <v>7</v>
      </c>
      <c r="B43" s="2481"/>
      <c r="C43" s="457"/>
      <c r="D43" s="779">
        <f>'3.RL G'!E13</f>
        <v>9</v>
      </c>
      <c r="E43" s="780">
        <f>'3.RL G'!I13</f>
        <v>9</v>
      </c>
      <c r="F43" s="780">
        <f>'3.RL G'!M13</f>
        <v>9</v>
      </c>
      <c r="G43" s="780">
        <f>'3.RL G'!E30</f>
        <v>0</v>
      </c>
      <c r="H43" s="780">
        <f>'3.RL G'!I30</f>
        <v>0</v>
      </c>
      <c r="I43" s="791">
        <f>'3.RL G'!M30</f>
        <v>0</v>
      </c>
    </row>
    <row r="44" spans="1:9" ht="12.75" hidden="1" customHeight="1">
      <c r="A44" s="2474" t="s">
        <v>2</v>
      </c>
      <c r="B44" s="2474"/>
      <c r="C44" s="770"/>
      <c r="D44" s="784" t="s">
        <v>175</v>
      </c>
      <c r="E44" s="771"/>
      <c r="F44" s="771"/>
      <c r="G44" s="771"/>
      <c r="H44" s="771"/>
      <c r="I44" s="791"/>
    </row>
    <row r="45" spans="1:9" ht="12.75" hidden="1" customHeight="1">
      <c r="A45" s="176" t="s">
        <v>57</v>
      </c>
      <c r="B45" s="786" t="s">
        <v>816</v>
      </c>
      <c r="C45" s="770"/>
      <c r="D45" s="787" t="s">
        <v>427</v>
      </c>
      <c r="E45" s="774" t="s">
        <v>428</v>
      </c>
      <c r="F45" s="774" t="s">
        <v>429</v>
      </c>
      <c r="G45" s="774" t="s">
        <v>430</v>
      </c>
      <c r="H45" s="774" t="s">
        <v>431</v>
      </c>
      <c r="I45" s="788" t="s">
        <v>432</v>
      </c>
    </row>
    <row r="46" spans="1:9" ht="12.75" hidden="1" customHeight="1">
      <c r="A46" s="379">
        <v>1</v>
      </c>
      <c r="B46" s="381" t="s">
        <v>498</v>
      </c>
      <c r="C46" s="798"/>
      <c r="D46" s="779">
        <f>'3.RL G'!E16</f>
        <v>60</v>
      </c>
      <c r="E46" s="780">
        <f>'3.RL G'!I16</f>
        <v>61</v>
      </c>
      <c r="F46" s="780">
        <f>'3.RL G'!M16</f>
        <v>60</v>
      </c>
      <c r="G46" s="780">
        <f>'3.RL G'!E33</f>
        <v>0</v>
      </c>
      <c r="H46" s="780">
        <f>'3.RL G'!I33</f>
        <v>0</v>
      </c>
      <c r="I46" s="791">
        <f>'3.RL G'!M33</f>
        <v>0</v>
      </c>
    </row>
    <row r="47" spans="1:9" ht="12.75" hidden="1" customHeight="1">
      <c r="A47" s="379">
        <v>2</v>
      </c>
      <c r="B47" s="381" t="s">
        <v>820</v>
      </c>
      <c r="C47" s="798"/>
      <c r="D47" s="779">
        <f>'3.RL G'!E17</f>
        <v>70</v>
      </c>
      <c r="E47" s="780">
        <f>'3.RL G'!I17</f>
        <v>69</v>
      </c>
      <c r="F47" s="780">
        <f>'3.RL G'!M17</f>
        <v>67</v>
      </c>
      <c r="G47" s="780">
        <f>'3.RL G'!E34</f>
        <v>0</v>
      </c>
      <c r="H47" s="780">
        <f>'3.RL G'!I34</f>
        <v>0</v>
      </c>
      <c r="I47" s="791">
        <f>'3.RL G'!M34</f>
        <v>0</v>
      </c>
    </row>
    <row r="48" spans="1:9" ht="12.75" hidden="1" customHeight="1">
      <c r="A48" s="379">
        <v>3</v>
      </c>
      <c r="B48" s="381" t="s">
        <v>785</v>
      </c>
      <c r="C48" s="798"/>
      <c r="D48" s="779">
        <f>'3.RL G'!E18</f>
        <v>89</v>
      </c>
      <c r="E48" s="780">
        <f>'3.RL G'!I18</f>
        <v>78</v>
      </c>
      <c r="F48" s="780">
        <f>'3.RL G'!M18</f>
        <v>85</v>
      </c>
      <c r="G48" s="780">
        <f>'3.RL G'!E35</f>
        <v>0</v>
      </c>
      <c r="H48" s="780">
        <f>'3.RL G'!I35</f>
        <v>0</v>
      </c>
      <c r="I48" s="791">
        <f>'3.RL G'!M35</f>
        <v>0</v>
      </c>
    </row>
    <row r="49" spans="1:9" ht="12.75" hidden="1" customHeight="1">
      <c r="A49" s="2475" t="s">
        <v>7</v>
      </c>
      <c r="B49" s="2477" t="s">
        <v>809</v>
      </c>
      <c r="C49" s="770"/>
      <c r="D49" s="784" t="s">
        <v>174</v>
      </c>
      <c r="E49" s="771"/>
      <c r="F49" s="771"/>
      <c r="G49" s="771"/>
      <c r="H49" s="771"/>
      <c r="I49" s="791"/>
    </row>
    <row r="50" spans="1:9" ht="12.75" hidden="1" customHeight="1">
      <c r="A50" s="2476"/>
      <c r="B50" s="2478"/>
      <c r="C50" s="773"/>
      <c r="D50" s="787" t="s">
        <v>427</v>
      </c>
      <c r="E50" s="774" t="s">
        <v>428</v>
      </c>
      <c r="F50" s="774" t="s">
        <v>429</v>
      </c>
      <c r="G50" s="774" t="s">
        <v>430</v>
      </c>
      <c r="H50" s="774" t="s">
        <v>431</v>
      </c>
      <c r="I50" s="788" t="s">
        <v>432</v>
      </c>
    </row>
    <row r="51" spans="1:9" ht="12.75" hidden="1" customHeight="1">
      <c r="A51" s="379">
        <v>1</v>
      </c>
      <c r="B51" s="797" t="s">
        <v>493</v>
      </c>
      <c r="C51" s="457"/>
      <c r="D51" s="792">
        <f>'3.RL G'!G7</f>
        <v>2.33</v>
      </c>
      <c r="E51" s="793">
        <f>'3.RL G'!K7</f>
        <v>0</v>
      </c>
      <c r="F51" s="793">
        <f>'3.RL G'!O7</f>
        <v>0</v>
      </c>
      <c r="G51" s="793">
        <f>'3.RL G'!G24</f>
        <v>0</v>
      </c>
      <c r="H51" s="793">
        <f>'3.RL G'!K24</f>
        <v>0</v>
      </c>
      <c r="I51" s="799">
        <f>'3.RL G'!O24</f>
        <v>0</v>
      </c>
    </row>
    <row r="52" spans="1:9" ht="12.75" hidden="1" customHeight="1">
      <c r="A52" s="379">
        <v>2</v>
      </c>
      <c r="B52" s="797" t="s">
        <v>496</v>
      </c>
      <c r="C52" s="457"/>
      <c r="D52" s="792">
        <f>'3.RL G'!G8</f>
        <v>0</v>
      </c>
      <c r="E52" s="793">
        <f>'3.RL G'!K8</f>
        <v>96.466406249999892</v>
      </c>
      <c r="F52" s="793">
        <f>'3.RL G'!O8</f>
        <v>40.703125</v>
      </c>
      <c r="G52" s="793">
        <f>'3.RL G'!G25</f>
        <v>0</v>
      </c>
      <c r="H52" s="793">
        <f>'3.RL G'!K25</f>
        <v>0</v>
      </c>
      <c r="I52" s="799">
        <f>'3.RL G'!O25</f>
        <v>0</v>
      </c>
    </row>
    <row r="53" spans="1:9" ht="12.75" hidden="1" customHeight="1">
      <c r="A53" s="379">
        <v>3</v>
      </c>
      <c r="B53" s="2479" t="s">
        <v>818</v>
      </c>
      <c r="C53" s="457"/>
      <c r="D53" s="792">
        <f>'3.RL G'!G9</f>
        <v>0</v>
      </c>
      <c r="E53" s="793">
        <f>'3.RL G'!K9</f>
        <v>0</v>
      </c>
      <c r="F53" s="793">
        <f>'3.RL G'!O9</f>
        <v>0</v>
      </c>
      <c r="G53" s="793">
        <f>'3.RL G'!G26</f>
        <v>0</v>
      </c>
      <c r="H53" s="793">
        <f>'3.RL G'!K26</f>
        <v>0</v>
      </c>
      <c r="I53" s="799">
        <f>'3.RL G'!O26</f>
        <v>0</v>
      </c>
    </row>
    <row r="54" spans="1:9" ht="12.75" hidden="1" customHeight="1">
      <c r="A54" s="379">
        <v>4</v>
      </c>
      <c r="B54" s="2480"/>
      <c r="C54" s="457"/>
      <c r="D54" s="792">
        <f>'3.RL G'!G10</f>
        <v>0</v>
      </c>
      <c r="E54" s="793">
        <f>'3.RL G'!K10</f>
        <v>0</v>
      </c>
      <c r="F54" s="793">
        <f>'3.RL G'!O10</f>
        <v>0</v>
      </c>
      <c r="G54" s="793">
        <f>'3.RL G'!G27</f>
        <v>0</v>
      </c>
      <c r="H54" s="793">
        <f>'3.RL G'!K27</f>
        <v>0</v>
      </c>
      <c r="I54" s="799">
        <f>'3.RL G'!O27</f>
        <v>0</v>
      </c>
    </row>
    <row r="55" spans="1:9" ht="12.75" hidden="1" customHeight="1">
      <c r="A55" s="379">
        <v>5</v>
      </c>
      <c r="B55" s="2481"/>
      <c r="C55" s="457"/>
      <c r="D55" s="792" t="str">
        <f>'3.RL G'!G11</f>
        <v>N/A</v>
      </c>
      <c r="E55" s="793" t="str">
        <f>'3.RL G'!K11</f>
        <v>N/A</v>
      </c>
      <c r="F55" s="793" t="str">
        <f>'3.RL G'!O11</f>
        <v>N/A</v>
      </c>
      <c r="G55" s="793">
        <f>'3.RL G'!G28</f>
        <v>0</v>
      </c>
      <c r="H55" s="793">
        <f>'3.RL G'!K28</f>
        <v>0</v>
      </c>
      <c r="I55" s="799">
        <f>'3.RL G'!O28</f>
        <v>0</v>
      </c>
    </row>
    <row r="56" spans="1:9" ht="12.75" hidden="1" customHeight="1">
      <c r="A56" s="379">
        <v>6</v>
      </c>
      <c r="B56" s="2479" t="s">
        <v>819</v>
      </c>
      <c r="C56" s="457"/>
      <c r="D56" s="792">
        <f>'3.RL G'!G12</f>
        <v>6.1700000000000053E-2</v>
      </c>
      <c r="E56" s="793">
        <f>'3.RL G'!K12</f>
        <v>0.12339999999999998</v>
      </c>
      <c r="F56" s="793">
        <f>'3.RL G'!O12</f>
        <v>0.12339999999999998</v>
      </c>
      <c r="G56" s="793">
        <f>'3.RL G'!G29</f>
        <v>0</v>
      </c>
      <c r="H56" s="793">
        <f>'3.RL G'!K29</f>
        <v>0</v>
      </c>
      <c r="I56" s="799">
        <f>'3.RL G'!O29</f>
        <v>0</v>
      </c>
    </row>
    <row r="57" spans="1:9" ht="12.75" hidden="1" customHeight="1">
      <c r="A57" s="379">
        <v>7</v>
      </c>
      <c r="B57" s="2481"/>
      <c r="C57" s="457"/>
      <c r="D57" s="792">
        <f>'3.RL G'!G13</f>
        <v>0</v>
      </c>
      <c r="E57" s="793">
        <f>'3.RL G'!K13</f>
        <v>0</v>
      </c>
      <c r="F57" s="793">
        <f>'3.RL G'!O13</f>
        <v>0</v>
      </c>
      <c r="G57" s="793">
        <f>'3.RL G'!G30</f>
        <v>0</v>
      </c>
      <c r="H57" s="793">
        <f>'3.RL G'!K30</f>
        <v>0</v>
      </c>
      <c r="I57" s="799">
        <f>'3.RL G'!O30</f>
        <v>0</v>
      </c>
    </row>
    <row r="58" spans="1:9" ht="12.75" hidden="1" customHeight="1">
      <c r="D58" s="795"/>
      <c r="I58" s="791"/>
    </row>
    <row r="59" spans="1:9" ht="12.75" hidden="1" customHeight="1">
      <c r="B59" s="768" t="s">
        <v>983</v>
      </c>
      <c r="C59" s="796"/>
      <c r="D59" s="795"/>
      <c r="I59" s="791"/>
    </row>
    <row r="60" spans="1:9" ht="12.75" hidden="1" customHeight="1">
      <c r="A60" s="2475" t="s">
        <v>7</v>
      </c>
      <c r="B60" s="2477" t="s">
        <v>809</v>
      </c>
      <c r="C60" s="770"/>
      <c r="D60" s="784" t="s">
        <v>173</v>
      </c>
      <c r="E60" s="771"/>
      <c r="F60" s="771"/>
      <c r="G60" s="771"/>
      <c r="H60" s="771"/>
      <c r="I60" s="791"/>
    </row>
    <row r="61" spans="1:9" ht="12.75" hidden="1" customHeight="1">
      <c r="A61" s="2476"/>
      <c r="B61" s="2478"/>
      <c r="C61" s="773"/>
      <c r="D61" s="787" t="s">
        <v>427</v>
      </c>
      <c r="E61" s="774" t="s">
        <v>428</v>
      </c>
      <c r="F61" s="774" t="s">
        <v>429</v>
      </c>
      <c r="G61" s="774" t="s">
        <v>430</v>
      </c>
      <c r="H61" s="774" t="s">
        <v>431</v>
      </c>
      <c r="I61" s="788" t="s">
        <v>432</v>
      </c>
    </row>
    <row r="62" spans="1:9" ht="12.75" hidden="1" customHeight="1">
      <c r="A62" s="176">
        <v>1</v>
      </c>
      <c r="B62" s="164" t="s">
        <v>984</v>
      </c>
      <c r="C62" s="457" t="s">
        <v>811</v>
      </c>
      <c r="D62" s="779">
        <f>'4.RL F'!F7</f>
        <v>0</v>
      </c>
      <c r="E62" s="780">
        <f>'4.RL F'!J7</f>
        <v>0</v>
      </c>
      <c r="F62" s="780">
        <f>'4.RL F'!N7</f>
        <v>0</v>
      </c>
      <c r="G62" s="780">
        <f>'4.RL F'!F28</f>
        <v>0</v>
      </c>
      <c r="H62" s="780">
        <f>'4.RL F'!J28</f>
        <v>0</v>
      </c>
      <c r="I62" s="791">
        <f>'4.RL F'!N28</f>
        <v>0</v>
      </c>
    </row>
    <row r="63" spans="1:9" ht="12.75" hidden="1" customHeight="1">
      <c r="A63" s="176"/>
      <c r="B63" s="164" t="s">
        <v>810</v>
      </c>
      <c r="C63" s="457" t="s">
        <v>811</v>
      </c>
      <c r="D63" s="779">
        <f>'4.RL F'!F8</f>
        <v>0</v>
      </c>
      <c r="E63" s="780">
        <f>'4.RL F'!J8</f>
        <v>0</v>
      </c>
      <c r="F63" s="780">
        <f>'4.RL F'!N8</f>
        <v>0</v>
      </c>
      <c r="G63" s="780">
        <f>'4.RL F'!F29</f>
        <v>0</v>
      </c>
      <c r="H63" s="780">
        <f>'4.RL F'!J29</f>
        <v>0</v>
      </c>
      <c r="I63" s="791">
        <f>'4.RL F'!N29</f>
        <v>0</v>
      </c>
    </row>
    <row r="64" spans="1:9" ht="12.75" hidden="1" customHeight="1">
      <c r="A64" s="379">
        <v>2</v>
      </c>
      <c r="B64" s="2479" t="s">
        <v>812</v>
      </c>
      <c r="C64" s="782" t="s">
        <v>654</v>
      </c>
      <c r="D64" s="779">
        <f>'4.RL F'!F9</f>
        <v>0</v>
      </c>
      <c r="E64" s="780">
        <f>'4.RL F'!J9</f>
        <v>0</v>
      </c>
      <c r="F64" s="780">
        <f>'4.RL F'!N9</f>
        <v>0</v>
      </c>
      <c r="G64" s="780">
        <f>'4.RL F'!F30</f>
        <v>0</v>
      </c>
      <c r="H64" s="780">
        <f>'4.RL F'!J30</f>
        <v>0</v>
      </c>
      <c r="I64" s="791">
        <f>'4.RL F'!N30</f>
        <v>0</v>
      </c>
    </row>
    <row r="65" spans="1:9" ht="12.75" hidden="1" customHeight="1">
      <c r="A65" s="379">
        <v>3</v>
      </c>
      <c r="B65" s="2480"/>
      <c r="C65" s="782" t="s">
        <v>658</v>
      </c>
      <c r="D65" s="779">
        <f>'4.RL F'!F10</f>
        <v>0</v>
      </c>
      <c r="E65" s="780">
        <f>'4.RL F'!J10</f>
        <v>0</v>
      </c>
      <c r="F65" s="780">
        <f>'4.RL F'!N10</f>
        <v>0</v>
      </c>
      <c r="G65" s="780">
        <f>'4.RL F'!F31</f>
        <v>0</v>
      </c>
      <c r="H65" s="780">
        <f>'4.RL F'!J31</f>
        <v>0</v>
      </c>
      <c r="I65" s="791">
        <f>'4.RL F'!N31</f>
        <v>0</v>
      </c>
    </row>
    <row r="66" spans="1:9" ht="12.75" hidden="1" customHeight="1">
      <c r="A66" s="379">
        <v>4</v>
      </c>
      <c r="B66" s="2481"/>
      <c r="C66" s="782" t="s">
        <v>660</v>
      </c>
      <c r="D66" s="779">
        <f>'4.RL F'!F11</f>
        <v>0</v>
      </c>
      <c r="E66" s="780">
        <f>'4.RL F'!J11</f>
        <v>0</v>
      </c>
      <c r="F66" s="780">
        <f>'4.RL F'!N11</f>
        <v>0</v>
      </c>
      <c r="G66" s="780">
        <f>'4.RL F'!F32</f>
        <v>0</v>
      </c>
      <c r="H66" s="780">
        <f>'4.RL F'!J32</f>
        <v>0</v>
      </c>
      <c r="I66" s="791">
        <f>'4.RL F'!N32</f>
        <v>0</v>
      </c>
    </row>
    <row r="67" spans="1:9" ht="12.75" hidden="1" customHeight="1">
      <c r="A67" s="379">
        <v>5</v>
      </c>
      <c r="B67" s="2479" t="s">
        <v>813</v>
      </c>
      <c r="C67" s="782" t="s">
        <v>654</v>
      </c>
      <c r="D67" s="779" t="e">
        <f>'4.RL F'!F12</f>
        <v>#REF!</v>
      </c>
      <c r="E67" s="780" t="e">
        <f>'4.RL F'!J12</f>
        <v>#REF!</v>
      </c>
      <c r="F67" s="780" t="e">
        <f>'4.RL F'!N12</f>
        <v>#REF!</v>
      </c>
      <c r="G67" s="780" t="e">
        <f>'4.RL F'!F33</f>
        <v>#REF!</v>
      </c>
      <c r="H67" s="780" t="e">
        <f>'4.RL F'!J33</f>
        <v>#REF!</v>
      </c>
      <c r="I67" s="791" t="e">
        <f>'4.RL F'!N33</f>
        <v>#REF!</v>
      </c>
    </row>
    <row r="68" spans="1:9" ht="12.75" hidden="1" customHeight="1">
      <c r="A68" s="379">
        <v>6</v>
      </c>
      <c r="B68" s="2480"/>
      <c r="C68" s="782" t="s">
        <v>658</v>
      </c>
      <c r="D68" s="779" t="e">
        <f>'4.RL F'!F13</f>
        <v>#REF!</v>
      </c>
      <c r="E68" s="780" t="e">
        <f>'4.RL F'!J13</f>
        <v>#REF!</v>
      </c>
      <c r="F68" s="780" t="e">
        <f>'4.RL F'!N13</f>
        <v>#REF!</v>
      </c>
      <c r="G68" s="780" t="e">
        <f>'4.RL F'!F34</f>
        <v>#REF!</v>
      </c>
      <c r="H68" s="780" t="e">
        <f>'4.RL F'!J34</f>
        <v>#REF!</v>
      </c>
      <c r="I68" s="791" t="e">
        <f>'4.RL F'!N34</f>
        <v>#REF!</v>
      </c>
    </row>
    <row r="69" spans="1:9" ht="12.75" hidden="1" customHeight="1">
      <c r="A69" s="379">
        <v>7</v>
      </c>
      <c r="B69" s="2481"/>
      <c r="C69" s="782" t="s">
        <v>660</v>
      </c>
      <c r="D69" s="779" t="e">
        <f>'4.RL F'!F14</f>
        <v>#REF!</v>
      </c>
      <c r="E69" s="780" t="e">
        <f>'4.RL F'!J14</f>
        <v>#REF!</v>
      </c>
      <c r="F69" s="780" t="e">
        <f>'4.RL F'!N14</f>
        <v>#REF!</v>
      </c>
      <c r="G69" s="780" t="e">
        <f>'4.RL F'!F35</f>
        <v>#REF!</v>
      </c>
      <c r="H69" s="780" t="e">
        <f>'4.RL F'!J35</f>
        <v>#REF!</v>
      </c>
      <c r="I69" s="791" t="e">
        <f>'4.RL F'!N35</f>
        <v>#REF!</v>
      </c>
    </row>
    <row r="70" spans="1:9" ht="12.75" hidden="1" customHeight="1">
      <c r="A70" s="379">
        <v>8</v>
      </c>
      <c r="B70" s="2479" t="s">
        <v>814</v>
      </c>
      <c r="C70" s="457" t="s">
        <v>815</v>
      </c>
      <c r="D70" s="779">
        <f>'4.RL F'!F15</f>
        <v>0</v>
      </c>
      <c r="E70" s="780">
        <f>'4.RL F'!J15</f>
        <v>0</v>
      </c>
      <c r="F70" s="780">
        <f>'4.RL F'!N15</f>
        <v>0</v>
      </c>
      <c r="G70" s="780">
        <f>'4.RL F'!F36</f>
        <v>0</v>
      </c>
      <c r="H70" s="780">
        <f>'4.RL F'!J36</f>
        <v>0</v>
      </c>
      <c r="I70" s="791">
        <f>'4.RL F'!N36</f>
        <v>0</v>
      </c>
    </row>
    <row r="71" spans="1:9" ht="12.75" hidden="1" customHeight="1">
      <c r="A71" s="379">
        <v>9</v>
      </c>
      <c r="B71" s="2481"/>
      <c r="C71" s="457" t="s">
        <v>666</v>
      </c>
      <c r="D71" s="779">
        <f>'4.RL F'!F16</f>
        <v>0</v>
      </c>
      <c r="E71" s="780">
        <f>'4.RL F'!J16</f>
        <v>0</v>
      </c>
      <c r="F71" s="780">
        <f>'4.RL F'!N16</f>
        <v>0</v>
      </c>
      <c r="G71" s="780">
        <f>'4.RL F'!F37</f>
        <v>0</v>
      </c>
      <c r="H71" s="780">
        <f>'4.RL F'!J37</f>
        <v>0</v>
      </c>
      <c r="I71" s="791">
        <f>'4.RL F'!N37</f>
        <v>0</v>
      </c>
    </row>
    <row r="72" spans="1:9" ht="12.75" hidden="1" customHeight="1">
      <c r="A72" s="2474" t="s">
        <v>2</v>
      </c>
      <c r="B72" s="2474"/>
      <c r="C72" s="770"/>
      <c r="D72" s="784" t="s">
        <v>175</v>
      </c>
      <c r="E72" s="771"/>
      <c r="F72" s="771"/>
      <c r="G72" s="771"/>
      <c r="H72" s="771"/>
      <c r="I72" s="791"/>
    </row>
    <row r="73" spans="1:9" ht="12.75" hidden="1" customHeight="1">
      <c r="A73" s="176" t="s">
        <v>57</v>
      </c>
      <c r="B73" s="786" t="s">
        <v>816</v>
      </c>
      <c r="C73" s="770"/>
      <c r="D73" s="787" t="s">
        <v>427</v>
      </c>
      <c r="E73" s="774" t="s">
        <v>428</v>
      </c>
      <c r="F73" s="774" t="s">
        <v>429</v>
      </c>
      <c r="G73" s="774" t="s">
        <v>430</v>
      </c>
      <c r="H73" s="774" t="s">
        <v>431</v>
      </c>
      <c r="I73" s="788" t="s">
        <v>432</v>
      </c>
    </row>
    <row r="74" spans="1:9" ht="12.75" hidden="1" customHeight="1">
      <c r="A74" s="379">
        <v>1</v>
      </c>
      <c r="B74" s="1019" t="s">
        <v>985</v>
      </c>
      <c r="C74" s="790"/>
      <c r="D74" s="779">
        <f>'4.RL F'!F19</f>
        <v>0</v>
      </c>
      <c r="E74" s="780">
        <f>'4.RL F'!J19</f>
        <v>0</v>
      </c>
      <c r="F74" s="780">
        <f>'4.RL F'!N19</f>
        <v>0</v>
      </c>
      <c r="G74" s="780">
        <f>'4.RL F'!F40</f>
        <v>0</v>
      </c>
      <c r="H74" s="780">
        <f>'4.RL F'!J40</f>
        <v>0</v>
      </c>
      <c r="I74" s="791">
        <f>'4.RL F'!N40</f>
        <v>0</v>
      </c>
    </row>
    <row r="75" spans="1:9" ht="12.75" hidden="1" customHeight="1">
      <c r="A75" s="379">
        <v>2</v>
      </c>
      <c r="B75" s="789" t="s">
        <v>491</v>
      </c>
      <c r="C75" s="790"/>
      <c r="D75" s="779">
        <f>'4.RL F'!F20</f>
        <v>0</v>
      </c>
      <c r="E75" s="780">
        <f>'4.RL F'!J20</f>
        <v>0</v>
      </c>
      <c r="F75" s="780">
        <f>'4.RL F'!N20</f>
        <v>0</v>
      </c>
      <c r="G75" s="780">
        <f>'4.RL F'!F41</f>
        <v>0</v>
      </c>
      <c r="H75" s="780">
        <f>'4.RL F'!J41</f>
        <v>0</v>
      </c>
      <c r="I75" s="791">
        <f>'4.RL F'!N41</f>
        <v>0</v>
      </c>
    </row>
    <row r="76" spans="1:9" ht="12.75" hidden="1" customHeight="1">
      <c r="A76" s="379">
        <v>3</v>
      </c>
      <c r="B76" s="789" t="s">
        <v>484</v>
      </c>
      <c r="C76" s="790"/>
      <c r="D76" s="779">
        <f>'4.RL F'!F21</f>
        <v>0</v>
      </c>
      <c r="E76" s="780">
        <f>'4.RL F'!J21</f>
        <v>0</v>
      </c>
      <c r="F76" s="780">
        <f>'4.RL F'!N21</f>
        <v>0</v>
      </c>
      <c r="G76" s="780">
        <f>'4.RL F'!F42</f>
        <v>0</v>
      </c>
      <c r="H76" s="780">
        <f>'4.RL F'!J42</f>
        <v>0</v>
      </c>
      <c r="I76" s="791">
        <f>'4.RL F'!N42</f>
        <v>0</v>
      </c>
    </row>
    <row r="77" spans="1:9" ht="12.75" hidden="1" customHeight="1">
      <c r="A77" s="379">
        <v>4</v>
      </c>
      <c r="B77" s="789" t="s">
        <v>817</v>
      </c>
      <c r="C77" s="790"/>
      <c r="D77" s="779" t="e">
        <f>'4.RL F'!#REF!</f>
        <v>#REF!</v>
      </c>
      <c r="E77" s="780" t="e">
        <f>'4.RL F'!#REF!</f>
        <v>#REF!</v>
      </c>
      <c r="F77" s="780">
        <f>'4.RL F'!N22</f>
        <v>0</v>
      </c>
      <c r="G77" s="780" t="e">
        <f>'4.RL F'!#REF!</f>
        <v>#REF!</v>
      </c>
      <c r="H77" s="780" t="e">
        <f>'4.RL F'!#REF!</f>
        <v>#REF!</v>
      </c>
      <c r="I77" s="791"/>
    </row>
    <row r="78" spans="1:9" ht="12.75" hidden="1" customHeight="1">
      <c r="A78" s="2475" t="s">
        <v>7</v>
      </c>
      <c r="B78" s="2477" t="s">
        <v>809</v>
      </c>
      <c r="C78" s="770"/>
      <c r="D78" s="784" t="s">
        <v>174</v>
      </c>
      <c r="E78" s="771"/>
      <c r="F78" s="771"/>
      <c r="G78" s="771"/>
      <c r="H78" s="771"/>
      <c r="I78" s="791"/>
    </row>
    <row r="79" spans="1:9" ht="12.75" hidden="1" customHeight="1">
      <c r="A79" s="2476"/>
      <c r="B79" s="2478"/>
      <c r="C79" s="773"/>
      <c r="D79" s="787" t="s">
        <v>427</v>
      </c>
      <c r="E79" s="774" t="s">
        <v>428</v>
      </c>
      <c r="F79" s="774" t="s">
        <v>429</v>
      </c>
      <c r="G79" s="774" t="s">
        <v>430</v>
      </c>
      <c r="H79" s="774" t="s">
        <v>431</v>
      </c>
      <c r="I79" s="788" t="s">
        <v>432</v>
      </c>
    </row>
    <row r="80" spans="1:9" ht="12.75" hidden="1" customHeight="1">
      <c r="A80" s="379">
        <v>1</v>
      </c>
      <c r="B80" s="164" t="s">
        <v>985</v>
      </c>
      <c r="C80" s="457"/>
      <c r="D80" s="792">
        <f>'4.RL F'!H7</f>
        <v>93.2</v>
      </c>
      <c r="E80" s="793">
        <f>'4.RL F'!L7</f>
        <v>93.2</v>
      </c>
      <c r="F80" s="793">
        <f>'4.RL F'!P7</f>
        <v>93.2</v>
      </c>
      <c r="G80" s="793">
        <f>'4.RL F'!H28</f>
        <v>93.2</v>
      </c>
      <c r="H80" s="793">
        <f>'4.RL F'!L28</f>
        <v>93.2</v>
      </c>
      <c r="I80" s="791">
        <f>'4.RL F'!P28</f>
        <v>93.2</v>
      </c>
    </row>
    <row r="81" spans="1:9" ht="12.75" hidden="1" customHeight="1">
      <c r="A81" s="379"/>
      <c r="B81" s="164" t="s">
        <v>810</v>
      </c>
      <c r="C81" s="457"/>
      <c r="D81" s="792">
        <f>'4.RL F'!H8</f>
        <v>1017.578125</v>
      </c>
      <c r="E81" s="793">
        <f>'4.RL F'!L8</f>
        <v>1017.578125</v>
      </c>
      <c r="F81" s="793">
        <f>'4.RL F'!P8</f>
        <v>1017.578125</v>
      </c>
      <c r="G81" s="793">
        <f>'4.RL F'!H29</f>
        <v>1017.578125</v>
      </c>
      <c r="H81" s="793">
        <f>'4.RL F'!L29</f>
        <v>1017.578125</v>
      </c>
      <c r="I81" s="791">
        <f>'4.RL F'!P29</f>
        <v>1017.578125</v>
      </c>
    </row>
    <row r="82" spans="1:9" ht="12.75" hidden="1" customHeight="1">
      <c r="A82" s="379">
        <v>2</v>
      </c>
      <c r="B82" s="2479" t="s">
        <v>812</v>
      </c>
      <c r="C82" s="457"/>
      <c r="D82" s="792">
        <f>'4.RL F'!H9</f>
        <v>246.75</v>
      </c>
      <c r="E82" s="793">
        <f>'4.RL F'!L9</f>
        <v>246.75</v>
      </c>
      <c r="F82" s="793">
        <f>'4.RL F'!P9</f>
        <v>246.75</v>
      </c>
      <c r="G82" s="793">
        <f>'4.RL F'!H30</f>
        <v>246.75</v>
      </c>
      <c r="H82" s="793">
        <f>'4.RL F'!L30</f>
        <v>246.75</v>
      </c>
      <c r="I82" s="791">
        <f>'4.RL F'!P30</f>
        <v>246.75</v>
      </c>
    </row>
    <row r="83" spans="1:9" ht="12.75" hidden="1" customHeight="1">
      <c r="A83" s="379">
        <v>3</v>
      </c>
      <c r="B83" s="2480"/>
      <c r="C83" s="457"/>
      <c r="D83" s="792">
        <f>'4.RL F'!H10</f>
        <v>32.077500000000001</v>
      </c>
      <c r="E83" s="793">
        <f>'4.RL F'!L10</f>
        <v>32.077500000000001</v>
      </c>
      <c r="F83" s="793">
        <f>'4.RL F'!P10</f>
        <v>32.077500000000001</v>
      </c>
      <c r="G83" s="793">
        <f>'4.RL F'!H31</f>
        <v>32.077500000000001</v>
      </c>
      <c r="H83" s="793">
        <f>'4.RL F'!L31</f>
        <v>32.077500000000001</v>
      </c>
      <c r="I83" s="791">
        <f>'4.RL F'!P31</f>
        <v>32.077500000000001</v>
      </c>
    </row>
    <row r="84" spans="1:9" ht="12.75" hidden="1" customHeight="1">
      <c r="A84" s="379">
        <v>4</v>
      </c>
      <c r="B84" s="2481"/>
      <c r="C84" s="457"/>
      <c r="D84" s="792" t="str">
        <f>'4.RL F'!H11</f>
        <v>N/A</v>
      </c>
      <c r="E84" s="793" t="str">
        <f>'4.RL F'!L11</f>
        <v>N/A</v>
      </c>
      <c r="F84" s="793" t="str">
        <f>'4.RL F'!P11</f>
        <v>N/A</v>
      </c>
      <c r="G84" s="793" t="str">
        <f>'4.RL F'!H32</f>
        <v>N/A</v>
      </c>
      <c r="H84" s="793" t="str">
        <f>'4.RL F'!L32</f>
        <v>N/A</v>
      </c>
      <c r="I84" s="791" t="str">
        <f>'4.RL F'!P32</f>
        <v>N/A</v>
      </c>
    </row>
    <row r="85" spans="1:9" ht="12.75" hidden="1" customHeight="1">
      <c r="A85" s="379">
        <v>5</v>
      </c>
      <c r="B85" s="2479" t="s">
        <v>813</v>
      </c>
      <c r="C85" s="457"/>
      <c r="D85" s="792" t="e">
        <f>'4.RL F'!H12</f>
        <v>#REF!</v>
      </c>
      <c r="E85" s="793" t="e">
        <f>'4.RL F'!L12</f>
        <v>#REF!</v>
      </c>
      <c r="F85" s="793" t="e">
        <f>'4.RL F'!P12</f>
        <v>#REF!</v>
      </c>
      <c r="G85" s="793" t="e">
        <f>'4.RL F'!H33</f>
        <v>#REF!</v>
      </c>
      <c r="H85" s="793" t="e">
        <f>'4.RL F'!L33</f>
        <v>#REF!</v>
      </c>
      <c r="I85" s="791" t="e">
        <f>'4.RL F'!P33</f>
        <v>#REF!</v>
      </c>
    </row>
    <row r="86" spans="1:9" ht="12.75" hidden="1" customHeight="1">
      <c r="A86" s="379">
        <v>6</v>
      </c>
      <c r="B86" s="2480"/>
      <c r="C86" s="457"/>
      <c r="D86" s="792" t="e">
        <f>'4.RL F'!H13</f>
        <v>#REF!</v>
      </c>
      <c r="E86" s="793" t="e">
        <f>'4.RL F'!L13</f>
        <v>#REF!</v>
      </c>
      <c r="F86" s="793" t="e">
        <f>'4.RL F'!P13</f>
        <v>#REF!</v>
      </c>
      <c r="G86" s="793" t="e">
        <f>'4.RL F'!H34</f>
        <v>#REF!</v>
      </c>
      <c r="H86" s="793" t="e">
        <f>'4.RL F'!L34</f>
        <v>#REF!</v>
      </c>
      <c r="I86" s="791" t="e">
        <f>'4.RL F'!P34</f>
        <v>#REF!</v>
      </c>
    </row>
    <row r="87" spans="1:9" ht="12.75" hidden="1" customHeight="1">
      <c r="A87" s="379">
        <v>7</v>
      </c>
      <c r="B87" s="2481"/>
      <c r="C87" s="457"/>
      <c r="D87" s="792" t="e">
        <f>'4.RL F'!H14</f>
        <v>#REF!</v>
      </c>
      <c r="E87" s="793" t="e">
        <f>'4.RL F'!L14</f>
        <v>#REF!</v>
      </c>
      <c r="F87" s="793" t="e">
        <f>'4.RL F'!P14</f>
        <v>#REF!</v>
      </c>
      <c r="G87" s="793" t="e">
        <f>'4.RL F'!H35</f>
        <v>#REF!</v>
      </c>
      <c r="H87" s="793" t="e">
        <f>'4.RL F'!L35</f>
        <v>#REF!</v>
      </c>
      <c r="I87" s="791" t="e">
        <f>'4.RL F'!P35</f>
        <v>#REF!</v>
      </c>
    </row>
    <row r="88" spans="1:9" ht="12.75" hidden="1" customHeight="1">
      <c r="A88" s="379">
        <v>8</v>
      </c>
      <c r="B88" s="2479" t="s">
        <v>814</v>
      </c>
      <c r="C88" s="457"/>
      <c r="D88" s="792">
        <f>'4.RL F'!H15</f>
        <v>1.234</v>
      </c>
      <c r="E88" s="793">
        <f>'4.RL F'!L15</f>
        <v>1.234</v>
      </c>
      <c r="F88" s="793">
        <f>'4.RL F'!P15</f>
        <v>1.234</v>
      </c>
      <c r="G88" s="793">
        <f>'4.RL F'!H36</f>
        <v>1.234</v>
      </c>
      <c r="H88" s="793">
        <f>'4.RL F'!L36</f>
        <v>1.234</v>
      </c>
      <c r="I88" s="791">
        <f>'4.RL F'!P36</f>
        <v>1.234</v>
      </c>
    </row>
    <row r="89" spans="1:9" ht="12.75" hidden="1" customHeight="1">
      <c r="A89" s="379">
        <v>9</v>
      </c>
      <c r="B89" s="2481"/>
      <c r="C89" s="457"/>
      <c r="D89" s="792">
        <f>'4.RL F'!H16</f>
        <v>0</v>
      </c>
      <c r="E89" s="793">
        <f>'4.RL F'!L16</f>
        <v>0</v>
      </c>
      <c r="F89" s="793">
        <f>'4.RL F'!P16</f>
        <v>0</v>
      </c>
      <c r="G89" s="793">
        <f>'4.RL F'!H37</f>
        <v>0</v>
      </c>
      <c r="H89" s="793">
        <f>'4.RL F'!L37</f>
        <v>0</v>
      </c>
      <c r="I89" s="791">
        <f>'4.RL F'!P37</f>
        <v>0</v>
      </c>
    </row>
    <row r="90" spans="1:9" s="805" customFormat="1" ht="12.75" hidden="1" customHeight="1">
      <c r="A90" s="800"/>
      <c r="B90" s="801"/>
      <c r="C90" s="801"/>
      <c r="D90" s="802"/>
      <c r="E90" s="803"/>
      <c r="F90" s="803"/>
      <c r="G90" s="803"/>
      <c r="H90" s="803"/>
      <c r="I90" s="804"/>
    </row>
    <row r="91" spans="1:9" s="805" customFormat="1" ht="16.5" hidden="1" customHeight="1">
      <c r="A91" s="800"/>
      <c r="B91" s="806" t="s">
        <v>821</v>
      </c>
      <c r="C91" s="807"/>
      <c r="D91" s="808">
        <f>R.HN!C12</f>
        <v>3</v>
      </c>
      <c r="E91" s="809">
        <f>R.HN!D12</f>
        <v>3</v>
      </c>
      <c r="F91" s="809">
        <f>R.HN!E12</f>
        <v>3</v>
      </c>
      <c r="G91" s="809">
        <f>R.HN!F12</f>
        <v>3</v>
      </c>
      <c r="H91" s="809">
        <f>R.HN!G12</f>
        <v>3</v>
      </c>
      <c r="I91" s="810">
        <f>R.HN!H12</f>
        <v>3</v>
      </c>
    </row>
    <row r="92" spans="1:9" s="805" customFormat="1" ht="18" hidden="1" customHeight="1">
      <c r="A92" s="800"/>
      <c r="B92" s="806" t="s">
        <v>822</v>
      </c>
      <c r="C92" s="807"/>
      <c r="D92" s="802">
        <f>R.HN!C13</f>
        <v>4</v>
      </c>
      <c r="E92" s="803">
        <f>R.HN!D13</f>
        <v>4</v>
      </c>
      <c r="F92" s="803">
        <f>R.HN!E13</f>
        <v>4</v>
      </c>
      <c r="G92" s="803">
        <f>R.HN!F13</f>
        <v>4</v>
      </c>
      <c r="H92" s="803">
        <f>R.HN!G13</f>
        <v>4</v>
      </c>
      <c r="I92" s="811">
        <f>R.HN!H13</f>
        <v>4</v>
      </c>
    </row>
    <row r="93" spans="1:9" s="805" customFormat="1" ht="18" hidden="1" customHeight="1">
      <c r="A93" s="800"/>
      <c r="B93" s="806" t="s">
        <v>823</v>
      </c>
      <c r="C93" s="807"/>
      <c r="D93" s="808">
        <f>R.HN!C35</f>
        <v>0</v>
      </c>
      <c r="E93" s="809">
        <f>R.HN!D35</f>
        <v>0</v>
      </c>
      <c r="F93" s="809">
        <f>R.HN!E35</f>
        <v>0</v>
      </c>
      <c r="G93" s="809">
        <f>R.HN!F35</f>
        <v>0</v>
      </c>
      <c r="H93" s="809">
        <f>R.HN!G35</f>
        <v>0</v>
      </c>
      <c r="I93" s="810">
        <f>R.HN!H35</f>
        <v>0</v>
      </c>
    </row>
    <row r="94" spans="1:9" s="805" customFormat="1" ht="18" hidden="1" customHeight="1">
      <c r="A94" s="800"/>
      <c r="B94" s="806" t="s">
        <v>824</v>
      </c>
      <c r="C94" s="807"/>
      <c r="D94" s="802">
        <f>R.HN!C36</f>
        <v>0</v>
      </c>
      <c r="E94" s="803">
        <f>R.HN!D36</f>
        <v>0</v>
      </c>
      <c r="F94" s="803">
        <f>R.HN!E36</f>
        <v>0</v>
      </c>
      <c r="G94" s="803">
        <f>R.HN!F36</f>
        <v>0</v>
      </c>
      <c r="H94" s="803">
        <f>R.HN!G36</f>
        <v>0</v>
      </c>
      <c r="I94" s="811">
        <f>R.HN!H36</f>
        <v>0</v>
      </c>
    </row>
    <row r="95" spans="1:9" ht="12.75" customHeight="1" thickBot="1">
      <c r="A95" s="780"/>
      <c r="B95" s="457"/>
      <c r="C95" s="457"/>
      <c r="D95" s="812"/>
      <c r="E95" s="813"/>
      <c r="F95" s="813"/>
      <c r="G95" s="813"/>
      <c r="H95" s="813"/>
      <c r="I95" s="814"/>
    </row>
    <row r="96" spans="1:9" ht="12.75" customHeight="1">
      <c r="A96" s="780"/>
      <c r="B96" s="457"/>
      <c r="C96" s="457"/>
      <c r="D96" s="793"/>
      <c r="E96" s="793"/>
      <c r="F96" s="793"/>
      <c r="G96" s="793"/>
      <c r="H96" s="793"/>
    </row>
    <row r="98" spans="1:9" ht="12.75" customHeight="1">
      <c r="B98" s="768" t="s">
        <v>825</v>
      </c>
    </row>
    <row r="99" spans="1:9" ht="12.75" customHeight="1">
      <c r="A99" s="2485" t="s">
        <v>7</v>
      </c>
      <c r="B99" s="2487" t="s">
        <v>79</v>
      </c>
      <c r="C99" s="771" t="s">
        <v>173</v>
      </c>
      <c r="D99" s="771"/>
    </row>
    <row r="100" spans="1:9" ht="12.75" customHeight="1" thickBot="1">
      <c r="A100" s="2486"/>
      <c r="B100" s="2488"/>
      <c r="C100" s="774">
        <v>0.375</v>
      </c>
      <c r="D100" s="774">
        <v>0.54166666666666663</v>
      </c>
    </row>
    <row r="101" spans="1:9" ht="12.75" customHeight="1">
      <c r="A101" s="815">
        <v>1</v>
      </c>
      <c r="B101" s="381" t="s">
        <v>617</v>
      </c>
      <c r="C101" s="816">
        <f>'1.xi den'!H7</f>
        <v>16</v>
      </c>
      <c r="D101" s="817">
        <f>'1.xi den'!L7</f>
        <v>15.8</v>
      </c>
      <c r="E101" s="765"/>
      <c r="F101" s="765"/>
      <c r="G101" s="765"/>
      <c r="H101" s="765"/>
      <c r="I101" s="765"/>
    </row>
    <row r="102" spans="1:9" ht="12.75" hidden="1" customHeight="1">
      <c r="A102" s="815">
        <v>2</v>
      </c>
      <c r="B102" s="381" t="s">
        <v>618</v>
      </c>
      <c r="C102" s="818">
        <f>'1.xi den'!H8</f>
        <v>15.1</v>
      </c>
      <c r="D102" s="819">
        <f>'1.xi den'!L8</f>
        <v>15</v>
      </c>
      <c r="E102" s="765"/>
      <c r="F102" s="765"/>
      <c r="G102" s="765"/>
      <c r="H102" s="765"/>
      <c r="I102" s="765"/>
    </row>
    <row r="103" spans="1:9" ht="12.75" hidden="1" customHeight="1">
      <c r="A103" s="815">
        <v>3</v>
      </c>
      <c r="B103" s="381" t="s">
        <v>619</v>
      </c>
      <c r="C103" s="818">
        <f>'1.xi den'!H9</f>
        <v>15</v>
      </c>
      <c r="D103" s="819">
        <f>'1.xi den'!L9</f>
        <v>15</v>
      </c>
      <c r="E103" s="765"/>
      <c r="F103" s="765"/>
      <c r="G103" s="765"/>
      <c r="H103" s="765"/>
      <c r="I103" s="765"/>
    </row>
    <row r="104" spans="1:9" ht="12.75" hidden="1" customHeight="1">
      <c r="A104" s="815">
        <v>4</v>
      </c>
      <c r="B104" s="381" t="s">
        <v>621</v>
      </c>
      <c r="C104" s="818">
        <f>'1.xi den'!H10</f>
        <v>10.199999999999999</v>
      </c>
      <c r="D104" s="819">
        <f>'1.xi den'!L10</f>
        <v>10.1</v>
      </c>
      <c r="E104" s="765"/>
      <c r="F104" s="765"/>
      <c r="G104" s="765"/>
      <c r="H104" s="765"/>
      <c r="I104" s="765"/>
    </row>
    <row r="105" spans="1:9" ht="12.75" hidden="1" customHeight="1">
      <c r="A105" s="815">
        <v>5</v>
      </c>
      <c r="B105" s="820" t="s">
        <v>623</v>
      </c>
      <c r="C105" s="818">
        <f>'1.xi den'!H11</f>
        <v>0.48</v>
      </c>
      <c r="D105" s="819">
        <f>'1.xi den'!L11</f>
        <v>0.5</v>
      </c>
      <c r="E105" s="765"/>
      <c r="F105" s="765"/>
      <c r="G105" s="765"/>
      <c r="H105" s="765"/>
      <c r="I105" s="765"/>
    </row>
    <row r="106" spans="1:9" ht="12.75" hidden="1" customHeight="1">
      <c r="A106" s="815">
        <v>6</v>
      </c>
      <c r="B106" s="820" t="s">
        <v>625</v>
      </c>
      <c r="C106" s="818">
        <f>'1.xi den'!H12</f>
        <v>20.6</v>
      </c>
      <c r="D106" s="819">
        <f>'1.xi den'!L12</f>
        <v>21</v>
      </c>
      <c r="E106" s="765"/>
      <c r="F106" s="765"/>
      <c r="G106" s="765"/>
      <c r="H106" s="765"/>
      <c r="I106" s="765"/>
    </row>
    <row r="107" spans="1:9" ht="12.75" hidden="1" customHeight="1">
      <c r="A107" s="815">
        <v>7</v>
      </c>
      <c r="B107" s="820" t="s">
        <v>627</v>
      </c>
      <c r="C107" s="818">
        <f>'1.xi den'!H13</f>
        <v>8.3000000000000007</v>
      </c>
      <c r="D107" s="819">
        <f>'1.xi den'!L13</f>
        <v>8</v>
      </c>
      <c r="E107" s="765"/>
      <c r="F107" s="765"/>
      <c r="G107" s="765"/>
      <c r="H107" s="765"/>
      <c r="I107" s="765"/>
    </row>
    <row r="108" spans="1:9" ht="12.75" hidden="1" customHeight="1">
      <c r="A108" s="815">
        <v>8</v>
      </c>
      <c r="B108" s="381" t="s">
        <v>629</v>
      </c>
      <c r="C108" s="818">
        <f>'1.xi den'!H14</f>
        <v>8</v>
      </c>
      <c r="D108" s="819">
        <f>'1.xi den'!L14</f>
        <v>7.8</v>
      </c>
      <c r="E108" s="765"/>
      <c r="F108" s="765"/>
      <c r="G108" s="765"/>
      <c r="H108" s="765"/>
      <c r="I108" s="765"/>
    </row>
    <row r="109" spans="1:9" ht="12.75" hidden="1" customHeight="1">
      <c r="A109" s="815">
        <v>9</v>
      </c>
      <c r="B109" s="820" t="s">
        <v>826</v>
      </c>
      <c r="C109" s="818">
        <f>'1.xi den'!H15</f>
        <v>5.5</v>
      </c>
      <c r="D109" s="819">
        <f>'1.xi den'!L15</f>
        <v>5.5</v>
      </c>
      <c r="E109" s="765"/>
      <c r="F109" s="765"/>
      <c r="G109" s="765"/>
      <c r="H109" s="765"/>
      <c r="I109" s="765"/>
    </row>
    <row r="110" spans="1:9" ht="12.75" hidden="1" customHeight="1">
      <c r="A110" s="821">
        <v>10</v>
      </c>
      <c r="B110" s="822" t="s">
        <v>827</v>
      </c>
      <c r="C110" s="818">
        <f>'1.xi den'!H17</f>
        <v>15.3</v>
      </c>
      <c r="D110" s="819" t="str">
        <f>'1.xi den'!L17</f>
        <v>\</v>
      </c>
      <c r="E110" s="765"/>
      <c r="F110" s="765"/>
      <c r="G110" s="765"/>
      <c r="H110" s="765"/>
      <c r="I110" s="765"/>
    </row>
    <row r="111" spans="1:9" ht="12.75" hidden="1" customHeight="1">
      <c r="A111" s="821">
        <v>11</v>
      </c>
      <c r="B111" s="822" t="s">
        <v>828</v>
      </c>
      <c r="C111" s="818">
        <f>'1.xi den'!H18</f>
        <v>11.8</v>
      </c>
      <c r="D111" s="819" t="str">
        <f>'1.xi den'!L18</f>
        <v>\</v>
      </c>
      <c r="E111" s="765"/>
      <c r="F111" s="765"/>
      <c r="G111" s="765"/>
      <c r="H111" s="765"/>
      <c r="I111" s="765"/>
    </row>
    <row r="112" spans="1:9" ht="12.75" hidden="1" customHeight="1">
      <c r="A112" s="821">
        <v>12</v>
      </c>
      <c r="B112" s="822" t="s">
        <v>421</v>
      </c>
      <c r="C112" s="818">
        <f>'1.xi den'!H21</f>
        <v>6.8477270845408622</v>
      </c>
      <c r="D112" s="819" t="str">
        <f>'1.xi den'!L21</f>
        <v>\</v>
      </c>
      <c r="E112" s="765"/>
      <c r="F112" s="765"/>
      <c r="G112" s="765"/>
      <c r="H112" s="765"/>
      <c r="I112" s="765"/>
    </row>
    <row r="113" spans="1:9" ht="12.75" hidden="1" customHeight="1">
      <c r="A113" s="821">
        <v>13</v>
      </c>
      <c r="B113" s="822" t="s">
        <v>424</v>
      </c>
      <c r="C113" s="818">
        <f>'1.xi den'!H22</f>
        <v>0.81368316174028488</v>
      </c>
      <c r="D113" s="819" t="str">
        <f>'1.xi den'!L22</f>
        <v>\</v>
      </c>
      <c r="E113" s="765"/>
      <c r="F113" s="765"/>
      <c r="G113" s="765"/>
      <c r="H113" s="765"/>
      <c r="I113" s="765"/>
    </row>
    <row r="114" spans="1:9" ht="12.75" hidden="1" customHeight="1">
      <c r="A114" s="379"/>
      <c r="B114" s="823" t="s">
        <v>117</v>
      </c>
      <c r="C114" s="824" t="s">
        <v>175</v>
      </c>
      <c r="D114" s="825"/>
      <c r="E114" s="765"/>
      <c r="F114" s="765"/>
      <c r="G114" s="765"/>
      <c r="H114" s="765"/>
      <c r="I114" s="765"/>
    </row>
    <row r="115" spans="1:9" ht="12.75" hidden="1" customHeight="1">
      <c r="A115" s="544" t="s">
        <v>7</v>
      </c>
      <c r="B115" s="823" t="s">
        <v>64</v>
      </c>
      <c r="C115" s="826">
        <v>0.375</v>
      </c>
      <c r="D115" s="827">
        <v>0.54166666666666663</v>
      </c>
      <c r="E115" s="765"/>
      <c r="F115" s="765"/>
      <c r="G115" s="765"/>
      <c r="H115" s="765"/>
      <c r="I115" s="765"/>
    </row>
    <row r="116" spans="1:9" ht="12.75" hidden="1" customHeight="1">
      <c r="A116" s="544">
        <v>1</v>
      </c>
      <c r="B116" s="164" t="s">
        <v>518</v>
      </c>
      <c r="C116" s="818">
        <f>'1.xi den'!H25</f>
        <v>56</v>
      </c>
      <c r="D116" s="819">
        <f>'1.xi den'!L25</f>
        <v>57</v>
      </c>
      <c r="E116" s="765"/>
      <c r="F116" s="765"/>
      <c r="G116" s="765"/>
      <c r="H116" s="765"/>
      <c r="I116" s="765"/>
    </row>
    <row r="117" spans="1:9" ht="12.75" hidden="1" customHeight="1">
      <c r="A117" s="544">
        <v>2</v>
      </c>
      <c r="B117" s="164" t="s">
        <v>522</v>
      </c>
      <c r="C117" s="818">
        <f>'1.xi den'!H26</f>
        <v>57</v>
      </c>
      <c r="D117" s="819">
        <f>'1.xi den'!L26</f>
        <v>58</v>
      </c>
      <c r="E117" s="765"/>
      <c r="F117" s="765"/>
      <c r="G117" s="765"/>
      <c r="H117" s="765"/>
      <c r="I117" s="765"/>
    </row>
    <row r="118" spans="1:9" ht="12.75" hidden="1" customHeight="1">
      <c r="A118" s="544">
        <v>3</v>
      </c>
      <c r="B118" s="164" t="s">
        <v>524</v>
      </c>
      <c r="C118" s="818">
        <f>'1.xi den'!H27</f>
        <v>57</v>
      </c>
      <c r="D118" s="819">
        <f>'1.xi den'!L27</f>
        <v>57</v>
      </c>
      <c r="E118" s="765"/>
      <c r="F118" s="765"/>
      <c r="G118" s="765"/>
      <c r="H118" s="765"/>
      <c r="I118" s="765"/>
    </row>
    <row r="119" spans="1:9" ht="12.75" hidden="1" customHeight="1">
      <c r="A119" s="544">
        <v>4</v>
      </c>
      <c r="B119" s="164" t="s">
        <v>555</v>
      </c>
      <c r="C119" s="818">
        <f>'1.xi den'!H28</f>
        <v>36</v>
      </c>
      <c r="D119" s="819">
        <f>'1.xi den'!L28</f>
        <v>34</v>
      </c>
      <c r="E119" s="765"/>
      <c r="F119" s="765"/>
      <c r="G119" s="765"/>
      <c r="H119" s="765"/>
      <c r="I119" s="765"/>
    </row>
    <row r="120" spans="1:9" ht="12.75" hidden="1" customHeight="1">
      <c r="A120" s="544">
        <v>5</v>
      </c>
      <c r="B120" s="164" t="s">
        <v>829</v>
      </c>
      <c r="C120" s="818">
        <f>'1.xi den'!H29</f>
        <v>31</v>
      </c>
      <c r="D120" s="819">
        <f>'1.xi den'!L29</f>
        <v>31</v>
      </c>
      <c r="E120" s="765"/>
      <c r="F120" s="765"/>
      <c r="G120" s="765"/>
      <c r="H120" s="765"/>
      <c r="I120" s="765"/>
    </row>
    <row r="121" spans="1:9" ht="12.75" hidden="1" customHeight="1">
      <c r="A121" s="544">
        <v>6</v>
      </c>
      <c r="B121" s="164" t="s">
        <v>563</v>
      </c>
      <c r="C121" s="818">
        <f>'1.xi den'!I31</f>
        <v>178</v>
      </c>
      <c r="D121" s="819">
        <f>'1.xi den'!M31</f>
        <v>176</v>
      </c>
      <c r="E121" s="765"/>
      <c r="F121" s="765"/>
      <c r="G121" s="765"/>
      <c r="H121" s="765"/>
      <c r="I121" s="765"/>
    </row>
    <row r="122" spans="1:9" ht="12.75" hidden="1" customHeight="1">
      <c r="A122" s="544">
        <v>1</v>
      </c>
      <c r="B122" s="828" t="s">
        <v>830</v>
      </c>
      <c r="C122" s="826">
        <v>0.375</v>
      </c>
      <c r="D122" s="827">
        <v>0.54166666666666663</v>
      </c>
      <c r="E122" s="765"/>
      <c r="F122" s="765"/>
      <c r="G122" s="765"/>
      <c r="H122" s="765"/>
      <c r="I122" s="765"/>
    </row>
    <row r="123" spans="1:9" ht="12.75" hidden="1" customHeight="1">
      <c r="A123" s="544">
        <v>2</v>
      </c>
      <c r="B123" s="829" t="s">
        <v>565</v>
      </c>
      <c r="C123" s="818">
        <f>'1.xi den'!H33</f>
        <v>0</v>
      </c>
      <c r="D123" s="819">
        <f>'1.xi den'!L33</f>
        <v>0</v>
      </c>
      <c r="E123" s="765"/>
      <c r="F123" s="765"/>
      <c r="G123" s="765"/>
      <c r="H123" s="765"/>
      <c r="I123" s="765"/>
    </row>
    <row r="124" spans="1:9" ht="12.75" hidden="1" customHeight="1">
      <c r="A124" s="830"/>
      <c r="B124" s="831" t="s">
        <v>568</v>
      </c>
      <c r="C124" s="818">
        <f>'1.xi den'!H34</f>
        <v>0</v>
      </c>
      <c r="D124" s="819">
        <f>'1.xi den'!L34</f>
        <v>0</v>
      </c>
      <c r="E124" s="765"/>
      <c r="F124" s="765"/>
      <c r="G124" s="765"/>
      <c r="H124" s="765"/>
      <c r="I124" s="765"/>
    </row>
    <row r="125" spans="1:9" ht="12.75" hidden="1" customHeight="1">
      <c r="A125" s="832"/>
      <c r="B125" s="833"/>
      <c r="C125" s="834" t="s">
        <v>174</v>
      </c>
      <c r="D125" s="825"/>
      <c r="E125" s="765"/>
      <c r="F125" s="765"/>
      <c r="G125" s="765"/>
      <c r="H125" s="765"/>
      <c r="I125" s="765"/>
    </row>
    <row r="126" spans="1:9" ht="12.75" hidden="1" customHeight="1">
      <c r="A126" s="835"/>
      <c r="B126" s="836"/>
      <c r="C126" s="826">
        <v>0.375</v>
      </c>
      <c r="D126" s="827">
        <v>0.54166666666666663</v>
      </c>
      <c r="E126" s="765"/>
      <c r="F126" s="765"/>
      <c r="G126" s="765"/>
      <c r="H126" s="765"/>
      <c r="I126" s="765"/>
    </row>
    <row r="127" spans="1:9" ht="12.75" hidden="1" customHeight="1">
      <c r="A127" s="815">
        <v>1</v>
      </c>
      <c r="B127" s="381" t="s">
        <v>617</v>
      </c>
      <c r="C127" s="837">
        <f>'1.xi den'!J7</f>
        <v>0</v>
      </c>
      <c r="D127" s="838">
        <f>'1.xi den'!N7</f>
        <v>0</v>
      </c>
      <c r="E127" s="765"/>
      <c r="F127" s="765"/>
      <c r="G127" s="765"/>
      <c r="H127" s="765"/>
      <c r="I127" s="765"/>
    </row>
    <row r="128" spans="1:9" ht="12.75" hidden="1" customHeight="1">
      <c r="A128" s="815">
        <v>2</v>
      </c>
      <c r="B128" s="381" t="s">
        <v>618</v>
      </c>
      <c r="C128" s="837">
        <f>'1.xi den'!J8</f>
        <v>0</v>
      </c>
      <c r="D128" s="838">
        <f>'1.xi den'!N8</f>
        <v>0</v>
      </c>
      <c r="E128" s="765"/>
      <c r="F128" s="765"/>
      <c r="G128" s="765"/>
      <c r="H128" s="765"/>
      <c r="I128" s="765"/>
    </row>
    <row r="129" spans="1:9" ht="12.75" hidden="1" customHeight="1">
      <c r="A129" s="815">
        <v>3</v>
      </c>
      <c r="B129" s="381" t="s">
        <v>619</v>
      </c>
      <c r="C129" s="837">
        <f>'1.xi den'!J9</f>
        <v>0</v>
      </c>
      <c r="D129" s="838">
        <f>'1.xi den'!N9</f>
        <v>0</v>
      </c>
      <c r="E129" s="765"/>
      <c r="F129" s="765"/>
      <c r="G129" s="765"/>
      <c r="H129" s="765"/>
      <c r="I129" s="765"/>
    </row>
    <row r="130" spans="1:9" ht="12.75" hidden="1" customHeight="1">
      <c r="A130" s="815">
        <v>4</v>
      </c>
      <c r="B130" s="381" t="s">
        <v>621</v>
      </c>
      <c r="C130" s="837">
        <f>'1.xi den'!J10</f>
        <v>0</v>
      </c>
      <c r="D130" s="838">
        <f>'1.xi den'!N10</f>
        <v>0</v>
      </c>
      <c r="E130" s="765"/>
      <c r="F130" s="765"/>
      <c r="G130" s="765"/>
      <c r="H130" s="765"/>
      <c r="I130" s="765"/>
    </row>
    <row r="131" spans="1:9" ht="12.75" hidden="1" customHeight="1">
      <c r="A131" s="815">
        <v>5</v>
      </c>
      <c r="B131" s="820" t="s">
        <v>623</v>
      </c>
      <c r="C131" s="837">
        <f>'1.xi den'!J11</f>
        <v>0</v>
      </c>
      <c r="D131" s="838">
        <f>'1.xi den'!N11</f>
        <v>0</v>
      </c>
      <c r="E131" s="765"/>
      <c r="F131" s="765"/>
      <c r="G131" s="765"/>
      <c r="H131" s="765"/>
      <c r="I131" s="765"/>
    </row>
    <row r="132" spans="1:9" ht="12.75" hidden="1" customHeight="1">
      <c r="A132" s="815">
        <v>6</v>
      </c>
      <c r="B132" s="820" t="s">
        <v>625</v>
      </c>
      <c r="C132" s="837">
        <f>'1.xi den'!J12</f>
        <v>13.607999999999986</v>
      </c>
      <c r="D132" s="838">
        <f>'1.xi den'!N12</f>
        <v>9.7200000000000006</v>
      </c>
      <c r="E132" s="765"/>
      <c r="F132" s="765"/>
      <c r="G132" s="765"/>
      <c r="H132" s="765"/>
      <c r="I132" s="765"/>
    </row>
    <row r="133" spans="1:9" ht="12.75" hidden="1" customHeight="1">
      <c r="A133" s="815">
        <v>7</v>
      </c>
      <c r="B133" s="820" t="s">
        <v>627</v>
      </c>
      <c r="C133" s="837">
        <f>'1.xi den'!J13</f>
        <v>0</v>
      </c>
      <c r="D133" s="838">
        <f>'1.xi den'!N13</f>
        <v>0</v>
      </c>
      <c r="E133" s="765"/>
      <c r="F133" s="765"/>
      <c r="G133" s="765"/>
      <c r="H133" s="765"/>
      <c r="I133" s="765"/>
    </row>
    <row r="134" spans="1:9" ht="12.75" hidden="1" customHeight="1">
      <c r="A134" s="815">
        <v>8</v>
      </c>
      <c r="B134" s="381" t="s">
        <v>629</v>
      </c>
      <c r="C134" s="837">
        <f>'1.xi den'!J14</f>
        <v>0</v>
      </c>
      <c r="D134" s="838">
        <f>'1.xi den'!N14</f>
        <v>0</v>
      </c>
      <c r="E134" s="765"/>
      <c r="F134" s="765"/>
      <c r="G134" s="765"/>
      <c r="H134" s="765"/>
      <c r="I134" s="765"/>
    </row>
    <row r="135" spans="1:9" ht="12.75" hidden="1" customHeight="1">
      <c r="A135" s="815">
        <v>9</v>
      </c>
      <c r="B135" s="820" t="s">
        <v>826</v>
      </c>
      <c r="C135" s="837">
        <f>'1.xi den'!J15</f>
        <v>0</v>
      </c>
      <c r="D135" s="838">
        <f>'1.xi den'!N15</f>
        <v>0</v>
      </c>
      <c r="E135" s="765"/>
      <c r="F135" s="765"/>
      <c r="G135" s="765"/>
      <c r="H135" s="765"/>
      <c r="I135" s="765"/>
    </row>
    <row r="136" spans="1:9" ht="12.75" hidden="1" customHeight="1">
      <c r="A136" s="821">
        <v>10</v>
      </c>
      <c r="B136" s="822" t="s">
        <v>827</v>
      </c>
      <c r="C136" s="837">
        <f>'1.xi den'!J17</f>
        <v>163.76367528472861</v>
      </c>
      <c r="D136" s="838">
        <f>'1.xi den'!N17</f>
        <v>0</v>
      </c>
      <c r="E136" s="765"/>
      <c r="F136" s="765"/>
      <c r="G136" s="765"/>
      <c r="H136" s="765"/>
      <c r="I136" s="765"/>
    </row>
    <row r="137" spans="1:9" ht="12.75" hidden="1" customHeight="1">
      <c r="A137" s="821">
        <v>11</v>
      </c>
      <c r="B137" s="822" t="s">
        <v>828</v>
      </c>
      <c r="C137" s="837">
        <f>'1.xi den'!J18</f>
        <v>77.157728231096002</v>
      </c>
      <c r="D137" s="838">
        <f>'1.xi den'!N18</f>
        <v>0</v>
      </c>
      <c r="E137" s="765"/>
      <c r="F137" s="765"/>
      <c r="G137" s="765"/>
      <c r="H137" s="765"/>
      <c r="I137" s="765"/>
    </row>
    <row r="138" spans="1:9" ht="12.75" hidden="1" customHeight="1">
      <c r="A138" s="821">
        <v>12</v>
      </c>
      <c r="B138" s="822" t="s">
        <v>421</v>
      </c>
      <c r="C138" s="837">
        <f>'1.xi den'!J21</f>
        <v>0</v>
      </c>
      <c r="D138" s="838">
        <f>'1.xi den'!N21</f>
        <v>0</v>
      </c>
      <c r="E138" s="765"/>
      <c r="F138" s="765"/>
      <c r="G138" s="765"/>
      <c r="H138" s="765"/>
      <c r="I138" s="765"/>
    </row>
    <row r="139" spans="1:9" ht="12.75" hidden="1" customHeight="1">
      <c r="A139" s="821">
        <v>13</v>
      </c>
      <c r="B139" s="822" t="s">
        <v>424</v>
      </c>
      <c r="C139" s="837">
        <f>'1.xi den'!J22</f>
        <v>0</v>
      </c>
      <c r="D139" s="838">
        <f>'1.xi den'!N22</f>
        <v>0</v>
      </c>
      <c r="E139" s="765"/>
      <c r="F139" s="765"/>
      <c r="G139" s="765"/>
      <c r="H139" s="765"/>
      <c r="I139" s="765"/>
    </row>
    <row r="140" spans="1:9" ht="12.75" customHeight="1" thickBot="1">
      <c r="A140" s="772"/>
      <c r="B140" s="457"/>
      <c r="C140" s="839"/>
      <c r="D140" s="840"/>
      <c r="E140" s="765"/>
      <c r="F140" s="765"/>
      <c r="G140" s="765"/>
      <c r="H140" s="765"/>
      <c r="I140" s="765"/>
    </row>
    <row r="141" spans="1:9" ht="12.75" customHeight="1">
      <c r="A141" s="772"/>
      <c r="B141" s="457"/>
      <c r="E141" s="765"/>
      <c r="F141" s="765"/>
      <c r="G141" s="765"/>
      <c r="H141" s="765"/>
      <c r="I141" s="765"/>
    </row>
    <row r="143" spans="1:9" ht="12.75" customHeight="1">
      <c r="A143" s="2489" t="s">
        <v>831</v>
      </c>
      <c r="B143" s="2490"/>
      <c r="E143" s="765"/>
      <c r="F143" s="765"/>
      <c r="G143" s="765"/>
      <c r="H143" s="765"/>
      <c r="I143" s="765"/>
    </row>
    <row r="144" spans="1:9" ht="12.75" customHeight="1">
      <c r="A144" s="2491" t="s">
        <v>7</v>
      </c>
      <c r="B144" s="2493" t="s">
        <v>79</v>
      </c>
      <c r="C144" s="771" t="s">
        <v>173</v>
      </c>
      <c r="D144" s="771"/>
      <c r="E144" s="765"/>
      <c r="F144" s="765"/>
      <c r="G144" s="765"/>
      <c r="H144" s="765"/>
      <c r="I144" s="765"/>
    </row>
    <row r="145" spans="1:9" ht="12.75" customHeight="1" thickBot="1">
      <c r="A145" s="2492"/>
      <c r="B145" s="2494"/>
      <c r="C145" s="774">
        <v>0.33333333333333331</v>
      </c>
      <c r="D145" s="774">
        <v>0.83333333333333337</v>
      </c>
      <c r="E145" s="765"/>
      <c r="F145" s="765"/>
      <c r="G145" s="765"/>
      <c r="H145" s="765"/>
      <c r="I145" s="765"/>
    </row>
    <row r="146" spans="1:9" ht="12.75" customHeight="1">
      <c r="A146" s="841">
        <v>1</v>
      </c>
      <c r="B146" s="842" t="s">
        <v>572</v>
      </c>
      <c r="C146" s="816">
        <f>'R.FILE GOC'!H89</f>
        <v>24.2</v>
      </c>
      <c r="D146" s="817">
        <f>'R.FILE GOC'!N89</f>
        <v>0</v>
      </c>
      <c r="E146" s="765"/>
      <c r="F146" s="765"/>
      <c r="G146" s="765"/>
      <c r="H146" s="765"/>
      <c r="I146" s="765"/>
    </row>
    <row r="147" spans="1:9" ht="12.75" hidden="1" customHeight="1">
      <c r="A147" s="841">
        <v>2</v>
      </c>
      <c r="B147" s="842" t="s">
        <v>576</v>
      </c>
      <c r="C147" s="818">
        <f>'R.FILE GOC'!H90</f>
        <v>25</v>
      </c>
      <c r="D147" s="819">
        <f>'R.FILE GOC'!N90</f>
        <v>0</v>
      </c>
      <c r="E147" s="765"/>
      <c r="F147" s="765"/>
      <c r="G147" s="765"/>
      <c r="H147" s="765"/>
      <c r="I147" s="765"/>
    </row>
    <row r="148" spans="1:9" ht="12.75" hidden="1" customHeight="1">
      <c r="A148" s="841">
        <v>3</v>
      </c>
      <c r="B148" s="842" t="s">
        <v>578</v>
      </c>
      <c r="C148" s="818">
        <f>'R.FILE GOC'!H91</f>
        <v>247.2</v>
      </c>
      <c r="D148" s="819">
        <f>'R.FILE GOC'!N91</f>
        <v>0</v>
      </c>
      <c r="E148" s="765"/>
      <c r="F148" s="765"/>
      <c r="G148" s="765"/>
      <c r="H148" s="765"/>
      <c r="I148" s="765"/>
    </row>
    <row r="149" spans="1:9" ht="12.75" hidden="1" customHeight="1">
      <c r="A149" s="841">
        <v>4</v>
      </c>
      <c r="B149" s="382" t="s">
        <v>458</v>
      </c>
      <c r="C149" s="818">
        <f>'R.FILE GOC'!H92</f>
        <v>134.6</v>
      </c>
      <c r="D149" s="819">
        <f>'R.FILE GOC'!N92</f>
        <v>0</v>
      </c>
      <c r="E149" s="765"/>
      <c r="F149" s="765"/>
      <c r="G149" s="765"/>
      <c r="H149" s="765"/>
      <c r="I149" s="765"/>
    </row>
    <row r="150" spans="1:9" ht="12.75" hidden="1" customHeight="1">
      <c r="A150" s="841">
        <v>5</v>
      </c>
      <c r="B150" s="382" t="s">
        <v>459</v>
      </c>
      <c r="C150" s="818">
        <f>'R.FILE GOC'!H93</f>
        <v>4.9000000000000004</v>
      </c>
      <c r="D150" s="819">
        <f>'R.FILE GOC'!N93</f>
        <v>0</v>
      </c>
      <c r="E150" s="765"/>
      <c r="F150" s="765"/>
      <c r="G150" s="765"/>
      <c r="H150" s="765"/>
      <c r="I150" s="765"/>
    </row>
    <row r="151" spans="1:9" ht="12.75" hidden="1" customHeight="1">
      <c r="A151" s="841">
        <v>6</v>
      </c>
      <c r="B151" s="387" t="s">
        <v>460</v>
      </c>
      <c r="C151" s="818">
        <f>'R.FILE GOC'!H94</f>
        <v>138</v>
      </c>
      <c r="D151" s="819">
        <f>'R.FILE GOC'!N94</f>
        <v>0</v>
      </c>
      <c r="E151" s="765"/>
      <c r="F151" s="765"/>
      <c r="G151" s="765"/>
      <c r="H151" s="765"/>
      <c r="I151" s="765"/>
    </row>
    <row r="152" spans="1:9" ht="12.75" hidden="1" customHeight="1">
      <c r="A152" s="841">
        <v>7</v>
      </c>
      <c r="B152" s="387" t="s">
        <v>461</v>
      </c>
      <c r="C152" s="818">
        <f>'R.FILE GOC'!H95</f>
        <v>4.4000000000000004</v>
      </c>
      <c r="D152" s="819">
        <f>'R.FILE GOC'!N95</f>
        <v>0</v>
      </c>
      <c r="E152" s="765"/>
      <c r="F152" s="765"/>
      <c r="G152" s="765"/>
      <c r="H152" s="765"/>
      <c r="I152" s="765"/>
    </row>
    <row r="153" spans="1:9" ht="12.75" hidden="1" customHeight="1">
      <c r="A153" s="841">
        <v>8</v>
      </c>
      <c r="B153" s="387" t="s">
        <v>462</v>
      </c>
      <c r="C153" s="818">
        <f>'R.FILE GOC'!H96</f>
        <v>135</v>
      </c>
      <c r="D153" s="819">
        <f>'R.FILE GOC'!N96</f>
        <v>0</v>
      </c>
      <c r="E153" s="765"/>
      <c r="F153" s="765"/>
      <c r="G153" s="765"/>
      <c r="H153" s="765"/>
      <c r="I153" s="765"/>
    </row>
    <row r="154" spans="1:9" ht="12.75" hidden="1" customHeight="1">
      <c r="A154" s="841">
        <v>9</v>
      </c>
      <c r="B154" s="387" t="s">
        <v>463</v>
      </c>
      <c r="C154" s="818">
        <f>'R.FILE GOC'!H97</f>
        <v>4.5</v>
      </c>
      <c r="D154" s="819">
        <f>'R.FILE GOC'!N97</f>
        <v>0</v>
      </c>
      <c r="E154" s="765"/>
      <c r="F154" s="765"/>
      <c r="G154" s="765"/>
      <c r="H154" s="765"/>
      <c r="I154" s="765"/>
    </row>
    <row r="155" spans="1:9" ht="12.75" hidden="1" customHeight="1">
      <c r="A155" s="2482">
        <v>10</v>
      </c>
      <c r="B155" s="2129" t="s">
        <v>832</v>
      </c>
      <c r="C155" s="818">
        <f>'R.FILE GOC'!H98</f>
        <v>10.816000000000001</v>
      </c>
      <c r="D155" s="819">
        <f>'R.FILE GOC'!N98</f>
        <v>0</v>
      </c>
      <c r="E155" s="765"/>
      <c r="F155" s="765"/>
      <c r="G155" s="765"/>
      <c r="H155" s="765"/>
      <c r="I155" s="765"/>
    </row>
    <row r="156" spans="1:9" ht="12.75" hidden="1" customHeight="1">
      <c r="A156" s="2483"/>
      <c r="B156" s="2484"/>
      <c r="C156" s="818">
        <f>'R.FILE GOC'!H99</f>
        <v>7</v>
      </c>
      <c r="D156" s="819">
        <f>'R.FILE GOC'!N99</f>
        <v>0</v>
      </c>
      <c r="E156" s="765"/>
      <c r="F156" s="765"/>
      <c r="G156" s="765"/>
      <c r="H156" s="765"/>
      <c r="I156" s="765"/>
    </row>
    <row r="157" spans="1:9" ht="12.75" hidden="1" customHeight="1">
      <c r="A157" s="841">
        <v>12</v>
      </c>
      <c r="B157" s="843" t="s">
        <v>594</v>
      </c>
      <c r="C157" s="818">
        <f>'R.FILE GOC'!H100</f>
        <v>0</v>
      </c>
      <c r="D157" s="819">
        <f>'R.FILE GOC'!N100</f>
        <v>0</v>
      </c>
      <c r="E157" s="765"/>
      <c r="F157" s="765"/>
      <c r="G157" s="765"/>
      <c r="H157" s="765"/>
      <c r="I157" s="765"/>
    </row>
    <row r="158" spans="1:9" ht="12.75" hidden="1" customHeight="1">
      <c r="A158" s="841">
        <v>13</v>
      </c>
      <c r="B158" s="844" t="s">
        <v>597</v>
      </c>
      <c r="C158" s="818">
        <f>'R.FILE GOC'!H101</f>
        <v>0</v>
      </c>
      <c r="D158" s="819">
        <f>'R.FILE GOC'!N101</f>
        <v>0</v>
      </c>
      <c r="E158" s="765"/>
      <c r="F158" s="765"/>
      <c r="G158" s="765"/>
      <c r="H158" s="765"/>
      <c r="I158" s="765"/>
    </row>
    <row r="159" spans="1:9" ht="12.75" hidden="1" customHeight="1">
      <c r="A159" s="841">
        <v>14</v>
      </c>
      <c r="B159" s="845" t="s">
        <v>600</v>
      </c>
      <c r="C159" s="818">
        <f>'R.FILE GOC'!H102</f>
        <v>5.62</v>
      </c>
      <c r="D159" s="819">
        <f>'R.FILE GOC'!N102</f>
        <v>0</v>
      </c>
      <c r="E159" s="765"/>
      <c r="F159" s="765"/>
      <c r="G159" s="765"/>
      <c r="H159" s="765"/>
      <c r="I159" s="765"/>
    </row>
    <row r="160" spans="1:9" ht="12.75" hidden="1" customHeight="1">
      <c r="A160" s="841"/>
      <c r="B160" s="846" t="s">
        <v>76</v>
      </c>
      <c r="C160" s="824" t="s">
        <v>175</v>
      </c>
      <c r="D160" s="847" t="s">
        <v>175</v>
      </c>
      <c r="E160" s="765"/>
      <c r="F160" s="765"/>
      <c r="G160" s="765"/>
      <c r="H160" s="765"/>
      <c r="I160" s="765"/>
    </row>
    <row r="161" spans="1:9" ht="12.75" hidden="1" customHeight="1">
      <c r="A161" s="841" t="s">
        <v>7</v>
      </c>
      <c r="B161" s="848" t="s">
        <v>64</v>
      </c>
      <c r="C161" s="826">
        <v>0.33333333333333331</v>
      </c>
      <c r="D161" s="827"/>
      <c r="E161" s="765"/>
      <c r="F161" s="765"/>
      <c r="G161" s="765"/>
      <c r="H161" s="765"/>
      <c r="I161" s="765"/>
    </row>
    <row r="162" spans="1:9" ht="12.75" hidden="1" customHeight="1">
      <c r="A162" s="841">
        <v>1</v>
      </c>
      <c r="B162" s="842" t="s">
        <v>572</v>
      </c>
      <c r="C162" s="818">
        <f>'R.FILE GOC'!H105</f>
        <v>66</v>
      </c>
      <c r="D162" s="819">
        <f>'R.FILE GOC'!N105</f>
        <v>0</v>
      </c>
      <c r="E162" s="765"/>
      <c r="F162" s="765"/>
      <c r="G162" s="765"/>
      <c r="H162" s="765"/>
      <c r="I162" s="765"/>
    </row>
    <row r="163" spans="1:9" ht="12.75" hidden="1" customHeight="1">
      <c r="A163" s="841">
        <v>2</v>
      </c>
      <c r="B163" s="842" t="s">
        <v>576</v>
      </c>
      <c r="C163" s="818">
        <f>'R.FILE GOC'!H106</f>
        <v>67</v>
      </c>
      <c r="D163" s="819">
        <f>'R.FILE GOC'!N106</f>
        <v>0</v>
      </c>
      <c r="E163" s="765"/>
      <c r="F163" s="765"/>
      <c r="G163" s="765"/>
      <c r="H163" s="765"/>
      <c r="I163" s="765"/>
    </row>
    <row r="164" spans="1:9" ht="12.75" hidden="1" customHeight="1">
      <c r="A164" s="841">
        <v>3</v>
      </c>
      <c r="B164" s="382" t="s">
        <v>833</v>
      </c>
      <c r="C164" s="818">
        <f>'R.FILE GOC'!H107</f>
        <v>22</v>
      </c>
      <c r="D164" s="819">
        <f>'R.FILE GOC'!N107</f>
        <v>0</v>
      </c>
      <c r="E164" s="765"/>
      <c r="F164" s="765"/>
      <c r="G164" s="765"/>
      <c r="H164" s="765"/>
      <c r="I164" s="765"/>
    </row>
    <row r="165" spans="1:9" ht="12.75" hidden="1" customHeight="1">
      <c r="A165" s="841">
        <v>4</v>
      </c>
      <c r="B165" s="382" t="s">
        <v>834</v>
      </c>
      <c r="C165" s="818">
        <f>'R.FILE GOC'!H108</f>
        <v>19</v>
      </c>
      <c r="D165" s="819">
        <f>'R.FILE GOC'!N108</f>
        <v>0</v>
      </c>
      <c r="E165" s="765"/>
      <c r="F165" s="765"/>
      <c r="G165" s="765"/>
      <c r="H165" s="765"/>
      <c r="I165" s="765"/>
    </row>
    <row r="166" spans="1:9" ht="12.75" hidden="1" customHeight="1">
      <c r="A166" s="841">
        <v>5</v>
      </c>
      <c r="B166" s="382" t="s">
        <v>835</v>
      </c>
      <c r="C166" s="818">
        <f>'R.FILE GOC'!H109</f>
        <v>21</v>
      </c>
      <c r="D166" s="819">
        <f>'R.FILE GOC'!N109</f>
        <v>0</v>
      </c>
      <c r="E166" s="765"/>
      <c r="F166" s="765"/>
      <c r="G166" s="765"/>
      <c r="H166" s="765"/>
      <c r="I166" s="765"/>
    </row>
    <row r="167" spans="1:9" ht="12.75" hidden="1" customHeight="1">
      <c r="A167" s="841">
        <v>6</v>
      </c>
      <c r="B167" s="382" t="s">
        <v>832</v>
      </c>
      <c r="C167" s="818">
        <f>'R.FILE GOC'!H110</f>
        <v>39</v>
      </c>
      <c r="D167" s="819">
        <f>'R.FILE GOC'!N110</f>
        <v>0</v>
      </c>
      <c r="E167" s="765"/>
      <c r="F167" s="765"/>
      <c r="G167" s="765"/>
      <c r="H167" s="765"/>
      <c r="I167" s="765"/>
    </row>
    <row r="168" spans="1:9" ht="12.75" hidden="1" customHeight="1">
      <c r="A168" s="841">
        <v>8</v>
      </c>
      <c r="B168" s="843" t="s">
        <v>594</v>
      </c>
      <c r="C168" s="818">
        <f>'R.FILE GOC'!H111</f>
        <v>0</v>
      </c>
      <c r="D168" s="819">
        <f>'R.FILE GOC'!N111</f>
        <v>0</v>
      </c>
      <c r="E168" s="765"/>
      <c r="F168" s="765"/>
      <c r="G168" s="765"/>
      <c r="H168" s="765"/>
      <c r="I168" s="765"/>
    </row>
    <row r="169" spans="1:9" ht="12.75" hidden="1" customHeight="1">
      <c r="A169" s="841">
        <v>9</v>
      </c>
      <c r="B169" s="844" t="s">
        <v>597</v>
      </c>
      <c r="C169" s="818">
        <f>'R.FILE GOC'!H112</f>
        <v>0</v>
      </c>
      <c r="D169" s="819">
        <f>'R.FILE GOC'!N112</f>
        <v>0</v>
      </c>
      <c r="E169" s="765"/>
      <c r="F169" s="765"/>
      <c r="G169" s="765"/>
      <c r="H169" s="765"/>
      <c r="I169" s="765"/>
    </row>
    <row r="170" spans="1:9" ht="12.75" hidden="1" customHeight="1">
      <c r="A170" s="841">
        <v>10</v>
      </c>
      <c r="B170" s="845" t="s">
        <v>600</v>
      </c>
      <c r="C170" s="818">
        <f>'R.FILE GOC'!H113</f>
        <v>64</v>
      </c>
      <c r="D170" s="819">
        <f>'R.FILE GOC'!N113</f>
        <v>0</v>
      </c>
      <c r="E170" s="765"/>
      <c r="F170" s="765"/>
      <c r="G170" s="765"/>
      <c r="H170" s="765"/>
      <c r="I170" s="765"/>
    </row>
    <row r="171" spans="1:9" ht="12.75" hidden="1" customHeight="1">
      <c r="A171" s="841">
        <v>11</v>
      </c>
      <c r="B171" s="842" t="s">
        <v>836</v>
      </c>
      <c r="C171" s="818" t="e">
        <f>'R.FILE GOC'!#REF!</f>
        <v>#REF!</v>
      </c>
      <c r="D171" s="819" t="e">
        <f>'R.FILE GOC'!#REF!</f>
        <v>#REF!</v>
      </c>
      <c r="E171" s="765"/>
      <c r="F171" s="765"/>
      <c r="G171" s="765"/>
      <c r="H171" s="765"/>
      <c r="I171" s="765"/>
    </row>
    <row r="172" spans="1:9" ht="12.75" hidden="1" customHeight="1">
      <c r="A172" s="841">
        <v>12</v>
      </c>
      <c r="B172" s="382" t="s">
        <v>612</v>
      </c>
      <c r="C172" s="907">
        <f>'5.ML'!G33</f>
        <v>105</v>
      </c>
      <c r="D172" s="908">
        <f>'5.ML'!K33</f>
        <v>0</v>
      </c>
      <c r="E172" s="765"/>
      <c r="F172" s="765"/>
      <c r="G172" s="765"/>
      <c r="H172" s="765"/>
      <c r="I172" s="765"/>
    </row>
    <row r="173" spans="1:9" ht="12.75" hidden="1" customHeight="1">
      <c r="A173" s="832"/>
      <c r="B173" s="833"/>
      <c r="C173" s="834" t="s">
        <v>174</v>
      </c>
      <c r="D173" s="825" t="s">
        <v>174</v>
      </c>
      <c r="E173" s="765"/>
      <c r="F173" s="765"/>
      <c r="G173" s="765"/>
      <c r="H173" s="765"/>
      <c r="I173" s="765"/>
    </row>
    <row r="174" spans="1:9" ht="12.75" hidden="1" customHeight="1">
      <c r="A174" s="832"/>
      <c r="B174" s="833"/>
      <c r="C174" s="826">
        <v>0.33333333333333331</v>
      </c>
      <c r="D174" s="827"/>
      <c r="E174" s="765"/>
      <c r="F174" s="765"/>
      <c r="G174" s="765"/>
      <c r="H174" s="765"/>
      <c r="I174" s="765"/>
    </row>
    <row r="175" spans="1:9" ht="12.75" hidden="1" customHeight="1">
      <c r="A175" s="841">
        <v>1</v>
      </c>
      <c r="B175" s="842" t="s">
        <v>572</v>
      </c>
      <c r="C175" s="837">
        <f>'R.FILE GOC'!K89</f>
        <v>1.3056000000000012</v>
      </c>
      <c r="D175" s="838">
        <f>'R.FILE GOC'!Q89</f>
        <v>40.799999999999997</v>
      </c>
      <c r="E175" s="765"/>
      <c r="F175" s="765"/>
      <c r="G175" s="765"/>
      <c r="H175" s="765"/>
      <c r="I175" s="765"/>
    </row>
    <row r="176" spans="1:9" ht="12.75" hidden="1" customHeight="1">
      <c r="A176" s="841">
        <v>2</v>
      </c>
      <c r="B176" s="842" t="s">
        <v>576</v>
      </c>
      <c r="C176" s="837">
        <f>'R.FILE GOC'!K90</f>
        <v>0</v>
      </c>
      <c r="D176" s="838">
        <f>'R.FILE GOC'!Q90</f>
        <v>40.799999999999997</v>
      </c>
      <c r="E176" s="765"/>
      <c r="F176" s="765"/>
      <c r="G176" s="765"/>
      <c r="H176" s="765"/>
      <c r="I176" s="765"/>
    </row>
    <row r="177" spans="1:9" ht="12.75" hidden="1" customHeight="1">
      <c r="A177" s="841">
        <v>3</v>
      </c>
      <c r="B177" s="842" t="s">
        <v>578</v>
      </c>
      <c r="C177" s="837">
        <f>'R.FILE GOC'!K91</f>
        <v>4.569600000000019</v>
      </c>
      <c r="D177" s="838">
        <f>'R.FILE GOC'!Q91</f>
        <v>408</v>
      </c>
      <c r="E177" s="765"/>
      <c r="F177" s="765"/>
      <c r="G177" s="765"/>
      <c r="H177" s="765"/>
      <c r="I177" s="765"/>
    </row>
    <row r="178" spans="1:9" ht="12.75" hidden="1" customHeight="1">
      <c r="A178" s="841">
        <v>4</v>
      </c>
      <c r="B178" s="382" t="s">
        <v>458</v>
      </c>
      <c r="C178" s="837">
        <f>'R.FILE GOC'!K92</f>
        <v>0</v>
      </c>
      <c r="D178" s="838">
        <f>'R.FILE GOC'!Q92</f>
        <v>224.64</v>
      </c>
      <c r="E178" s="765"/>
      <c r="F178" s="765"/>
      <c r="G178" s="765"/>
      <c r="H178" s="765"/>
      <c r="I178" s="765"/>
    </row>
    <row r="179" spans="1:9" ht="12.75" hidden="1" customHeight="1">
      <c r="A179" s="841">
        <v>5</v>
      </c>
      <c r="B179" s="382" t="s">
        <v>459</v>
      </c>
      <c r="C179" s="837" t="str">
        <f>'R.FILE GOC'!K93</f>
        <v>N/A</v>
      </c>
      <c r="D179" s="838" t="str">
        <f>'R.FILE GOC'!Q93</f>
        <v>N/A</v>
      </c>
      <c r="E179" s="765"/>
      <c r="F179" s="765"/>
      <c r="G179" s="765"/>
      <c r="H179" s="765"/>
      <c r="I179" s="765"/>
    </row>
    <row r="180" spans="1:9" ht="12.75" hidden="1" customHeight="1">
      <c r="A180" s="841">
        <v>6</v>
      </c>
      <c r="B180" s="387" t="s">
        <v>460</v>
      </c>
      <c r="C180" s="837">
        <f>'R.FILE GOC'!K94</f>
        <v>0</v>
      </c>
      <c r="D180" s="838">
        <f>'R.FILE GOC'!Q94</f>
        <v>224.64</v>
      </c>
      <c r="E180" s="765"/>
      <c r="F180" s="765"/>
      <c r="G180" s="765"/>
      <c r="H180" s="765"/>
      <c r="I180" s="765"/>
    </row>
    <row r="181" spans="1:9" ht="12.75" hidden="1" customHeight="1">
      <c r="A181" s="841">
        <v>7</v>
      </c>
      <c r="B181" s="387" t="s">
        <v>461</v>
      </c>
      <c r="C181" s="837" t="str">
        <f>'R.FILE GOC'!K95</f>
        <v>N/A</v>
      </c>
      <c r="D181" s="838" t="str">
        <f>'R.FILE GOC'!Q95</f>
        <v>N/A</v>
      </c>
      <c r="E181" s="765"/>
      <c r="F181" s="765"/>
      <c r="G181" s="765"/>
      <c r="H181" s="765"/>
      <c r="I181" s="765"/>
    </row>
    <row r="182" spans="1:9" ht="12.75" hidden="1" customHeight="1">
      <c r="A182" s="841">
        <v>8</v>
      </c>
      <c r="B182" s="387" t="s">
        <v>462</v>
      </c>
      <c r="C182" s="837">
        <f>'R.FILE GOC'!K96</f>
        <v>0</v>
      </c>
      <c r="D182" s="838">
        <f>'R.FILE GOC'!Q96</f>
        <v>224.64</v>
      </c>
      <c r="E182" s="765"/>
      <c r="F182" s="765"/>
      <c r="G182" s="765"/>
      <c r="H182" s="765"/>
      <c r="I182" s="765"/>
    </row>
    <row r="183" spans="1:9" ht="12.75" hidden="1" customHeight="1">
      <c r="A183" s="841">
        <v>9</v>
      </c>
      <c r="B183" s="387" t="s">
        <v>463</v>
      </c>
      <c r="C183" s="837" t="str">
        <f>'R.FILE GOC'!K97</f>
        <v>N/A</v>
      </c>
      <c r="D183" s="838" t="str">
        <f>'R.FILE GOC'!Q97</f>
        <v>N/A</v>
      </c>
      <c r="E183" s="765"/>
      <c r="F183" s="765"/>
      <c r="G183" s="765"/>
      <c r="H183" s="765"/>
      <c r="I183" s="765"/>
    </row>
    <row r="184" spans="1:9" ht="12.75" hidden="1" customHeight="1">
      <c r="A184" s="2482">
        <v>10</v>
      </c>
      <c r="B184" s="2129" t="s">
        <v>832</v>
      </c>
      <c r="C184" s="837">
        <f>'R.FILE GOC'!K98</f>
        <v>0</v>
      </c>
      <c r="D184" s="838">
        <f>'R.FILE GOC'!Q98</f>
        <v>17.28</v>
      </c>
      <c r="E184" s="765"/>
      <c r="F184" s="765"/>
      <c r="G184" s="765"/>
      <c r="H184" s="765"/>
      <c r="I184" s="765"/>
    </row>
    <row r="185" spans="1:9" ht="12.75" hidden="1" customHeight="1">
      <c r="A185" s="2483"/>
      <c r="B185" s="2484"/>
      <c r="C185" s="837">
        <f>'R.FILE GOC'!K99</f>
        <v>0</v>
      </c>
      <c r="D185" s="838">
        <f>'R.FILE GOC'!Q99</f>
        <v>0</v>
      </c>
      <c r="E185" s="765"/>
      <c r="F185" s="765"/>
      <c r="G185" s="765"/>
      <c r="H185" s="765"/>
      <c r="I185" s="765"/>
    </row>
    <row r="186" spans="1:9" ht="12.75" customHeight="1" thickBot="1">
      <c r="C186" s="839"/>
      <c r="D186" s="840"/>
      <c r="E186" s="765"/>
      <c r="F186" s="765"/>
      <c r="G186" s="765"/>
      <c r="H186" s="765"/>
      <c r="I186" s="765"/>
    </row>
  </sheetData>
  <mergeCells count="40">
    <mergeCell ref="A184:A185"/>
    <mergeCell ref="B184:B185"/>
    <mergeCell ref="A99:A100"/>
    <mergeCell ref="B99:B100"/>
    <mergeCell ref="A143:B143"/>
    <mergeCell ref="A144:A145"/>
    <mergeCell ref="B144:B145"/>
    <mergeCell ref="A155:A156"/>
    <mergeCell ref="B155:B156"/>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6" type="noConversion"/>
  <pageMargins left="0.7" right="0.7" top="0.75" bottom="0.75" header="0.3" footer="0.3"/>
  <pageSetup paperSize="9" orientation="portrait" verticalDpi="0" r:id="rId1"/>
  <drawing r:id="rId2"/>
</worksheet>
</file>

<file path=xl/worksheets/sheet41.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G193" sqref="G193"/>
    </sheetView>
  </sheetViews>
  <sheetFormatPr defaultColWidth="4.125" defaultRowHeight="12.75" customHeight="1"/>
  <cols>
    <col min="1" max="1" width="2.75" style="765" customWidth="1"/>
    <col min="2" max="2" width="16.875" style="765" customWidth="1"/>
    <col min="3" max="4" width="9.5" style="767" customWidth="1"/>
    <col min="5" max="8" width="7" style="767" customWidth="1"/>
    <col min="9" max="9" width="7.625" style="765" customWidth="1"/>
    <col min="10" max="34" width="4.125" style="765"/>
    <col min="35" max="35" width="4.125" style="765" customWidth="1"/>
    <col min="36" max="16384" width="4.125" style="765"/>
  </cols>
  <sheetData>
    <row r="1" spans="1:9" ht="18" customHeight="1">
      <c r="B1" s="766"/>
      <c r="C1" s="766"/>
    </row>
    <row r="2" spans="1:9" ht="12.75" customHeight="1">
      <c r="B2" s="768" t="s">
        <v>791</v>
      </c>
      <c r="C2" s="769" t="str">
        <f>'1.xi den'!G3</f>
        <v>2022/12/03</v>
      </c>
    </row>
    <row r="3" spans="1:9" s="772" customFormat="1" ht="12.75" customHeight="1">
      <c r="A3" s="2475" t="s">
        <v>7</v>
      </c>
      <c r="B3" s="2477" t="s">
        <v>809</v>
      </c>
      <c r="C3" s="770"/>
      <c r="D3" s="771" t="s">
        <v>173</v>
      </c>
      <c r="E3" s="771"/>
      <c r="F3" s="771"/>
      <c r="G3" s="771"/>
      <c r="H3" s="771"/>
      <c r="I3" s="771"/>
    </row>
    <row r="4" spans="1:9" s="772" customFormat="1" ht="12.75" customHeight="1" thickBot="1">
      <c r="A4" s="2476"/>
      <c r="B4" s="2478"/>
      <c r="C4" s="773"/>
      <c r="D4" s="774" t="s">
        <v>427</v>
      </c>
      <c r="E4" s="774" t="s">
        <v>428</v>
      </c>
      <c r="F4" s="774" t="s">
        <v>429</v>
      </c>
      <c r="G4" s="774" t="s">
        <v>430</v>
      </c>
      <c r="H4" s="774" t="s">
        <v>431</v>
      </c>
      <c r="I4" s="774" t="s">
        <v>432</v>
      </c>
    </row>
    <row r="5" spans="1:9" s="778" customFormat="1" ht="12.75" customHeight="1">
      <c r="A5" s="379">
        <v>1</v>
      </c>
      <c r="B5" s="164" t="s">
        <v>810</v>
      </c>
      <c r="C5" s="457" t="s">
        <v>811</v>
      </c>
      <c r="D5" s="775">
        <f>'2.RL E tt'!F7</f>
        <v>0</v>
      </c>
      <c r="E5" s="776">
        <f>'2.RL E tt'!J7</f>
        <v>0</v>
      </c>
      <c r="F5" s="776">
        <f>'2.RL E tt'!N7</f>
        <v>0</v>
      </c>
      <c r="G5" s="776">
        <f>'2.RL E tt'!F29</f>
        <v>0</v>
      </c>
      <c r="H5" s="776">
        <f>'2.RL E tt'!J29</f>
        <v>0</v>
      </c>
      <c r="I5" s="777">
        <f>'2.RL E tt'!N29</f>
        <v>0</v>
      </c>
    </row>
    <row r="6" spans="1:9" s="778" customFormat="1" ht="12.75" hidden="1" customHeight="1">
      <c r="A6" s="379"/>
      <c r="B6" s="164" t="s">
        <v>810</v>
      </c>
      <c r="C6" s="457" t="s">
        <v>811</v>
      </c>
      <c r="D6" s="779">
        <f>'2.RL E tt'!F8</f>
        <v>0</v>
      </c>
      <c r="E6" s="780">
        <f>'2.RL E tt'!J8</f>
        <v>0</v>
      </c>
      <c r="F6" s="780">
        <f>'2.RL E tt'!N8</f>
        <v>0</v>
      </c>
      <c r="G6" s="780">
        <f>'2.RL E tt'!F30</f>
        <v>0</v>
      </c>
      <c r="H6" s="780">
        <f>'2.RL E tt'!J30</f>
        <v>0</v>
      </c>
      <c r="I6" s="781">
        <f>'2.RL E tt'!N30</f>
        <v>0</v>
      </c>
    </row>
    <row r="7" spans="1:9" s="778" customFormat="1" ht="12.75" hidden="1" customHeight="1">
      <c r="A7" s="379">
        <v>2</v>
      </c>
      <c r="B7" s="2479" t="s">
        <v>812</v>
      </c>
      <c r="C7" s="782" t="s">
        <v>654</v>
      </c>
      <c r="D7" s="779">
        <f>'2.RL E tt'!F9</f>
        <v>0</v>
      </c>
      <c r="E7" s="780">
        <f>'2.RL E tt'!J9</f>
        <v>0</v>
      </c>
      <c r="F7" s="780">
        <f>'2.RL E tt'!N9</f>
        <v>0</v>
      </c>
      <c r="G7" s="780">
        <f>'2.RL E tt'!F31</f>
        <v>0</v>
      </c>
      <c r="H7" s="780">
        <f>'2.RL E tt'!J31</f>
        <v>0</v>
      </c>
      <c r="I7" s="781">
        <f>'2.RL E tt'!N31</f>
        <v>0</v>
      </c>
    </row>
    <row r="8" spans="1:9" s="778" customFormat="1" ht="12.75" hidden="1" customHeight="1">
      <c r="A8" s="379">
        <v>3</v>
      </c>
      <c r="B8" s="2480"/>
      <c r="C8" s="782" t="s">
        <v>658</v>
      </c>
      <c r="D8" s="779">
        <f>'2.RL E tt'!F10</f>
        <v>0</v>
      </c>
      <c r="E8" s="780">
        <f>'2.RL E tt'!J10</f>
        <v>0</v>
      </c>
      <c r="F8" s="780">
        <f>'2.RL E tt'!N10</f>
        <v>0</v>
      </c>
      <c r="G8" s="780">
        <f>'2.RL E tt'!F32</f>
        <v>0</v>
      </c>
      <c r="H8" s="780">
        <f>'2.RL E tt'!J32</f>
        <v>0</v>
      </c>
      <c r="I8" s="781">
        <f>'2.RL E tt'!N32</f>
        <v>0</v>
      </c>
    </row>
    <row r="9" spans="1:9" s="778" customFormat="1" ht="12.75" hidden="1" customHeight="1">
      <c r="A9" s="379">
        <v>4</v>
      </c>
      <c r="B9" s="2481"/>
      <c r="C9" s="782" t="s">
        <v>660</v>
      </c>
      <c r="D9" s="779">
        <f>'2.RL E tt'!F11</f>
        <v>0</v>
      </c>
      <c r="E9" s="780">
        <f>'2.RL E tt'!J11</f>
        <v>0</v>
      </c>
      <c r="F9" s="780">
        <f>'2.RL E tt'!N11</f>
        <v>0</v>
      </c>
      <c r="G9" s="780">
        <f>'2.RL E tt'!F33</f>
        <v>0</v>
      </c>
      <c r="H9" s="780">
        <f>'2.RL E tt'!J33</f>
        <v>0</v>
      </c>
      <c r="I9" s="781">
        <f>'2.RL E tt'!N33</f>
        <v>0</v>
      </c>
    </row>
    <row r="10" spans="1:9" s="778" customFormat="1" ht="12.75" hidden="1" customHeight="1">
      <c r="A10" s="379">
        <v>5</v>
      </c>
      <c r="B10" s="2479" t="s">
        <v>813</v>
      </c>
      <c r="C10" s="782" t="s">
        <v>654</v>
      </c>
      <c r="D10" s="779">
        <f>'2.RL E tt'!F12</f>
        <v>0</v>
      </c>
      <c r="E10" s="780">
        <f>'2.RL E tt'!J12</f>
        <v>0</v>
      </c>
      <c r="F10" s="780">
        <f>'2.RL E tt'!N12</f>
        <v>0</v>
      </c>
      <c r="G10" s="780">
        <f>'2.RL E tt'!F34</f>
        <v>0</v>
      </c>
      <c r="H10" s="780">
        <f>'2.RL E tt'!J34</f>
        <v>0</v>
      </c>
      <c r="I10" s="781">
        <f>'2.RL E tt'!N34</f>
        <v>0</v>
      </c>
    </row>
    <row r="11" spans="1:9" s="778" customFormat="1" ht="12.75" hidden="1" customHeight="1">
      <c r="A11" s="379">
        <v>6</v>
      </c>
      <c r="B11" s="2480"/>
      <c r="C11" s="782" t="s">
        <v>658</v>
      </c>
      <c r="D11" s="779">
        <f>'2.RL E tt'!F13</f>
        <v>0</v>
      </c>
      <c r="E11" s="780">
        <f>'2.RL E tt'!J13</f>
        <v>0</v>
      </c>
      <c r="F11" s="780">
        <f>'2.RL E tt'!N13</f>
        <v>0</v>
      </c>
      <c r="G11" s="780">
        <f>'2.RL E tt'!F35</f>
        <v>0</v>
      </c>
      <c r="H11" s="780">
        <f>'2.RL E tt'!J35</f>
        <v>0</v>
      </c>
      <c r="I11" s="781">
        <f>'2.RL E tt'!N35</f>
        <v>0</v>
      </c>
    </row>
    <row r="12" spans="1:9" s="778" customFormat="1" ht="12.75" hidden="1" customHeight="1">
      <c r="A12" s="379">
        <v>7</v>
      </c>
      <c r="B12" s="2481"/>
      <c r="C12" s="782" t="s">
        <v>660</v>
      </c>
      <c r="D12" s="779">
        <f>'2.RL E tt'!F14</f>
        <v>0</v>
      </c>
      <c r="E12" s="780">
        <f>'2.RL E tt'!J14</f>
        <v>0</v>
      </c>
      <c r="F12" s="780">
        <f>'2.RL E tt'!N14</f>
        <v>0</v>
      </c>
      <c r="G12" s="780">
        <f>'2.RL E tt'!F36</f>
        <v>0</v>
      </c>
      <c r="H12" s="780">
        <f>'2.RL E tt'!J36</f>
        <v>0</v>
      </c>
      <c r="I12" s="781">
        <f>'2.RL E tt'!N36</f>
        <v>0</v>
      </c>
    </row>
    <row r="13" spans="1:9" s="783" customFormat="1" ht="12.75" hidden="1" customHeight="1">
      <c r="A13" s="379">
        <v>8</v>
      </c>
      <c r="B13" s="2479" t="s">
        <v>814</v>
      </c>
      <c r="C13" s="457" t="s">
        <v>815</v>
      </c>
      <c r="D13" s="779">
        <f>'2.RL E tt'!F15</f>
        <v>0</v>
      </c>
      <c r="E13" s="780">
        <f>'2.RL E tt'!J15</f>
        <v>0</v>
      </c>
      <c r="F13" s="780">
        <f>'2.RL E tt'!N15</f>
        <v>0</v>
      </c>
      <c r="G13" s="780">
        <f>'2.RL E tt'!F37</f>
        <v>0</v>
      </c>
      <c r="H13" s="780">
        <f>'2.RL E tt'!J37</f>
        <v>0</v>
      </c>
      <c r="I13" s="781">
        <f>'2.RL E tt'!N37</f>
        <v>0</v>
      </c>
    </row>
    <row r="14" spans="1:9" s="783" customFormat="1" ht="12.75" hidden="1" customHeight="1">
      <c r="A14" s="379">
        <v>9</v>
      </c>
      <c r="B14" s="2481"/>
      <c r="C14" s="457" t="s">
        <v>666</v>
      </c>
      <c r="D14" s="779">
        <f>'2.RL E tt'!F16</f>
        <v>0</v>
      </c>
      <c r="E14" s="780">
        <f>'2.RL E tt'!J16</f>
        <v>0</v>
      </c>
      <c r="F14" s="780">
        <f>'2.RL E tt'!N16</f>
        <v>0</v>
      </c>
      <c r="G14" s="780">
        <f>'2.RL E tt'!F38</f>
        <v>0</v>
      </c>
      <c r="H14" s="780">
        <f>'2.RL E tt'!J38</f>
        <v>0</v>
      </c>
      <c r="I14" s="781">
        <f>'2.RL E tt'!N38</f>
        <v>0</v>
      </c>
    </row>
    <row r="15" spans="1:9" s="783" customFormat="1" ht="12.75" hidden="1" customHeight="1">
      <c r="A15" s="2474" t="s">
        <v>2</v>
      </c>
      <c r="B15" s="2474"/>
      <c r="C15" s="770"/>
      <c r="D15" s="784" t="s">
        <v>175</v>
      </c>
      <c r="E15" s="771"/>
      <c r="F15" s="771"/>
      <c r="G15" s="771"/>
      <c r="H15" s="771"/>
      <c r="I15" s="785"/>
    </row>
    <row r="16" spans="1:9" s="783" customFormat="1" ht="12.75" hidden="1" customHeight="1">
      <c r="A16" s="176" t="s">
        <v>57</v>
      </c>
      <c r="B16" s="786" t="s">
        <v>816</v>
      </c>
      <c r="C16" s="770"/>
      <c r="D16" s="787" t="s">
        <v>427</v>
      </c>
      <c r="E16" s="774" t="s">
        <v>428</v>
      </c>
      <c r="F16" s="774" t="s">
        <v>429</v>
      </c>
      <c r="G16" s="774" t="s">
        <v>430</v>
      </c>
      <c r="H16" s="774" t="s">
        <v>431</v>
      </c>
      <c r="I16" s="788" t="s">
        <v>432</v>
      </c>
    </row>
    <row r="17" spans="1:9" s="783" customFormat="1" ht="12.75" hidden="1" customHeight="1">
      <c r="A17" s="379">
        <v>1</v>
      </c>
      <c r="B17" s="789" t="s">
        <v>489</v>
      </c>
      <c r="C17" s="790"/>
      <c r="D17" s="779">
        <f>'2.RL E tt'!F19</f>
        <v>0</v>
      </c>
      <c r="E17" s="780">
        <f>'2.RL E tt'!J19</f>
        <v>0</v>
      </c>
      <c r="F17" s="780">
        <f>'2.RL E tt'!N19</f>
        <v>0</v>
      </c>
      <c r="G17" s="780">
        <f>'2.RL E tt'!F41</f>
        <v>0</v>
      </c>
      <c r="H17" s="780">
        <f>'2.RL E tt'!J41</f>
        <v>0</v>
      </c>
      <c r="I17" s="785">
        <f>'2.RL E tt'!N41</f>
        <v>0</v>
      </c>
    </row>
    <row r="18" spans="1:9" s="783" customFormat="1" ht="12.75" hidden="1" customHeight="1">
      <c r="A18" s="379">
        <v>2</v>
      </c>
      <c r="B18" s="789" t="s">
        <v>491</v>
      </c>
      <c r="C18" s="790"/>
      <c r="D18" s="779">
        <f>'2.RL E tt'!F20</f>
        <v>0</v>
      </c>
      <c r="E18" s="780">
        <f>'2.RL E tt'!J20</f>
        <v>0</v>
      </c>
      <c r="F18" s="780">
        <f>'2.RL E tt'!N20</f>
        <v>0</v>
      </c>
      <c r="G18" s="780">
        <f>'2.RL E tt'!F42</f>
        <v>0</v>
      </c>
      <c r="H18" s="780">
        <f>'2.RL E tt'!J42</f>
        <v>0</v>
      </c>
      <c r="I18" s="785">
        <f>'2.RL E tt'!N42</f>
        <v>0</v>
      </c>
    </row>
    <row r="19" spans="1:9" s="783" customFormat="1" ht="12.75" hidden="1" customHeight="1">
      <c r="A19" s="379">
        <v>3</v>
      </c>
      <c r="B19" s="789" t="s">
        <v>484</v>
      </c>
      <c r="C19" s="790"/>
      <c r="D19" s="779">
        <f>'2.RL E tt'!F21</f>
        <v>0</v>
      </c>
      <c r="E19" s="780">
        <f>'2.RL E tt'!J21</f>
        <v>0</v>
      </c>
      <c r="F19" s="780">
        <f>'2.RL E tt'!N21</f>
        <v>0</v>
      </c>
      <c r="G19" s="780">
        <f>'2.RL E tt'!F43</f>
        <v>0</v>
      </c>
      <c r="H19" s="780">
        <f>'2.RL E tt'!J43</f>
        <v>0</v>
      </c>
      <c r="I19" s="785">
        <f>'2.RL E tt'!N43</f>
        <v>0</v>
      </c>
    </row>
    <row r="20" spans="1:9" s="783" customFormat="1" ht="12.75" hidden="1" customHeight="1">
      <c r="A20" s="379">
        <v>4</v>
      </c>
      <c r="B20" s="789" t="s">
        <v>817</v>
      </c>
      <c r="C20" s="790"/>
      <c r="D20" s="779">
        <f>'2.RL E tt'!F22</f>
        <v>0</v>
      </c>
      <c r="E20" s="780">
        <f>'2.RL E tt'!J22</f>
        <v>0</v>
      </c>
      <c r="F20" s="780">
        <f>'2.RL E tt'!N22</f>
        <v>0</v>
      </c>
      <c r="G20" s="780">
        <f>'2.RL E tt'!F44</f>
        <v>0</v>
      </c>
      <c r="H20" s="780">
        <f>'2.RL E tt'!J44</f>
        <v>0</v>
      </c>
      <c r="I20" s="785">
        <f>'2.RL E tt'!N44</f>
        <v>0</v>
      </c>
    </row>
    <row r="21" spans="1:9" ht="12.75" hidden="1" customHeight="1">
      <c r="A21" s="2475" t="s">
        <v>7</v>
      </c>
      <c r="B21" s="2477" t="s">
        <v>809</v>
      </c>
      <c r="C21" s="770"/>
      <c r="D21" s="784" t="s">
        <v>174</v>
      </c>
      <c r="E21" s="771"/>
      <c r="F21" s="771"/>
      <c r="G21" s="771"/>
      <c r="H21" s="771"/>
      <c r="I21" s="791"/>
    </row>
    <row r="22" spans="1:9" ht="12.75" hidden="1" customHeight="1">
      <c r="A22" s="2476"/>
      <c r="B22" s="2478"/>
      <c r="C22" s="773"/>
      <c r="D22" s="787" t="s">
        <v>427</v>
      </c>
      <c r="E22" s="774" t="s">
        <v>428</v>
      </c>
      <c r="F22" s="774" t="s">
        <v>429</v>
      </c>
      <c r="G22" s="774" t="s">
        <v>430</v>
      </c>
      <c r="H22" s="774" t="s">
        <v>431</v>
      </c>
      <c r="I22" s="788" t="s">
        <v>432</v>
      </c>
    </row>
    <row r="23" spans="1:9" ht="12.75" hidden="1" customHeight="1">
      <c r="A23" s="379">
        <v>1</v>
      </c>
      <c r="B23" s="164" t="s">
        <v>810</v>
      </c>
      <c r="C23" s="457"/>
      <c r="D23" s="792">
        <f>'2.RL E tt'!H7</f>
        <v>292.1875</v>
      </c>
      <c r="E23" s="793">
        <f>'2.RL E tt'!L7</f>
        <v>292.1875</v>
      </c>
      <c r="F23" s="793">
        <f>'2.RL E tt'!P7</f>
        <v>292.1875</v>
      </c>
      <c r="G23" s="793">
        <f>'2.RL E tt'!H29</f>
        <v>292.1875</v>
      </c>
      <c r="H23" s="793">
        <f>'2.RL E tt'!L29</f>
        <v>292.1875</v>
      </c>
      <c r="I23" s="799">
        <f>'2.RL E tt'!P29</f>
        <v>292.1875</v>
      </c>
    </row>
    <row r="24" spans="1:9" ht="12.75" hidden="1" customHeight="1">
      <c r="A24" s="379"/>
      <c r="B24" s="164" t="s">
        <v>810</v>
      </c>
      <c r="C24" s="457"/>
      <c r="D24" s="792">
        <f>'2.RL E tt'!H8</f>
        <v>292.1875</v>
      </c>
      <c r="E24" s="793">
        <f>'2.RL E tt'!L8</f>
        <v>292.1875</v>
      </c>
      <c r="F24" s="793">
        <f>'2.RL E tt'!P8</f>
        <v>292.1875</v>
      </c>
      <c r="G24" s="793">
        <f>'2.RL E tt'!H30</f>
        <v>292.1875</v>
      </c>
      <c r="H24" s="793">
        <f>'2.RL E tt'!L30</f>
        <v>292.1875</v>
      </c>
      <c r="I24" s="799">
        <f>'2.RL E tt'!P30</f>
        <v>292.1875</v>
      </c>
    </row>
    <row r="25" spans="1:9" ht="12.75" hidden="1" customHeight="1">
      <c r="A25" s="379">
        <v>2</v>
      </c>
      <c r="B25" s="2479" t="s">
        <v>812</v>
      </c>
      <c r="C25" s="457"/>
      <c r="D25" s="792">
        <f>'2.RL E tt'!H9</f>
        <v>69.400000000000006</v>
      </c>
      <c r="E25" s="793">
        <f>'2.RL E tt'!L9</f>
        <v>69.400000000000006</v>
      </c>
      <c r="F25" s="793">
        <f>'2.RL E tt'!P9</f>
        <v>69.400000000000006</v>
      </c>
      <c r="G25" s="793">
        <f>'2.RL E tt'!H31</f>
        <v>69.400000000000006</v>
      </c>
      <c r="H25" s="793">
        <f>'2.RL E tt'!L31</f>
        <v>69.400000000000006</v>
      </c>
      <c r="I25" s="799">
        <f>'2.RL E tt'!P31</f>
        <v>69.400000000000006</v>
      </c>
    </row>
    <row r="26" spans="1:9" ht="12.75" hidden="1" customHeight="1">
      <c r="A26" s="379">
        <v>3</v>
      </c>
      <c r="B26" s="2480"/>
      <c r="C26" s="457"/>
      <c r="D26" s="792">
        <f>'2.RL E tt'!H10</f>
        <v>4.5110000000000001</v>
      </c>
      <c r="E26" s="793">
        <f>'2.RL E tt'!L10</f>
        <v>4.5110000000000001</v>
      </c>
      <c r="F26" s="793">
        <f>'2.RL E tt'!P10</f>
        <v>4.5110000000000001</v>
      </c>
      <c r="G26" s="793">
        <f>'2.RL E tt'!H32</f>
        <v>4.5110000000000001</v>
      </c>
      <c r="H26" s="793">
        <f>'2.RL E tt'!L32</f>
        <v>4.5110000000000001</v>
      </c>
      <c r="I26" s="799">
        <f>'2.RL E tt'!P32</f>
        <v>4.5110000000000001</v>
      </c>
    </row>
    <row r="27" spans="1:9" ht="12.75" hidden="1" customHeight="1">
      <c r="A27" s="379">
        <v>4</v>
      </c>
      <c r="B27" s="2481"/>
      <c r="C27" s="457"/>
      <c r="D27" s="792">
        <f>'2.RL E tt'!H11</f>
        <v>0</v>
      </c>
      <c r="E27" s="793">
        <f>'2.RL E tt'!L11</f>
        <v>0</v>
      </c>
      <c r="F27" s="793">
        <f>'2.RL E tt'!P11</f>
        <v>0</v>
      </c>
      <c r="G27" s="793">
        <f>'2.RL E tt'!H33</f>
        <v>0</v>
      </c>
      <c r="H27" s="793">
        <f>'2.RL E tt'!L33</f>
        <v>0</v>
      </c>
      <c r="I27" s="799">
        <f>'2.RL E tt'!P33</f>
        <v>0</v>
      </c>
    </row>
    <row r="28" spans="1:9" ht="12.75" hidden="1" customHeight="1">
      <c r="A28" s="379">
        <v>5</v>
      </c>
      <c r="B28" s="2479" t="s">
        <v>813</v>
      </c>
      <c r="C28" s="457"/>
      <c r="D28" s="792">
        <f>'2.RL E tt'!H12</f>
        <v>69.400000000000006</v>
      </c>
      <c r="E28" s="793">
        <f>'2.RL E tt'!L12</f>
        <v>69.400000000000006</v>
      </c>
      <c r="F28" s="793">
        <f>'2.RL E tt'!P12</f>
        <v>69.400000000000006</v>
      </c>
      <c r="G28" s="793">
        <f>'2.RL E tt'!H34</f>
        <v>69.400000000000006</v>
      </c>
      <c r="H28" s="793">
        <f>'2.RL E tt'!L34</f>
        <v>69.400000000000006</v>
      </c>
      <c r="I28" s="799">
        <f>'2.RL E tt'!P34</f>
        <v>69.400000000000006</v>
      </c>
    </row>
    <row r="29" spans="1:9" ht="12.75" hidden="1" customHeight="1">
      <c r="A29" s="379">
        <v>6</v>
      </c>
      <c r="B29" s="2480"/>
      <c r="C29" s="457"/>
      <c r="D29" s="792">
        <f>'2.RL E tt'!H13</f>
        <v>4.5110000000000001</v>
      </c>
      <c r="E29" s="793">
        <f>'2.RL E tt'!L13</f>
        <v>4.5110000000000001</v>
      </c>
      <c r="F29" s="793">
        <f>'2.RL E tt'!P13</f>
        <v>4.5110000000000001</v>
      </c>
      <c r="G29" s="793">
        <f>'2.RL E tt'!H35</f>
        <v>4.5110000000000001</v>
      </c>
      <c r="H29" s="793">
        <f>'2.RL E tt'!L35</f>
        <v>4.5110000000000001</v>
      </c>
      <c r="I29" s="799">
        <f>'2.RL E tt'!P35</f>
        <v>4.5110000000000001</v>
      </c>
    </row>
    <row r="30" spans="1:9" ht="12.75" hidden="1" customHeight="1">
      <c r="A30" s="379">
        <v>7</v>
      </c>
      <c r="B30" s="2481"/>
      <c r="C30" s="457"/>
      <c r="D30" s="792">
        <f>'2.RL E tt'!H14</f>
        <v>0</v>
      </c>
      <c r="E30" s="793">
        <f>'2.RL E tt'!L14</f>
        <v>0</v>
      </c>
      <c r="F30" s="793">
        <f>'2.RL E tt'!P14</f>
        <v>0</v>
      </c>
      <c r="G30" s="793">
        <f>'2.RL E tt'!H36</f>
        <v>0</v>
      </c>
      <c r="H30" s="793">
        <f>'2.RL E tt'!L36</f>
        <v>0</v>
      </c>
      <c r="I30" s="799">
        <f>'2.RL E tt'!P36</f>
        <v>0</v>
      </c>
    </row>
    <row r="31" spans="1:9" ht="12.75" hidden="1" customHeight="1">
      <c r="A31" s="379">
        <v>8</v>
      </c>
      <c r="B31" s="2479" t="s">
        <v>814</v>
      </c>
      <c r="C31" s="457"/>
      <c r="D31" s="792">
        <f>'2.RL E tt'!H15</f>
        <v>4.3680000000000003</v>
      </c>
      <c r="E31" s="793">
        <f>'2.RL E tt'!L15</f>
        <v>4.3680000000000003</v>
      </c>
      <c r="F31" s="793">
        <f>'2.RL E tt'!P15</f>
        <v>4.3680000000000003</v>
      </c>
      <c r="G31" s="793">
        <f>'2.RL E tt'!H37</f>
        <v>4.3680000000000003</v>
      </c>
      <c r="H31" s="793">
        <f>'2.RL E tt'!L37</f>
        <v>4.3680000000000003</v>
      </c>
      <c r="I31" s="799">
        <f>'2.RL E tt'!P37</f>
        <v>4.3680000000000003</v>
      </c>
    </row>
    <row r="32" spans="1:9" ht="12.75" hidden="1" customHeight="1">
      <c r="A32" s="379">
        <v>9</v>
      </c>
      <c r="B32" s="2481"/>
      <c r="C32" s="457"/>
      <c r="D32" s="792">
        <f>'2.RL E tt'!H16</f>
        <v>0</v>
      </c>
      <c r="E32" s="793">
        <f>'2.RL E tt'!L16</f>
        <v>0</v>
      </c>
      <c r="F32" s="793">
        <f>'2.RL E tt'!P16</f>
        <v>0</v>
      </c>
      <c r="G32" s="793">
        <f>'2.RL E tt'!H38</f>
        <v>0</v>
      </c>
      <c r="H32" s="793">
        <f>'2.RL E tt'!L38</f>
        <v>0</v>
      </c>
      <c r="I32" s="799">
        <f>'2.RL E tt'!P38</f>
        <v>0</v>
      </c>
    </row>
    <row r="33" spans="1:9" ht="12.75" hidden="1" customHeight="1">
      <c r="D33" s="795"/>
      <c r="I33" s="791"/>
    </row>
    <row r="34" spans="1:9" ht="12.75" hidden="1" customHeight="1">
      <c r="B34" s="768" t="s">
        <v>986</v>
      </c>
      <c r="C34" s="796"/>
      <c r="D34" s="795"/>
      <c r="I34" s="791"/>
    </row>
    <row r="35" spans="1:9" ht="12.75" hidden="1" customHeight="1">
      <c r="A35" s="2475" t="s">
        <v>7</v>
      </c>
      <c r="B35" s="2477" t="s">
        <v>809</v>
      </c>
      <c r="C35" s="770"/>
      <c r="D35" s="784" t="s">
        <v>173</v>
      </c>
      <c r="E35" s="771"/>
      <c r="F35" s="771"/>
      <c r="G35" s="771"/>
      <c r="H35" s="771"/>
      <c r="I35" s="791"/>
    </row>
    <row r="36" spans="1:9" ht="12.75" hidden="1" customHeight="1">
      <c r="A36" s="2476"/>
      <c r="B36" s="2478"/>
      <c r="C36" s="773"/>
      <c r="D36" s="787" t="s">
        <v>427</v>
      </c>
      <c r="E36" s="774" t="s">
        <v>428</v>
      </c>
      <c r="F36" s="774" t="s">
        <v>429</v>
      </c>
      <c r="G36" s="774" t="s">
        <v>430</v>
      </c>
      <c r="H36" s="774" t="s">
        <v>431</v>
      </c>
      <c r="I36" s="788" t="s">
        <v>432</v>
      </c>
    </row>
    <row r="37" spans="1:9" ht="12.75" hidden="1" customHeight="1">
      <c r="A37" s="379">
        <v>1</v>
      </c>
      <c r="B37" s="797" t="s">
        <v>493</v>
      </c>
      <c r="C37" s="457"/>
      <c r="D37" s="779">
        <f>'3.RL G tt'!E7</f>
        <v>39</v>
      </c>
      <c r="E37" s="780">
        <f>'3.RL G tt'!I7</f>
        <v>48</v>
      </c>
      <c r="F37" s="780">
        <f>'3.RL G tt'!M7</f>
        <v>0</v>
      </c>
      <c r="G37" s="780">
        <f>'3.RL G tt'!E24</f>
        <v>0</v>
      </c>
      <c r="H37" s="780">
        <f>'3.RL G tt'!I24</f>
        <v>0</v>
      </c>
      <c r="I37" s="791">
        <f>'3.RL G tt'!M24</f>
        <v>0</v>
      </c>
    </row>
    <row r="38" spans="1:9" ht="12.75" hidden="1" customHeight="1">
      <c r="A38" s="379">
        <v>2</v>
      </c>
      <c r="B38" s="797" t="s">
        <v>496</v>
      </c>
      <c r="C38" s="457"/>
      <c r="D38" s="779">
        <f>'3.RL G tt'!E8</f>
        <v>13.14</v>
      </c>
      <c r="E38" s="780">
        <f>'3.RL G tt'!I8</f>
        <v>11.315000000000001</v>
      </c>
      <c r="F38" s="780">
        <f>'3.RL G tt'!M8</f>
        <v>0</v>
      </c>
      <c r="G38" s="780">
        <f>'3.RL G tt'!E25</f>
        <v>0</v>
      </c>
      <c r="H38" s="780">
        <f>'3.RL G tt'!I25</f>
        <v>0</v>
      </c>
      <c r="I38" s="791">
        <f>'3.RL G tt'!M25</f>
        <v>0</v>
      </c>
    </row>
    <row r="39" spans="1:9" ht="12.75" hidden="1" customHeight="1">
      <c r="A39" s="379">
        <v>3</v>
      </c>
      <c r="B39" s="2479" t="s">
        <v>818</v>
      </c>
      <c r="C39" s="782" t="s">
        <v>654</v>
      </c>
      <c r="D39" s="779">
        <f>'3.RL G tt'!E9</f>
        <v>56</v>
      </c>
      <c r="E39" s="780">
        <f>'3.RL G tt'!I9</f>
        <v>54</v>
      </c>
      <c r="F39" s="780">
        <f>'3.RL G tt'!M9</f>
        <v>0</v>
      </c>
      <c r="G39" s="780">
        <f>'3.RL G tt'!E26</f>
        <v>0</v>
      </c>
      <c r="H39" s="780">
        <f>'3.RL G tt'!I26</f>
        <v>0</v>
      </c>
      <c r="I39" s="791">
        <f>'3.RL G tt'!M26</f>
        <v>0</v>
      </c>
    </row>
    <row r="40" spans="1:9" ht="12.75" hidden="1" customHeight="1">
      <c r="A40" s="379">
        <v>4</v>
      </c>
      <c r="B40" s="2480"/>
      <c r="C40" s="782" t="s">
        <v>658</v>
      </c>
      <c r="D40" s="779">
        <f>'3.RL G tt'!E10</f>
        <v>8.2352941176470598</v>
      </c>
      <c r="E40" s="780">
        <f>'3.RL G tt'!I10</f>
        <v>9.3103448275862064</v>
      </c>
      <c r="F40" s="780">
        <f>'3.RL G tt'!M10</f>
        <v>0</v>
      </c>
      <c r="G40" s="780">
        <f>'3.RL G tt'!E27</f>
        <v>0</v>
      </c>
      <c r="H40" s="780">
        <f>'3.RL G tt'!I27</f>
        <v>0</v>
      </c>
      <c r="I40" s="791">
        <f>'3.RL G tt'!M27</f>
        <v>0</v>
      </c>
    </row>
    <row r="41" spans="1:9" ht="12.75" hidden="1" customHeight="1">
      <c r="A41" s="379">
        <v>5</v>
      </c>
      <c r="B41" s="2481"/>
      <c r="C41" s="782" t="s">
        <v>660</v>
      </c>
      <c r="D41" s="779">
        <f>'3.RL G tt'!E11</f>
        <v>0.14000000000000001</v>
      </c>
      <c r="E41" s="780">
        <f>'3.RL G tt'!I11</f>
        <v>0.4</v>
      </c>
      <c r="F41" s="780">
        <f>'3.RL G tt'!M11</f>
        <v>0</v>
      </c>
      <c r="G41" s="780">
        <f>'3.RL G tt'!E28</f>
        <v>0</v>
      </c>
      <c r="H41" s="780">
        <f>'3.RL G tt'!I28</f>
        <v>0</v>
      </c>
      <c r="I41" s="791">
        <f>'3.RL G tt'!M28</f>
        <v>0</v>
      </c>
    </row>
    <row r="42" spans="1:9" ht="12.75" hidden="1" customHeight="1">
      <c r="A42" s="379">
        <v>6</v>
      </c>
      <c r="B42" s="2479" t="s">
        <v>819</v>
      </c>
      <c r="C42" s="457"/>
      <c r="D42" s="779">
        <f>'3.RL G tt'!E12</f>
        <v>0.95</v>
      </c>
      <c r="E42" s="780">
        <f>'3.RL G tt'!I12</f>
        <v>0.9</v>
      </c>
      <c r="F42" s="780">
        <f>'3.RL G tt'!M12</f>
        <v>0</v>
      </c>
      <c r="G42" s="780">
        <f>'3.RL G tt'!E29</f>
        <v>0</v>
      </c>
      <c r="H42" s="780">
        <f>'3.RL G tt'!I29</f>
        <v>0</v>
      </c>
      <c r="I42" s="791">
        <f>'3.RL G tt'!M29</f>
        <v>0</v>
      </c>
    </row>
    <row r="43" spans="1:9" ht="12.75" hidden="1" customHeight="1">
      <c r="A43" s="379">
        <v>7</v>
      </c>
      <c r="B43" s="2481"/>
      <c r="C43" s="457"/>
      <c r="D43" s="779">
        <f>'3.RL G tt'!E13</f>
        <v>9</v>
      </c>
      <c r="E43" s="780">
        <f>'3.RL G tt'!I13</f>
        <v>9</v>
      </c>
      <c r="F43" s="780">
        <f>'3.RL G tt'!M13</f>
        <v>0</v>
      </c>
      <c r="G43" s="780">
        <f>'3.RL G tt'!E30</f>
        <v>0</v>
      </c>
      <c r="H43" s="780">
        <f>'3.RL G tt'!I30</f>
        <v>0</v>
      </c>
      <c r="I43" s="791">
        <f>'3.RL G tt'!M30</f>
        <v>0</v>
      </c>
    </row>
    <row r="44" spans="1:9" ht="12.75" hidden="1" customHeight="1">
      <c r="A44" s="2474" t="s">
        <v>2</v>
      </c>
      <c r="B44" s="2474"/>
      <c r="C44" s="770"/>
      <c r="D44" s="784" t="s">
        <v>175</v>
      </c>
      <c r="E44" s="771"/>
      <c r="F44" s="771"/>
      <c r="G44" s="771"/>
      <c r="H44" s="771"/>
      <c r="I44" s="791"/>
    </row>
    <row r="45" spans="1:9" ht="12.75" hidden="1" customHeight="1">
      <c r="A45" s="176" t="s">
        <v>57</v>
      </c>
      <c r="B45" s="786" t="s">
        <v>816</v>
      </c>
      <c r="C45" s="770"/>
      <c r="D45" s="787" t="s">
        <v>427</v>
      </c>
      <c r="E45" s="774" t="s">
        <v>428</v>
      </c>
      <c r="F45" s="774" t="s">
        <v>429</v>
      </c>
      <c r="G45" s="774" t="s">
        <v>430</v>
      </c>
      <c r="H45" s="774" t="s">
        <v>431</v>
      </c>
      <c r="I45" s="788" t="s">
        <v>432</v>
      </c>
    </row>
    <row r="46" spans="1:9" ht="12.75" hidden="1" customHeight="1">
      <c r="A46" s="379">
        <v>1</v>
      </c>
      <c r="B46" s="381" t="s">
        <v>498</v>
      </c>
      <c r="C46" s="798"/>
      <c r="D46" s="1445">
        <f>'3.RL G tt'!G16</f>
        <v>60</v>
      </c>
      <c r="E46" s="1446">
        <f>'3.RL G tt'!K16</f>
        <v>61</v>
      </c>
      <c r="F46" s="1446">
        <f>'3.RL G tt'!O16</f>
        <v>60</v>
      </c>
      <c r="G46" s="1446">
        <f>'3.RL G tt'!G33</f>
        <v>0</v>
      </c>
      <c r="H46" s="1446">
        <f>'3.RL G tt'!K33</f>
        <v>0</v>
      </c>
      <c r="I46" s="1447">
        <f>'3.RL G tt'!O33</f>
        <v>0</v>
      </c>
    </row>
    <row r="47" spans="1:9" ht="12.75" hidden="1" customHeight="1">
      <c r="A47" s="379">
        <v>2</v>
      </c>
      <c r="B47" s="381" t="s">
        <v>820</v>
      </c>
      <c r="C47" s="798"/>
      <c r="D47" s="1445">
        <f>'3.RL G tt'!G17</f>
        <v>70</v>
      </c>
      <c r="E47" s="1446">
        <f>'3.RL G tt'!K17</f>
        <v>69</v>
      </c>
      <c r="F47" s="1446">
        <f>'3.RL G tt'!O17</f>
        <v>67</v>
      </c>
      <c r="G47" s="1446">
        <f>'3.RL G tt'!G34</f>
        <v>0</v>
      </c>
      <c r="H47" s="1446">
        <f>'3.RL G tt'!K34</f>
        <v>0</v>
      </c>
      <c r="I47" s="1447">
        <f>'3.RL G tt'!O34</f>
        <v>0</v>
      </c>
    </row>
    <row r="48" spans="1:9" ht="12.75" hidden="1" customHeight="1">
      <c r="A48" s="379">
        <v>3</v>
      </c>
      <c r="B48" s="381" t="s">
        <v>785</v>
      </c>
      <c r="C48" s="798"/>
      <c r="D48" s="1445">
        <f>'3.RL G tt'!G18</f>
        <v>89</v>
      </c>
      <c r="E48" s="1446">
        <f>'3.RL G tt'!K18</f>
        <v>78</v>
      </c>
      <c r="F48" s="1446">
        <f>'3.RL G tt'!O18</f>
        <v>85</v>
      </c>
      <c r="G48" s="1446">
        <f>'3.RL G tt'!G35</f>
        <v>0</v>
      </c>
      <c r="H48" s="1446">
        <f>'3.RL G tt'!K35</f>
        <v>0</v>
      </c>
      <c r="I48" s="1447">
        <f>'3.RL G tt'!O35</f>
        <v>0</v>
      </c>
    </row>
    <row r="49" spans="1:9" ht="12.75" hidden="1" customHeight="1">
      <c r="A49" s="2475" t="s">
        <v>7</v>
      </c>
      <c r="B49" s="2477" t="s">
        <v>809</v>
      </c>
      <c r="C49" s="770"/>
      <c r="D49" s="784" t="s">
        <v>174</v>
      </c>
      <c r="E49" s="771"/>
      <c r="F49" s="771"/>
      <c r="G49" s="771"/>
      <c r="H49" s="771"/>
      <c r="I49" s="791"/>
    </row>
    <row r="50" spans="1:9" ht="12.75" hidden="1" customHeight="1">
      <c r="A50" s="2476"/>
      <c r="B50" s="2478"/>
      <c r="C50" s="773"/>
      <c r="D50" s="787" t="s">
        <v>427</v>
      </c>
      <c r="E50" s="774" t="s">
        <v>428</v>
      </c>
      <c r="F50" s="774" t="s">
        <v>429</v>
      </c>
      <c r="G50" s="774" t="s">
        <v>430</v>
      </c>
      <c r="H50" s="774" t="s">
        <v>431</v>
      </c>
      <c r="I50" s="788" t="s">
        <v>432</v>
      </c>
    </row>
    <row r="51" spans="1:9" ht="12.75" hidden="1" customHeight="1">
      <c r="A51" s="379">
        <v>1</v>
      </c>
      <c r="B51" s="797" t="s">
        <v>493</v>
      </c>
      <c r="C51" s="457"/>
      <c r="D51" s="792">
        <f>'3.RL G tt'!G7</f>
        <v>2.33</v>
      </c>
      <c r="E51" s="793">
        <f>'3.RL G tt'!K7</f>
        <v>0</v>
      </c>
      <c r="F51" s="793">
        <f>'3.RL G tt'!O7</f>
        <v>93.2</v>
      </c>
      <c r="G51" s="793">
        <f>'3.RL G tt'!G24</f>
        <v>93.2</v>
      </c>
      <c r="H51" s="793">
        <f>'3.RL G tt'!K24</f>
        <v>93.2</v>
      </c>
      <c r="I51" s="799">
        <f>'3.RL G tt'!O24</f>
        <v>93.2</v>
      </c>
    </row>
    <row r="52" spans="1:9" ht="12.75" hidden="1" customHeight="1">
      <c r="A52" s="379">
        <v>2</v>
      </c>
      <c r="B52" s="797" t="s">
        <v>496</v>
      </c>
      <c r="C52" s="457"/>
      <c r="D52" s="792">
        <f>'3.RL G tt'!G8</f>
        <v>0</v>
      </c>
      <c r="E52" s="793">
        <f>'3.RL G tt'!K8</f>
        <v>96.466406249999892</v>
      </c>
      <c r="F52" s="793">
        <f>'3.RL G tt'!O8</f>
        <v>1017.578125</v>
      </c>
      <c r="G52" s="793">
        <f>'3.RL G tt'!G25</f>
        <v>1017.578125</v>
      </c>
      <c r="H52" s="793">
        <f>'3.RL G tt'!K25</f>
        <v>1017.578125</v>
      </c>
      <c r="I52" s="799">
        <f>'3.RL G tt'!O25</f>
        <v>1017.578125</v>
      </c>
    </row>
    <row r="53" spans="1:9" ht="12.75" hidden="1" customHeight="1">
      <c r="A53" s="379">
        <v>3</v>
      </c>
      <c r="B53" s="2479" t="s">
        <v>818</v>
      </c>
      <c r="C53" s="457"/>
      <c r="D53" s="792">
        <f>'3.RL G tt'!G9</f>
        <v>0</v>
      </c>
      <c r="E53" s="793">
        <f>'3.RL G tt'!K9</f>
        <v>0</v>
      </c>
      <c r="F53" s="793">
        <f>'3.RL G tt'!O9</f>
        <v>246.75</v>
      </c>
      <c r="G53" s="793">
        <f>'3.RL G tt'!G26</f>
        <v>246.75</v>
      </c>
      <c r="H53" s="793">
        <f>'3.RL G tt'!K26</f>
        <v>246.75</v>
      </c>
      <c r="I53" s="799">
        <f>'3.RL G tt'!O26</f>
        <v>246.75</v>
      </c>
    </row>
    <row r="54" spans="1:9" ht="12.75" hidden="1" customHeight="1">
      <c r="A54" s="379">
        <v>4</v>
      </c>
      <c r="B54" s="2480"/>
      <c r="C54" s="457"/>
      <c r="D54" s="792">
        <f>'3.RL G tt'!G10</f>
        <v>0</v>
      </c>
      <c r="E54" s="793">
        <f>'3.RL G tt'!K10</f>
        <v>0</v>
      </c>
      <c r="F54" s="793">
        <f>'3.RL G tt'!O10</f>
        <v>32.077500000000001</v>
      </c>
      <c r="G54" s="793">
        <f>'3.RL G tt'!G27</f>
        <v>32.077500000000001</v>
      </c>
      <c r="H54" s="793">
        <f>'3.RL G tt'!K27</f>
        <v>32.077500000000001</v>
      </c>
      <c r="I54" s="799">
        <f>'3.RL G tt'!O27</f>
        <v>32.077500000000001</v>
      </c>
    </row>
    <row r="55" spans="1:9" ht="12.75" hidden="1" customHeight="1">
      <c r="A55" s="379">
        <v>5</v>
      </c>
      <c r="B55" s="2481"/>
      <c r="C55" s="457"/>
      <c r="D55" s="792">
        <f>'3.RL G tt'!G11</f>
        <v>0</v>
      </c>
      <c r="E55" s="793">
        <f>'3.RL G tt'!K11</f>
        <v>0</v>
      </c>
      <c r="F55" s="793">
        <f>'3.RL G tt'!O11</f>
        <v>0</v>
      </c>
      <c r="G55" s="793">
        <f>'3.RL G tt'!G28</f>
        <v>0</v>
      </c>
      <c r="H55" s="793">
        <f>'3.RL G tt'!K28</f>
        <v>0</v>
      </c>
      <c r="I55" s="799">
        <f>'3.RL G tt'!O28</f>
        <v>0</v>
      </c>
    </row>
    <row r="56" spans="1:9" ht="12.75" hidden="1" customHeight="1">
      <c r="A56" s="379">
        <v>6</v>
      </c>
      <c r="B56" s="2479" t="s">
        <v>819</v>
      </c>
      <c r="C56" s="457"/>
      <c r="D56" s="792">
        <f>'3.RL G tt'!G12</f>
        <v>6.1700000000000053E-2</v>
      </c>
      <c r="E56" s="793">
        <f>'3.RL G tt'!K12</f>
        <v>0.12339999999999998</v>
      </c>
      <c r="F56" s="793">
        <f>'3.RL G tt'!O12</f>
        <v>1.234</v>
      </c>
      <c r="G56" s="793">
        <f>'3.RL G tt'!G29</f>
        <v>1.234</v>
      </c>
      <c r="H56" s="793">
        <f>'3.RL G tt'!K29</f>
        <v>1.234</v>
      </c>
      <c r="I56" s="799">
        <f>'3.RL G tt'!O29</f>
        <v>1.234</v>
      </c>
    </row>
    <row r="57" spans="1:9" ht="12.75" hidden="1" customHeight="1">
      <c r="A57" s="379">
        <v>7</v>
      </c>
      <c r="B57" s="2481"/>
      <c r="C57" s="457"/>
      <c r="D57" s="792">
        <f>'3.RL G tt'!G13</f>
        <v>0</v>
      </c>
      <c r="E57" s="793">
        <f>'3.RL G tt'!K13</f>
        <v>0</v>
      </c>
      <c r="F57" s="793">
        <f>'3.RL G tt'!O13</f>
        <v>0</v>
      </c>
      <c r="G57" s="793">
        <f>'3.RL G tt'!G30</f>
        <v>0</v>
      </c>
      <c r="H57" s="793">
        <f>'3.RL G tt'!K30</f>
        <v>0</v>
      </c>
      <c r="I57" s="799">
        <f>'3.RL G tt'!O30</f>
        <v>0</v>
      </c>
    </row>
    <row r="58" spans="1:9" ht="12.75" hidden="1" customHeight="1">
      <c r="D58" s="795"/>
      <c r="I58" s="791"/>
    </row>
    <row r="59" spans="1:9" ht="12.75" hidden="1" customHeight="1">
      <c r="B59" s="768" t="s">
        <v>987</v>
      </c>
      <c r="C59" s="796"/>
      <c r="D59" s="795"/>
      <c r="I59" s="791"/>
    </row>
    <row r="60" spans="1:9" ht="12.75" hidden="1" customHeight="1">
      <c r="A60" s="2475" t="s">
        <v>7</v>
      </c>
      <c r="B60" s="2477" t="s">
        <v>809</v>
      </c>
      <c r="C60" s="770"/>
      <c r="D60" s="784" t="s">
        <v>173</v>
      </c>
      <c r="E60" s="771"/>
      <c r="F60" s="771"/>
      <c r="G60" s="771"/>
      <c r="H60" s="771"/>
      <c r="I60" s="791"/>
    </row>
    <row r="61" spans="1:9" ht="12.75" hidden="1" customHeight="1">
      <c r="A61" s="2476"/>
      <c r="B61" s="2478"/>
      <c r="C61" s="773"/>
      <c r="D61" s="787" t="s">
        <v>427</v>
      </c>
      <c r="E61" s="774" t="s">
        <v>428</v>
      </c>
      <c r="F61" s="774" t="s">
        <v>429</v>
      </c>
      <c r="G61" s="774" t="s">
        <v>430</v>
      </c>
      <c r="H61" s="774" t="s">
        <v>431</v>
      </c>
      <c r="I61" s="788" t="s">
        <v>432</v>
      </c>
    </row>
    <row r="62" spans="1:9" ht="12.75" hidden="1" customHeight="1">
      <c r="A62" s="176">
        <v>1</v>
      </c>
      <c r="B62" s="164" t="s">
        <v>985</v>
      </c>
      <c r="C62" s="457"/>
      <c r="D62" s="779">
        <f>'4.RL F tt'!F7</f>
        <v>0</v>
      </c>
      <c r="E62" s="780">
        <f>'4.RL F tt'!J7</f>
        <v>0</v>
      </c>
      <c r="F62" s="780">
        <f>'4.RL F tt'!N7</f>
        <v>0</v>
      </c>
      <c r="G62" s="780">
        <f>'4.RL F tt'!F29</f>
        <v>0</v>
      </c>
      <c r="H62" s="780">
        <f>'4.RL F tt'!J29</f>
        <v>0</v>
      </c>
      <c r="I62" s="791">
        <f>'4.RL F tt'!N29</f>
        <v>0</v>
      </c>
    </row>
    <row r="63" spans="1:9" ht="12.75" hidden="1" customHeight="1">
      <c r="A63" s="176"/>
      <c r="B63" s="164" t="s">
        <v>810</v>
      </c>
      <c r="C63" s="457" t="s">
        <v>811</v>
      </c>
      <c r="D63" s="779">
        <f>'4.RL F tt'!F8</f>
        <v>0</v>
      </c>
      <c r="E63" s="780">
        <f>'4.RL F tt'!J8</f>
        <v>0</v>
      </c>
      <c r="F63" s="780">
        <f>'4.RL F tt'!N8</f>
        <v>0</v>
      </c>
      <c r="G63" s="780">
        <f>'4.RL F tt'!F30</f>
        <v>0</v>
      </c>
      <c r="H63" s="780">
        <f>'4.RL F tt'!J30</f>
        <v>0</v>
      </c>
      <c r="I63" s="791">
        <f>'4.RL F tt'!N30</f>
        <v>0</v>
      </c>
    </row>
    <row r="64" spans="1:9" ht="12.75" hidden="1" customHeight="1">
      <c r="A64" s="379">
        <v>2</v>
      </c>
      <c r="B64" s="2479" t="s">
        <v>812</v>
      </c>
      <c r="C64" s="782" t="s">
        <v>654</v>
      </c>
      <c r="D64" s="779">
        <f>'4.RL F tt'!F9</f>
        <v>0</v>
      </c>
      <c r="E64" s="780">
        <f>'4.RL F tt'!J9</f>
        <v>0</v>
      </c>
      <c r="F64" s="780">
        <f>'4.RL F tt'!N9</f>
        <v>0</v>
      </c>
      <c r="G64" s="780">
        <f>'4.RL F tt'!F31</f>
        <v>0</v>
      </c>
      <c r="H64" s="780">
        <f>'4.RL F tt'!J31</f>
        <v>0</v>
      </c>
      <c r="I64" s="791">
        <f>'4.RL F tt'!N31</f>
        <v>0</v>
      </c>
    </row>
    <row r="65" spans="1:9" ht="12.75" hidden="1" customHeight="1">
      <c r="A65" s="379">
        <v>3</v>
      </c>
      <c r="B65" s="2480"/>
      <c r="C65" s="782" t="s">
        <v>658</v>
      </c>
      <c r="D65" s="779">
        <f>'4.RL F tt'!F10</f>
        <v>0</v>
      </c>
      <c r="E65" s="780">
        <f>'4.RL F tt'!J10</f>
        <v>0</v>
      </c>
      <c r="F65" s="780">
        <f>'4.RL F tt'!N10</f>
        <v>0</v>
      </c>
      <c r="G65" s="780">
        <f>'4.RL F tt'!F32</f>
        <v>0</v>
      </c>
      <c r="H65" s="780">
        <f>'4.RL F tt'!J32</f>
        <v>0</v>
      </c>
      <c r="I65" s="791">
        <f>'4.RL F tt'!N32</f>
        <v>0</v>
      </c>
    </row>
    <row r="66" spans="1:9" ht="12.75" hidden="1" customHeight="1">
      <c r="A66" s="379">
        <v>4</v>
      </c>
      <c r="B66" s="2481"/>
      <c r="C66" s="782" t="s">
        <v>660</v>
      </c>
      <c r="D66" s="779">
        <f>'4.RL F tt'!F11</f>
        <v>0</v>
      </c>
      <c r="E66" s="780">
        <f>'4.RL F tt'!J11</f>
        <v>0</v>
      </c>
      <c r="F66" s="780">
        <f>'4.RL F tt'!N11</f>
        <v>0</v>
      </c>
      <c r="G66" s="780">
        <f>'4.RL F tt'!F33</f>
        <v>0</v>
      </c>
      <c r="H66" s="780">
        <f>'4.RL F tt'!J33</f>
        <v>0</v>
      </c>
      <c r="I66" s="791">
        <f>'4.RL F tt'!N33</f>
        <v>0</v>
      </c>
    </row>
    <row r="67" spans="1:9" ht="12.75" hidden="1" customHeight="1">
      <c r="A67" s="379">
        <v>5</v>
      </c>
      <c r="B67" s="2479" t="s">
        <v>813</v>
      </c>
      <c r="C67" s="782" t="s">
        <v>654</v>
      </c>
      <c r="D67" s="779" t="e">
        <f>'4.RL F tt'!F12</f>
        <v>#REF!</v>
      </c>
      <c r="E67" s="780" t="e">
        <f>'4.RL F tt'!J12</f>
        <v>#REF!</v>
      </c>
      <c r="F67" s="780" t="e">
        <f>'4.RL F tt'!N12</f>
        <v>#REF!</v>
      </c>
      <c r="G67" s="780" t="e">
        <f>'4.RL F tt'!F34</f>
        <v>#REF!</v>
      </c>
      <c r="H67" s="780" t="e">
        <f>'4.RL F tt'!J34</f>
        <v>#REF!</v>
      </c>
      <c r="I67" s="791" t="e">
        <f>'4.RL F tt'!N34</f>
        <v>#REF!</v>
      </c>
    </row>
    <row r="68" spans="1:9" ht="12.75" hidden="1" customHeight="1">
      <c r="A68" s="379">
        <v>6</v>
      </c>
      <c r="B68" s="2480"/>
      <c r="C68" s="782" t="s">
        <v>658</v>
      </c>
      <c r="D68" s="779" t="e">
        <f>'4.RL F tt'!F13</f>
        <v>#REF!</v>
      </c>
      <c r="E68" s="780" t="e">
        <f>'4.RL F tt'!J13</f>
        <v>#REF!</v>
      </c>
      <c r="F68" s="780" t="e">
        <f>'4.RL F tt'!N13</f>
        <v>#REF!</v>
      </c>
      <c r="G68" s="780" t="e">
        <f>'4.RL F tt'!F35</f>
        <v>#REF!</v>
      </c>
      <c r="H68" s="780" t="e">
        <f>'4.RL F tt'!J35</f>
        <v>#REF!</v>
      </c>
      <c r="I68" s="791" t="e">
        <f>'4.RL F tt'!N35</f>
        <v>#REF!</v>
      </c>
    </row>
    <row r="69" spans="1:9" ht="12.75" hidden="1" customHeight="1">
      <c r="A69" s="379">
        <v>7</v>
      </c>
      <c r="B69" s="2481"/>
      <c r="C69" s="782" t="s">
        <v>660</v>
      </c>
      <c r="D69" s="779" t="e">
        <f>'4.RL F tt'!F14</f>
        <v>#REF!</v>
      </c>
      <c r="E69" s="780" t="e">
        <f>'4.RL F tt'!J14</f>
        <v>#REF!</v>
      </c>
      <c r="F69" s="780" t="e">
        <f>'4.RL F tt'!N14</f>
        <v>#REF!</v>
      </c>
      <c r="G69" s="780" t="e">
        <f>'4.RL F tt'!F36</f>
        <v>#REF!</v>
      </c>
      <c r="H69" s="780" t="e">
        <f>'4.RL F tt'!J36</f>
        <v>#REF!</v>
      </c>
      <c r="I69" s="791" t="e">
        <f>'4.RL F tt'!N36</f>
        <v>#REF!</v>
      </c>
    </row>
    <row r="70" spans="1:9" ht="12.75" hidden="1" customHeight="1">
      <c r="A70" s="379">
        <v>8</v>
      </c>
      <c r="B70" s="2479" t="s">
        <v>814</v>
      </c>
      <c r="C70" s="457" t="s">
        <v>815</v>
      </c>
      <c r="D70" s="779">
        <f>'4.RL F tt'!F15</f>
        <v>0</v>
      </c>
      <c r="E70" s="780">
        <f>'4.RL F tt'!J15</f>
        <v>0</v>
      </c>
      <c r="F70" s="780">
        <f>'4.RL F tt'!N15</f>
        <v>0</v>
      </c>
      <c r="G70" s="780">
        <f>'4.RL F tt'!F37</f>
        <v>0</v>
      </c>
      <c r="H70" s="780">
        <f>'4.RL F tt'!J37</f>
        <v>0</v>
      </c>
      <c r="I70" s="791">
        <f>'4.RL F tt'!N37</f>
        <v>0</v>
      </c>
    </row>
    <row r="71" spans="1:9" ht="12.75" hidden="1" customHeight="1">
      <c r="A71" s="379">
        <v>9</v>
      </c>
      <c r="B71" s="2481"/>
      <c r="C71" s="457" t="s">
        <v>666</v>
      </c>
      <c r="D71" s="779">
        <f>'4.RL F tt'!F16</f>
        <v>0</v>
      </c>
      <c r="E71" s="780">
        <f>'4.RL F tt'!J16</f>
        <v>0</v>
      </c>
      <c r="F71" s="780">
        <f>'4.RL F tt'!N16</f>
        <v>0</v>
      </c>
      <c r="G71" s="780">
        <f>'4.RL F tt'!F38</f>
        <v>0</v>
      </c>
      <c r="H71" s="780">
        <f>'4.RL F tt'!J38</f>
        <v>0</v>
      </c>
      <c r="I71" s="791">
        <f>'4.RL F tt'!N38</f>
        <v>0</v>
      </c>
    </row>
    <row r="72" spans="1:9" ht="12.75" hidden="1" customHeight="1">
      <c r="A72" s="2474" t="s">
        <v>2</v>
      </c>
      <c r="B72" s="2474"/>
      <c r="C72" s="770"/>
      <c r="D72" s="784" t="s">
        <v>175</v>
      </c>
      <c r="E72" s="771"/>
      <c r="F72" s="771"/>
      <c r="G72" s="771"/>
      <c r="H72" s="771"/>
      <c r="I72" s="791"/>
    </row>
    <row r="73" spans="1:9" ht="12.75" hidden="1" customHeight="1">
      <c r="A73" s="176" t="s">
        <v>57</v>
      </c>
      <c r="B73" s="786" t="s">
        <v>816</v>
      </c>
      <c r="C73" s="770"/>
      <c r="D73" s="787" t="s">
        <v>427</v>
      </c>
      <c r="E73" s="774" t="s">
        <v>428</v>
      </c>
      <c r="F73" s="774" t="s">
        <v>429</v>
      </c>
      <c r="G73" s="774" t="s">
        <v>430</v>
      </c>
      <c r="H73" s="774" t="s">
        <v>431</v>
      </c>
      <c r="I73" s="788" t="s">
        <v>432</v>
      </c>
    </row>
    <row r="74" spans="1:9" ht="12.75" hidden="1" customHeight="1">
      <c r="A74" s="379">
        <v>1</v>
      </c>
      <c r="B74" s="1019" t="s">
        <v>985</v>
      </c>
      <c r="C74" s="790"/>
      <c r="D74" s="1445">
        <f>'4.RL F tt'!H19</f>
        <v>0</v>
      </c>
      <c r="E74" s="1446">
        <f>'4.RL F tt'!L19</f>
        <v>0</v>
      </c>
      <c r="F74" s="1446">
        <f>'4.RL F tt'!P19</f>
        <v>0</v>
      </c>
      <c r="G74" s="1446">
        <f>'4.RL F tt'!H41</f>
        <v>0</v>
      </c>
      <c r="H74" s="1446">
        <f>'4.RL F tt'!L41</f>
        <v>0</v>
      </c>
      <c r="I74" s="1447">
        <f>'4.RL F tt'!P41</f>
        <v>0</v>
      </c>
    </row>
    <row r="75" spans="1:9" ht="12.75" hidden="1" customHeight="1">
      <c r="A75" s="379">
        <v>2</v>
      </c>
      <c r="B75" s="789" t="s">
        <v>491</v>
      </c>
      <c r="C75" s="790"/>
      <c r="D75" s="1445">
        <f>'4.RL F tt'!H20</f>
        <v>0</v>
      </c>
      <c r="E75" s="1446">
        <f>'4.RL F tt'!L20</f>
        <v>0</v>
      </c>
      <c r="F75" s="1446">
        <f>'4.RL F tt'!P20</f>
        <v>0</v>
      </c>
      <c r="G75" s="1446">
        <f>'4.RL F tt'!H42</f>
        <v>0</v>
      </c>
      <c r="H75" s="1446">
        <f>'4.RL F tt'!L42</f>
        <v>0</v>
      </c>
      <c r="I75" s="1447">
        <f>'4.RL F tt'!P42</f>
        <v>0</v>
      </c>
    </row>
    <row r="76" spans="1:9" ht="12.75" hidden="1" customHeight="1">
      <c r="A76" s="379">
        <v>3</v>
      </c>
      <c r="B76" s="789" t="s">
        <v>484</v>
      </c>
      <c r="C76" s="790"/>
      <c r="D76" s="1445">
        <f>'4.RL F tt'!H21</f>
        <v>0</v>
      </c>
      <c r="E76" s="1446">
        <f>'4.RL F tt'!L21</f>
        <v>0</v>
      </c>
      <c r="F76" s="1446">
        <f>'4.RL F tt'!P21</f>
        <v>0</v>
      </c>
      <c r="G76" s="1446">
        <f>'4.RL F tt'!H43</f>
        <v>0</v>
      </c>
      <c r="H76" s="1446">
        <f>'4.RL F tt'!L43</f>
        <v>0</v>
      </c>
      <c r="I76" s="1447">
        <f>'4.RL F tt'!P43</f>
        <v>0</v>
      </c>
    </row>
    <row r="77" spans="1:9" ht="12.75" hidden="1" customHeight="1">
      <c r="A77" s="379">
        <v>4</v>
      </c>
      <c r="B77" s="789" t="s">
        <v>817</v>
      </c>
      <c r="C77" s="790"/>
      <c r="D77" s="779">
        <f>'4.RL F tt'!F22</f>
        <v>0</v>
      </c>
      <c r="E77" s="780">
        <f>'4.RL F tt'!J22</f>
        <v>0</v>
      </c>
      <c r="F77" s="780">
        <f>'4.RL F tt'!N22</f>
        <v>0</v>
      </c>
      <c r="G77" s="780">
        <f>'4.RL F tt'!F44</f>
        <v>0</v>
      </c>
      <c r="H77" s="780">
        <f>'4.RL F tt'!J44</f>
        <v>0</v>
      </c>
      <c r="I77" s="791">
        <f>'4.RL F tt'!N44</f>
        <v>0</v>
      </c>
    </row>
    <row r="78" spans="1:9" ht="12.75" hidden="1" customHeight="1">
      <c r="A78" s="2475" t="s">
        <v>7</v>
      </c>
      <c r="B78" s="2477" t="s">
        <v>809</v>
      </c>
      <c r="C78" s="770"/>
      <c r="D78" s="784" t="s">
        <v>174</v>
      </c>
      <c r="E78" s="771"/>
      <c r="F78" s="771"/>
      <c r="G78" s="771"/>
      <c r="H78" s="771"/>
      <c r="I78" s="791"/>
    </row>
    <row r="79" spans="1:9" ht="12.75" hidden="1" customHeight="1">
      <c r="A79" s="2476"/>
      <c r="B79" s="2478"/>
      <c r="C79" s="773"/>
      <c r="D79" s="787" t="s">
        <v>427</v>
      </c>
      <c r="E79" s="774" t="s">
        <v>428</v>
      </c>
      <c r="F79" s="774" t="s">
        <v>429</v>
      </c>
      <c r="G79" s="774" t="s">
        <v>430</v>
      </c>
      <c r="H79" s="774" t="s">
        <v>431</v>
      </c>
      <c r="I79" s="788" t="s">
        <v>432</v>
      </c>
    </row>
    <row r="80" spans="1:9" ht="12.75" hidden="1" customHeight="1">
      <c r="A80" s="379">
        <v>1</v>
      </c>
      <c r="B80" s="164" t="s">
        <v>985</v>
      </c>
      <c r="C80" s="457"/>
      <c r="D80" s="792">
        <f>'4.RL F tt'!H7</f>
        <v>93.2</v>
      </c>
      <c r="E80" s="793">
        <f>'4.RL F tt'!L7</f>
        <v>93.2</v>
      </c>
      <c r="F80" s="793">
        <f>'4.RL F tt'!P7</f>
        <v>93.2</v>
      </c>
      <c r="G80" s="793">
        <f>'4.RL F tt'!H29</f>
        <v>93.2</v>
      </c>
      <c r="H80" s="793">
        <f>'4.RL F tt'!L29</f>
        <v>93.2</v>
      </c>
      <c r="I80" s="799">
        <f>'4.RL F tt'!P29</f>
        <v>93.2</v>
      </c>
    </row>
    <row r="81" spans="1:9" ht="12.75" hidden="1" customHeight="1">
      <c r="A81" s="379"/>
      <c r="B81" s="164" t="s">
        <v>810</v>
      </c>
      <c r="C81" s="457"/>
      <c r="D81" s="792">
        <f>'4.RL F tt'!H8</f>
        <v>1017.578125</v>
      </c>
      <c r="E81" s="793">
        <f>'4.RL F tt'!L8</f>
        <v>1017.578125</v>
      </c>
      <c r="F81" s="793">
        <f>'4.RL F tt'!P8</f>
        <v>1017.578125</v>
      </c>
      <c r="G81" s="793">
        <f>'4.RL F tt'!H30</f>
        <v>1017.578125</v>
      </c>
      <c r="H81" s="793">
        <f>'4.RL F tt'!L30</f>
        <v>1017.578125</v>
      </c>
      <c r="I81" s="799">
        <f>'4.RL F tt'!P30</f>
        <v>1017.578125</v>
      </c>
    </row>
    <row r="82" spans="1:9" ht="12.75" hidden="1" customHeight="1">
      <c r="A82" s="379">
        <v>2</v>
      </c>
      <c r="B82" s="2479" t="s">
        <v>812</v>
      </c>
      <c r="C82" s="457"/>
      <c r="D82" s="792">
        <f>'4.RL F tt'!H9</f>
        <v>246.75</v>
      </c>
      <c r="E82" s="793">
        <f>'4.RL F tt'!L9</f>
        <v>246.75</v>
      </c>
      <c r="F82" s="793">
        <f>'4.RL F tt'!P9</f>
        <v>246.75</v>
      </c>
      <c r="G82" s="793">
        <f>'4.RL F tt'!H31</f>
        <v>246.75</v>
      </c>
      <c r="H82" s="793">
        <f>'4.RL F tt'!L31</f>
        <v>246.75</v>
      </c>
      <c r="I82" s="799">
        <f>'4.RL F tt'!P31</f>
        <v>246.75</v>
      </c>
    </row>
    <row r="83" spans="1:9" ht="12.75" hidden="1" customHeight="1">
      <c r="A83" s="379">
        <v>3</v>
      </c>
      <c r="B83" s="2480"/>
      <c r="C83" s="457"/>
      <c r="D83" s="792">
        <f>'4.RL F tt'!H10</f>
        <v>32.077500000000001</v>
      </c>
      <c r="E83" s="793">
        <f>'4.RL F tt'!L10</f>
        <v>32.077500000000001</v>
      </c>
      <c r="F83" s="793">
        <f>'4.RL F tt'!P10</f>
        <v>32.077500000000001</v>
      </c>
      <c r="G83" s="793">
        <f>'4.RL F tt'!H32</f>
        <v>32.077500000000001</v>
      </c>
      <c r="H83" s="793">
        <f>'4.RL F tt'!L32</f>
        <v>32.077500000000001</v>
      </c>
      <c r="I83" s="799">
        <f>'4.RL F tt'!P32</f>
        <v>32.077500000000001</v>
      </c>
    </row>
    <row r="84" spans="1:9" ht="12.75" hidden="1" customHeight="1">
      <c r="A84" s="379">
        <v>4</v>
      </c>
      <c r="B84" s="2481"/>
      <c r="C84" s="457"/>
      <c r="D84" s="792">
        <f>'4.RL F tt'!H11</f>
        <v>0</v>
      </c>
      <c r="E84" s="793">
        <f>'4.RL F tt'!L11</f>
        <v>0</v>
      </c>
      <c r="F84" s="793">
        <f>'4.RL F tt'!P11</f>
        <v>0</v>
      </c>
      <c r="G84" s="793">
        <f>'4.RL F tt'!H33</f>
        <v>0</v>
      </c>
      <c r="H84" s="793">
        <f>'4.RL F tt'!L33</f>
        <v>0</v>
      </c>
      <c r="I84" s="799">
        <f>'4.RL F tt'!P33</f>
        <v>0</v>
      </c>
    </row>
    <row r="85" spans="1:9" ht="12.75" hidden="1" customHeight="1">
      <c r="A85" s="379">
        <v>5</v>
      </c>
      <c r="B85" s="2479" t="s">
        <v>813</v>
      </c>
      <c r="C85" s="457"/>
      <c r="D85" s="792" t="e">
        <f>'4.RL F tt'!H12</f>
        <v>#REF!</v>
      </c>
      <c r="E85" s="793" t="e">
        <f>'4.RL F tt'!L12</f>
        <v>#REF!</v>
      </c>
      <c r="F85" s="793" t="e">
        <f>'4.RL F tt'!P12</f>
        <v>#REF!</v>
      </c>
      <c r="G85" s="793" t="e">
        <f>'4.RL F tt'!H34</f>
        <v>#REF!</v>
      </c>
      <c r="H85" s="793" t="e">
        <f>'4.RL F tt'!L34</f>
        <v>#REF!</v>
      </c>
      <c r="I85" s="799" t="e">
        <f>'4.RL F tt'!P34</f>
        <v>#REF!</v>
      </c>
    </row>
    <row r="86" spans="1:9" ht="12.75" hidden="1" customHeight="1">
      <c r="A86" s="379">
        <v>6</v>
      </c>
      <c r="B86" s="2480"/>
      <c r="C86" s="457"/>
      <c r="D86" s="792" t="e">
        <f>'4.RL F tt'!H13</f>
        <v>#REF!</v>
      </c>
      <c r="E86" s="793" t="e">
        <f>'4.RL F tt'!L13</f>
        <v>#REF!</v>
      </c>
      <c r="F86" s="793" t="e">
        <f>'4.RL F tt'!P13</f>
        <v>#REF!</v>
      </c>
      <c r="G86" s="793" t="e">
        <f>'4.RL F tt'!H35</f>
        <v>#REF!</v>
      </c>
      <c r="H86" s="793" t="e">
        <f>'4.RL F tt'!L35</f>
        <v>#REF!</v>
      </c>
      <c r="I86" s="799" t="e">
        <f>'4.RL F tt'!P35</f>
        <v>#REF!</v>
      </c>
    </row>
    <row r="87" spans="1:9" ht="12.75" hidden="1" customHeight="1">
      <c r="A87" s="379">
        <v>7</v>
      </c>
      <c r="B87" s="2481"/>
      <c r="C87" s="457"/>
      <c r="D87" s="792" t="e">
        <f>'4.RL F tt'!H14</f>
        <v>#REF!</v>
      </c>
      <c r="E87" s="793" t="e">
        <f>'4.RL F tt'!L14</f>
        <v>#REF!</v>
      </c>
      <c r="F87" s="793" t="e">
        <f>'4.RL F tt'!P14</f>
        <v>#REF!</v>
      </c>
      <c r="G87" s="793" t="e">
        <f>'4.RL F tt'!H36</f>
        <v>#REF!</v>
      </c>
      <c r="H87" s="793" t="e">
        <f>'4.RL F tt'!L36</f>
        <v>#REF!</v>
      </c>
      <c r="I87" s="799" t="e">
        <f>'4.RL F tt'!P36</f>
        <v>#REF!</v>
      </c>
    </row>
    <row r="88" spans="1:9" ht="12.75" hidden="1" customHeight="1">
      <c r="A88" s="379">
        <v>8</v>
      </c>
      <c r="B88" s="2479" t="s">
        <v>814</v>
      </c>
      <c r="C88" s="457"/>
      <c r="D88" s="792">
        <f>'4.RL F tt'!H15</f>
        <v>1.234</v>
      </c>
      <c r="E88" s="793">
        <f>'4.RL F tt'!L15</f>
        <v>1.234</v>
      </c>
      <c r="F88" s="793">
        <f>'4.RL F tt'!P15</f>
        <v>1.234</v>
      </c>
      <c r="G88" s="793">
        <f>'4.RL F tt'!H37</f>
        <v>1.234</v>
      </c>
      <c r="H88" s="793">
        <f>'4.RL F tt'!L37</f>
        <v>1.234</v>
      </c>
      <c r="I88" s="799">
        <f>'4.RL F tt'!P37</f>
        <v>1.234</v>
      </c>
    </row>
    <row r="89" spans="1:9" ht="12.75" hidden="1" customHeight="1">
      <c r="A89" s="379">
        <v>9</v>
      </c>
      <c r="B89" s="2481"/>
      <c r="C89" s="457"/>
      <c r="D89" s="792">
        <f>'4.RL F tt'!H16</f>
        <v>0</v>
      </c>
      <c r="E89" s="793">
        <f>'4.RL F tt'!L16</f>
        <v>0</v>
      </c>
      <c r="F89" s="793">
        <f>'4.RL F tt'!P16</f>
        <v>0</v>
      </c>
      <c r="G89" s="793">
        <f>'4.RL F tt'!H38</f>
        <v>0</v>
      </c>
      <c r="H89" s="793">
        <f>'4.RL F tt'!L38</f>
        <v>0</v>
      </c>
      <c r="I89" s="799">
        <f>'4.RL F tt'!P38</f>
        <v>0</v>
      </c>
    </row>
    <row r="90" spans="1:9" s="805" customFormat="1" ht="12.75" hidden="1" customHeight="1">
      <c r="A90" s="800"/>
      <c r="B90" s="801"/>
      <c r="C90" s="801"/>
      <c r="D90" s="802"/>
      <c r="E90" s="803"/>
      <c r="F90" s="803"/>
      <c r="G90" s="803"/>
      <c r="H90" s="803"/>
      <c r="I90" s="804"/>
    </row>
    <row r="91" spans="1:9" s="805" customFormat="1" ht="16.5" hidden="1" customHeight="1">
      <c r="A91" s="800"/>
      <c r="B91" s="806" t="s">
        <v>821</v>
      </c>
      <c r="C91" s="807"/>
      <c r="D91" s="808">
        <f>R.HN!C12</f>
        <v>3</v>
      </c>
      <c r="E91" s="809">
        <f>R.HN!D12</f>
        <v>3</v>
      </c>
      <c r="F91" s="809">
        <f>R.HN!E12</f>
        <v>3</v>
      </c>
      <c r="G91" s="809">
        <f>R.HN!F12</f>
        <v>3</v>
      </c>
      <c r="H91" s="809">
        <f>R.HN!G12</f>
        <v>3</v>
      </c>
      <c r="I91" s="810">
        <f>R.HN!H12</f>
        <v>3</v>
      </c>
    </row>
    <row r="92" spans="1:9" s="805" customFormat="1" ht="10.5" hidden="1" customHeight="1">
      <c r="A92" s="800"/>
      <c r="B92" s="806" t="s">
        <v>822</v>
      </c>
      <c r="C92" s="807"/>
      <c r="D92" s="802">
        <f>R.HN!C13</f>
        <v>4</v>
      </c>
      <c r="E92" s="803">
        <f>R.HN!D13</f>
        <v>4</v>
      </c>
      <c r="F92" s="803">
        <f>R.HN!E13</f>
        <v>4</v>
      </c>
      <c r="G92" s="803">
        <f>R.HN!F13</f>
        <v>4</v>
      </c>
      <c r="H92" s="803">
        <f>R.HN!G13</f>
        <v>4</v>
      </c>
      <c r="I92" s="811">
        <f>R.HN!H13</f>
        <v>4</v>
      </c>
    </row>
    <row r="93" spans="1:9" s="805" customFormat="1" ht="11.25" hidden="1" customHeight="1">
      <c r="A93" s="800"/>
      <c r="B93" s="806" t="s">
        <v>823</v>
      </c>
      <c r="C93" s="807"/>
      <c r="D93" s="808">
        <f>R.HN!C35</f>
        <v>0</v>
      </c>
      <c r="E93" s="809">
        <f>R.HN!D35</f>
        <v>0</v>
      </c>
      <c r="F93" s="809">
        <f>R.HN!E35</f>
        <v>0</v>
      </c>
      <c r="G93" s="809">
        <f>R.HN!F35</f>
        <v>0</v>
      </c>
      <c r="H93" s="809">
        <f>R.HN!G35</f>
        <v>0</v>
      </c>
      <c r="I93" s="810">
        <f>R.HN!H35</f>
        <v>0</v>
      </c>
    </row>
    <row r="94" spans="1:9" s="805" customFormat="1" ht="15.75" hidden="1" customHeight="1">
      <c r="A94" s="800"/>
      <c r="B94" s="806" t="s">
        <v>824</v>
      </c>
      <c r="C94" s="807"/>
      <c r="D94" s="802">
        <f>R.HN!C36</f>
        <v>0</v>
      </c>
      <c r="E94" s="803">
        <f>R.HN!D36</f>
        <v>0</v>
      </c>
      <c r="F94" s="803">
        <f>R.HN!E36</f>
        <v>0</v>
      </c>
      <c r="G94" s="803">
        <f>R.HN!F36</f>
        <v>0</v>
      </c>
      <c r="H94" s="803">
        <f>R.HN!G36</f>
        <v>0</v>
      </c>
      <c r="I94" s="811">
        <f>R.HN!H36</f>
        <v>0</v>
      </c>
    </row>
    <row r="95" spans="1:9" s="805" customFormat="1" ht="15.75" hidden="1" customHeight="1">
      <c r="A95" s="800"/>
      <c r="B95" s="849" t="s">
        <v>837</v>
      </c>
      <c r="C95" s="850"/>
      <c r="D95" s="851" t="e">
        <f>'3.RL G tt'!#REF!</f>
        <v>#REF!</v>
      </c>
      <c r="E95" s="852" t="e">
        <f>'3.RL G tt'!#REF!</f>
        <v>#REF!</v>
      </c>
      <c r="F95" s="852" t="e">
        <f>'3.RL G tt'!#REF!</f>
        <v>#REF!</v>
      </c>
      <c r="G95" s="852" t="e">
        <f>'3.RL G tt'!#REF!</f>
        <v>#REF!</v>
      </c>
      <c r="H95" s="852" t="e">
        <f>'3.RL G tt'!#REF!</f>
        <v>#REF!</v>
      </c>
      <c r="I95" s="853" t="e">
        <f>'3.RL G tt'!#REF!</f>
        <v>#REF!</v>
      </c>
    </row>
    <row r="96" spans="1:9" ht="12.75" customHeight="1" thickBot="1">
      <c r="A96" s="780"/>
      <c r="B96" s="457"/>
      <c r="C96" s="457"/>
      <c r="D96" s="812"/>
      <c r="E96" s="813"/>
      <c r="F96" s="813"/>
      <c r="G96" s="813"/>
      <c r="H96" s="813"/>
      <c r="I96" s="814"/>
    </row>
    <row r="97" spans="1:8" ht="12.75" customHeight="1">
      <c r="A97" s="780"/>
      <c r="B97" s="457"/>
      <c r="C97" s="457"/>
      <c r="D97" s="793"/>
      <c r="E97" s="793"/>
      <c r="F97" s="793"/>
      <c r="G97" s="793"/>
      <c r="H97" s="793"/>
    </row>
    <row r="99" spans="1:8" ht="12.75" customHeight="1">
      <c r="B99" s="768" t="s">
        <v>825</v>
      </c>
    </row>
    <row r="100" spans="1:8" ht="12.75" customHeight="1">
      <c r="A100" s="2485" t="s">
        <v>7</v>
      </c>
      <c r="B100" s="2487" t="s">
        <v>79</v>
      </c>
      <c r="C100" s="771" t="s">
        <v>173</v>
      </c>
      <c r="D100" s="771"/>
    </row>
    <row r="101" spans="1:8" ht="12.75" customHeight="1" thickBot="1">
      <c r="A101" s="2486"/>
      <c r="B101" s="2488"/>
      <c r="C101" s="774">
        <v>0.375</v>
      </c>
      <c r="D101" s="774">
        <v>0.54166666666666663</v>
      </c>
    </row>
    <row r="102" spans="1:8" ht="12.75" customHeight="1">
      <c r="A102" s="815">
        <v>1</v>
      </c>
      <c r="B102" s="381" t="s">
        <v>617</v>
      </c>
      <c r="C102" s="816">
        <f>'1.xi den TT'!H7</f>
        <v>16.399999999999999</v>
      </c>
      <c r="D102" s="817">
        <f>'1.xi den TT'!L7</f>
        <v>16.3</v>
      </c>
      <c r="E102" s="765"/>
      <c r="F102" s="765"/>
      <c r="G102" s="765"/>
      <c r="H102" s="765"/>
    </row>
    <row r="103" spans="1:8" ht="12.75" hidden="1" customHeight="1" thickBot="1">
      <c r="A103" s="815">
        <v>2</v>
      </c>
      <c r="B103" s="381" t="s">
        <v>618</v>
      </c>
      <c r="C103" s="816">
        <f>'1.xi den TT'!H8</f>
        <v>67.496000000000009</v>
      </c>
      <c r="D103" s="817">
        <f>'1.xi den TT'!L8</f>
        <v>66.847000000000008</v>
      </c>
      <c r="E103" s="765"/>
      <c r="F103" s="765"/>
      <c r="G103" s="765"/>
      <c r="H103" s="765"/>
    </row>
    <row r="104" spans="1:8" ht="12.75" hidden="1" customHeight="1" thickBot="1">
      <c r="A104" s="815">
        <v>3</v>
      </c>
      <c r="B104" s="381" t="s">
        <v>619</v>
      </c>
      <c r="C104" s="816">
        <f>'1.xi den TT'!H9</f>
        <v>58.410000000000004</v>
      </c>
      <c r="D104" s="817">
        <f>'1.xi den TT'!L9</f>
        <v>57.761000000000003</v>
      </c>
      <c r="E104" s="765"/>
      <c r="F104" s="765"/>
      <c r="G104" s="765"/>
      <c r="H104" s="765"/>
    </row>
    <row r="105" spans="1:8" ht="12.75" hidden="1" customHeight="1" thickBot="1">
      <c r="A105" s="815">
        <v>4</v>
      </c>
      <c r="B105" s="381" t="s">
        <v>621</v>
      </c>
      <c r="C105" s="816">
        <f>'1.xi den TT'!H10</f>
        <v>0</v>
      </c>
      <c r="D105" s="817">
        <f>'1.xi den TT'!L10</f>
        <v>0</v>
      </c>
      <c r="E105" s="765"/>
      <c r="F105" s="765"/>
      <c r="G105" s="765"/>
      <c r="H105" s="765"/>
    </row>
    <row r="106" spans="1:8" ht="12.75" hidden="1" customHeight="1" thickBot="1">
      <c r="A106" s="815">
        <v>5</v>
      </c>
      <c r="B106" s="820" t="s">
        <v>623</v>
      </c>
      <c r="C106" s="816">
        <f>'1.xi den TT'!H11</f>
        <v>0.48</v>
      </c>
      <c r="D106" s="817">
        <f>'1.xi den TT'!L11</f>
        <v>0.5</v>
      </c>
      <c r="E106" s="765"/>
      <c r="F106" s="765"/>
      <c r="G106" s="765"/>
      <c r="H106" s="765"/>
    </row>
    <row r="107" spans="1:8" ht="12.75" hidden="1" customHeight="1" thickBot="1">
      <c r="A107" s="815">
        <v>6</v>
      </c>
      <c r="B107" s="820" t="s">
        <v>625</v>
      </c>
      <c r="C107" s="816">
        <f>'1.xi den TT'!H12</f>
        <v>19.2</v>
      </c>
      <c r="D107" s="817">
        <f>'1.xi den TT'!L12</f>
        <v>20</v>
      </c>
      <c r="E107" s="765"/>
      <c r="F107" s="765"/>
      <c r="G107" s="765"/>
      <c r="H107" s="765"/>
    </row>
    <row r="108" spans="1:8" ht="12.75" hidden="1" customHeight="1" thickBot="1">
      <c r="A108" s="815">
        <v>7</v>
      </c>
      <c r="B108" s="820" t="s">
        <v>627</v>
      </c>
      <c r="C108" s="816">
        <f>'1.xi den TT'!H13</f>
        <v>8.3000000000000007</v>
      </c>
      <c r="D108" s="817">
        <f>'1.xi den TT'!L13</f>
        <v>8</v>
      </c>
      <c r="E108" s="765"/>
      <c r="F108" s="765"/>
      <c r="G108" s="765"/>
      <c r="H108" s="765"/>
    </row>
    <row r="109" spans="1:8" ht="12.75" hidden="1" customHeight="1" thickBot="1">
      <c r="A109" s="815">
        <v>8</v>
      </c>
      <c r="B109" s="381" t="s">
        <v>629</v>
      </c>
      <c r="C109" s="816">
        <f>'1.xi den TT'!H14</f>
        <v>8</v>
      </c>
      <c r="D109" s="817">
        <f>'1.xi den TT'!L14</f>
        <v>7.8</v>
      </c>
      <c r="E109" s="765"/>
      <c r="F109" s="765"/>
      <c r="G109" s="765"/>
      <c r="H109" s="765"/>
    </row>
    <row r="110" spans="1:8" ht="12.75" hidden="1" customHeight="1" thickBot="1">
      <c r="A110" s="815">
        <v>9</v>
      </c>
      <c r="B110" s="820" t="s">
        <v>826</v>
      </c>
      <c r="C110" s="816">
        <f>'1.xi den TT'!H15</f>
        <v>5.5</v>
      </c>
      <c r="D110" s="817">
        <f>'1.xi den TT'!L15</f>
        <v>5.5</v>
      </c>
      <c r="E110" s="765"/>
      <c r="F110" s="765"/>
      <c r="G110" s="765"/>
      <c r="H110" s="765"/>
    </row>
    <row r="111" spans="1:8" ht="12.75" hidden="1" customHeight="1" thickBot="1">
      <c r="A111" s="821">
        <v>10</v>
      </c>
      <c r="B111" s="822" t="s">
        <v>827</v>
      </c>
      <c r="C111" s="816">
        <f>'1.xi den TT'!H17</f>
        <v>7.8643278743037639</v>
      </c>
      <c r="D111" s="817" t="str">
        <f>'1.xi den TT'!L17</f>
        <v>\</v>
      </c>
      <c r="E111" s="765"/>
      <c r="F111" s="765"/>
      <c r="G111" s="765"/>
      <c r="H111" s="765"/>
    </row>
    <row r="112" spans="1:8" ht="12.75" hidden="1" customHeight="1" thickBot="1">
      <c r="A112" s="821">
        <v>11</v>
      </c>
      <c r="B112" s="822" t="s">
        <v>828</v>
      </c>
      <c r="C112" s="816">
        <f>'1.xi den TT'!H18</f>
        <v>8.6380074844838344</v>
      </c>
      <c r="D112" s="817" t="str">
        <f>'1.xi den TT'!L18</f>
        <v>\</v>
      </c>
      <c r="E112" s="765"/>
      <c r="F112" s="765"/>
      <c r="G112" s="765"/>
      <c r="H112" s="765"/>
    </row>
    <row r="113" spans="1:8" ht="12.75" hidden="1" customHeight="1" thickBot="1">
      <c r="A113" s="821">
        <v>12</v>
      </c>
      <c r="B113" s="822" t="s">
        <v>421</v>
      </c>
      <c r="C113" s="816">
        <f>'1.xi den TT'!H21</f>
        <v>6.8477270845408622</v>
      </c>
      <c r="D113" s="817" t="str">
        <f>'1.xi den TT'!L21</f>
        <v>\</v>
      </c>
      <c r="E113" s="765"/>
      <c r="F113" s="765"/>
      <c r="G113" s="765"/>
      <c r="H113" s="765"/>
    </row>
    <row r="114" spans="1:8" ht="12.75" hidden="1" customHeight="1">
      <c r="A114" s="821">
        <v>13</v>
      </c>
      <c r="B114" s="822" t="s">
        <v>424</v>
      </c>
      <c r="C114" s="816">
        <f>'1.xi den TT'!H22</f>
        <v>0.81368316174028488</v>
      </c>
      <c r="D114" s="817" t="str">
        <f>'1.xi den TT'!L22</f>
        <v>\</v>
      </c>
      <c r="E114" s="765"/>
      <c r="F114" s="765"/>
      <c r="G114" s="765"/>
      <c r="H114" s="765"/>
    </row>
    <row r="115" spans="1:8" ht="12.75" hidden="1" customHeight="1">
      <c r="A115" s="379"/>
      <c r="B115" s="823" t="s">
        <v>117</v>
      </c>
      <c r="C115" s="824" t="s">
        <v>175</v>
      </c>
      <c r="D115" s="825"/>
      <c r="E115" s="765"/>
      <c r="F115" s="765"/>
      <c r="G115" s="765"/>
      <c r="H115" s="765"/>
    </row>
    <row r="116" spans="1:8" ht="12.75" hidden="1" customHeight="1">
      <c r="A116" s="544" t="s">
        <v>7</v>
      </c>
      <c r="B116" s="823" t="s">
        <v>64</v>
      </c>
      <c r="C116" s="826">
        <v>0.375</v>
      </c>
      <c r="D116" s="827">
        <v>0.54166666666666663</v>
      </c>
      <c r="E116" s="765"/>
      <c r="F116" s="765"/>
      <c r="G116" s="765"/>
      <c r="H116" s="765"/>
    </row>
    <row r="117" spans="1:8" ht="12.75" hidden="1" customHeight="1">
      <c r="A117" s="544">
        <v>1</v>
      </c>
      <c r="B117" s="164" t="s">
        <v>518</v>
      </c>
      <c r="C117" s="818">
        <f>'1.xi den TT'!H25</f>
        <v>48</v>
      </c>
      <c r="D117" s="819">
        <f>'1.xi den TT'!L25</f>
        <v>0</v>
      </c>
      <c r="E117" s="765"/>
      <c r="F117" s="765"/>
      <c r="G117" s="765"/>
      <c r="H117" s="765"/>
    </row>
    <row r="118" spans="1:8" ht="12.75" hidden="1" customHeight="1">
      <c r="A118" s="544">
        <v>2</v>
      </c>
      <c r="B118" s="164" t="s">
        <v>522</v>
      </c>
      <c r="C118" s="818">
        <f>'1.xi den TT'!H26</f>
        <v>48</v>
      </c>
      <c r="D118" s="819">
        <f>'1.xi den TT'!L26</f>
        <v>0</v>
      </c>
      <c r="E118" s="765"/>
      <c r="F118" s="765"/>
      <c r="G118" s="765"/>
      <c r="H118" s="765"/>
    </row>
    <row r="119" spans="1:8" ht="12.75" hidden="1" customHeight="1">
      <c r="A119" s="544">
        <v>3</v>
      </c>
      <c r="B119" s="164" t="s">
        <v>524</v>
      </c>
      <c r="C119" s="818">
        <f>'1.xi den TT'!H27</f>
        <v>46</v>
      </c>
      <c r="D119" s="819">
        <f>'1.xi den TT'!L27</f>
        <v>0</v>
      </c>
      <c r="E119" s="765"/>
      <c r="F119" s="765"/>
      <c r="G119" s="765"/>
      <c r="H119" s="765"/>
    </row>
    <row r="120" spans="1:8" ht="12.75" hidden="1" customHeight="1">
      <c r="A120" s="544">
        <v>4</v>
      </c>
      <c r="B120" s="164" t="s">
        <v>555</v>
      </c>
      <c r="C120" s="818">
        <f>'1.xi den TT'!H28</f>
        <v>36</v>
      </c>
      <c r="D120" s="819">
        <f>'1.xi den TT'!L28</f>
        <v>0</v>
      </c>
      <c r="E120" s="765"/>
      <c r="F120" s="765"/>
      <c r="G120" s="765"/>
      <c r="H120" s="765"/>
    </row>
    <row r="121" spans="1:8" ht="12.75" hidden="1" customHeight="1">
      <c r="A121" s="544">
        <v>5</v>
      </c>
      <c r="B121" s="164" t="s">
        <v>829</v>
      </c>
      <c r="C121" s="818">
        <f>'1.xi den TT'!H29</f>
        <v>31</v>
      </c>
      <c r="D121" s="819">
        <f>'1.xi den TT'!L29</f>
        <v>0</v>
      </c>
      <c r="E121" s="765"/>
      <c r="F121" s="765"/>
      <c r="G121" s="765"/>
      <c r="H121" s="765"/>
    </row>
    <row r="122" spans="1:8" ht="12.75" hidden="1" customHeight="1">
      <c r="A122" s="544">
        <v>6</v>
      </c>
      <c r="B122" s="164" t="s">
        <v>563</v>
      </c>
      <c r="C122" s="818">
        <f>'1.xi den TT'!I31</f>
        <v>30</v>
      </c>
      <c r="D122" s="819">
        <f>'1.xi den TT'!M31</f>
        <v>0</v>
      </c>
      <c r="E122" s="765"/>
      <c r="F122" s="765"/>
      <c r="G122" s="765"/>
      <c r="H122" s="765"/>
    </row>
    <row r="123" spans="1:8" ht="12.75" hidden="1" customHeight="1">
      <c r="A123" s="544">
        <v>1</v>
      </c>
      <c r="B123" s="828" t="s">
        <v>830</v>
      </c>
      <c r="C123" s="826">
        <v>0.375</v>
      </c>
      <c r="D123" s="827">
        <v>0.54166666666666663</v>
      </c>
      <c r="E123" s="765"/>
      <c r="F123" s="765"/>
      <c r="G123" s="765"/>
      <c r="H123" s="765"/>
    </row>
    <row r="124" spans="1:8" ht="12.75" hidden="1" customHeight="1">
      <c r="A124" s="544">
        <v>2</v>
      </c>
      <c r="B124" s="829" t="s">
        <v>565</v>
      </c>
      <c r="C124" s="818">
        <f>'1.xi den TT'!H33</f>
        <v>0</v>
      </c>
      <c r="D124" s="819">
        <f>'1.xi den TT'!L33</f>
        <v>0</v>
      </c>
      <c r="E124" s="765"/>
      <c r="F124" s="765"/>
      <c r="G124" s="765"/>
      <c r="H124" s="765"/>
    </row>
    <row r="125" spans="1:8" ht="12.75" hidden="1" customHeight="1">
      <c r="A125" s="830"/>
      <c r="B125" s="831" t="s">
        <v>568</v>
      </c>
      <c r="C125" s="818">
        <f>'1.xi den TT'!H34</f>
        <v>0</v>
      </c>
      <c r="D125" s="819">
        <f>'1.xi den TT'!L34</f>
        <v>0</v>
      </c>
      <c r="E125" s="765"/>
      <c r="F125" s="765"/>
      <c r="G125" s="765"/>
      <c r="H125" s="765"/>
    </row>
    <row r="126" spans="1:8" ht="12.75" hidden="1" customHeight="1">
      <c r="A126" s="832"/>
      <c r="B126" s="833"/>
      <c r="C126" s="834" t="s">
        <v>174</v>
      </c>
      <c r="D126" s="825"/>
      <c r="E126" s="765"/>
      <c r="F126" s="765"/>
      <c r="G126" s="765"/>
      <c r="H126" s="765"/>
    </row>
    <row r="127" spans="1:8" ht="12.75" hidden="1" customHeight="1">
      <c r="A127" s="835"/>
      <c r="B127" s="836"/>
      <c r="C127" s="826">
        <v>0.375</v>
      </c>
      <c r="D127" s="827">
        <v>0.54166666666666663</v>
      </c>
      <c r="E127" s="765"/>
      <c r="F127" s="765"/>
      <c r="G127" s="765"/>
      <c r="H127" s="765"/>
    </row>
    <row r="128" spans="1:8" ht="12.75" hidden="1" customHeight="1">
      <c r="A128" s="815">
        <v>1</v>
      </c>
      <c r="B128" s="381" t="s">
        <v>617</v>
      </c>
      <c r="C128" s="837">
        <f>'1.xi den TT'!J7</f>
        <v>0</v>
      </c>
      <c r="D128" s="838">
        <f>'1.xi den TT'!N7</f>
        <v>0</v>
      </c>
      <c r="E128" s="765"/>
      <c r="F128" s="765"/>
      <c r="G128" s="765"/>
      <c r="H128" s="765"/>
    </row>
    <row r="129" spans="1:8" ht="12.75" hidden="1" customHeight="1">
      <c r="A129" s="815">
        <v>2</v>
      </c>
      <c r="B129" s="381" t="s">
        <v>618</v>
      </c>
      <c r="C129" s="837">
        <f>'1.xi den TT'!J8</f>
        <v>0</v>
      </c>
      <c r="D129" s="838">
        <f>'1.xi den TT'!N8</f>
        <v>0</v>
      </c>
      <c r="E129" s="765"/>
      <c r="F129" s="765"/>
      <c r="G129" s="765"/>
      <c r="H129" s="765"/>
    </row>
    <row r="130" spans="1:8" ht="12.75" hidden="1" customHeight="1">
      <c r="A130" s="815">
        <v>3</v>
      </c>
      <c r="B130" s="381" t="s">
        <v>619</v>
      </c>
      <c r="C130" s="837">
        <f>'1.xi den TT'!J9</f>
        <v>0</v>
      </c>
      <c r="D130" s="838">
        <f>'1.xi den TT'!N9</f>
        <v>0</v>
      </c>
      <c r="E130" s="765"/>
      <c r="F130" s="765"/>
      <c r="G130" s="765"/>
      <c r="H130" s="765"/>
    </row>
    <row r="131" spans="1:8" ht="12.75" hidden="1" customHeight="1">
      <c r="A131" s="815">
        <v>4</v>
      </c>
      <c r="B131" s="381" t="s">
        <v>621</v>
      </c>
      <c r="C131" s="837">
        <f>'1.xi den TT'!J10</f>
        <v>124.63199999999999</v>
      </c>
      <c r="D131" s="838">
        <f>'1.xi den TT'!N10</f>
        <v>124.63199999999999</v>
      </c>
      <c r="E131" s="765"/>
      <c r="F131" s="765"/>
      <c r="G131" s="765"/>
      <c r="H131" s="765"/>
    </row>
    <row r="132" spans="1:8" ht="12.75" hidden="1" customHeight="1">
      <c r="A132" s="815">
        <v>5</v>
      </c>
      <c r="B132" s="820" t="s">
        <v>623</v>
      </c>
      <c r="C132" s="837">
        <f>'1.xi den TT'!J11</f>
        <v>0</v>
      </c>
      <c r="D132" s="838">
        <f>'1.xi den TT'!N11</f>
        <v>0</v>
      </c>
      <c r="E132" s="765"/>
      <c r="F132" s="765"/>
      <c r="G132" s="765"/>
      <c r="H132" s="765"/>
    </row>
    <row r="133" spans="1:8" ht="12.75" hidden="1" customHeight="1">
      <c r="A133" s="815">
        <v>6</v>
      </c>
      <c r="B133" s="820" t="s">
        <v>625</v>
      </c>
      <c r="C133" s="837">
        <f>'1.xi den TT'!J12</f>
        <v>32.076000000000008</v>
      </c>
      <c r="D133" s="838">
        <f>'1.xi den TT'!N12</f>
        <v>24.3</v>
      </c>
      <c r="E133" s="765"/>
      <c r="F133" s="765"/>
      <c r="G133" s="765"/>
      <c r="H133" s="765"/>
    </row>
    <row r="134" spans="1:8" ht="12.75" hidden="1" customHeight="1">
      <c r="A134" s="815">
        <v>7</v>
      </c>
      <c r="B134" s="820" t="s">
        <v>627</v>
      </c>
      <c r="C134" s="837">
        <f>'1.xi den TT'!J13</f>
        <v>0</v>
      </c>
      <c r="D134" s="838">
        <f>'1.xi den TT'!N13</f>
        <v>0</v>
      </c>
      <c r="E134" s="765"/>
      <c r="F134" s="765"/>
      <c r="G134" s="765"/>
      <c r="H134" s="765"/>
    </row>
    <row r="135" spans="1:8" ht="12.75" hidden="1" customHeight="1">
      <c r="A135" s="815">
        <v>8</v>
      </c>
      <c r="B135" s="381" t="s">
        <v>629</v>
      </c>
      <c r="C135" s="837">
        <f>'1.xi den TT'!J14</f>
        <v>0</v>
      </c>
      <c r="D135" s="838">
        <f>'1.xi den TT'!N14</f>
        <v>0</v>
      </c>
      <c r="E135" s="765"/>
      <c r="F135" s="765"/>
      <c r="G135" s="765"/>
      <c r="H135" s="765"/>
    </row>
    <row r="136" spans="1:8" ht="12.75" hidden="1" customHeight="1">
      <c r="A136" s="815">
        <v>9</v>
      </c>
      <c r="B136" s="820" t="s">
        <v>826</v>
      </c>
      <c r="C136" s="837">
        <f>'1.xi den TT'!J15</f>
        <v>0</v>
      </c>
      <c r="D136" s="838">
        <f>'1.xi den TT'!N15</f>
        <v>0</v>
      </c>
      <c r="E136" s="765"/>
      <c r="F136" s="765"/>
      <c r="G136" s="765"/>
      <c r="H136" s="765"/>
    </row>
    <row r="137" spans="1:8" ht="12.75" hidden="1" customHeight="1">
      <c r="A137" s="821">
        <v>10</v>
      </c>
      <c r="B137" s="822" t="s">
        <v>827</v>
      </c>
      <c r="C137" s="837">
        <f>'1.xi den TT'!J17</f>
        <v>163.76367528472861</v>
      </c>
      <c r="D137" s="838">
        <f>'1.xi den TT'!N17</f>
        <v>0</v>
      </c>
      <c r="E137" s="765"/>
      <c r="F137" s="765"/>
      <c r="G137" s="765"/>
      <c r="H137" s="765"/>
    </row>
    <row r="138" spans="1:8" ht="12.75" hidden="1" customHeight="1">
      <c r="A138" s="821">
        <v>11</v>
      </c>
      <c r="B138" s="822" t="s">
        <v>828</v>
      </c>
      <c r="C138" s="837">
        <f>'1.xi den TT'!J18</f>
        <v>77.157728231096002</v>
      </c>
      <c r="D138" s="838">
        <f>'1.xi den TT'!N18</f>
        <v>0</v>
      </c>
      <c r="E138" s="765"/>
      <c r="F138" s="765"/>
      <c r="G138" s="765"/>
      <c r="H138" s="765"/>
    </row>
    <row r="139" spans="1:8" ht="12.75" hidden="1" customHeight="1">
      <c r="A139" s="821">
        <v>12</v>
      </c>
      <c r="B139" s="822" t="s">
        <v>421</v>
      </c>
      <c r="C139" s="837"/>
      <c r="D139" s="838"/>
      <c r="E139" s="765"/>
      <c r="F139" s="765"/>
      <c r="G139" s="765"/>
      <c r="H139" s="765"/>
    </row>
    <row r="140" spans="1:8" ht="12.75" hidden="1" customHeight="1">
      <c r="A140" s="821">
        <v>13</v>
      </c>
      <c r="B140" s="822" t="s">
        <v>424</v>
      </c>
      <c r="C140" s="837"/>
      <c r="D140" s="838"/>
      <c r="E140" s="765"/>
      <c r="F140" s="765"/>
      <c r="G140" s="765"/>
      <c r="H140" s="765"/>
    </row>
    <row r="141" spans="1:8" ht="12.75" customHeight="1" thickBot="1">
      <c r="A141" s="772"/>
      <c r="B141" s="457"/>
      <c r="C141" s="839"/>
      <c r="D141" s="840"/>
      <c r="E141" s="765"/>
      <c r="F141" s="765"/>
      <c r="G141" s="765"/>
      <c r="H141" s="765"/>
    </row>
    <row r="142" spans="1:8" ht="12.75" customHeight="1">
      <c r="A142" s="772"/>
      <c r="B142" s="457"/>
      <c r="E142" s="765"/>
      <c r="F142" s="765"/>
      <c r="G142" s="765"/>
      <c r="H142" s="765"/>
    </row>
    <row r="144" spans="1:8" ht="12.75" customHeight="1">
      <c r="A144" s="2489" t="s">
        <v>831</v>
      </c>
      <c r="B144" s="2490"/>
      <c r="E144" s="765"/>
      <c r="F144" s="765"/>
      <c r="G144" s="765"/>
      <c r="H144" s="765"/>
    </row>
    <row r="145" spans="1:8" ht="12.75" customHeight="1">
      <c r="A145" s="2491" t="s">
        <v>7</v>
      </c>
      <c r="B145" s="2493" t="s">
        <v>79</v>
      </c>
      <c r="C145" s="771" t="s">
        <v>173</v>
      </c>
      <c r="D145" s="771" t="s">
        <v>173</v>
      </c>
      <c r="E145" s="765"/>
      <c r="F145" s="765"/>
      <c r="G145" s="765"/>
      <c r="H145" s="765"/>
    </row>
    <row r="146" spans="1:8" ht="12.75" customHeight="1" thickBot="1">
      <c r="A146" s="2492"/>
      <c r="B146" s="2494"/>
      <c r="C146" s="774">
        <v>0.33333333333333331</v>
      </c>
      <c r="D146" s="774">
        <v>0.83333333333333337</v>
      </c>
      <c r="E146" s="765"/>
      <c r="F146" s="765"/>
      <c r="G146" s="765"/>
      <c r="H146" s="765"/>
    </row>
    <row r="147" spans="1:8" ht="12.75" customHeight="1">
      <c r="A147" s="841">
        <v>1</v>
      </c>
      <c r="B147" s="842" t="s">
        <v>572</v>
      </c>
      <c r="C147" s="816">
        <f>'R.GUI MAIL'!H89</f>
        <v>23.700000000000003</v>
      </c>
      <c r="D147" s="817">
        <f>'R.GUI MAIL'!N89</f>
        <v>0</v>
      </c>
      <c r="E147" s="765"/>
      <c r="F147" s="765"/>
      <c r="G147" s="765"/>
      <c r="H147" s="765"/>
    </row>
    <row r="148" spans="1:8" ht="12.75" hidden="1" customHeight="1" thickBot="1">
      <c r="A148" s="841">
        <v>2</v>
      </c>
      <c r="B148" s="842" t="s">
        <v>576</v>
      </c>
      <c r="C148" s="816">
        <f>'R.GUI MAIL'!H90</f>
        <v>22.12</v>
      </c>
      <c r="D148" s="819">
        <f>'R.GUI MAIL'!N90</f>
        <v>0</v>
      </c>
      <c r="E148" s="765"/>
      <c r="F148" s="765"/>
      <c r="G148" s="765"/>
      <c r="H148" s="765"/>
    </row>
    <row r="149" spans="1:8" ht="12.75" hidden="1" customHeight="1" thickBot="1">
      <c r="A149" s="841">
        <v>3</v>
      </c>
      <c r="B149" s="842" t="s">
        <v>578</v>
      </c>
      <c r="C149" s="816">
        <f>'R.GUI MAIL'!H91</f>
        <v>234.72000000000003</v>
      </c>
      <c r="D149" s="819">
        <f>'R.GUI MAIL'!N91</f>
        <v>0</v>
      </c>
      <c r="E149" s="765"/>
      <c r="F149" s="765"/>
      <c r="G149" s="765"/>
      <c r="H149" s="765"/>
    </row>
    <row r="150" spans="1:8" ht="12.75" hidden="1" customHeight="1" thickBot="1">
      <c r="A150" s="841">
        <v>4</v>
      </c>
      <c r="B150" s="382" t="s">
        <v>458</v>
      </c>
      <c r="C150" s="816">
        <f>'R.GUI MAIL'!H92</f>
        <v>137.5</v>
      </c>
      <c r="D150" s="819">
        <f>'R.GUI MAIL'!N92</f>
        <v>0</v>
      </c>
      <c r="E150" s="765"/>
      <c r="F150" s="765"/>
      <c r="G150" s="765"/>
      <c r="H150" s="765"/>
    </row>
    <row r="151" spans="1:8" ht="12.75" hidden="1" customHeight="1" thickBot="1">
      <c r="A151" s="841">
        <v>5</v>
      </c>
      <c r="B151" s="382" t="s">
        <v>459</v>
      </c>
      <c r="C151" s="816">
        <f>'R.GUI MAIL'!H93</f>
        <v>5.25</v>
      </c>
      <c r="D151" s="819">
        <f>'R.GUI MAIL'!N93</f>
        <v>0</v>
      </c>
      <c r="E151" s="765"/>
      <c r="F151" s="765"/>
      <c r="G151" s="765"/>
      <c r="H151" s="765"/>
    </row>
    <row r="152" spans="1:8" ht="12.75" hidden="1" customHeight="1" thickBot="1">
      <c r="A152" s="841">
        <v>6</v>
      </c>
      <c r="B152" s="387" t="s">
        <v>460</v>
      </c>
      <c r="C152" s="816">
        <f>'R.GUI MAIL'!H94</f>
        <v>150</v>
      </c>
      <c r="D152" s="819">
        <f>'R.GUI MAIL'!N94</f>
        <v>0</v>
      </c>
      <c r="E152" s="765"/>
      <c r="F152" s="765"/>
      <c r="G152" s="765"/>
      <c r="H152" s="765"/>
    </row>
    <row r="153" spans="1:8" ht="12.75" hidden="1" customHeight="1" thickBot="1">
      <c r="A153" s="841">
        <v>7</v>
      </c>
      <c r="B153" s="387" t="s">
        <v>461</v>
      </c>
      <c r="C153" s="816">
        <f>'R.GUI MAIL'!H95</f>
        <v>4.375</v>
      </c>
      <c r="D153" s="819">
        <f>'R.GUI MAIL'!N95</f>
        <v>0</v>
      </c>
      <c r="E153" s="765"/>
      <c r="F153" s="765"/>
      <c r="G153" s="765"/>
      <c r="H153" s="765"/>
    </row>
    <row r="154" spans="1:8" ht="12.75" hidden="1" customHeight="1" thickBot="1">
      <c r="A154" s="841">
        <v>8</v>
      </c>
      <c r="B154" s="387" t="s">
        <v>462</v>
      </c>
      <c r="C154" s="816">
        <f>'R.GUI MAIL'!H96</f>
        <v>146.25</v>
      </c>
      <c r="D154" s="819">
        <f>'R.GUI MAIL'!N96</f>
        <v>0</v>
      </c>
      <c r="E154" s="765"/>
      <c r="F154" s="765"/>
      <c r="G154" s="765"/>
      <c r="H154" s="765"/>
    </row>
    <row r="155" spans="1:8" ht="12.75" hidden="1" customHeight="1" thickBot="1">
      <c r="A155" s="841">
        <v>9</v>
      </c>
      <c r="B155" s="387" t="s">
        <v>463</v>
      </c>
      <c r="C155" s="816">
        <f>'R.GUI MAIL'!H97</f>
        <v>4.5</v>
      </c>
      <c r="D155" s="819">
        <f>'R.GUI MAIL'!N97</f>
        <v>0</v>
      </c>
      <c r="E155" s="765"/>
      <c r="F155" s="765"/>
      <c r="G155" s="765"/>
      <c r="H155" s="765"/>
    </row>
    <row r="156" spans="1:8" ht="12.75" hidden="1" customHeight="1" thickBot="1">
      <c r="A156" s="2482">
        <v>10</v>
      </c>
      <c r="B156" s="2129" t="s">
        <v>832</v>
      </c>
      <c r="C156" s="816">
        <f>'R.GUI MAIL'!H98</f>
        <v>10.816000000000001</v>
      </c>
      <c r="D156" s="819">
        <f>'R.GUI MAIL'!N98</f>
        <v>0</v>
      </c>
      <c r="E156" s="765"/>
      <c r="F156" s="765"/>
      <c r="G156" s="765"/>
      <c r="H156" s="765"/>
    </row>
    <row r="157" spans="1:8" ht="12.75" hidden="1" customHeight="1" thickBot="1">
      <c r="A157" s="2483"/>
      <c r="B157" s="2484"/>
      <c r="C157" s="816">
        <f>'R.GUI MAIL'!H99</f>
        <v>7</v>
      </c>
      <c r="D157" s="819">
        <f>'R.GUI MAIL'!N99</f>
        <v>0</v>
      </c>
      <c r="E157" s="765"/>
      <c r="F157" s="765"/>
      <c r="G157" s="765"/>
      <c r="H157" s="765"/>
    </row>
    <row r="158" spans="1:8" ht="12.75" hidden="1" customHeight="1" thickBot="1">
      <c r="A158" s="841">
        <v>12</v>
      </c>
      <c r="B158" s="843" t="s">
        <v>594</v>
      </c>
      <c r="C158" s="816">
        <f>'R.GUI MAIL'!H100</f>
        <v>0</v>
      </c>
      <c r="D158" s="819">
        <f>'R.GUI MAIL'!N100</f>
        <v>0</v>
      </c>
      <c r="E158" s="765"/>
      <c r="F158" s="765"/>
      <c r="G158" s="765"/>
      <c r="H158" s="765"/>
    </row>
    <row r="159" spans="1:8" ht="12.75" hidden="1" customHeight="1" thickBot="1">
      <c r="A159" s="841">
        <v>13</v>
      </c>
      <c r="B159" s="844" t="s">
        <v>597</v>
      </c>
      <c r="C159" s="816">
        <f>'R.GUI MAIL'!H101</f>
        <v>0</v>
      </c>
      <c r="D159" s="819">
        <f>'R.GUI MAIL'!N101</f>
        <v>0</v>
      </c>
      <c r="E159" s="765"/>
      <c r="F159" s="765"/>
      <c r="G159" s="765"/>
      <c r="H159" s="765"/>
    </row>
    <row r="160" spans="1:8" ht="12.75" hidden="1" customHeight="1">
      <c r="A160" s="841">
        <v>14</v>
      </c>
      <c r="B160" s="845" t="s">
        <v>600</v>
      </c>
      <c r="C160" s="816">
        <f>'R.GUI MAIL'!H102</f>
        <v>5.62</v>
      </c>
      <c r="D160" s="819">
        <f>'R.GUI MAIL'!N102</f>
        <v>0</v>
      </c>
      <c r="E160" s="765"/>
      <c r="F160" s="765"/>
      <c r="G160" s="765"/>
      <c r="H160" s="765"/>
    </row>
    <row r="161" spans="1:8" ht="12.75" hidden="1" customHeight="1">
      <c r="A161" s="841"/>
      <c r="B161" s="846" t="s">
        <v>76</v>
      </c>
      <c r="C161" s="824" t="s">
        <v>175</v>
      </c>
      <c r="D161" s="847" t="s">
        <v>175</v>
      </c>
      <c r="E161" s="765"/>
      <c r="F161" s="765"/>
      <c r="G161" s="765"/>
      <c r="H161" s="765"/>
    </row>
    <row r="162" spans="1:8" ht="12.75" hidden="1" customHeight="1">
      <c r="A162" s="841" t="s">
        <v>7</v>
      </c>
      <c r="B162" s="848" t="s">
        <v>64</v>
      </c>
      <c r="C162" s="826">
        <v>0.33333333333333331</v>
      </c>
      <c r="D162" s="827">
        <v>0.375</v>
      </c>
      <c r="E162" s="765"/>
      <c r="F162" s="765"/>
      <c r="G162" s="765"/>
      <c r="H162" s="765"/>
    </row>
    <row r="163" spans="1:8" ht="12.75" hidden="1" customHeight="1">
      <c r="A163" s="841">
        <v>1</v>
      </c>
      <c r="B163" s="842" t="s">
        <v>572</v>
      </c>
      <c r="C163" s="818">
        <f>'R.GUI MAIL'!H105</f>
        <v>66</v>
      </c>
      <c r="D163" s="819">
        <f>'R.GUI MAIL'!N105</f>
        <v>0</v>
      </c>
      <c r="E163" s="765"/>
      <c r="F163" s="765"/>
      <c r="G163" s="765"/>
      <c r="H163" s="765"/>
    </row>
    <row r="164" spans="1:8" ht="12.75" hidden="1" customHeight="1">
      <c r="A164" s="841">
        <v>2</v>
      </c>
      <c r="B164" s="842" t="s">
        <v>576</v>
      </c>
      <c r="C164" s="818">
        <f>'R.GUI MAIL'!H106</f>
        <v>67</v>
      </c>
      <c r="D164" s="819">
        <f>'R.GUI MAIL'!N106</f>
        <v>0</v>
      </c>
      <c r="E164" s="765"/>
      <c r="F164" s="765"/>
      <c r="G164" s="765"/>
      <c r="H164" s="765"/>
    </row>
    <row r="165" spans="1:8" ht="12.75" hidden="1" customHeight="1">
      <c r="A165" s="841">
        <v>3</v>
      </c>
      <c r="B165" s="382" t="s">
        <v>833</v>
      </c>
      <c r="C165" s="818">
        <f>'R.GUI MAIL'!H107</f>
        <v>22</v>
      </c>
      <c r="D165" s="819">
        <f>'R.GUI MAIL'!N107</f>
        <v>0</v>
      </c>
      <c r="E165" s="765"/>
      <c r="F165" s="765"/>
      <c r="G165" s="765"/>
      <c r="H165" s="765"/>
    </row>
    <row r="166" spans="1:8" ht="12.75" hidden="1" customHeight="1">
      <c r="A166" s="841">
        <v>4</v>
      </c>
      <c r="B166" s="382" t="s">
        <v>834</v>
      </c>
      <c r="C166" s="818">
        <f>'R.GUI MAIL'!H108</f>
        <v>19</v>
      </c>
      <c r="D166" s="819">
        <f>'R.GUI MAIL'!N108</f>
        <v>0</v>
      </c>
      <c r="E166" s="765"/>
      <c r="F166" s="765"/>
      <c r="G166" s="765"/>
      <c r="H166" s="765"/>
    </row>
    <row r="167" spans="1:8" ht="12.75" hidden="1" customHeight="1">
      <c r="A167" s="841">
        <v>5</v>
      </c>
      <c r="B167" s="382" t="s">
        <v>835</v>
      </c>
      <c r="C167" s="818">
        <f>'R.GUI MAIL'!H109</f>
        <v>21</v>
      </c>
      <c r="D167" s="819">
        <f>'R.GUI MAIL'!N109</f>
        <v>0</v>
      </c>
      <c r="E167" s="765"/>
      <c r="F167" s="765"/>
      <c r="G167" s="765"/>
      <c r="H167" s="765"/>
    </row>
    <row r="168" spans="1:8" ht="12.75" hidden="1" customHeight="1">
      <c r="A168" s="841">
        <v>6</v>
      </c>
      <c r="B168" s="382" t="s">
        <v>832</v>
      </c>
      <c r="C168" s="818">
        <f>'R.GUI MAIL'!H110</f>
        <v>39</v>
      </c>
      <c r="D168" s="819">
        <f>'R.GUI MAIL'!N110</f>
        <v>0</v>
      </c>
      <c r="E168" s="765"/>
      <c r="F168" s="765"/>
      <c r="G168" s="765"/>
      <c r="H168" s="765"/>
    </row>
    <row r="169" spans="1:8" ht="12.75" hidden="1" customHeight="1">
      <c r="A169" s="841">
        <v>8</v>
      </c>
      <c r="B169" s="843" t="s">
        <v>594</v>
      </c>
      <c r="C169" s="818">
        <f>'R.GUI MAIL'!H111</f>
        <v>0</v>
      </c>
      <c r="D169" s="819">
        <f>'R.GUI MAIL'!N111</f>
        <v>0</v>
      </c>
      <c r="E169" s="765"/>
      <c r="F169" s="765"/>
      <c r="G169" s="765"/>
      <c r="H169" s="765"/>
    </row>
    <row r="170" spans="1:8" ht="12.75" hidden="1" customHeight="1">
      <c r="A170" s="841">
        <v>9</v>
      </c>
      <c r="B170" s="844" t="s">
        <v>597</v>
      </c>
      <c r="C170" s="818">
        <f>'R.GUI MAIL'!H112</f>
        <v>0</v>
      </c>
      <c r="D170" s="819">
        <f>'R.GUI MAIL'!N112</f>
        <v>0</v>
      </c>
      <c r="E170" s="765"/>
      <c r="F170" s="765"/>
      <c r="G170" s="765"/>
      <c r="H170" s="765"/>
    </row>
    <row r="171" spans="1:8" ht="12.75" hidden="1" customHeight="1">
      <c r="A171" s="841">
        <v>10</v>
      </c>
      <c r="B171" s="845" t="s">
        <v>600</v>
      </c>
      <c r="C171" s="818">
        <f>'R.GUI MAIL'!H113</f>
        <v>64</v>
      </c>
      <c r="D171" s="819">
        <f>'R.GUI MAIL'!N113</f>
        <v>0</v>
      </c>
      <c r="E171" s="765"/>
      <c r="F171" s="765"/>
      <c r="G171" s="765"/>
      <c r="H171" s="765"/>
    </row>
    <row r="172" spans="1:8" ht="12.75" hidden="1" customHeight="1">
      <c r="A172" s="841">
        <v>11</v>
      </c>
      <c r="B172" s="842" t="s">
        <v>836</v>
      </c>
      <c r="C172" s="818" t="e">
        <f>'R.GUI MAIL'!#REF!</f>
        <v>#REF!</v>
      </c>
      <c r="D172" s="819" t="e">
        <f>'R.GUI MAIL'!#REF!</f>
        <v>#REF!</v>
      </c>
      <c r="E172" s="765"/>
      <c r="F172" s="765"/>
      <c r="G172" s="765"/>
      <c r="H172" s="765"/>
    </row>
    <row r="173" spans="1:8" ht="12.75" hidden="1" customHeight="1">
      <c r="A173" s="841">
        <v>12</v>
      </c>
      <c r="B173" s="382" t="s">
        <v>612</v>
      </c>
      <c r="C173" s="907">
        <f>'5.ML tt'!G33</f>
        <v>116</v>
      </c>
      <c r="D173" s="908">
        <f>'5.ML tt'!K33</f>
        <v>0</v>
      </c>
      <c r="E173" s="765"/>
      <c r="F173" s="765"/>
      <c r="G173" s="765"/>
      <c r="H173" s="765"/>
    </row>
    <row r="174" spans="1:8" ht="12.75" hidden="1" customHeight="1">
      <c r="A174" s="832"/>
      <c r="B174" s="833"/>
      <c r="C174" s="834" t="s">
        <v>174</v>
      </c>
      <c r="D174" s="825"/>
      <c r="E174" s="765"/>
      <c r="F174" s="765"/>
      <c r="G174" s="765"/>
      <c r="H174" s="765"/>
    </row>
    <row r="175" spans="1:8" ht="12.75" hidden="1" customHeight="1">
      <c r="A175" s="832"/>
      <c r="B175" s="833"/>
      <c r="C175" s="826">
        <v>0.33333333333333331</v>
      </c>
      <c r="D175" s="827"/>
      <c r="E175" s="765"/>
      <c r="F175" s="765"/>
      <c r="G175" s="765"/>
      <c r="H175" s="765"/>
    </row>
    <row r="176" spans="1:8" ht="12.75" hidden="1" customHeight="1">
      <c r="A176" s="841">
        <v>1</v>
      </c>
      <c r="B176" s="842" t="s">
        <v>572</v>
      </c>
      <c r="C176" s="837">
        <f>'R.GUI MAIL'!K89</f>
        <v>2.1215999999999955</v>
      </c>
      <c r="D176" s="838">
        <f>'R.FILE GOC'!Q89</f>
        <v>40.799999999999997</v>
      </c>
      <c r="E176" s="765"/>
      <c r="F176" s="765"/>
      <c r="G176" s="765"/>
      <c r="H176" s="765"/>
    </row>
    <row r="177" spans="1:8" ht="12.75" hidden="1" customHeight="1">
      <c r="A177" s="841">
        <v>2</v>
      </c>
      <c r="B177" s="842" t="s">
        <v>576</v>
      </c>
      <c r="C177" s="837">
        <f>'R.GUI MAIL'!K90</f>
        <v>4.7001599999999977</v>
      </c>
      <c r="D177" s="838">
        <f>'R.FILE GOC'!Q90</f>
        <v>40.799999999999997</v>
      </c>
      <c r="E177" s="765"/>
      <c r="F177" s="765"/>
      <c r="G177" s="765"/>
      <c r="H177" s="765"/>
    </row>
    <row r="178" spans="1:8" ht="12.75" hidden="1" customHeight="1">
      <c r="A178" s="841">
        <v>3</v>
      </c>
      <c r="B178" s="842" t="s">
        <v>578</v>
      </c>
      <c r="C178" s="837">
        <f>'R.GUI MAIL'!K91</f>
        <v>24.936959999999956</v>
      </c>
      <c r="D178" s="838">
        <f>'R.FILE GOC'!Q91</f>
        <v>408</v>
      </c>
      <c r="E178" s="765"/>
      <c r="F178" s="765"/>
      <c r="G178" s="765"/>
      <c r="H178" s="765"/>
    </row>
    <row r="179" spans="1:8" ht="12.75" hidden="1" customHeight="1">
      <c r="A179" s="841">
        <v>4</v>
      </c>
      <c r="B179" s="382" t="s">
        <v>458</v>
      </c>
      <c r="C179" s="837">
        <f>'R.GUI MAIL'!K92</f>
        <v>0</v>
      </c>
      <c r="D179" s="838">
        <f>'R.FILE GOC'!Q92</f>
        <v>224.64</v>
      </c>
      <c r="E179" s="765"/>
      <c r="F179" s="765"/>
      <c r="G179" s="765"/>
      <c r="H179" s="765"/>
    </row>
    <row r="180" spans="1:8" ht="12.75" hidden="1" customHeight="1">
      <c r="A180" s="841">
        <v>5</v>
      </c>
      <c r="B180" s="382" t="s">
        <v>459</v>
      </c>
      <c r="C180" s="837">
        <f>'R.GUI MAIL'!K93</f>
        <v>0</v>
      </c>
      <c r="D180" s="838" t="str">
        <f>'R.FILE GOC'!Q93</f>
        <v>N/A</v>
      </c>
      <c r="E180" s="765"/>
      <c r="F180" s="765"/>
      <c r="G180" s="765"/>
      <c r="H180" s="765"/>
    </row>
    <row r="181" spans="1:8" ht="12.75" hidden="1" customHeight="1">
      <c r="A181" s="841">
        <v>6</v>
      </c>
      <c r="B181" s="387" t="s">
        <v>460</v>
      </c>
      <c r="C181" s="837">
        <f>'R.GUI MAIL'!K94</f>
        <v>0</v>
      </c>
      <c r="D181" s="838">
        <f>'R.FILE GOC'!Q94</f>
        <v>224.64</v>
      </c>
      <c r="E181" s="765"/>
      <c r="F181" s="765"/>
      <c r="G181" s="765"/>
      <c r="H181" s="765"/>
    </row>
    <row r="182" spans="1:8" ht="12.75" hidden="1" customHeight="1">
      <c r="A182" s="841">
        <v>7</v>
      </c>
      <c r="B182" s="387" t="s">
        <v>461</v>
      </c>
      <c r="C182" s="837">
        <f>'R.GUI MAIL'!K95</f>
        <v>0</v>
      </c>
      <c r="D182" s="838" t="str">
        <f>'R.FILE GOC'!Q95</f>
        <v>N/A</v>
      </c>
      <c r="E182" s="765"/>
      <c r="F182" s="765"/>
      <c r="G182" s="765"/>
      <c r="H182" s="765"/>
    </row>
    <row r="183" spans="1:8" ht="12.75" hidden="1" customHeight="1">
      <c r="A183" s="841">
        <v>8</v>
      </c>
      <c r="B183" s="387" t="s">
        <v>462</v>
      </c>
      <c r="C183" s="837">
        <f>'R.GUI MAIL'!K96</f>
        <v>0</v>
      </c>
      <c r="D183" s="838">
        <f>'R.FILE GOC'!Q96</f>
        <v>224.64</v>
      </c>
      <c r="E183" s="765"/>
      <c r="F183" s="765"/>
      <c r="G183" s="765"/>
      <c r="H183" s="765"/>
    </row>
    <row r="184" spans="1:8" ht="12.75" hidden="1" customHeight="1">
      <c r="A184" s="841">
        <v>9</v>
      </c>
      <c r="B184" s="387" t="s">
        <v>463</v>
      </c>
      <c r="C184" s="837">
        <f>'R.GUI MAIL'!K97</f>
        <v>0</v>
      </c>
      <c r="D184" s="838" t="str">
        <f>'R.FILE GOC'!Q97</f>
        <v>N/A</v>
      </c>
      <c r="E184" s="765"/>
      <c r="F184" s="765"/>
      <c r="G184" s="765"/>
      <c r="H184" s="765"/>
    </row>
    <row r="185" spans="1:8" ht="12.75" hidden="1" customHeight="1">
      <c r="A185" s="2482">
        <v>10</v>
      </c>
      <c r="B185" s="2129" t="s">
        <v>832</v>
      </c>
      <c r="C185" s="837">
        <f>'R.GUI MAIL'!K98</f>
        <v>0</v>
      </c>
      <c r="D185" s="838">
        <f>'R.FILE GOC'!Q98</f>
        <v>17.28</v>
      </c>
      <c r="E185" s="765"/>
      <c r="F185" s="765"/>
      <c r="G185" s="765"/>
      <c r="H185" s="765"/>
    </row>
    <row r="186" spans="1:8" ht="12.75" hidden="1" customHeight="1">
      <c r="A186" s="2483"/>
      <c r="B186" s="2484"/>
      <c r="C186" s="837">
        <f>'R.GUI MAIL'!K99</f>
        <v>0</v>
      </c>
      <c r="D186" s="838">
        <f>'R.FILE GOC'!Q99</f>
        <v>0</v>
      </c>
      <c r="E186" s="765"/>
      <c r="F186" s="765"/>
      <c r="G186" s="765"/>
      <c r="H186" s="765"/>
    </row>
    <row r="187" spans="1:8" ht="12.75" customHeight="1" thickBot="1">
      <c r="C187" s="839"/>
      <c r="D187" s="854"/>
      <c r="E187" s="765"/>
      <c r="F187" s="765"/>
      <c r="G187" s="765"/>
      <c r="H187" s="765"/>
    </row>
  </sheetData>
  <mergeCells count="40">
    <mergeCell ref="A185:A186"/>
    <mergeCell ref="B185:B186"/>
    <mergeCell ref="A100:A101"/>
    <mergeCell ref="B100:B101"/>
    <mergeCell ref="A144:B144"/>
    <mergeCell ref="A145:A146"/>
    <mergeCell ref="B145:B146"/>
    <mergeCell ref="A156:A157"/>
    <mergeCell ref="B156:B157"/>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6" type="noConversion"/>
  <pageMargins left="0.7" right="0.7" top="0.75" bottom="0.75" header="0.3" footer="0.3"/>
  <pageSetup paperSize="9" orientation="portrait" verticalDpi="0" r:id="rId1"/>
  <drawing r:id="rId2"/>
</worksheet>
</file>

<file path=xl/worksheets/sheet42.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1" sqref="C1:I8"/>
    </sheetView>
  </sheetViews>
  <sheetFormatPr defaultColWidth="14.875" defaultRowHeight="15.75"/>
  <cols>
    <col min="1" max="1" width="6.75" style="399" customWidth="1"/>
    <col min="2" max="2" width="13.625" style="399" customWidth="1"/>
    <col min="3" max="3" width="16.5" style="399" customWidth="1"/>
    <col min="4" max="4" width="16.875" style="933" customWidth="1"/>
    <col min="5" max="5" width="17.375" style="933" customWidth="1"/>
    <col min="6" max="7" width="14.5" style="933" customWidth="1"/>
    <col min="8" max="8" width="14.5" style="399" customWidth="1"/>
    <col min="9" max="10" width="14.875" style="399"/>
    <col min="11" max="11" width="22.375" style="399" customWidth="1"/>
    <col min="12" max="16384" width="14.875" style="399"/>
  </cols>
  <sheetData>
    <row r="1" spans="1:11" ht="58.5" customHeight="1">
      <c r="C1" s="2495" t="s">
        <v>898</v>
      </c>
      <c r="D1" s="2495"/>
      <c r="E1" s="2495"/>
      <c r="F1" s="2495"/>
      <c r="G1" s="2495"/>
      <c r="H1" s="2495"/>
      <c r="I1" s="2495"/>
      <c r="J1" s="1020"/>
      <c r="K1" s="1021" t="s">
        <v>1089</v>
      </c>
    </row>
    <row r="2" spans="1:11" s="932" customFormat="1" ht="71.25" customHeight="1">
      <c r="A2" s="944" t="s">
        <v>910</v>
      </c>
      <c r="B2" s="944" t="s">
        <v>906</v>
      </c>
      <c r="C2" s="939" t="s">
        <v>899</v>
      </c>
      <c r="D2" s="940" t="s">
        <v>900</v>
      </c>
      <c r="E2" s="940" t="s">
        <v>901</v>
      </c>
      <c r="F2" s="940" t="s">
        <v>907</v>
      </c>
      <c r="G2" s="940" t="s">
        <v>902</v>
      </c>
      <c r="H2" s="940" t="s">
        <v>903</v>
      </c>
      <c r="I2" s="940" t="s">
        <v>908</v>
      </c>
      <c r="K2" s="1215" t="s">
        <v>1090</v>
      </c>
    </row>
    <row r="3" spans="1:11" ht="33.75" customHeight="1">
      <c r="A3" s="945">
        <v>1</v>
      </c>
      <c r="B3" s="941">
        <v>10</v>
      </c>
      <c r="C3" s="934" t="str">
        <f>MENU!AC9</f>
        <v>2022/12/03</v>
      </c>
      <c r="D3" s="935" t="s">
        <v>904</v>
      </c>
      <c r="E3" s="935">
        <f>(B3*1*36.5)/(1*10*1.16)/100</f>
        <v>0.31465517241379309</v>
      </c>
      <c r="F3" s="935" t="s">
        <v>905</v>
      </c>
      <c r="G3" s="936"/>
      <c r="H3" s="935"/>
      <c r="I3" s="935"/>
    </row>
    <row r="4" spans="1:11" ht="33.75" customHeight="1">
      <c r="A4" s="945">
        <v>2</v>
      </c>
      <c r="B4" s="942"/>
      <c r="C4" s="934" t="str">
        <f>IF(B4="","",C3)</f>
        <v/>
      </c>
      <c r="D4" s="935" t="str">
        <f>IF(B4="","","31~ 33%")</f>
        <v/>
      </c>
      <c r="E4" s="935" t="str">
        <f>IF(B4="","",(B4*1*36.5)/(1*10*1.16)/100)</f>
        <v/>
      </c>
      <c r="F4" s="935"/>
      <c r="G4" s="938"/>
      <c r="H4" s="938"/>
      <c r="I4" s="937"/>
    </row>
    <row r="5" spans="1:11" ht="33.75" customHeight="1">
      <c r="A5" s="945">
        <v>3</v>
      </c>
      <c r="B5" s="942"/>
      <c r="C5" s="934" t="str">
        <f t="shared" ref="C5:C8" si="0">IF(B5="","",C4)</f>
        <v/>
      </c>
      <c r="D5" s="935" t="str">
        <f t="shared" ref="D5:D8" si="1">IF(B5="","","31~ 33%")</f>
        <v/>
      </c>
      <c r="E5" s="935" t="str">
        <f t="shared" ref="E5:E8" si="2">IF(B5="","",(B5*1*36.5)/(1*10*1.16)/100)</f>
        <v/>
      </c>
      <c r="F5" s="935"/>
      <c r="G5" s="938"/>
      <c r="H5" s="938"/>
      <c r="I5" s="937"/>
    </row>
    <row r="6" spans="1:11" ht="33.75" customHeight="1">
      <c r="A6" s="945">
        <v>4</v>
      </c>
      <c r="B6" s="942"/>
      <c r="C6" s="934" t="str">
        <f t="shared" si="0"/>
        <v/>
      </c>
      <c r="D6" s="935" t="str">
        <f t="shared" si="1"/>
        <v/>
      </c>
      <c r="E6" s="935" t="str">
        <f t="shared" si="2"/>
        <v/>
      </c>
      <c r="F6" s="935"/>
      <c r="G6" s="938"/>
      <c r="H6" s="938"/>
      <c r="I6" s="937"/>
    </row>
    <row r="7" spans="1:11" ht="33.75" customHeight="1">
      <c r="A7" s="945">
        <v>5</v>
      </c>
      <c r="B7" s="942"/>
      <c r="C7" s="934" t="str">
        <f t="shared" si="0"/>
        <v/>
      </c>
      <c r="D7" s="935" t="str">
        <f t="shared" si="1"/>
        <v/>
      </c>
      <c r="E7" s="935" t="str">
        <f t="shared" si="2"/>
        <v/>
      </c>
      <c r="F7" s="935"/>
      <c r="G7" s="938"/>
      <c r="H7" s="938"/>
      <c r="I7" s="937"/>
    </row>
    <row r="8" spans="1:11" ht="33.75" customHeight="1">
      <c r="A8" s="945">
        <v>6</v>
      </c>
      <c r="B8" s="942"/>
      <c r="C8" s="934" t="str">
        <f t="shared" si="0"/>
        <v/>
      </c>
      <c r="D8" s="935" t="str">
        <f t="shared" si="1"/>
        <v/>
      </c>
      <c r="E8" s="935" t="str">
        <f t="shared" si="2"/>
        <v/>
      </c>
      <c r="F8" s="935"/>
      <c r="G8" s="938"/>
      <c r="H8" s="938"/>
      <c r="I8" s="937"/>
    </row>
    <row r="10" spans="1:11">
      <c r="E10" s="1020"/>
    </row>
    <row r="11" spans="1:11" ht="60.75" customHeight="1">
      <c r="B11" s="1214" t="s">
        <v>1086</v>
      </c>
      <c r="C11" s="1212" t="s">
        <v>1080</v>
      </c>
      <c r="E11" s="1213"/>
    </row>
    <row r="12" spans="1:11">
      <c r="C12" s="1212" t="s">
        <v>1081</v>
      </c>
    </row>
    <row r="13" spans="1:11">
      <c r="C13" s="1212" t="s">
        <v>1082</v>
      </c>
    </row>
    <row r="14" spans="1:11">
      <c r="C14" s="1212" t="s">
        <v>1083</v>
      </c>
    </row>
    <row r="15" spans="1:11">
      <c r="C15" s="1212" t="s">
        <v>1087</v>
      </c>
    </row>
    <row r="16" spans="1:11">
      <c r="C16" s="1212" t="s">
        <v>1084</v>
      </c>
    </row>
    <row r="17" spans="3:3">
      <c r="C17" s="1212" t="s">
        <v>1085</v>
      </c>
    </row>
    <row r="18" spans="3:3">
      <c r="C18" s="1212" t="s">
        <v>1088</v>
      </c>
    </row>
  </sheetData>
  <sheetProtection formatCells="0" formatColumns="0" formatRows="0" insertColumns="0" insertRows="0" insertHyperlinks="0" deleteColumns="0" deleteRows="0" selectLockedCells="1" sort="0" autoFilter="0" pivotTables="0"/>
  <mergeCells count="1">
    <mergeCell ref="C1:I1"/>
  </mergeCells>
  <phoneticPr fontId="6"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legacyDrawing r:id="rId4"/>
</worksheet>
</file>

<file path=xl/worksheets/sheet43.xml><?xml version="1.0" encoding="utf-8"?>
<worksheet xmlns="http://schemas.openxmlformats.org/spreadsheetml/2006/main" xmlns:r="http://schemas.openxmlformats.org/officeDocument/2006/relationships">
  <sheetPr codeName="Sheet21"/>
  <dimension ref="A2:R77"/>
  <sheetViews>
    <sheetView topLeftCell="A16" zoomScale="70" zoomScaleNormal="70" workbookViewId="0"/>
  </sheetViews>
  <sheetFormatPr defaultRowHeight="15.75"/>
  <cols>
    <col min="1" max="1" width="15.875" style="1382" customWidth="1"/>
    <col min="2" max="3" width="10.625" style="1383" customWidth="1"/>
    <col min="4" max="4" width="10.625" style="1382" customWidth="1"/>
    <col min="5" max="5" width="12.375" style="1382" customWidth="1"/>
    <col min="6" max="7" width="10.625" style="1383" customWidth="1"/>
    <col min="8" max="9" width="10.625" style="1382" customWidth="1"/>
    <col min="10" max="10" width="13.875" style="1383" customWidth="1"/>
    <col min="11" max="11" width="10.625" style="1383" customWidth="1"/>
    <col min="12" max="12" width="14.375" style="1382" customWidth="1"/>
    <col min="13" max="13" width="15.125" style="1382" customWidth="1"/>
    <col min="14" max="14" width="10.125" style="1382" customWidth="1"/>
    <col min="15" max="15" width="9" style="389"/>
    <col min="16" max="16" width="17" style="1382" customWidth="1"/>
    <col min="17" max="16384" width="9" style="1382"/>
  </cols>
  <sheetData>
    <row r="2" spans="1:18">
      <c r="B2" s="1383" t="s">
        <v>254</v>
      </c>
    </row>
    <row r="3" spans="1:18">
      <c r="B3" s="1384" t="s">
        <v>177</v>
      </c>
      <c r="C3" s="1384" t="s">
        <v>178</v>
      </c>
      <c r="D3" s="1385" t="s">
        <v>179</v>
      </c>
      <c r="E3" s="1385" t="s">
        <v>178</v>
      </c>
      <c r="F3" s="1384" t="s">
        <v>180</v>
      </c>
      <c r="G3" s="1384" t="s">
        <v>178</v>
      </c>
      <c r="H3" s="1385" t="s">
        <v>181</v>
      </c>
      <c r="I3" s="1385" t="s">
        <v>178</v>
      </c>
      <c r="J3" s="1384" t="s">
        <v>182</v>
      </c>
      <c r="K3" s="1384" t="s">
        <v>183</v>
      </c>
      <c r="L3" s="1384" t="s">
        <v>184</v>
      </c>
      <c r="M3" s="1384" t="s">
        <v>185</v>
      </c>
      <c r="N3" s="1384" t="s">
        <v>186</v>
      </c>
      <c r="P3" s="1382" t="s">
        <v>188</v>
      </c>
      <c r="R3" s="1382" t="s">
        <v>189</v>
      </c>
    </row>
    <row r="4" spans="1:18">
      <c r="B4" s="1384">
        <v>305</v>
      </c>
      <c r="C4" s="1384">
        <v>500</v>
      </c>
      <c r="D4" s="1385">
        <v>305</v>
      </c>
      <c r="E4" s="1383">
        <v>500</v>
      </c>
      <c r="F4" s="1384">
        <v>305</v>
      </c>
      <c r="G4" s="1384">
        <v>130</v>
      </c>
      <c r="H4" s="1385">
        <v>305</v>
      </c>
      <c r="I4" s="1385">
        <v>130</v>
      </c>
      <c r="J4" s="1384">
        <v>305</v>
      </c>
      <c r="K4" s="1384">
        <v>700</v>
      </c>
      <c r="L4" s="1382">
        <v>305</v>
      </c>
      <c r="M4" s="1382">
        <v>305</v>
      </c>
      <c r="N4" s="1382">
        <v>305</v>
      </c>
      <c r="O4" s="389" t="s">
        <v>1233</v>
      </c>
      <c r="P4" s="1382">
        <v>305</v>
      </c>
      <c r="Q4" s="1382">
        <v>305</v>
      </c>
      <c r="R4" s="1382">
        <v>300</v>
      </c>
    </row>
    <row r="5" spans="1:18">
      <c r="B5" s="1384">
        <v>260</v>
      </c>
      <c r="C5" s="1384">
        <v>90</v>
      </c>
      <c r="D5" s="1385">
        <v>165</v>
      </c>
      <c r="E5" s="1383">
        <v>90</v>
      </c>
      <c r="F5" s="1384">
        <v>176</v>
      </c>
      <c r="G5" s="1384">
        <v>80</v>
      </c>
      <c r="H5" s="1385">
        <v>187</v>
      </c>
      <c r="I5" s="1385">
        <v>80</v>
      </c>
      <c r="J5" s="1384">
        <v>205</v>
      </c>
      <c r="K5" s="1384">
        <v>134</v>
      </c>
      <c r="L5" s="1382">
        <v>158</v>
      </c>
      <c r="M5" s="1382">
        <v>247</v>
      </c>
      <c r="N5" s="1382">
        <v>76</v>
      </c>
      <c r="O5" s="389" t="s">
        <v>1233</v>
      </c>
      <c r="P5" s="1382">
        <v>68</v>
      </c>
      <c r="Q5" s="1382">
        <v>95</v>
      </c>
      <c r="R5" s="1382">
        <v>80</v>
      </c>
    </row>
    <row r="6" spans="1:18">
      <c r="B6" s="1384">
        <v>155</v>
      </c>
      <c r="C6" s="1384">
        <v>110</v>
      </c>
      <c r="D6" s="1385">
        <v>155</v>
      </c>
      <c r="E6" s="1383">
        <v>110</v>
      </c>
      <c r="F6" s="1384">
        <v>155</v>
      </c>
      <c r="G6" s="1384">
        <v>76</v>
      </c>
      <c r="H6" s="1385">
        <v>155</v>
      </c>
      <c r="I6" s="1385">
        <v>76</v>
      </c>
      <c r="J6" s="1384">
        <v>155</v>
      </c>
      <c r="K6" s="1384">
        <v>112</v>
      </c>
      <c r="L6" s="1382">
        <v>155</v>
      </c>
      <c r="M6" s="1382">
        <v>155</v>
      </c>
      <c r="N6" s="1382">
        <v>155</v>
      </c>
      <c r="O6" s="389" t="s">
        <v>1233</v>
      </c>
      <c r="P6" s="1382">
        <v>155</v>
      </c>
      <c r="Q6" s="1382">
        <v>155</v>
      </c>
      <c r="R6" s="1382">
        <v>140</v>
      </c>
    </row>
    <row r="7" spans="1:18">
      <c r="B7" s="1386">
        <f>B4*B5*B6/1000</f>
        <v>12291.5</v>
      </c>
      <c r="C7" s="1386">
        <f t="shared" ref="C7:R7" si="0">C4*C5*C6/1000</f>
        <v>4950</v>
      </c>
      <c r="D7" s="1387">
        <f t="shared" si="0"/>
        <v>7800.375</v>
      </c>
      <c r="E7" s="1387">
        <f t="shared" si="0"/>
        <v>4950</v>
      </c>
      <c r="F7" s="1386">
        <f t="shared" si="0"/>
        <v>8320.4</v>
      </c>
      <c r="G7" s="1386">
        <f t="shared" si="0"/>
        <v>790.4</v>
      </c>
      <c r="H7" s="1387">
        <f t="shared" si="0"/>
        <v>8840.4249999999993</v>
      </c>
      <c r="I7" s="1387">
        <f t="shared" si="0"/>
        <v>790.4</v>
      </c>
      <c r="J7" s="1388">
        <f>J4*J5*J6/1000*5</f>
        <v>48456.875</v>
      </c>
      <c r="K7" s="1386">
        <f t="shared" si="0"/>
        <v>10505.6</v>
      </c>
      <c r="L7" s="1386">
        <f t="shared" si="0"/>
        <v>7469.45</v>
      </c>
      <c r="M7" s="1386">
        <f t="shared" si="0"/>
        <v>11676.924999999999</v>
      </c>
      <c r="N7" s="1386">
        <f t="shared" si="0"/>
        <v>3592.9</v>
      </c>
      <c r="P7" s="1386">
        <f t="shared" si="0"/>
        <v>3214.7</v>
      </c>
      <c r="Q7" s="1386">
        <f t="shared" si="0"/>
        <v>4491.125</v>
      </c>
      <c r="R7" s="1386">
        <f t="shared" si="0"/>
        <v>3360</v>
      </c>
    </row>
    <row r="8" spans="1:18">
      <c r="B8" s="2499">
        <f>B7+C7</f>
        <v>17241.5</v>
      </c>
      <c r="C8" s="2499"/>
      <c r="D8" s="2500">
        <f>D7+E7</f>
        <v>12750.375</v>
      </c>
      <c r="E8" s="2500"/>
      <c r="F8" s="2499">
        <f>F7+G7</f>
        <v>9110.7999999999993</v>
      </c>
      <c r="G8" s="2499"/>
      <c r="H8" s="2500">
        <f>H7+I7</f>
        <v>9630.8249999999989</v>
      </c>
      <c r="I8" s="2500"/>
      <c r="J8" s="2499">
        <f>J7+K7</f>
        <v>58962.474999999999</v>
      </c>
      <c r="K8" s="2499"/>
      <c r="L8" s="1389">
        <f t="shared" ref="L8:Q8" si="1">L7</f>
        <v>7469.45</v>
      </c>
      <c r="M8" s="1389">
        <f t="shared" si="1"/>
        <v>11676.924999999999</v>
      </c>
      <c r="N8" s="1389">
        <f t="shared" si="1"/>
        <v>3592.9</v>
      </c>
      <c r="P8" s="1389">
        <f t="shared" si="1"/>
        <v>3214.7</v>
      </c>
      <c r="Q8" s="1389">
        <f t="shared" si="1"/>
        <v>4491.125</v>
      </c>
    </row>
    <row r="9" spans="1:18">
      <c r="A9" s="1382" t="s">
        <v>1234</v>
      </c>
      <c r="B9" s="2496">
        <f>B8*90%</f>
        <v>15517.35</v>
      </c>
      <c r="C9" s="2496"/>
      <c r="D9" s="2497">
        <f>D8*90%</f>
        <v>11475.3375</v>
      </c>
      <c r="E9" s="2497"/>
      <c r="F9" s="2498">
        <f>F8*90%</f>
        <v>8199.7199999999993</v>
      </c>
      <c r="G9" s="2498"/>
      <c r="H9" s="2498">
        <f>H8*90%</f>
        <v>8667.7424999999985</v>
      </c>
      <c r="I9" s="2498"/>
      <c r="J9" s="2498">
        <f>J8*90%</f>
        <v>53066.227500000001</v>
      </c>
      <c r="K9" s="2498"/>
      <c r="L9" s="1390">
        <f t="shared" ref="L9:Q9" si="2">L8*90%</f>
        <v>6722.5050000000001</v>
      </c>
      <c r="M9" s="1390">
        <f t="shared" si="2"/>
        <v>10509.2325</v>
      </c>
      <c r="N9" s="1390">
        <f t="shared" si="2"/>
        <v>3233.61</v>
      </c>
      <c r="P9" s="1390">
        <f t="shared" si="2"/>
        <v>2893.23</v>
      </c>
      <c r="Q9" s="1390">
        <f t="shared" si="2"/>
        <v>4042.0125000000003</v>
      </c>
      <c r="R9" s="1386">
        <v>3360</v>
      </c>
    </row>
    <row r="10" spans="1:18">
      <c r="F10" s="1391"/>
      <c r="G10" s="1391"/>
    </row>
    <row r="11" spans="1:18">
      <c r="C11" s="1383">
        <v>500</v>
      </c>
    </row>
    <row r="12" spans="1:18">
      <c r="C12" s="1383">
        <v>90</v>
      </c>
    </row>
    <row r="13" spans="1:18">
      <c r="C13" s="1383">
        <v>110</v>
      </c>
    </row>
    <row r="14" spans="1:18">
      <c r="C14" s="1383" t="s">
        <v>190</v>
      </c>
    </row>
    <row r="18" spans="2:13" ht="33.75" customHeight="1">
      <c r="B18" s="2049" t="s">
        <v>114</v>
      </c>
      <c r="C18" s="2050"/>
      <c r="D18" s="2050"/>
      <c r="E18" s="2051"/>
    </row>
    <row r="19" spans="2:13" ht="39" customHeight="1">
      <c r="B19" s="2052"/>
      <c r="C19" s="2053"/>
      <c r="D19" s="2053"/>
      <c r="E19" s="2054"/>
    </row>
    <row r="20" spans="2:13" ht="18" customHeight="1">
      <c r="B20" s="1381"/>
      <c r="C20" s="1381" t="s">
        <v>195</v>
      </c>
      <c r="D20" s="1381" t="s">
        <v>5</v>
      </c>
      <c r="E20" s="1381"/>
    </row>
    <row r="21" spans="2:13">
      <c r="B21" s="1383" t="s">
        <v>193</v>
      </c>
      <c r="C21" s="1383" t="s">
        <v>196</v>
      </c>
      <c r="D21" s="1382" t="s">
        <v>198</v>
      </c>
      <c r="E21" s="1382" t="s">
        <v>200</v>
      </c>
    </row>
    <row r="22" spans="2:13">
      <c r="B22" s="1383" t="s">
        <v>194</v>
      </c>
      <c r="C22" s="1383" t="s">
        <v>197</v>
      </c>
      <c r="D22" s="1382" t="s">
        <v>199</v>
      </c>
      <c r="E22" s="1382" t="s">
        <v>201</v>
      </c>
    </row>
    <row r="24" spans="2:13">
      <c r="B24" s="1383" t="s">
        <v>202</v>
      </c>
      <c r="C24" s="1381" t="s">
        <v>5</v>
      </c>
      <c r="D24" s="1382" t="s">
        <v>203</v>
      </c>
      <c r="E24" s="1382" t="s">
        <v>205</v>
      </c>
    </row>
    <row r="25" spans="2:13">
      <c r="C25" s="1392" t="s">
        <v>204</v>
      </c>
      <c r="D25" s="1393">
        <v>0.15</v>
      </c>
      <c r="E25" s="1382" t="s">
        <v>206</v>
      </c>
      <c r="F25" s="1383" t="s">
        <v>1235</v>
      </c>
    </row>
    <row r="26" spans="2:13">
      <c r="C26" s="1392">
        <v>1.8</v>
      </c>
      <c r="D26" s="1393">
        <v>0.15</v>
      </c>
      <c r="E26" s="1382" t="s">
        <v>206</v>
      </c>
      <c r="F26" s="1383" t="s">
        <v>207</v>
      </c>
    </row>
    <row r="27" spans="2:13">
      <c r="C27" s="1392" t="s">
        <v>208</v>
      </c>
      <c r="D27" s="1393">
        <v>0.15</v>
      </c>
      <c r="E27" s="1382" t="s">
        <v>206</v>
      </c>
      <c r="F27" s="1383" t="s">
        <v>209</v>
      </c>
    </row>
    <row r="28" spans="2:13">
      <c r="B28" s="1383" t="s">
        <v>1236</v>
      </c>
      <c r="D28" s="1393"/>
    </row>
    <row r="29" spans="2:13" ht="34.5" customHeight="1"/>
    <row r="30" spans="2:13" ht="16.5" customHeight="1">
      <c r="B30" s="1394" t="s">
        <v>1237</v>
      </c>
      <c r="C30" s="1394"/>
      <c r="D30" s="1395"/>
    </row>
    <row r="31" spans="2:13">
      <c r="B31" s="1383" t="s">
        <v>218</v>
      </c>
      <c r="C31" s="1383" t="s">
        <v>219</v>
      </c>
      <c r="D31" s="1382" t="s">
        <v>220</v>
      </c>
      <c r="E31" s="1382" t="s">
        <v>221</v>
      </c>
      <c r="F31" s="1383" t="s">
        <v>222</v>
      </c>
      <c r="G31" s="1383" t="s">
        <v>223</v>
      </c>
      <c r="H31" s="1382" t="s">
        <v>224</v>
      </c>
      <c r="I31" s="1396" t="s">
        <v>225</v>
      </c>
      <c r="J31" s="1397" t="s">
        <v>229</v>
      </c>
      <c r="K31" s="1383" t="s">
        <v>226</v>
      </c>
      <c r="L31" s="1382" t="s">
        <v>187</v>
      </c>
    </row>
    <row r="32" spans="2:13">
      <c r="B32" s="1383">
        <v>8</v>
      </c>
      <c r="C32" s="1383">
        <v>8</v>
      </c>
      <c r="D32" s="1383">
        <v>8</v>
      </c>
      <c r="E32" s="1383">
        <v>8</v>
      </c>
      <c r="F32" s="1383">
        <v>8</v>
      </c>
      <c r="G32" s="1383">
        <v>8</v>
      </c>
      <c r="H32" s="1383">
        <v>8</v>
      </c>
      <c r="I32" s="1397">
        <v>8</v>
      </c>
      <c r="J32" s="1397">
        <v>17</v>
      </c>
      <c r="K32" s="1383">
        <v>8</v>
      </c>
      <c r="L32" s="1383">
        <v>8</v>
      </c>
      <c r="M32" s="1382" t="s">
        <v>227</v>
      </c>
    </row>
    <row r="33" spans="2:13">
      <c r="B33" s="1383">
        <v>6.5</v>
      </c>
      <c r="C33" s="1383">
        <v>6.5</v>
      </c>
      <c r="D33" s="1383">
        <v>6.5</v>
      </c>
      <c r="E33" s="1383">
        <v>6.5</v>
      </c>
      <c r="F33" s="1383">
        <v>6.5</v>
      </c>
      <c r="G33" s="1383">
        <v>6.5</v>
      </c>
      <c r="H33" s="1383">
        <v>6.5</v>
      </c>
      <c r="I33" s="1397">
        <v>6.5</v>
      </c>
      <c r="J33" s="1397">
        <v>6.5</v>
      </c>
      <c r="K33" s="1383">
        <v>6.5</v>
      </c>
      <c r="L33" s="1383">
        <v>6.5</v>
      </c>
      <c r="M33" s="1382" t="s">
        <v>227</v>
      </c>
    </row>
    <row r="34" spans="2:13">
      <c r="B34" s="1383">
        <v>15</v>
      </c>
      <c r="C34" s="1383">
        <v>15</v>
      </c>
      <c r="D34" s="1382">
        <v>17</v>
      </c>
      <c r="E34" s="1382">
        <v>17</v>
      </c>
      <c r="F34" s="1383">
        <v>13</v>
      </c>
      <c r="G34" s="1383">
        <v>19.5</v>
      </c>
      <c r="H34" s="1382">
        <v>6.5</v>
      </c>
      <c r="I34" s="1396">
        <f>29.5*4</f>
        <v>118</v>
      </c>
      <c r="J34" s="1397">
        <v>25</v>
      </c>
      <c r="K34" s="1383">
        <v>6.5</v>
      </c>
      <c r="L34" s="1382">
        <v>6.5</v>
      </c>
      <c r="M34" s="1382" t="s">
        <v>227</v>
      </c>
    </row>
    <row r="35" spans="2:13">
      <c r="B35" s="1394">
        <f>B32*B33*B34</f>
        <v>780</v>
      </c>
      <c r="C35" s="1394">
        <f t="shared" ref="C35:L35" si="3">C32*C33*C34</f>
        <v>780</v>
      </c>
      <c r="D35" s="1394">
        <f t="shared" si="3"/>
        <v>884</v>
      </c>
      <c r="E35" s="1394">
        <f t="shared" si="3"/>
        <v>884</v>
      </c>
      <c r="F35" s="1394">
        <f t="shared" si="3"/>
        <v>676</v>
      </c>
      <c r="G35" s="1394">
        <f t="shared" si="3"/>
        <v>1014</v>
      </c>
      <c r="H35" s="1394">
        <f t="shared" si="3"/>
        <v>338</v>
      </c>
      <c r="I35" s="1397">
        <f t="shared" si="3"/>
        <v>6136</v>
      </c>
      <c r="J35" s="1397">
        <f t="shared" si="3"/>
        <v>2762.5</v>
      </c>
      <c r="K35" s="1394">
        <f t="shared" si="3"/>
        <v>338</v>
      </c>
      <c r="L35" s="1394">
        <f t="shared" si="3"/>
        <v>338</v>
      </c>
      <c r="M35" s="1382" t="s">
        <v>228</v>
      </c>
    </row>
    <row r="36" spans="2:13">
      <c r="B36" s="1398">
        <f>B35*85%</f>
        <v>663</v>
      </c>
      <c r="C36" s="1398">
        <f t="shared" ref="C36:L36" si="4">C35*85%</f>
        <v>663</v>
      </c>
      <c r="D36" s="1398">
        <f t="shared" si="4"/>
        <v>751.4</v>
      </c>
      <c r="E36" s="1398">
        <f t="shared" si="4"/>
        <v>751.4</v>
      </c>
      <c r="F36" s="1398">
        <f t="shared" si="4"/>
        <v>574.6</v>
      </c>
      <c r="G36" s="1398">
        <f t="shared" si="4"/>
        <v>861.9</v>
      </c>
      <c r="H36" s="1398">
        <f t="shared" si="4"/>
        <v>287.3</v>
      </c>
      <c r="I36" s="1398">
        <f t="shared" si="4"/>
        <v>5215.5999999999995</v>
      </c>
      <c r="J36" s="1398">
        <f t="shared" si="4"/>
        <v>2348.125</v>
      </c>
      <c r="K36" s="1398">
        <f t="shared" si="4"/>
        <v>287.3</v>
      </c>
      <c r="L36" s="1398">
        <f t="shared" si="4"/>
        <v>287.3</v>
      </c>
      <c r="M36" s="1382" t="s">
        <v>231</v>
      </c>
    </row>
    <row r="37" spans="2:13">
      <c r="B37" s="1383" t="s">
        <v>248</v>
      </c>
      <c r="I37" s="1399">
        <f>I36+J36</f>
        <v>7563.7249999999995</v>
      </c>
    </row>
    <row r="38" spans="2:13">
      <c r="B38" s="1383" t="s">
        <v>1238</v>
      </c>
    </row>
    <row r="39" spans="2:13">
      <c r="B39" s="1383" t="s">
        <v>249</v>
      </c>
      <c r="C39" s="1400">
        <f>0.05%*7564</f>
        <v>3.782</v>
      </c>
      <c r="D39" s="1382" t="s">
        <v>250</v>
      </c>
    </row>
    <row r="40" spans="2:13">
      <c r="B40" s="1383" t="s">
        <v>251</v>
      </c>
      <c r="C40" s="1401">
        <f>3%*7564</f>
        <v>226.92</v>
      </c>
      <c r="D40" s="1382" t="s">
        <v>250</v>
      </c>
    </row>
    <row r="43" spans="2:13" ht="16.5" customHeight="1">
      <c r="B43" s="1394" t="s">
        <v>1239</v>
      </c>
      <c r="C43" s="1394"/>
      <c r="D43" s="1395"/>
    </row>
    <row r="44" spans="2:13">
      <c r="B44" s="1383" t="s">
        <v>218</v>
      </c>
      <c r="C44" s="1383" t="s">
        <v>219</v>
      </c>
      <c r="D44" s="1382" t="s">
        <v>220</v>
      </c>
      <c r="E44" s="1382" t="s">
        <v>221</v>
      </c>
      <c r="F44" s="1383" t="s">
        <v>222</v>
      </c>
      <c r="G44" s="1383" t="s">
        <v>223</v>
      </c>
      <c r="H44" s="1382" t="s">
        <v>224</v>
      </c>
      <c r="I44" s="1396" t="s">
        <v>225</v>
      </c>
      <c r="J44" s="1397" t="s">
        <v>229</v>
      </c>
      <c r="K44" s="1383" t="s">
        <v>226</v>
      </c>
      <c r="L44" s="1382" t="s">
        <v>187</v>
      </c>
    </row>
    <row r="45" spans="2:13">
      <c r="B45" s="1383">
        <v>16</v>
      </c>
      <c r="C45" s="1383">
        <v>16</v>
      </c>
      <c r="D45" s="1383">
        <v>16</v>
      </c>
      <c r="E45" s="1383">
        <v>16</v>
      </c>
      <c r="F45" s="1383">
        <v>16</v>
      </c>
      <c r="G45" s="1383">
        <v>16</v>
      </c>
      <c r="H45" s="1383">
        <v>16</v>
      </c>
      <c r="I45" s="1400">
        <v>16</v>
      </c>
      <c r="J45" s="1383">
        <v>12</v>
      </c>
      <c r="K45" s="1383">
        <v>16</v>
      </c>
      <c r="L45" s="1383">
        <v>16</v>
      </c>
      <c r="M45" s="1382" t="s">
        <v>227</v>
      </c>
    </row>
    <row r="46" spans="2:13">
      <c r="B46" s="1383">
        <v>22.5</v>
      </c>
      <c r="C46" s="1383">
        <v>30</v>
      </c>
      <c r="D46" s="1383">
        <v>17</v>
      </c>
      <c r="E46" s="1383">
        <v>16.5</v>
      </c>
      <c r="F46" s="1383">
        <v>7.5</v>
      </c>
      <c r="G46" s="1383">
        <v>24</v>
      </c>
      <c r="H46" s="1383">
        <v>6.5</v>
      </c>
      <c r="I46" s="1402">
        <v>180</v>
      </c>
      <c r="J46" s="1397">
        <v>42</v>
      </c>
      <c r="K46" s="1383">
        <v>6.5</v>
      </c>
      <c r="L46" s="1383">
        <v>6.5</v>
      </c>
      <c r="M46" s="1382" t="s">
        <v>227</v>
      </c>
    </row>
    <row r="47" spans="2:13">
      <c r="B47" s="1383">
        <v>6</v>
      </c>
      <c r="C47" s="1383">
        <v>6</v>
      </c>
      <c r="D47" s="1382">
        <v>5</v>
      </c>
      <c r="E47" s="1382">
        <v>6.5</v>
      </c>
      <c r="F47" s="1383">
        <v>6</v>
      </c>
      <c r="G47" s="1382">
        <v>6.5</v>
      </c>
      <c r="H47" s="1382">
        <v>6.5</v>
      </c>
      <c r="I47" s="1403">
        <v>6.4</v>
      </c>
      <c r="J47" s="1397">
        <v>10</v>
      </c>
      <c r="K47" s="1383">
        <v>6.5</v>
      </c>
      <c r="L47" s="1382">
        <v>6</v>
      </c>
      <c r="M47" s="1382" t="s">
        <v>227</v>
      </c>
    </row>
    <row r="48" spans="2:13">
      <c r="B48" s="1394">
        <f>B45*B46*B47</f>
        <v>2160</v>
      </c>
      <c r="C48" s="1394">
        <f t="shared" ref="C48:L48" si="5">C45*C46*C47</f>
        <v>2880</v>
      </c>
      <c r="D48" s="1394">
        <f t="shared" si="5"/>
        <v>1360</v>
      </c>
      <c r="E48" s="1394">
        <f t="shared" si="5"/>
        <v>1716</v>
      </c>
      <c r="F48" s="1394">
        <f t="shared" si="5"/>
        <v>720</v>
      </c>
      <c r="G48" s="1394">
        <f t="shared" si="5"/>
        <v>2496</v>
      </c>
      <c r="H48" s="1394">
        <f t="shared" si="5"/>
        <v>676</v>
      </c>
      <c r="I48" s="1397">
        <f t="shared" si="5"/>
        <v>18432</v>
      </c>
      <c r="J48" s="1397">
        <f t="shared" si="5"/>
        <v>5040</v>
      </c>
      <c r="K48" s="1394">
        <f t="shared" si="5"/>
        <v>676</v>
      </c>
      <c r="L48" s="1394">
        <f t="shared" si="5"/>
        <v>624</v>
      </c>
      <c r="M48" s="1382" t="s">
        <v>228</v>
      </c>
    </row>
    <row r="49" spans="2:13">
      <c r="B49" s="1398">
        <f>B48*85%</f>
        <v>1836</v>
      </c>
      <c r="C49" s="1398">
        <f t="shared" ref="C49:L49" si="6">C48*85%</f>
        <v>2448</v>
      </c>
      <c r="D49" s="1398">
        <f t="shared" si="6"/>
        <v>1156</v>
      </c>
      <c r="E49" s="1398">
        <f t="shared" si="6"/>
        <v>1458.6</v>
      </c>
      <c r="F49" s="1398">
        <f t="shared" si="6"/>
        <v>612</v>
      </c>
      <c r="G49" s="1398">
        <f t="shared" si="6"/>
        <v>2121.6</v>
      </c>
      <c r="H49" s="1398">
        <f t="shared" si="6"/>
        <v>574.6</v>
      </c>
      <c r="I49" s="1398">
        <f t="shared" si="6"/>
        <v>15667.199999999999</v>
      </c>
      <c r="J49" s="1398">
        <f t="shared" si="6"/>
        <v>4284</v>
      </c>
      <c r="K49" s="1398">
        <f t="shared" si="6"/>
        <v>574.6</v>
      </c>
      <c r="L49" s="1398">
        <f t="shared" si="6"/>
        <v>530.4</v>
      </c>
      <c r="M49" s="1382" t="s">
        <v>231</v>
      </c>
    </row>
    <row r="50" spans="2:13">
      <c r="I50" s="1399">
        <f>I49+J49</f>
        <v>19951.199999999997</v>
      </c>
    </row>
    <row r="52" spans="2:13">
      <c r="B52" s="1383" t="s">
        <v>914</v>
      </c>
      <c r="C52" s="1400"/>
    </row>
    <row r="53" spans="2:13">
      <c r="B53" s="1383" t="s">
        <v>911</v>
      </c>
      <c r="C53" s="1401"/>
    </row>
    <row r="54" spans="2:13">
      <c r="B54" s="1383" t="s">
        <v>912</v>
      </c>
    </row>
    <row r="55" spans="2:13">
      <c r="B55" s="1383" t="s">
        <v>1240</v>
      </c>
    </row>
    <row r="56" spans="2:13">
      <c r="B56" s="1383" t="s">
        <v>913</v>
      </c>
    </row>
    <row r="58" spans="2:13">
      <c r="B58" s="1404" t="s">
        <v>1241</v>
      </c>
    </row>
    <row r="59" spans="2:13">
      <c r="B59" s="1383" t="s">
        <v>1242</v>
      </c>
    </row>
    <row r="60" spans="2:13">
      <c r="B60" s="1383" t="s">
        <v>1243</v>
      </c>
    </row>
    <row r="61" spans="2:13">
      <c r="B61" s="1383" t="s">
        <v>1244</v>
      </c>
    </row>
    <row r="64" spans="2:13" ht="22.5" customHeight="1">
      <c r="B64" s="1290" t="s">
        <v>1245</v>
      </c>
      <c r="C64" s="1290"/>
      <c r="D64" s="1291"/>
    </row>
    <row r="65" spans="1:8">
      <c r="B65" s="1383" t="s">
        <v>1246</v>
      </c>
      <c r="C65" s="1383" t="s">
        <v>1247</v>
      </c>
      <c r="D65" s="1382" t="s">
        <v>1248</v>
      </c>
      <c r="E65" s="1382" t="s">
        <v>1249</v>
      </c>
    </row>
    <row r="66" spans="1:8">
      <c r="A66" s="1382" t="s">
        <v>1250</v>
      </c>
      <c r="B66" s="1383">
        <v>12.8</v>
      </c>
      <c r="C66" s="1383">
        <v>12.8</v>
      </c>
      <c r="D66" s="1383">
        <v>12.8</v>
      </c>
      <c r="E66" s="1383">
        <v>12.8</v>
      </c>
      <c r="F66" s="1383" t="s">
        <v>1251</v>
      </c>
    </row>
    <row r="67" spans="1:8">
      <c r="A67" s="1382" t="s">
        <v>1252</v>
      </c>
      <c r="B67" s="1383">
        <v>17</v>
      </c>
      <c r="C67" s="1383">
        <v>19</v>
      </c>
      <c r="D67" s="1382">
        <v>36</v>
      </c>
      <c r="E67" s="1382">
        <v>9</v>
      </c>
      <c r="F67" s="1383" t="s">
        <v>1251</v>
      </c>
    </row>
    <row r="68" spans="1:8">
      <c r="A68" s="1382" t="s">
        <v>1253</v>
      </c>
      <c r="B68" s="1383">
        <v>12.6</v>
      </c>
      <c r="C68" s="1383">
        <v>12.6</v>
      </c>
      <c r="D68" s="1383">
        <v>12.6</v>
      </c>
      <c r="E68" s="1383">
        <v>12.6</v>
      </c>
      <c r="F68" s="1383" t="s">
        <v>1251</v>
      </c>
    </row>
    <row r="69" spans="1:8">
      <c r="B69" s="1405">
        <f>B66*B67*B68</f>
        <v>2741.76</v>
      </c>
      <c r="C69" s="1405">
        <f t="shared" ref="C69:E69" si="7">C66*C67*C68</f>
        <v>3064.32</v>
      </c>
      <c r="D69" s="1405">
        <f t="shared" si="7"/>
        <v>5806.08</v>
      </c>
      <c r="E69" s="1405">
        <f t="shared" si="7"/>
        <v>1451.52</v>
      </c>
      <c r="F69" s="1382" t="s">
        <v>228</v>
      </c>
    </row>
    <row r="70" spans="1:8">
      <c r="B70" s="1406">
        <f>B69*85%</f>
        <v>2330.4960000000001</v>
      </c>
      <c r="C70" s="1406">
        <f t="shared" ref="C70:E70" si="8">C69*85%</f>
        <v>2604.672</v>
      </c>
      <c r="D70" s="1406">
        <f t="shared" si="8"/>
        <v>4935.1679999999997</v>
      </c>
      <c r="E70" s="1406">
        <f t="shared" si="8"/>
        <v>1233.7919999999999</v>
      </c>
      <c r="F70" s="1382" t="s">
        <v>231</v>
      </c>
    </row>
    <row r="73" spans="1:8">
      <c r="B73" s="1407">
        <v>1</v>
      </c>
      <c r="C73" s="1383" t="s">
        <v>1254</v>
      </c>
    </row>
    <row r="74" spans="1:8">
      <c r="B74" s="1383">
        <v>2</v>
      </c>
      <c r="C74" s="1383" t="s">
        <v>1255</v>
      </c>
    </row>
    <row r="76" spans="1:8">
      <c r="A76" s="1382" t="s">
        <v>1259</v>
      </c>
      <c r="G76" s="1394">
        <f>11*25</f>
        <v>275</v>
      </c>
      <c r="H76" s="1382" t="s">
        <v>1257</v>
      </c>
    </row>
    <row r="77" spans="1:8">
      <c r="A77" s="1382" t="s">
        <v>1260</v>
      </c>
      <c r="G77" s="1395">
        <f>25*17</f>
        <v>425</v>
      </c>
      <c r="H77" s="1383" t="s">
        <v>1258</v>
      </c>
    </row>
  </sheetData>
  <mergeCells count="11">
    <mergeCell ref="J9:K9"/>
    <mergeCell ref="B8:C8"/>
    <mergeCell ref="D8:E8"/>
    <mergeCell ref="F8:G8"/>
    <mergeCell ref="H8:I8"/>
    <mergeCell ref="J8:K8"/>
    <mergeCell ref="B18:E19"/>
    <mergeCell ref="B9:C9"/>
    <mergeCell ref="D9:E9"/>
    <mergeCell ref="F9:G9"/>
    <mergeCell ref="H9:I9"/>
  </mergeCells>
  <phoneticPr fontId="6" type="noConversion"/>
  <pageMargins left="0.7" right="0.7" top="0.75" bottom="0.75" header="0.3" footer="0.3"/>
  <pageSetup paperSize="9" orientation="portrait" verticalDpi="0" r:id="rId1"/>
  <drawing r:id="rId2"/>
</worksheet>
</file>

<file path=xl/worksheets/sheet44.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1014" customWidth="1"/>
    <col min="2" max="2" width="12.875" style="1014" customWidth="1"/>
    <col min="3" max="10" width="12.375" style="1014" customWidth="1"/>
    <col min="11" max="16384" width="9" style="1014"/>
  </cols>
  <sheetData>
    <row r="1" spans="1:10" ht="32.25" customHeight="1">
      <c r="B1" s="2501" t="s">
        <v>956</v>
      </c>
      <c r="C1" s="2501"/>
      <c r="D1" s="2501"/>
      <c r="E1" s="2501"/>
      <c r="F1" s="2501"/>
      <c r="G1" s="2501"/>
      <c r="H1" s="2501"/>
      <c r="I1" s="2501"/>
      <c r="J1" s="2501"/>
    </row>
    <row r="2" spans="1:10" ht="21" customHeight="1">
      <c r="B2" s="2501" t="s">
        <v>957</v>
      </c>
      <c r="C2" s="2501" t="s">
        <v>958</v>
      </c>
      <c r="D2" s="2501"/>
      <c r="E2" s="2501"/>
      <c r="F2" s="2501"/>
      <c r="G2" s="2501"/>
      <c r="H2" s="2501"/>
      <c r="I2" s="2501"/>
      <c r="J2" s="2501"/>
    </row>
    <row r="3" spans="1:10" ht="21" customHeight="1">
      <c r="B3" s="2501"/>
      <c r="C3" s="1015">
        <v>1</v>
      </c>
      <c r="D3" s="1015">
        <v>2</v>
      </c>
      <c r="E3" s="1015">
        <v>3</v>
      </c>
      <c r="F3" s="1015">
        <v>4</v>
      </c>
      <c r="G3" s="1015">
        <v>5</v>
      </c>
      <c r="H3" s="1015">
        <v>6</v>
      </c>
      <c r="I3" s="1015">
        <v>7</v>
      </c>
      <c r="J3" s="1015">
        <v>8</v>
      </c>
    </row>
    <row r="4" spans="1:10" ht="21" customHeight="1">
      <c r="A4" s="1014" t="s">
        <v>959</v>
      </c>
      <c r="B4" s="1016" t="s">
        <v>960</v>
      </c>
      <c r="C4" s="1017" t="s">
        <v>961</v>
      </c>
      <c r="D4" s="1017" t="s">
        <v>962</v>
      </c>
      <c r="E4" s="1017" t="s">
        <v>963</v>
      </c>
      <c r="F4" s="1017"/>
      <c r="G4" s="1017" t="s">
        <v>964</v>
      </c>
      <c r="H4" s="1017" t="s">
        <v>965</v>
      </c>
      <c r="I4" s="1017" t="s">
        <v>966</v>
      </c>
      <c r="J4" s="1017" t="s">
        <v>967</v>
      </c>
    </row>
    <row r="5" spans="1:10" ht="21" customHeight="1">
      <c r="A5" s="1014" t="s">
        <v>959</v>
      </c>
      <c r="B5" s="1016" t="s">
        <v>968</v>
      </c>
      <c r="C5" s="1017" t="s">
        <v>961</v>
      </c>
      <c r="D5" s="1017" t="s">
        <v>962</v>
      </c>
      <c r="E5" s="1017" t="s">
        <v>963</v>
      </c>
      <c r="F5" s="1017"/>
      <c r="G5" s="1017" t="s">
        <v>964</v>
      </c>
      <c r="H5" s="1017" t="s">
        <v>965</v>
      </c>
      <c r="I5" s="1017" t="s">
        <v>966</v>
      </c>
      <c r="J5" s="1017" t="s">
        <v>967</v>
      </c>
    </row>
    <row r="6" spans="1:10" ht="21" customHeight="1">
      <c r="A6" s="1014" t="s">
        <v>969</v>
      </c>
      <c r="B6" s="1016" t="s">
        <v>970</v>
      </c>
      <c r="C6" s="1017" t="s">
        <v>961</v>
      </c>
      <c r="D6" s="1017" t="s">
        <v>962</v>
      </c>
      <c r="E6" s="1017" t="s">
        <v>963</v>
      </c>
      <c r="F6" s="1017"/>
      <c r="G6" s="1017" t="s">
        <v>964</v>
      </c>
      <c r="H6" s="1017" t="s">
        <v>965</v>
      </c>
      <c r="I6" s="1017" t="s">
        <v>966</v>
      </c>
      <c r="J6" s="1017" t="s">
        <v>967</v>
      </c>
    </row>
    <row r="7" spans="1:10" ht="21" customHeight="1">
      <c r="A7" s="1014" t="s">
        <v>971</v>
      </c>
      <c r="B7" s="1016" t="s">
        <v>972</v>
      </c>
      <c r="C7" s="1017" t="s">
        <v>961</v>
      </c>
      <c r="D7" s="1018"/>
      <c r="E7" s="1017" t="s">
        <v>963</v>
      </c>
      <c r="F7" s="1017" t="s">
        <v>973</v>
      </c>
      <c r="G7" s="1017" t="s">
        <v>964</v>
      </c>
      <c r="H7" s="1017"/>
      <c r="I7" s="1017" t="s">
        <v>966</v>
      </c>
      <c r="J7" s="1017" t="s">
        <v>967</v>
      </c>
    </row>
    <row r="8" spans="1:10" ht="21" customHeight="1">
      <c r="A8" s="1014" t="s">
        <v>971</v>
      </c>
      <c r="B8" s="1016" t="s">
        <v>974</v>
      </c>
      <c r="C8" s="1017" t="s">
        <v>961</v>
      </c>
      <c r="D8" s="1018"/>
      <c r="E8" s="1017" t="s">
        <v>963</v>
      </c>
      <c r="F8" s="1017" t="s">
        <v>973</v>
      </c>
      <c r="G8" s="1017" t="s">
        <v>964</v>
      </c>
      <c r="H8" s="1017"/>
      <c r="I8" s="1017" t="s">
        <v>966</v>
      </c>
      <c r="J8" s="1017" t="s">
        <v>967</v>
      </c>
    </row>
    <row r="9" spans="1:10" ht="21" customHeight="1">
      <c r="A9" s="1014" t="s">
        <v>971</v>
      </c>
      <c r="B9" s="1016" t="s">
        <v>975</v>
      </c>
      <c r="C9" s="1017" t="s">
        <v>961</v>
      </c>
      <c r="D9" s="1018"/>
      <c r="E9" s="1017" t="s">
        <v>963</v>
      </c>
      <c r="F9" s="1017" t="s">
        <v>973</v>
      </c>
      <c r="G9" s="1017" t="s">
        <v>964</v>
      </c>
      <c r="H9" s="1017"/>
      <c r="I9" s="1017" t="s">
        <v>966</v>
      </c>
      <c r="J9" s="1017" t="s">
        <v>967</v>
      </c>
    </row>
    <row r="10" spans="1:10" ht="21" customHeight="1">
      <c r="A10" s="1014" t="s">
        <v>976</v>
      </c>
      <c r="B10" s="1016" t="s">
        <v>977</v>
      </c>
      <c r="C10" s="1017" t="s">
        <v>961</v>
      </c>
      <c r="D10" s="1017"/>
      <c r="E10" s="1017"/>
      <c r="F10" s="1017"/>
      <c r="G10" s="1017" t="s">
        <v>964</v>
      </c>
      <c r="H10" s="1017"/>
      <c r="I10" s="1017"/>
      <c r="J10" s="1017"/>
    </row>
    <row r="11" spans="1:10" ht="21" customHeight="1">
      <c r="A11" s="1014" t="s">
        <v>978</v>
      </c>
      <c r="B11" s="1016" t="s">
        <v>979</v>
      </c>
      <c r="C11" s="1017" t="s">
        <v>961</v>
      </c>
      <c r="D11" s="1017"/>
      <c r="E11" s="1017"/>
      <c r="F11" s="1017" t="s">
        <v>973</v>
      </c>
      <c r="G11" s="1017"/>
      <c r="H11" s="1017"/>
      <c r="I11" s="1017"/>
      <c r="J11" s="1017"/>
    </row>
  </sheetData>
  <mergeCells count="3">
    <mergeCell ref="B1:J1"/>
    <mergeCell ref="B2:B3"/>
    <mergeCell ref="C2:J2"/>
  </mergeCells>
  <phoneticPr fontId="6" type="noConversion"/>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70" customWidth="1"/>
    <col min="2" max="2" width="13" style="370" customWidth="1"/>
    <col min="3" max="3" width="33.125" style="370" customWidth="1"/>
    <col min="4" max="5" width="12.625" style="370" customWidth="1"/>
    <col min="6" max="6" width="27.5" style="370" customWidth="1"/>
    <col min="7" max="7" width="12.5" style="900" bestFit="1" customWidth="1"/>
    <col min="8" max="8" width="12.5" style="900" customWidth="1"/>
    <col min="9" max="9" width="12.5" style="901" customWidth="1"/>
    <col min="10" max="10" width="13.375" style="900" bestFit="1" customWidth="1"/>
    <col min="11" max="11" width="13.375" style="900" customWidth="1"/>
    <col min="12" max="12" width="13.375" style="901" customWidth="1"/>
    <col min="13" max="13" width="13.375" style="900" bestFit="1" customWidth="1"/>
    <col min="14" max="14" width="13.375" style="900" customWidth="1"/>
    <col min="15" max="15" width="13.375" style="901" customWidth="1"/>
    <col min="16" max="16" width="15.125" style="900" customWidth="1"/>
    <col min="17" max="17" width="11.75" style="900" customWidth="1"/>
    <col min="18" max="18" width="10.125" style="901" customWidth="1"/>
    <col min="19" max="19" width="10.125" style="900" bestFit="1" customWidth="1"/>
    <col min="20" max="20" width="10.125" style="371" customWidth="1"/>
    <col min="21" max="21" width="10.125" style="367" customWidth="1"/>
    <col min="22" max="22" width="10.125" style="900" bestFit="1" customWidth="1"/>
    <col min="23" max="23" width="10.125" style="371" customWidth="1"/>
    <col min="24" max="24" width="10.125" style="367" customWidth="1"/>
    <col min="25" max="25" width="9" style="367"/>
    <col min="26" max="37" width="9" style="367" hidden="1" customWidth="1"/>
    <col min="38" max="16384" width="9" style="367"/>
  </cols>
  <sheetData>
    <row r="1" spans="1:49" ht="71.45" customHeight="1">
      <c r="A1" s="878" t="s">
        <v>360</v>
      </c>
      <c r="B1" s="878"/>
      <c r="C1" s="878"/>
      <c r="D1" s="878"/>
      <c r="E1" s="878"/>
      <c r="F1" s="878"/>
      <c r="G1" s="896"/>
      <c r="H1" s="896"/>
      <c r="I1" s="896"/>
      <c r="J1" s="896"/>
      <c r="K1" s="896"/>
      <c r="L1" s="896"/>
      <c r="M1" s="896"/>
      <c r="N1" s="896"/>
      <c r="O1" s="896"/>
      <c r="P1" s="896"/>
      <c r="Q1" s="896"/>
      <c r="R1" s="896"/>
      <c r="S1" s="896"/>
      <c r="T1" s="878"/>
      <c r="U1" s="878"/>
      <c r="V1" s="896"/>
      <c r="W1" s="879"/>
      <c r="X1" s="880"/>
    </row>
    <row r="2" spans="1:49" s="372" customFormat="1" ht="15.75">
      <c r="A2" s="369" t="s">
        <v>361</v>
      </c>
      <c r="B2" s="369" t="s">
        <v>362</v>
      </c>
      <c r="C2" s="369" t="s">
        <v>363</v>
      </c>
      <c r="D2" s="369" t="s">
        <v>364</v>
      </c>
      <c r="E2" s="369" t="s">
        <v>365</v>
      </c>
      <c r="F2" s="369" t="s">
        <v>366</v>
      </c>
      <c r="G2" s="897" t="s">
        <v>367</v>
      </c>
      <c r="H2" s="897" t="s">
        <v>368</v>
      </c>
      <c r="I2" s="898" t="s">
        <v>369</v>
      </c>
      <c r="J2" s="897" t="s">
        <v>370</v>
      </c>
      <c r="K2" s="897" t="s">
        <v>371</v>
      </c>
      <c r="L2" s="898" t="s">
        <v>372</v>
      </c>
      <c r="M2" s="897" t="s">
        <v>373</v>
      </c>
      <c r="N2" s="897" t="s">
        <v>374</v>
      </c>
      <c r="O2" s="898" t="s">
        <v>375</v>
      </c>
      <c r="P2" s="897" t="s">
        <v>376</v>
      </c>
      <c r="Q2" s="897" t="s">
        <v>377</v>
      </c>
      <c r="R2" s="898" t="s">
        <v>378</v>
      </c>
      <c r="S2" s="897" t="s">
        <v>379</v>
      </c>
      <c r="T2" s="368" t="s">
        <v>380</v>
      </c>
      <c r="U2" s="369" t="s">
        <v>381</v>
      </c>
      <c r="V2" s="897" t="s">
        <v>382</v>
      </c>
      <c r="W2" s="368" t="s">
        <v>383</v>
      </c>
      <c r="X2" s="369" t="s">
        <v>384</v>
      </c>
      <c r="Z2" s="891">
        <v>1</v>
      </c>
      <c r="AA2" s="891" t="s">
        <v>890</v>
      </c>
      <c r="AB2" s="891">
        <v>2</v>
      </c>
      <c r="AC2" s="891" t="s">
        <v>890</v>
      </c>
      <c r="AD2" s="891">
        <v>3</v>
      </c>
      <c r="AE2" s="891" t="s">
        <v>890</v>
      </c>
      <c r="AF2" s="891">
        <v>4</v>
      </c>
      <c r="AG2" s="891" t="s">
        <v>890</v>
      </c>
      <c r="AH2" s="891">
        <v>5</v>
      </c>
      <c r="AI2" s="891" t="s">
        <v>890</v>
      </c>
      <c r="AJ2" s="891">
        <v>6</v>
      </c>
      <c r="AK2" s="891" t="s">
        <v>890</v>
      </c>
      <c r="AL2" s="909">
        <v>1</v>
      </c>
      <c r="AM2" s="909" t="s">
        <v>890</v>
      </c>
      <c r="AN2" s="909">
        <v>2</v>
      </c>
      <c r="AO2" s="909" t="s">
        <v>890</v>
      </c>
      <c r="AP2" s="909">
        <v>3</v>
      </c>
      <c r="AQ2" s="909" t="s">
        <v>890</v>
      </c>
      <c r="AR2" s="909">
        <v>4</v>
      </c>
      <c r="AS2" s="909" t="s">
        <v>890</v>
      </c>
      <c r="AT2" s="909">
        <v>5</v>
      </c>
      <c r="AU2" s="909" t="s">
        <v>890</v>
      </c>
      <c r="AV2" s="909">
        <v>6</v>
      </c>
      <c r="AW2" s="909" t="s">
        <v>890</v>
      </c>
    </row>
    <row r="3" spans="1:49" s="372" customFormat="1" ht="15.75">
      <c r="A3" s="369" t="s">
        <v>385</v>
      </c>
      <c r="B3" s="369" t="s">
        <v>386</v>
      </c>
      <c r="C3" s="369" t="s">
        <v>387</v>
      </c>
      <c r="D3" s="369" t="s">
        <v>388</v>
      </c>
      <c r="E3" s="369" t="s">
        <v>389</v>
      </c>
      <c r="F3" s="369" t="s">
        <v>390</v>
      </c>
      <c r="G3" s="897" t="s">
        <v>391</v>
      </c>
      <c r="H3" s="897" t="s">
        <v>392</v>
      </c>
      <c r="I3" s="898" t="s">
        <v>1</v>
      </c>
      <c r="J3" s="897" t="s">
        <v>393</v>
      </c>
      <c r="K3" s="897"/>
      <c r="L3" s="898" t="s">
        <v>1</v>
      </c>
      <c r="M3" s="897" t="s">
        <v>394</v>
      </c>
      <c r="N3" s="897"/>
      <c r="O3" s="898" t="s">
        <v>1</v>
      </c>
      <c r="P3" s="897" t="s">
        <v>395</v>
      </c>
      <c r="Q3" s="897"/>
      <c r="R3" s="898" t="s">
        <v>1</v>
      </c>
      <c r="S3" s="897" t="s">
        <v>396</v>
      </c>
      <c r="T3" s="368"/>
      <c r="U3" s="369" t="s">
        <v>1</v>
      </c>
      <c r="V3" s="897" t="s">
        <v>397</v>
      </c>
      <c r="W3" s="368"/>
      <c r="X3" s="369" t="s">
        <v>1</v>
      </c>
    </row>
    <row r="4" spans="1:49" s="374" customFormat="1">
      <c r="A4" s="951" t="str">
        <f>'1. XL-1E kh'!G3</f>
        <v>2022/12/03</v>
      </c>
      <c r="B4" s="373" t="s">
        <v>277</v>
      </c>
      <c r="C4" s="373" t="str">
        <f t="shared" ref="C4:C33" si="0">IFERROR(VLOOKUP($B4,_XM_XT_THUCTE,3,0),"")</f>
        <v xml:space="preserve">Xà bông (1)脫脂 </v>
      </c>
      <c r="D4" s="373" t="str">
        <f t="shared" ref="D4:D33" si="1">IFERROR(VLOOKUP($B4,_XM_XT_THUCTE,2,0),"")</f>
        <v>XL-001E</v>
      </c>
      <c r="E4" s="373" t="str">
        <f t="shared" ref="E4:E33" si="2">IFERROR(VLOOKUP($B4,_XM_XT_THUCTE,4,0),"")</f>
        <v>g/L</v>
      </c>
      <c r="F4" s="373" t="str">
        <f t="shared" ref="F4:F33" si="3">IFERROR(VLOOKUP($B4,_XM_XT_THUCTE,5,0),"")</f>
        <v>25~35g/L
(30±2g/L)</v>
      </c>
      <c r="G4" s="894">
        <f t="shared" ref="G4:G33" si="4">IFERROR(VLOOKUP($B4,_XM_XT_THUCTE,8,0),"")</f>
        <v>30</v>
      </c>
      <c r="H4" s="894">
        <f t="shared" ref="H4:H33" si="5">IFERROR(VLOOKUP($B4,_XM_XT_THUCTE,11,0),"")</f>
        <v>0</v>
      </c>
      <c r="I4" s="899" t="str">
        <f t="shared" ref="I4:I33" si="6">IFERROR(VLOOKUP($B4,_XM_XT_THUCTE,12,0),"")</f>
        <v>kg</v>
      </c>
      <c r="J4" s="894">
        <f t="shared" ref="J4:J44" si="7">IFERROR(VLOOKUP($B4,_XM_XT_THUCTE,14,0),"")</f>
        <v>29.6</v>
      </c>
      <c r="K4" s="894">
        <f t="shared" ref="K4:K33" si="8">IFERROR(VLOOKUP($B4,_XM_XT_THUCTE,17,0),"")</f>
        <v>1.0771999999999962</v>
      </c>
      <c r="L4" s="899" t="str">
        <f t="shared" ref="L4:L33" si="9">IFERROR(VLOOKUP($B4,_XM_XT_THUCTE,18,0),"")</f>
        <v>kg</v>
      </c>
      <c r="M4" s="894">
        <f t="shared" ref="M4:M33" si="10">IFERROR(VLOOKUP($B4,_XM_XT_THUCTE,20,0),"")</f>
        <v>29.6</v>
      </c>
      <c r="N4" s="894">
        <f t="shared" ref="N4:N33" si="11">IFERROR(VLOOKUP($B4,_XM_XT_THUCTE,23,0),"")</f>
        <v>1.0771999999999962</v>
      </c>
      <c r="O4" s="899" t="str">
        <f t="shared" ref="O4:O33" si="12">IFERROR(VLOOKUP($B4,_XM_XT_THUCTE,24,0),"")</f>
        <v>kg</v>
      </c>
      <c r="P4" s="894">
        <f t="shared" ref="P4:P33" si="13">IFERROR(VLOOKUP($B4,_XM_XT_THUCTE,26,0),"")</f>
        <v>30</v>
      </c>
      <c r="Q4" s="894">
        <f t="shared" ref="Q4:Q33" si="14">IFERROR(VLOOKUP($B4,_XM_XT_THUCTE,29,0),"")</f>
        <v>0</v>
      </c>
      <c r="R4" s="899" t="str">
        <f t="shared" ref="R4:R33" si="15">IFERROR(VLOOKUP($B4,_XM_XT_THUCTE,30,0),"")</f>
        <v>kg</v>
      </c>
      <c r="S4" s="894">
        <f t="shared" ref="S4:S33" si="16">IFERROR(VLOOKUP($B4,_XM_XT_THUCTE,32,0),"")</f>
        <v>0</v>
      </c>
      <c r="T4" s="887">
        <f t="shared" ref="T4:T33" si="17">IFERROR(VLOOKUP($B4,_XM_XT_THUCTE,35,0),"")</f>
        <v>80.790000000000006</v>
      </c>
      <c r="U4" s="888" t="str">
        <f t="shared" ref="U4:U33" si="18">IFERROR(VLOOKUP($B4,_XM_XT_THUCTE,36,0),"")</f>
        <v>kg</v>
      </c>
      <c r="V4" s="894">
        <f t="shared" ref="V4:V33" si="19">IFERROR(VLOOKUP($B4,_XM_XT_THUCTE,38,0),"")</f>
        <v>29.2</v>
      </c>
      <c r="W4" s="887">
        <f t="shared" ref="W4:W33" si="20">IFERROR(VLOOKUP($B4,_XM_XT_THUCTE,41,0),"")</f>
        <v>2.1544000000000021</v>
      </c>
      <c r="X4" s="888" t="str">
        <f t="shared" ref="X4:X33" si="21">IFERROR(VLOOKUP($B4,_XM_XT_THUCTE,42,0),"")</f>
        <v>kg</v>
      </c>
      <c r="Z4" s="374" t="b">
        <f>ISNUMBER(G4)</f>
        <v>1</v>
      </c>
      <c r="AA4" s="374" t="b">
        <f>ISNUMBER(H4)</f>
        <v>1</v>
      </c>
      <c r="AB4" s="374" t="b">
        <f>ISNUMBER(J4)</f>
        <v>1</v>
      </c>
      <c r="AC4" s="374" t="b">
        <f>ISNUMBER(K4)</f>
        <v>1</v>
      </c>
      <c r="AD4" s="374" t="b">
        <f>ISNUMBER(M4)</f>
        <v>1</v>
      </c>
      <c r="AE4" s="374" t="b">
        <f>ISNUMBER(N4)</f>
        <v>1</v>
      </c>
      <c r="AF4" s="374" t="b">
        <f>ISNUMBER(P4)</f>
        <v>1</v>
      </c>
      <c r="AG4" s="374" t="b">
        <f>ISNUMBER(Q4)</f>
        <v>1</v>
      </c>
      <c r="AH4" s="374" t="b">
        <f>ISNUMBER(S4)</f>
        <v>1</v>
      </c>
      <c r="AI4" s="374" t="b">
        <f>ISNUMBER(T4)</f>
        <v>1</v>
      </c>
      <c r="AJ4" s="374" t="b">
        <f>ISNUMBER(V4)</f>
        <v>1</v>
      </c>
      <c r="AK4" s="374" t="b">
        <f>ISNUMBER(W4)</f>
        <v>1</v>
      </c>
      <c r="AL4" s="919" t="str">
        <f t="shared" ref="AL4:AW4" si="22">IF(Z4=TRUE,"",1)</f>
        <v/>
      </c>
      <c r="AM4" s="920" t="str">
        <f t="shared" si="22"/>
        <v/>
      </c>
      <c r="AN4" s="920" t="str">
        <f t="shared" si="22"/>
        <v/>
      </c>
      <c r="AO4" s="920" t="str">
        <f t="shared" si="22"/>
        <v/>
      </c>
      <c r="AP4" s="920" t="str">
        <f t="shared" si="22"/>
        <v/>
      </c>
      <c r="AQ4" s="920" t="str">
        <f t="shared" si="22"/>
        <v/>
      </c>
      <c r="AR4" s="920" t="str">
        <f t="shared" si="22"/>
        <v/>
      </c>
      <c r="AS4" s="920" t="str">
        <f t="shared" si="22"/>
        <v/>
      </c>
      <c r="AT4" s="920" t="str">
        <f t="shared" si="22"/>
        <v/>
      </c>
      <c r="AU4" s="920" t="str">
        <f t="shared" si="22"/>
        <v/>
      </c>
      <c r="AV4" s="920" t="str">
        <f t="shared" si="22"/>
        <v/>
      </c>
      <c r="AW4" s="925" t="str">
        <f t="shared" si="22"/>
        <v/>
      </c>
    </row>
    <row r="5" spans="1:49" s="374" customFormat="1">
      <c r="A5" s="906" t="str">
        <f>IF(B5="","",$A$4)</f>
        <v>2022/12/03</v>
      </c>
      <c r="B5" s="373" t="s">
        <v>278</v>
      </c>
      <c r="C5" s="373" t="str">
        <f t="shared" si="0"/>
        <v xml:space="preserve">Xà bông (2)脫脂 </v>
      </c>
      <c r="D5" s="373" t="str">
        <f t="shared" si="1"/>
        <v>XL-001E</v>
      </c>
      <c r="E5" s="373" t="str">
        <f t="shared" si="2"/>
        <v>g/L</v>
      </c>
      <c r="F5" s="373" t="str">
        <f t="shared" si="3"/>
        <v>25~35g/L
(30±2g/L)</v>
      </c>
      <c r="G5" s="894">
        <f t="shared" si="4"/>
        <v>30.8</v>
      </c>
      <c r="H5" s="894">
        <f t="shared" si="5"/>
        <v>0</v>
      </c>
      <c r="I5" s="899" t="str">
        <f t="shared" si="6"/>
        <v>kg</v>
      </c>
      <c r="J5" s="894">
        <f t="shared" si="7"/>
        <v>30</v>
      </c>
      <c r="K5" s="894">
        <f t="shared" si="8"/>
        <v>0</v>
      </c>
      <c r="L5" s="899" t="str">
        <f t="shared" si="9"/>
        <v>kg</v>
      </c>
      <c r="M5" s="894">
        <f t="shared" si="10"/>
        <v>30.8</v>
      </c>
      <c r="N5" s="894">
        <f t="shared" si="11"/>
        <v>0</v>
      </c>
      <c r="O5" s="899" t="str">
        <f t="shared" si="12"/>
        <v>kg</v>
      </c>
      <c r="P5" s="894">
        <f t="shared" si="13"/>
        <v>31.6</v>
      </c>
      <c r="Q5" s="894">
        <f t="shared" si="14"/>
        <v>0</v>
      </c>
      <c r="R5" s="899" t="str">
        <f t="shared" si="15"/>
        <v>kg</v>
      </c>
      <c r="S5" s="894">
        <f t="shared" si="16"/>
        <v>0</v>
      </c>
      <c r="T5" s="887">
        <f t="shared" si="17"/>
        <v>99.15</v>
      </c>
      <c r="U5" s="888" t="str">
        <f t="shared" si="18"/>
        <v>kg</v>
      </c>
      <c r="V5" s="894">
        <f t="shared" si="19"/>
        <v>30.8</v>
      </c>
      <c r="W5" s="887">
        <f t="shared" si="20"/>
        <v>0</v>
      </c>
      <c r="X5" s="888" t="str">
        <f t="shared" si="21"/>
        <v>kg</v>
      </c>
      <c r="Z5" s="374" t="b">
        <f t="shared" ref="Z5:Z68" si="23">ISNUMBER(G5)</f>
        <v>1</v>
      </c>
      <c r="AA5" s="374" t="b">
        <f t="shared" ref="AA5:AA68" si="24">ISNUMBER(H5)</f>
        <v>1</v>
      </c>
      <c r="AB5" s="374" t="b">
        <f t="shared" ref="AB5:AB68" si="25">ISNUMBER(J5)</f>
        <v>1</v>
      </c>
      <c r="AC5" s="374" t="b">
        <f t="shared" ref="AC5:AC68" si="26">ISNUMBER(K5)</f>
        <v>1</v>
      </c>
      <c r="AD5" s="374" t="b">
        <f t="shared" ref="AD5:AD68" si="27">ISNUMBER(M5)</f>
        <v>1</v>
      </c>
      <c r="AE5" s="374" t="b">
        <f t="shared" ref="AE5:AE68" si="28">ISNUMBER(N5)</f>
        <v>1</v>
      </c>
      <c r="AF5" s="374" t="b">
        <f t="shared" ref="AF5:AF68" si="29">ISNUMBER(P5)</f>
        <v>1</v>
      </c>
      <c r="AG5" s="374" t="b">
        <f t="shared" ref="AG5:AG68" si="30">ISNUMBER(Q5)</f>
        <v>1</v>
      </c>
      <c r="AH5" s="374" t="b">
        <f t="shared" ref="AH5:AH68" si="31">ISNUMBER(S5)</f>
        <v>1</v>
      </c>
      <c r="AI5" s="374" t="b">
        <f t="shared" ref="AI5:AI68" si="32">ISNUMBER(T5)</f>
        <v>1</v>
      </c>
      <c r="AJ5" s="374" t="b">
        <f t="shared" ref="AJ5:AJ68" si="33">ISNUMBER(V5)</f>
        <v>1</v>
      </c>
      <c r="AK5" s="374" t="b">
        <f t="shared" ref="AK5:AK68" si="34">ISNUMBER(W5)</f>
        <v>1</v>
      </c>
      <c r="AL5" s="921" t="str">
        <f t="shared" ref="AL5:AL68" si="35">IF(Z5=TRUE,"",1)</f>
        <v/>
      </c>
      <c r="AM5" s="922" t="str">
        <f t="shared" ref="AM5:AM68" si="36">IF(AA5=TRUE,"",1)</f>
        <v/>
      </c>
      <c r="AN5" s="922" t="str">
        <f t="shared" ref="AN5:AN68" si="37">IF(AB5=TRUE,"",1)</f>
        <v/>
      </c>
      <c r="AO5" s="922" t="str">
        <f t="shared" ref="AO5:AO68" si="38">IF(AC5=TRUE,"",1)</f>
        <v/>
      </c>
      <c r="AP5" s="922" t="str">
        <f t="shared" ref="AP5:AP68" si="39">IF(AD5=TRUE,"",1)</f>
        <v/>
      </c>
      <c r="AQ5" s="922" t="str">
        <f t="shared" ref="AQ5:AQ68" si="40">IF(AE5=TRUE,"",1)</f>
        <v/>
      </c>
      <c r="AR5" s="922" t="str">
        <f t="shared" ref="AR5:AR68" si="41">IF(AF5=TRUE,"",1)</f>
        <v/>
      </c>
      <c r="AS5" s="922" t="str">
        <f t="shared" ref="AS5:AS68" si="42">IF(AG5=TRUE,"",1)</f>
        <v/>
      </c>
      <c r="AT5" s="922" t="str">
        <f t="shared" ref="AT5:AT68" si="43">IF(AH5=TRUE,"",1)</f>
        <v/>
      </c>
      <c r="AU5" s="922" t="str">
        <f t="shared" ref="AU5:AU68" si="44">IF(AI5=TRUE,"",1)</f>
        <v/>
      </c>
      <c r="AV5" s="922" t="str">
        <f t="shared" ref="AV5:AW68" si="45">IF(AJ5=TRUE,"",1)</f>
        <v/>
      </c>
      <c r="AW5" s="926" t="str">
        <f t="shared" si="45"/>
        <v/>
      </c>
    </row>
    <row r="6" spans="1:49" s="374" customFormat="1">
      <c r="A6" s="906" t="str">
        <f t="shared" ref="A6:A61" si="46">IF(B6="","",$A$4)</f>
        <v>2022/12/03</v>
      </c>
      <c r="B6" s="373" t="s">
        <v>279</v>
      </c>
      <c r="C6" s="373" t="str">
        <f t="shared" si="0"/>
        <v xml:space="preserve">điện giải(1)+電解  </v>
      </c>
      <c r="D6" s="373" t="str">
        <f t="shared" si="1"/>
        <v>XL-001E</v>
      </c>
      <c r="E6" s="373" t="str">
        <f t="shared" si="2"/>
        <v>g/L</v>
      </c>
      <c r="F6" s="373" t="str">
        <f t="shared" si="3"/>
        <v>60~80g/L
(70±10g/L)</v>
      </c>
      <c r="G6" s="894">
        <f t="shared" si="4"/>
        <v>65.599999999999994</v>
      </c>
      <c r="H6" s="894">
        <f t="shared" si="5"/>
        <v>5.0864000000000065</v>
      </c>
      <c r="I6" s="899" t="str">
        <f t="shared" si="6"/>
        <v>kg</v>
      </c>
      <c r="J6" s="894">
        <f t="shared" si="7"/>
        <v>65.2</v>
      </c>
      <c r="K6" s="894">
        <f t="shared" si="8"/>
        <v>5.5487999999999964</v>
      </c>
      <c r="L6" s="899" t="str">
        <f t="shared" si="9"/>
        <v>kg</v>
      </c>
      <c r="M6" s="894">
        <f t="shared" si="10"/>
        <v>66.8</v>
      </c>
      <c r="N6" s="894">
        <f t="shared" si="11"/>
        <v>3.6992000000000034</v>
      </c>
      <c r="O6" s="899" t="str">
        <f t="shared" si="12"/>
        <v>kg</v>
      </c>
      <c r="P6" s="894">
        <f t="shared" si="13"/>
        <v>72.8</v>
      </c>
      <c r="Q6" s="894">
        <f t="shared" si="14"/>
        <v>0</v>
      </c>
      <c r="R6" s="899" t="str">
        <f t="shared" si="15"/>
        <v>kg</v>
      </c>
      <c r="S6" s="894">
        <f t="shared" si="16"/>
        <v>0</v>
      </c>
      <c r="T6" s="887">
        <f t="shared" si="17"/>
        <v>80.92</v>
      </c>
      <c r="U6" s="888" t="str">
        <f t="shared" si="18"/>
        <v>kg</v>
      </c>
      <c r="V6" s="894">
        <f t="shared" si="19"/>
        <v>72</v>
      </c>
      <c r="W6" s="887">
        <f t="shared" si="20"/>
        <v>0</v>
      </c>
      <c r="X6" s="888" t="str">
        <f t="shared" si="21"/>
        <v>kg</v>
      </c>
      <c r="Z6" s="374" t="b">
        <f t="shared" si="23"/>
        <v>1</v>
      </c>
      <c r="AA6" s="374" t="b">
        <f t="shared" si="24"/>
        <v>1</v>
      </c>
      <c r="AB6" s="374" t="b">
        <f t="shared" si="25"/>
        <v>1</v>
      </c>
      <c r="AC6" s="374" t="b">
        <f t="shared" si="26"/>
        <v>1</v>
      </c>
      <c r="AD6" s="374" t="b">
        <f t="shared" si="27"/>
        <v>1</v>
      </c>
      <c r="AE6" s="374" t="b">
        <f t="shared" si="28"/>
        <v>1</v>
      </c>
      <c r="AF6" s="374" t="b">
        <f t="shared" si="29"/>
        <v>1</v>
      </c>
      <c r="AG6" s="374" t="b">
        <f t="shared" si="30"/>
        <v>1</v>
      </c>
      <c r="AH6" s="374" t="b">
        <f t="shared" si="31"/>
        <v>1</v>
      </c>
      <c r="AI6" s="374" t="b">
        <f t="shared" si="32"/>
        <v>1</v>
      </c>
      <c r="AJ6" s="374" t="b">
        <f t="shared" si="33"/>
        <v>1</v>
      </c>
      <c r="AK6" s="374" t="b">
        <f t="shared" si="34"/>
        <v>1</v>
      </c>
      <c r="AL6" s="921" t="str">
        <f t="shared" si="35"/>
        <v/>
      </c>
      <c r="AM6" s="922" t="str">
        <f t="shared" si="36"/>
        <v/>
      </c>
      <c r="AN6" s="922" t="str">
        <f t="shared" si="37"/>
        <v/>
      </c>
      <c r="AO6" s="922" t="str">
        <f t="shared" si="38"/>
        <v/>
      </c>
      <c r="AP6" s="922" t="str">
        <f t="shared" si="39"/>
        <v/>
      </c>
      <c r="AQ6" s="922" t="str">
        <f t="shared" si="40"/>
        <v/>
      </c>
      <c r="AR6" s="922" t="str">
        <f t="shared" si="41"/>
        <v/>
      </c>
      <c r="AS6" s="922" t="str">
        <f t="shared" si="42"/>
        <v/>
      </c>
      <c r="AT6" s="922" t="str">
        <f t="shared" si="43"/>
        <v/>
      </c>
      <c r="AU6" s="922" t="str">
        <f t="shared" si="44"/>
        <v/>
      </c>
      <c r="AV6" s="922" t="str">
        <f t="shared" si="45"/>
        <v/>
      </c>
      <c r="AW6" s="926" t="str">
        <f t="shared" si="45"/>
        <v/>
      </c>
    </row>
    <row r="7" spans="1:49" s="374" customFormat="1">
      <c r="A7" s="906" t="str">
        <f t="shared" si="46"/>
        <v>2022/12/03</v>
      </c>
      <c r="B7" s="373" t="s">
        <v>280</v>
      </c>
      <c r="C7" s="373" t="str">
        <f t="shared" si="0"/>
        <v xml:space="preserve">điện giải (2)+電解  </v>
      </c>
      <c r="D7" s="373" t="str">
        <f t="shared" si="1"/>
        <v>XL-001E</v>
      </c>
      <c r="E7" s="373" t="str">
        <f t="shared" si="2"/>
        <v>g/L</v>
      </c>
      <c r="F7" s="373" t="str">
        <f t="shared" si="3"/>
        <v>60~80g/L
(70±10g/L)</v>
      </c>
      <c r="G7" s="894">
        <f t="shared" si="4"/>
        <v>72.8</v>
      </c>
      <c r="H7" s="894">
        <f t="shared" si="5"/>
        <v>0</v>
      </c>
      <c r="I7" s="899" t="str">
        <f t="shared" si="6"/>
        <v>kg</v>
      </c>
      <c r="J7" s="894">
        <f t="shared" si="7"/>
        <v>71.2</v>
      </c>
      <c r="K7" s="894">
        <f t="shared" si="8"/>
        <v>0</v>
      </c>
      <c r="L7" s="899" t="str">
        <f t="shared" si="9"/>
        <v>kg</v>
      </c>
      <c r="M7" s="894">
        <f t="shared" si="10"/>
        <v>71.599999999999994</v>
      </c>
      <c r="N7" s="894">
        <f t="shared" si="11"/>
        <v>0</v>
      </c>
      <c r="O7" s="899" t="str">
        <f t="shared" si="12"/>
        <v>kg</v>
      </c>
      <c r="P7" s="894">
        <f t="shared" si="13"/>
        <v>70.400000000000006</v>
      </c>
      <c r="Q7" s="894">
        <f t="shared" si="14"/>
        <v>0</v>
      </c>
      <c r="R7" s="899" t="str">
        <f t="shared" si="15"/>
        <v>kg</v>
      </c>
      <c r="S7" s="894">
        <f t="shared" si="16"/>
        <v>0</v>
      </c>
      <c r="T7" s="887">
        <f t="shared" si="17"/>
        <v>102.13</v>
      </c>
      <c r="U7" s="888" t="str">
        <f t="shared" si="18"/>
        <v>kg</v>
      </c>
      <c r="V7" s="894">
        <f t="shared" si="19"/>
        <v>70</v>
      </c>
      <c r="W7" s="887">
        <f t="shared" si="20"/>
        <v>0</v>
      </c>
      <c r="X7" s="888" t="str">
        <f t="shared" si="21"/>
        <v>kg</v>
      </c>
      <c r="Z7" s="374" t="b">
        <f t="shared" si="23"/>
        <v>1</v>
      </c>
      <c r="AA7" s="374" t="b">
        <f t="shared" si="24"/>
        <v>1</v>
      </c>
      <c r="AB7" s="374" t="b">
        <f t="shared" si="25"/>
        <v>1</v>
      </c>
      <c r="AC7" s="374" t="b">
        <f t="shared" si="26"/>
        <v>1</v>
      </c>
      <c r="AD7" s="374" t="b">
        <f t="shared" si="27"/>
        <v>1</v>
      </c>
      <c r="AE7" s="374" t="b">
        <f t="shared" si="28"/>
        <v>1</v>
      </c>
      <c r="AF7" s="374" t="b">
        <f t="shared" si="29"/>
        <v>1</v>
      </c>
      <c r="AG7" s="374" t="b">
        <f t="shared" si="30"/>
        <v>1</v>
      </c>
      <c r="AH7" s="374" t="b">
        <f t="shared" si="31"/>
        <v>1</v>
      </c>
      <c r="AI7" s="374" t="b">
        <f t="shared" si="32"/>
        <v>1</v>
      </c>
      <c r="AJ7" s="374" t="b">
        <f t="shared" si="33"/>
        <v>1</v>
      </c>
      <c r="AK7" s="374" t="b">
        <f t="shared" si="34"/>
        <v>1</v>
      </c>
      <c r="AL7" s="921" t="str">
        <f t="shared" si="35"/>
        <v/>
      </c>
      <c r="AM7" s="922" t="str">
        <f t="shared" si="36"/>
        <v/>
      </c>
      <c r="AN7" s="922" t="str">
        <f t="shared" si="37"/>
        <v/>
      </c>
      <c r="AO7" s="922" t="str">
        <f t="shared" si="38"/>
        <v/>
      </c>
      <c r="AP7" s="922" t="str">
        <f t="shared" si="39"/>
        <v/>
      </c>
      <c r="AQ7" s="922" t="str">
        <f t="shared" si="40"/>
        <v/>
      </c>
      <c r="AR7" s="922" t="str">
        <f t="shared" si="41"/>
        <v/>
      </c>
      <c r="AS7" s="922" t="str">
        <f t="shared" si="42"/>
        <v/>
      </c>
      <c r="AT7" s="922" t="str">
        <f t="shared" si="43"/>
        <v/>
      </c>
      <c r="AU7" s="922" t="str">
        <f t="shared" si="44"/>
        <v/>
      </c>
      <c r="AV7" s="922" t="str">
        <f t="shared" si="45"/>
        <v/>
      </c>
      <c r="AW7" s="926" t="str">
        <f t="shared" si="45"/>
        <v/>
      </c>
    </row>
    <row r="8" spans="1:49" s="374" customFormat="1">
      <c r="A8" s="906" t="str">
        <f t="shared" si="46"/>
        <v>2022/12/03</v>
      </c>
      <c r="B8" s="373" t="s">
        <v>281</v>
      </c>
      <c r="C8" s="373" t="str">
        <f t="shared" si="0"/>
        <v>Nồng độ    NaOH
氫氧化鈉</v>
      </c>
      <c r="D8" s="373" t="str">
        <f t="shared" si="1"/>
        <v>XL-001E</v>
      </c>
      <c r="E8" s="373" t="str">
        <f t="shared" si="2"/>
        <v>g/L</v>
      </c>
      <c r="F8" s="373" t="str">
        <f t="shared" si="3"/>
        <v>130 - 150g/L
(140±5g/L)</v>
      </c>
      <c r="G8" s="894">
        <f t="shared" si="4"/>
        <v>140</v>
      </c>
      <c r="H8" s="894">
        <f t="shared" si="5"/>
        <v>0</v>
      </c>
      <c r="I8" s="899" t="str">
        <f t="shared" si="6"/>
        <v>kg</v>
      </c>
      <c r="J8" s="894">
        <f t="shared" si="7"/>
        <v>139.19999999999999</v>
      </c>
      <c r="K8" s="894">
        <f t="shared" si="8"/>
        <v>15.960800000000226</v>
      </c>
      <c r="L8" s="899" t="str">
        <f t="shared" si="9"/>
        <v>kg</v>
      </c>
      <c r="M8" s="894">
        <f t="shared" si="10"/>
        <v>140.80000000000001</v>
      </c>
      <c r="N8" s="894">
        <f t="shared" si="11"/>
        <v>0</v>
      </c>
      <c r="O8" s="899" t="str">
        <f t="shared" si="12"/>
        <v>kg</v>
      </c>
      <c r="P8" s="894">
        <f t="shared" si="13"/>
        <v>140.80000000000001</v>
      </c>
      <c r="Q8" s="894">
        <f t="shared" si="14"/>
        <v>0</v>
      </c>
      <c r="R8" s="899" t="str">
        <f t="shared" si="15"/>
        <v>kg</v>
      </c>
      <c r="S8" s="894">
        <f t="shared" si="16"/>
        <v>0</v>
      </c>
      <c r="T8" s="887">
        <f t="shared" si="17"/>
        <v>2793.14</v>
      </c>
      <c r="U8" s="888" t="str">
        <f t="shared" si="18"/>
        <v>kg</v>
      </c>
      <c r="V8" s="894">
        <f t="shared" si="19"/>
        <v>138.4</v>
      </c>
      <c r="W8" s="887">
        <f t="shared" si="20"/>
        <v>31.921599999999884</v>
      </c>
      <c r="X8" s="888" t="str">
        <f t="shared" si="21"/>
        <v>kg</v>
      </c>
      <c r="Z8" s="374" t="b">
        <f t="shared" si="23"/>
        <v>1</v>
      </c>
      <c r="AA8" s="374" t="b">
        <f t="shared" si="24"/>
        <v>1</v>
      </c>
      <c r="AB8" s="374" t="b">
        <f t="shared" si="25"/>
        <v>1</v>
      </c>
      <c r="AC8" s="374" t="b">
        <f t="shared" si="26"/>
        <v>1</v>
      </c>
      <c r="AD8" s="374" t="b">
        <f t="shared" si="27"/>
        <v>1</v>
      </c>
      <c r="AE8" s="374" t="b">
        <f t="shared" si="28"/>
        <v>1</v>
      </c>
      <c r="AF8" s="374" t="b">
        <f t="shared" si="29"/>
        <v>1</v>
      </c>
      <c r="AG8" s="374" t="b">
        <f t="shared" si="30"/>
        <v>1</v>
      </c>
      <c r="AH8" s="374" t="b">
        <f t="shared" si="31"/>
        <v>1</v>
      </c>
      <c r="AI8" s="374" t="b">
        <f t="shared" si="32"/>
        <v>1</v>
      </c>
      <c r="AJ8" s="374" t="b">
        <f t="shared" si="33"/>
        <v>1</v>
      </c>
      <c r="AK8" s="374" t="b">
        <f t="shared" si="34"/>
        <v>1</v>
      </c>
      <c r="AL8" s="921" t="str">
        <f t="shared" si="35"/>
        <v/>
      </c>
      <c r="AM8" s="922" t="str">
        <f t="shared" si="36"/>
        <v/>
      </c>
      <c r="AN8" s="922" t="str">
        <f t="shared" si="37"/>
        <v/>
      </c>
      <c r="AO8" s="922" t="str">
        <f t="shared" si="38"/>
        <v/>
      </c>
      <c r="AP8" s="922" t="str">
        <f t="shared" si="39"/>
        <v/>
      </c>
      <c r="AQ8" s="922" t="str">
        <f t="shared" si="40"/>
        <v/>
      </c>
      <c r="AR8" s="922" t="str">
        <f t="shared" si="41"/>
        <v/>
      </c>
      <c r="AS8" s="922" t="str">
        <f t="shared" si="42"/>
        <v/>
      </c>
      <c r="AT8" s="922" t="str">
        <f t="shared" si="43"/>
        <v/>
      </c>
      <c r="AU8" s="922" t="str">
        <f t="shared" si="44"/>
        <v/>
      </c>
      <c r="AV8" s="922" t="str">
        <f t="shared" si="45"/>
        <v/>
      </c>
      <c r="AW8" s="926" t="str">
        <f t="shared" si="45"/>
        <v/>
      </c>
    </row>
    <row r="9" spans="1:49" s="374" customFormat="1">
      <c r="A9" s="906" t="str">
        <f t="shared" si="46"/>
        <v>2022/12/03</v>
      </c>
      <c r="B9" s="373" t="s">
        <v>282</v>
      </c>
      <c r="C9" s="373" t="str">
        <f t="shared" si="0"/>
        <v>Nồng độ Zn  鋅
(1 pcs Zn=25kg)</v>
      </c>
      <c r="D9" s="373" t="str">
        <f t="shared" si="1"/>
        <v>XL-001E</v>
      </c>
      <c r="E9" s="373" t="str">
        <f t="shared" si="2"/>
        <v>g/L</v>
      </c>
      <c r="F9" s="373" t="str">
        <f t="shared" si="3"/>
        <v>7-12g/l
(9g±1g/l)</v>
      </c>
      <c r="G9" s="894">
        <f t="shared" si="4"/>
        <v>10.01</v>
      </c>
      <c r="H9" s="894">
        <f t="shared" si="5"/>
        <v>0</v>
      </c>
      <c r="I9" s="899" t="str">
        <f t="shared" si="6"/>
        <v>kg</v>
      </c>
      <c r="J9" s="894">
        <f t="shared" si="7"/>
        <v>10.01</v>
      </c>
      <c r="K9" s="894">
        <f t="shared" si="8"/>
        <v>0</v>
      </c>
      <c r="L9" s="899" t="str">
        <f t="shared" si="9"/>
        <v>kg</v>
      </c>
      <c r="M9" s="894">
        <f t="shared" si="10"/>
        <v>9.75</v>
      </c>
      <c r="N9" s="894">
        <f t="shared" si="11"/>
        <v>0</v>
      </c>
      <c r="O9" s="899" t="str">
        <f t="shared" si="12"/>
        <v>kg</v>
      </c>
      <c r="P9" s="894">
        <f t="shared" si="13"/>
        <v>9.879999999999999</v>
      </c>
      <c r="Q9" s="894">
        <f t="shared" si="14"/>
        <v>0</v>
      </c>
      <c r="R9" s="899" t="str">
        <f t="shared" si="15"/>
        <v>kg</v>
      </c>
      <c r="S9" s="894">
        <f t="shared" si="16"/>
        <v>0</v>
      </c>
      <c r="T9" s="887">
        <f t="shared" si="17"/>
        <v>179.559</v>
      </c>
      <c r="U9" s="888" t="str">
        <f t="shared" si="18"/>
        <v>kg</v>
      </c>
      <c r="V9" s="894">
        <f t="shared" si="19"/>
        <v>9.75</v>
      </c>
      <c r="W9" s="887">
        <f t="shared" si="20"/>
        <v>0</v>
      </c>
      <c r="X9" s="888" t="str">
        <f t="shared" si="21"/>
        <v>kg</v>
      </c>
      <c r="Z9" s="374" t="b">
        <f t="shared" si="23"/>
        <v>1</v>
      </c>
      <c r="AA9" s="374" t="b">
        <f t="shared" si="24"/>
        <v>1</v>
      </c>
      <c r="AB9" s="374" t="b">
        <f t="shared" si="25"/>
        <v>1</v>
      </c>
      <c r="AC9" s="374" t="b">
        <f t="shared" si="26"/>
        <v>1</v>
      </c>
      <c r="AD9" s="374" t="b">
        <f t="shared" si="27"/>
        <v>1</v>
      </c>
      <c r="AE9" s="374" t="b">
        <f t="shared" si="28"/>
        <v>1</v>
      </c>
      <c r="AF9" s="374" t="b">
        <f t="shared" si="29"/>
        <v>1</v>
      </c>
      <c r="AG9" s="374" t="b">
        <f t="shared" si="30"/>
        <v>1</v>
      </c>
      <c r="AH9" s="374" t="b">
        <f t="shared" si="31"/>
        <v>1</v>
      </c>
      <c r="AI9" s="374" t="b">
        <f t="shared" si="32"/>
        <v>1</v>
      </c>
      <c r="AJ9" s="374" t="b">
        <f t="shared" si="33"/>
        <v>1</v>
      </c>
      <c r="AK9" s="374" t="b">
        <f t="shared" si="34"/>
        <v>1</v>
      </c>
      <c r="AL9" s="921" t="str">
        <f t="shared" si="35"/>
        <v/>
      </c>
      <c r="AM9" s="922" t="str">
        <f t="shared" si="36"/>
        <v/>
      </c>
      <c r="AN9" s="922" t="str">
        <f t="shared" si="37"/>
        <v/>
      </c>
      <c r="AO9" s="922" t="str">
        <f t="shared" si="38"/>
        <v/>
      </c>
      <c r="AP9" s="922" t="str">
        <f t="shared" si="39"/>
        <v/>
      </c>
      <c r="AQ9" s="922" t="str">
        <f t="shared" si="40"/>
        <v/>
      </c>
      <c r="AR9" s="922" t="str">
        <f t="shared" si="41"/>
        <v/>
      </c>
      <c r="AS9" s="922" t="str">
        <f t="shared" si="42"/>
        <v/>
      </c>
      <c r="AT9" s="922" t="str">
        <f t="shared" si="43"/>
        <v/>
      </c>
      <c r="AU9" s="922" t="str">
        <f t="shared" si="44"/>
        <v/>
      </c>
      <c r="AV9" s="922" t="str">
        <f t="shared" si="45"/>
        <v/>
      </c>
      <c r="AW9" s="926" t="str">
        <f t="shared" si="45"/>
        <v/>
      </c>
    </row>
    <row r="10" spans="1:49" s="374" customFormat="1">
      <c r="A10" s="906" t="str">
        <f t="shared" si="46"/>
        <v>2022/12/03</v>
      </c>
      <c r="B10" s="373" t="s">
        <v>288</v>
      </c>
      <c r="C10" s="373" t="str">
        <f t="shared" si="0"/>
        <v>Nồng độ Cr2O3
三價鉻</v>
      </c>
      <c r="D10" s="373" t="str">
        <f t="shared" si="1"/>
        <v>XL-001E</v>
      </c>
      <c r="E10" s="373" t="str">
        <f t="shared" si="2"/>
        <v>%</v>
      </c>
      <c r="F10" s="373" t="str">
        <f t="shared" si="3"/>
        <v>12~18 %
(14±2%)</v>
      </c>
      <c r="G10" s="894">
        <f t="shared" si="4"/>
        <v>13.669064748201439</v>
      </c>
      <c r="H10" s="894">
        <f t="shared" si="5"/>
        <v>1.902877697841725</v>
      </c>
      <c r="I10" s="899" t="str">
        <f t="shared" si="6"/>
        <v>L</v>
      </c>
      <c r="J10" s="894">
        <f t="shared" si="7"/>
        <v>14.388489208633093</v>
      </c>
      <c r="K10" s="894">
        <f t="shared" si="8"/>
        <v>0</v>
      </c>
      <c r="L10" s="899" t="str">
        <f t="shared" si="9"/>
        <v>L</v>
      </c>
      <c r="M10" s="894">
        <f t="shared" si="10"/>
        <v>15.25179856115108</v>
      </c>
      <c r="N10" s="894">
        <f t="shared" si="11"/>
        <v>0</v>
      </c>
      <c r="O10" s="899" t="str">
        <f t="shared" si="12"/>
        <v>L</v>
      </c>
      <c r="P10" s="894">
        <f t="shared" si="13"/>
        <v>11.654676258992804</v>
      </c>
      <c r="Q10" s="894">
        <f t="shared" si="14"/>
        <v>13.485611510791376</v>
      </c>
      <c r="R10" s="899" t="str">
        <f t="shared" si="15"/>
        <v>L</v>
      </c>
      <c r="S10" s="894">
        <f t="shared" si="16"/>
        <v>0</v>
      </c>
      <c r="T10" s="887">
        <f t="shared" si="17"/>
        <v>80.5</v>
      </c>
      <c r="U10" s="888" t="str">
        <f t="shared" si="18"/>
        <v>L</v>
      </c>
      <c r="V10" s="894">
        <f t="shared" si="19"/>
        <v>13.381294964028777</v>
      </c>
      <c r="W10" s="887">
        <f t="shared" si="20"/>
        <v>3.5575539568345307</v>
      </c>
      <c r="X10" s="888" t="str">
        <f t="shared" si="21"/>
        <v>L</v>
      </c>
      <c r="Z10" s="374" t="b">
        <f t="shared" si="23"/>
        <v>1</v>
      </c>
      <c r="AA10" s="374" t="b">
        <f t="shared" si="24"/>
        <v>1</v>
      </c>
      <c r="AB10" s="374" t="b">
        <f t="shared" si="25"/>
        <v>1</v>
      </c>
      <c r="AC10" s="374" t="b">
        <f t="shared" si="26"/>
        <v>1</v>
      </c>
      <c r="AD10" s="374" t="b">
        <f t="shared" si="27"/>
        <v>1</v>
      </c>
      <c r="AE10" s="374" t="b">
        <f t="shared" si="28"/>
        <v>1</v>
      </c>
      <c r="AF10" s="374" t="b">
        <f t="shared" si="29"/>
        <v>1</v>
      </c>
      <c r="AG10" s="374" t="b">
        <f t="shared" si="30"/>
        <v>1</v>
      </c>
      <c r="AH10" s="374" t="b">
        <f t="shared" si="31"/>
        <v>1</v>
      </c>
      <c r="AI10" s="374" t="b">
        <f t="shared" si="32"/>
        <v>1</v>
      </c>
      <c r="AJ10" s="374" t="b">
        <f t="shared" si="33"/>
        <v>1</v>
      </c>
      <c r="AK10" s="374" t="b">
        <f t="shared" si="34"/>
        <v>1</v>
      </c>
      <c r="AL10" s="921" t="str">
        <f t="shared" si="35"/>
        <v/>
      </c>
      <c r="AM10" s="922" t="str">
        <f t="shared" si="36"/>
        <v/>
      </c>
      <c r="AN10" s="922" t="str">
        <f t="shared" si="37"/>
        <v/>
      </c>
      <c r="AO10" s="922" t="str">
        <f t="shared" si="38"/>
        <v/>
      </c>
      <c r="AP10" s="922" t="str">
        <f t="shared" si="39"/>
        <v/>
      </c>
      <c r="AQ10" s="922" t="str">
        <f t="shared" si="40"/>
        <v/>
      </c>
      <c r="AR10" s="922" t="str">
        <f t="shared" si="41"/>
        <v/>
      </c>
      <c r="AS10" s="922" t="str">
        <f t="shared" si="42"/>
        <v/>
      </c>
      <c r="AT10" s="922" t="str">
        <f t="shared" si="43"/>
        <v/>
      </c>
      <c r="AU10" s="922" t="str">
        <f t="shared" si="44"/>
        <v/>
      </c>
      <c r="AV10" s="922" t="str">
        <f t="shared" si="45"/>
        <v/>
      </c>
      <c r="AW10" s="926" t="str">
        <f t="shared" si="45"/>
        <v/>
      </c>
    </row>
    <row r="11" spans="1:49" s="374" customFormat="1">
      <c r="A11" s="906" t="str">
        <f t="shared" si="46"/>
        <v>2022/12/03</v>
      </c>
      <c r="B11" s="373" t="s">
        <v>290</v>
      </c>
      <c r="C11" s="373" t="str">
        <f t="shared" si="0"/>
        <v>PH</v>
      </c>
      <c r="D11" s="373" t="str">
        <f t="shared" si="1"/>
        <v>XL-001E</v>
      </c>
      <c r="E11" s="373" t="str">
        <f t="shared" si="2"/>
        <v>pH</v>
      </c>
      <c r="F11" s="373" t="str">
        <f t="shared" si="3"/>
        <v>1.6~2.2(1.8±0.1 )</v>
      </c>
      <c r="G11" s="894">
        <f t="shared" si="4"/>
        <v>1.76</v>
      </c>
      <c r="H11" s="894">
        <f t="shared" si="5"/>
        <v>0</v>
      </c>
      <c r="I11" s="899">
        <f t="shared" si="6"/>
        <v>0</v>
      </c>
      <c r="J11" s="894">
        <f t="shared" si="7"/>
        <v>1.75</v>
      </c>
      <c r="K11" s="894">
        <f t="shared" si="8"/>
        <v>0</v>
      </c>
      <c r="L11" s="899">
        <f t="shared" si="9"/>
        <v>0</v>
      </c>
      <c r="M11" s="894">
        <f t="shared" si="10"/>
        <v>1.89</v>
      </c>
      <c r="N11" s="894">
        <f t="shared" si="11"/>
        <v>0</v>
      </c>
      <c r="O11" s="899">
        <f t="shared" si="12"/>
        <v>0</v>
      </c>
      <c r="P11" s="894">
        <f t="shared" si="13"/>
        <v>1.78</v>
      </c>
      <c r="Q11" s="894">
        <f t="shared" si="14"/>
        <v>0</v>
      </c>
      <c r="R11" s="899">
        <f t="shared" si="15"/>
        <v>0</v>
      </c>
      <c r="S11" s="894">
        <f t="shared" si="16"/>
        <v>0</v>
      </c>
      <c r="T11" s="887">
        <f t="shared" si="17"/>
        <v>0</v>
      </c>
      <c r="U11" s="888">
        <f t="shared" si="18"/>
        <v>0</v>
      </c>
      <c r="V11" s="894">
        <f t="shared" si="19"/>
        <v>1.8</v>
      </c>
      <c r="W11" s="887">
        <f t="shared" si="20"/>
        <v>0</v>
      </c>
      <c r="X11" s="888">
        <f t="shared" si="21"/>
        <v>0</v>
      </c>
      <c r="Z11" s="374" t="b">
        <f t="shared" si="23"/>
        <v>1</v>
      </c>
      <c r="AA11" s="374" t="b">
        <f t="shared" si="24"/>
        <v>1</v>
      </c>
      <c r="AB11" s="374" t="b">
        <f t="shared" si="25"/>
        <v>1</v>
      </c>
      <c r="AC11" s="374" t="b">
        <f t="shared" si="26"/>
        <v>1</v>
      </c>
      <c r="AD11" s="374" t="b">
        <f t="shared" si="27"/>
        <v>1</v>
      </c>
      <c r="AE11" s="374" t="b">
        <f t="shared" si="28"/>
        <v>1</v>
      </c>
      <c r="AF11" s="374" t="b">
        <f t="shared" si="29"/>
        <v>1</v>
      </c>
      <c r="AG11" s="374" t="b">
        <f t="shared" si="30"/>
        <v>1</v>
      </c>
      <c r="AH11" s="374" t="b">
        <f t="shared" si="31"/>
        <v>1</v>
      </c>
      <c r="AI11" s="374" t="b">
        <f t="shared" si="32"/>
        <v>1</v>
      </c>
      <c r="AJ11" s="374" t="b">
        <f t="shared" si="33"/>
        <v>1</v>
      </c>
      <c r="AK11" s="374" t="b">
        <f t="shared" si="34"/>
        <v>1</v>
      </c>
      <c r="AL11" s="921" t="str">
        <f t="shared" si="35"/>
        <v/>
      </c>
      <c r="AM11" s="922" t="str">
        <f t="shared" si="36"/>
        <v/>
      </c>
      <c r="AN11" s="922" t="str">
        <f t="shared" si="37"/>
        <v/>
      </c>
      <c r="AO11" s="922" t="str">
        <f t="shared" si="38"/>
        <v/>
      </c>
      <c r="AP11" s="922" t="str">
        <f t="shared" si="39"/>
        <v/>
      </c>
      <c r="AQ11" s="922" t="str">
        <f t="shared" si="40"/>
        <v/>
      </c>
      <c r="AR11" s="922" t="str">
        <f t="shared" si="41"/>
        <v/>
      </c>
      <c r="AS11" s="922" t="str">
        <f t="shared" si="42"/>
        <v/>
      </c>
      <c r="AT11" s="922" t="str">
        <f t="shared" si="43"/>
        <v/>
      </c>
      <c r="AU11" s="922" t="str">
        <f t="shared" si="44"/>
        <v/>
      </c>
      <c r="AV11" s="922" t="str">
        <f t="shared" si="45"/>
        <v/>
      </c>
      <c r="AW11" s="926" t="str">
        <f t="shared" si="45"/>
        <v/>
      </c>
    </row>
    <row r="12" spans="1:49" s="374" customFormat="1">
      <c r="A12" s="906" t="str">
        <f t="shared" si="46"/>
        <v>2022/12/03</v>
      </c>
      <c r="B12" s="373" t="s">
        <v>283</v>
      </c>
      <c r="C12" s="373" t="str">
        <f t="shared" si="0"/>
        <v>Nồng độ acid đặc
鹽酸 濃度</v>
      </c>
      <c r="D12" s="373" t="str">
        <f t="shared" si="1"/>
        <v>XL-001E</v>
      </c>
      <c r="E12" s="373" t="str">
        <f t="shared" si="2"/>
        <v>%V/V</v>
      </c>
      <c r="F12" s="373" t="str">
        <f t="shared" si="3"/>
        <v>30~60 %V/V
(45±5% V/V)</v>
      </c>
      <c r="G12" s="894">
        <f t="shared" si="4"/>
        <v>0.49046874999999995</v>
      </c>
      <c r="H12" s="894">
        <f t="shared" si="5"/>
        <v>0</v>
      </c>
      <c r="I12" s="899" t="str">
        <f t="shared" si="6"/>
        <v>L</v>
      </c>
      <c r="J12" s="894">
        <f t="shared" si="7"/>
        <v>0.45624999999999999</v>
      </c>
      <c r="K12" s="894">
        <f t="shared" si="8"/>
        <v>0</v>
      </c>
      <c r="L12" s="899" t="str">
        <f t="shared" si="9"/>
        <v>L</v>
      </c>
      <c r="M12" s="894">
        <f t="shared" si="10"/>
        <v>0.46765624999999994</v>
      </c>
      <c r="N12" s="894">
        <f t="shared" si="11"/>
        <v>0</v>
      </c>
      <c r="O12" s="899" t="str">
        <f t="shared" si="12"/>
        <v>L</v>
      </c>
      <c r="P12" s="894">
        <f t="shared" si="13"/>
        <v>0.45624999999999999</v>
      </c>
      <c r="Q12" s="894">
        <f t="shared" si="14"/>
        <v>0</v>
      </c>
      <c r="R12" s="899" t="str">
        <f t="shared" si="15"/>
        <v>L</v>
      </c>
      <c r="S12" s="894">
        <f t="shared" si="16"/>
        <v>0</v>
      </c>
      <c r="T12" s="887">
        <f t="shared" si="17"/>
        <v>954.9</v>
      </c>
      <c r="U12" s="888" t="str">
        <f t="shared" si="18"/>
        <v>L</v>
      </c>
      <c r="V12" s="894">
        <f t="shared" si="19"/>
        <v>0.44484374999999998</v>
      </c>
      <c r="W12" s="887">
        <f t="shared" si="20"/>
        <v>10.941562500000062</v>
      </c>
      <c r="X12" s="888" t="str">
        <f t="shared" si="21"/>
        <v>L</v>
      </c>
      <c r="Z12" s="374" t="b">
        <f t="shared" si="23"/>
        <v>1</v>
      </c>
      <c r="AA12" s="374" t="b">
        <f t="shared" si="24"/>
        <v>1</v>
      </c>
      <c r="AB12" s="374" t="b">
        <f t="shared" si="25"/>
        <v>1</v>
      </c>
      <c r="AC12" s="374" t="b">
        <f t="shared" si="26"/>
        <v>1</v>
      </c>
      <c r="AD12" s="374" t="b">
        <f t="shared" si="27"/>
        <v>1</v>
      </c>
      <c r="AE12" s="374" t="b">
        <f t="shared" si="28"/>
        <v>1</v>
      </c>
      <c r="AF12" s="374" t="b">
        <f t="shared" si="29"/>
        <v>1</v>
      </c>
      <c r="AG12" s="374" t="b">
        <f t="shared" si="30"/>
        <v>1</v>
      </c>
      <c r="AH12" s="374" t="b">
        <f t="shared" si="31"/>
        <v>1</v>
      </c>
      <c r="AI12" s="374" t="b">
        <f t="shared" si="32"/>
        <v>1</v>
      </c>
      <c r="AJ12" s="374" t="b">
        <f t="shared" si="33"/>
        <v>1</v>
      </c>
      <c r="AK12" s="374" t="b">
        <f t="shared" si="34"/>
        <v>1</v>
      </c>
      <c r="AL12" s="921" t="str">
        <f t="shared" si="35"/>
        <v/>
      </c>
      <c r="AM12" s="922" t="str">
        <f t="shared" si="36"/>
        <v/>
      </c>
      <c r="AN12" s="922" t="str">
        <f t="shared" si="37"/>
        <v/>
      </c>
      <c r="AO12" s="922" t="str">
        <f t="shared" si="38"/>
        <v/>
      </c>
      <c r="AP12" s="922" t="str">
        <f t="shared" si="39"/>
        <v/>
      </c>
      <c r="AQ12" s="922" t="str">
        <f t="shared" si="40"/>
        <v/>
      </c>
      <c r="AR12" s="922" t="str">
        <f t="shared" si="41"/>
        <v/>
      </c>
      <c r="AS12" s="922" t="str">
        <f t="shared" si="42"/>
        <v/>
      </c>
      <c r="AT12" s="922" t="str">
        <f t="shared" si="43"/>
        <v/>
      </c>
      <c r="AU12" s="922" t="str">
        <f t="shared" si="44"/>
        <v/>
      </c>
      <c r="AV12" s="922" t="str">
        <f t="shared" si="45"/>
        <v/>
      </c>
      <c r="AW12" s="926" t="str">
        <f t="shared" si="45"/>
        <v/>
      </c>
    </row>
    <row r="13" spans="1:49" s="374" customFormat="1">
      <c r="A13" s="906" t="str">
        <f t="shared" si="46"/>
        <v>2022/12/03</v>
      </c>
      <c r="B13" s="373" t="s">
        <v>284</v>
      </c>
      <c r="C13" s="373" t="str">
        <f t="shared" si="0"/>
        <v>Nồng độ acid loãng
稀酸 濃度</v>
      </c>
      <c r="D13" s="373" t="str">
        <f t="shared" si="1"/>
        <v>XL-001E</v>
      </c>
      <c r="E13" s="373" t="str">
        <f t="shared" si="2"/>
        <v>%V/V</v>
      </c>
      <c r="F13" s="373" t="str">
        <f t="shared" si="3"/>
        <v>15~30 %V/V
(22±5 V/V)</v>
      </c>
      <c r="G13" s="894">
        <f t="shared" si="4"/>
        <v>0.26234374999999999</v>
      </c>
      <c r="H13" s="894">
        <f t="shared" si="5"/>
        <v>0</v>
      </c>
      <c r="I13" s="899" t="str">
        <f t="shared" si="6"/>
        <v>L</v>
      </c>
      <c r="J13" s="894">
        <f t="shared" si="7"/>
        <v>0.28515625</v>
      </c>
      <c r="K13" s="894">
        <f t="shared" si="8"/>
        <v>0</v>
      </c>
      <c r="L13" s="899" t="str">
        <f t="shared" si="9"/>
        <v>L</v>
      </c>
      <c r="M13" s="894">
        <f t="shared" si="10"/>
        <v>0.29656250000000001</v>
      </c>
      <c r="N13" s="894">
        <f t="shared" si="11"/>
        <v>0</v>
      </c>
      <c r="O13" s="899" t="str">
        <f t="shared" si="12"/>
        <v>L</v>
      </c>
      <c r="P13" s="894">
        <f t="shared" si="13"/>
        <v>0.25093750000000004</v>
      </c>
      <c r="Q13" s="894">
        <f t="shared" si="14"/>
        <v>0</v>
      </c>
      <c r="R13" s="899" t="str">
        <f t="shared" si="15"/>
        <v>L</v>
      </c>
      <c r="S13" s="894">
        <f t="shared" si="16"/>
        <v>0</v>
      </c>
      <c r="T13" s="887">
        <f t="shared" si="17"/>
        <v>134.64000000000001</v>
      </c>
      <c r="U13" s="888" t="str">
        <f t="shared" si="18"/>
        <v>L</v>
      </c>
      <c r="V13" s="894">
        <f t="shared" si="19"/>
        <v>0.23953125000000003</v>
      </c>
      <c r="W13" s="887">
        <f t="shared" si="20"/>
        <v>0</v>
      </c>
      <c r="X13" s="888" t="str">
        <f t="shared" si="21"/>
        <v>L</v>
      </c>
      <c r="Z13" s="374" t="b">
        <f t="shared" si="23"/>
        <v>1</v>
      </c>
      <c r="AA13" s="374" t="b">
        <f t="shared" si="24"/>
        <v>1</v>
      </c>
      <c r="AB13" s="374" t="b">
        <f t="shared" si="25"/>
        <v>1</v>
      </c>
      <c r="AC13" s="374" t="b">
        <f t="shared" si="26"/>
        <v>1</v>
      </c>
      <c r="AD13" s="374" t="b">
        <f t="shared" si="27"/>
        <v>1</v>
      </c>
      <c r="AE13" s="374" t="b">
        <f t="shared" si="28"/>
        <v>1</v>
      </c>
      <c r="AF13" s="374" t="b">
        <f t="shared" si="29"/>
        <v>1</v>
      </c>
      <c r="AG13" s="374" t="b">
        <f t="shared" si="30"/>
        <v>1</v>
      </c>
      <c r="AH13" s="374" t="b">
        <f t="shared" si="31"/>
        <v>1</v>
      </c>
      <c r="AI13" s="374" t="b">
        <f t="shared" si="32"/>
        <v>1</v>
      </c>
      <c r="AJ13" s="374" t="b">
        <f t="shared" si="33"/>
        <v>1</v>
      </c>
      <c r="AK13" s="374" t="b">
        <f t="shared" si="34"/>
        <v>1</v>
      </c>
      <c r="AL13" s="921" t="str">
        <f t="shared" si="35"/>
        <v/>
      </c>
      <c r="AM13" s="922" t="str">
        <f t="shared" si="36"/>
        <v/>
      </c>
      <c r="AN13" s="922" t="str">
        <f t="shared" si="37"/>
        <v/>
      </c>
      <c r="AO13" s="922" t="str">
        <f t="shared" si="38"/>
        <v/>
      </c>
      <c r="AP13" s="922" t="str">
        <f t="shared" si="39"/>
        <v/>
      </c>
      <c r="AQ13" s="922" t="str">
        <f t="shared" si="40"/>
        <v/>
      </c>
      <c r="AR13" s="922" t="str">
        <f t="shared" si="41"/>
        <v/>
      </c>
      <c r="AS13" s="922" t="str">
        <f t="shared" si="42"/>
        <v/>
      </c>
      <c r="AT13" s="922" t="str">
        <f t="shared" si="43"/>
        <v/>
      </c>
      <c r="AU13" s="922" t="str">
        <f t="shared" si="44"/>
        <v/>
      </c>
      <c r="AV13" s="922" t="str">
        <f t="shared" si="45"/>
        <v/>
      </c>
      <c r="AW13" s="926" t="str">
        <f t="shared" si="45"/>
        <v/>
      </c>
    </row>
    <row r="14" spans="1:49" s="374" customFormat="1">
      <c r="A14" s="906" t="str">
        <f t="shared" si="46"/>
        <v>2022/12/03</v>
      </c>
      <c r="B14" s="373" t="s">
        <v>285</v>
      </c>
      <c r="C14" s="373" t="str">
        <f t="shared" si="0"/>
        <v>Nồng độ HCl hoạt hóa
稀酸活化 濃度</v>
      </c>
      <c r="D14" s="373" t="str">
        <f t="shared" si="1"/>
        <v>XL-001E</v>
      </c>
      <c r="E14" s="373" t="str">
        <f t="shared" si="2"/>
        <v>%V/V</v>
      </c>
      <c r="F14" s="373" t="str">
        <f t="shared" si="3"/>
        <v>5~15 %V/V
(10±3% V/V)</v>
      </c>
      <c r="G14" s="894">
        <f t="shared" si="4"/>
        <v>0.1140625</v>
      </c>
      <c r="H14" s="894">
        <f t="shared" si="5"/>
        <v>0</v>
      </c>
      <c r="I14" s="899" t="str">
        <f t="shared" si="6"/>
        <v>L</v>
      </c>
      <c r="J14" s="894">
        <f t="shared" si="7"/>
        <v>0.10493749999999999</v>
      </c>
      <c r="K14" s="894">
        <f t="shared" si="8"/>
        <v>0</v>
      </c>
      <c r="L14" s="899" t="str">
        <f t="shared" si="9"/>
        <v>L</v>
      </c>
      <c r="M14" s="894">
        <f t="shared" si="10"/>
        <v>9.3531249999999982E-2</v>
      </c>
      <c r="N14" s="894">
        <f t="shared" si="11"/>
        <v>3.7195312500000135</v>
      </c>
      <c r="O14" s="899" t="str">
        <f t="shared" si="12"/>
        <v>L</v>
      </c>
      <c r="P14" s="894">
        <f t="shared" si="13"/>
        <v>0.10265625</v>
      </c>
      <c r="Q14" s="894">
        <f t="shared" si="14"/>
        <v>0</v>
      </c>
      <c r="R14" s="899" t="str">
        <f t="shared" si="15"/>
        <v>L</v>
      </c>
      <c r="S14" s="894">
        <f t="shared" si="16"/>
        <v>0</v>
      </c>
      <c r="T14" s="887">
        <f t="shared" si="17"/>
        <v>57.5</v>
      </c>
      <c r="U14" s="888" t="str">
        <f t="shared" si="18"/>
        <v>L</v>
      </c>
      <c r="V14" s="894">
        <f t="shared" si="19"/>
        <v>9.5812500000000009E-2</v>
      </c>
      <c r="W14" s="887">
        <f t="shared" si="20"/>
        <v>2.4078124999999981</v>
      </c>
      <c r="X14" s="888" t="str">
        <f t="shared" si="21"/>
        <v>L</v>
      </c>
      <c r="Z14" s="374" t="b">
        <f t="shared" si="23"/>
        <v>1</v>
      </c>
      <c r="AA14" s="374" t="b">
        <f t="shared" si="24"/>
        <v>1</v>
      </c>
      <c r="AB14" s="374" t="b">
        <f t="shared" si="25"/>
        <v>1</v>
      </c>
      <c r="AC14" s="374" t="b">
        <f t="shared" si="26"/>
        <v>1</v>
      </c>
      <c r="AD14" s="374" t="b">
        <f t="shared" si="27"/>
        <v>1</v>
      </c>
      <c r="AE14" s="374" t="b">
        <f t="shared" si="28"/>
        <v>1</v>
      </c>
      <c r="AF14" s="374" t="b">
        <f t="shared" si="29"/>
        <v>1</v>
      </c>
      <c r="AG14" s="374" t="b">
        <f t="shared" si="30"/>
        <v>1</v>
      </c>
      <c r="AH14" s="374" t="b">
        <f t="shared" si="31"/>
        <v>1</v>
      </c>
      <c r="AI14" s="374" t="b">
        <f t="shared" si="32"/>
        <v>1</v>
      </c>
      <c r="AJ14" s="374" t="b">
        <f t="shared" si="33"/>
        <v>1</v>
      </c>
      <c r="AK14" s="374" t="b">
        <f t="shared" si="34"/>
        <v>1</v>
      </c>
      <c r="AL14" s="921" t="str">
        <f t="shared" si="35"/>
        <v/>
      </c>
      <c r="AM14" s="922" t="str">
        <f t="shared" si="36"/>
        <v/>
      </c>
      <c r="AN14" s="922" t="str">
        <f t="shared" si="37"/>
        <v/>
      </c>
      <c r="AO14" s="922" t="str">
        <f t="shared" si="38"/>
        <v/>
      </c>
      <c r="AP14" s="922" t="str">
        <f t="shared" si="39"/>
        <v/>
      </c>
      <c r="AQ14" s="922" t="str">
        <f t="shared" si="40"/>
        <v/>
      </c>
      <c r="AR14" s="922" t="str">
        <f t="shared" si="41"/>
        <v/>
      </c>
      <c r="AS14" s="922" t="str">
        <f t="shared" si="42"/>
        <v/>
      </c>
      <c r="AT14" s="922" t="str">
        <f t="shared" si="43"/>
        <v/>
      </c>
      <c r="AU14" s="922" t="str">
        <f t="shared" si="44"/>
        <v/>
      </c>
      <c r="AV14" s="922" t="str">
        <f t="shared" si="45"/>
        <v/>
      </c>
      <c r="AW14" s="926" t="str">
        <f t="shared" si="45"/>
        <v/>
      </c>
    </row>
    <row r="15" spans="1:49" s="374" customFormat="1">
      <c r="A15" s="906" t="str">
        <f t="shared" si="46"/>
        <v>2022/12/03</v>
      </c>
      <c r="B15" s="373" t="s">
        <v>286</v>
      </c>
      <c r="C15" s="373" t="str">
        <f t="shared" si="0"/>
        <v>Nồng độ  HNO3
硝酸濃度</v>
      </c>
      <c r="D15" s="373" t="str">
        <f t="shared" si="1"/>
        <v>XL-001E</v>
      </c>
      <c r="E15" s="373" t="str">
        <f t="shared" si="2"/>
        <v>%</v>
      </c>
      <c r="F15" s="373" t="str">
        <f t="shared" si="3"/>
        <v>0.5~1.5%
(1±0.4%)</v>
      </c>
      <c r="G15" s="894">
        <f t="shared" si="4"/>
        <v>1.1341800000000003E-2</v>
      </c>
      <c r="H15" s="894">
        <f t="shared" si="5"/>
        <v>0</v>
      </c>
      <c r="I15" s="899" t="str">
        <f t="shared" si="6"/>
        <v>L</v>
      </c>
      <c r="J15" s="894">
        <f t="shared" si="7"/>
        <v>1.0081600000000001E-2</v>
      </c>
      <c r="K15" s="894">
        <f t="shared" si="8"/>
        <v>0</v>
      </c>
      <c r="L15" s="899" t="str">
        <f t="shared" si="9"/>
        <v>L</v>
      </c>
      <c r="M15" s="894">
        <f t="shared" si="10"/>
        <v>1.1341800000000003E-2</v>
      </c>
      <c r="N15" s="894">
        <f t="shared" si="11"/>
        <v>0</v>
      </c>
      <c r="O15" s="899" t="str">
        <f t="shared" si="12"/>
        <v>L</v>
      </c>
      <c r="P15" s="894">
        <f t="shared" si="13"/>
        <v>1.2602E-2</v>
      </c>
      <c r="Q15" s="894">
        <f t="shared" si="14"/>
        <v>0</v>
      </c>
      <c r="R15" s="899" t="str">
        <f t="shared" si="15"/>
        <v>L</v>
      </c>
      <c r="S15" s="894">
        <f t="shared" si="16"/>
        <v>0</v>
      </c>
      <c r="T15" s="887">
        <f t="shared" si="17"/>
        <v>8.1538461538461533</v>
      </c>
      <c r="U15" s="888" t="str">
        <f t="shared" si="18"/>
        <v>L</v>
      </c>
      <c r="V15" s="894">
        <f t="shared" si="19"/>
        <v>1.234996E-2</v>
      </c>
      <c r="W15" s="887">
        <f t="shared" si="20"/>
        <v>0</v>
      </c>
      <c r="X15" s="888" t="str">
        <f t="shared" si="21"/>
        <v>L</v>
      </c>
      <c r="Z15" s="374" t="b">
        <f t="shared" si="23"/>
        <v>1</v>
      </c>
      <c r="AA15" s="374" t="b">
        <f t="shared" si="24"/>
        <v>1</v>
      </c>
      <c r="AB15" s="374" t="b">
        <f t="shared" si="25"/>
        <v>1</v>
      </c>
      <c r="AC15" s="374" t="b">
        <f t="shared" si="26"/>
        <v>1</v>
      </c>
      <c r="AD15" s="374" t="b">
        <f t="shared" si="27"/>
        <v>1</v>
      </c>
      <c r="AE15" s="374" t="b">
        <f t="shared" si="28"/>
        <v>1</v>
      </c>
      <c r="AF15" s="374" t="b">
        <f t="shared" si="29"/>
        <v>1</v>
      </c>
      <c r="AG15" s="374" t="b">
        <f t="shared" si="30"/>
        <v>1</v>
      </c>
      <c r="AH15" s="374" t="b">
        <f t="shared" si="31"/>
        <v>1</v>
      </c>
      <c r="AI15" s="374" t="b">
        <f t="shared" si="32"/>
        <v>1</v>
      </c>
      <c r="AJ15" s="374" t="b">
        <f t="shared" si="33"/>
        <v>1</v>
      </c>
      <c r="AK15" s="374" t="b">
        <f t="shared" si="34"/>
        <v>1</v>
      </c>
      <c r="AL15" s="921" t="str">
        <f t="shared" si="35"/>
        <v/>
      </c>
      <c r="AM15" s="922" t="str">
        <f t="shared" si="36"/>
        <v/>
      </c>
      <c r="AN15" s="922" t="str">
        <f t="shared" si="37"/>
        <v/>
      </c>
      <c r="AO15" s="922" t="str">
        <f t="shared" si="38"/>
        <v/>
      </c>
      <c r="AP15" s="922" t="str">
        <f t="shared" si="39"/>
        <v/>
      </c>
      <c r="AQ15" s="922" t="str">
        <f t="shared" si="40"/>
        <v/>
      </c>
      <c r="AR15" s="922" t="str">
        <f t="shared" si="41"/>
        <v/>
      </c>
      <c r="AS15" s="922" t="str">
        <f t="shared" si="42"/>
        <v/>
      </c>
      <c r="AT15" s="922" t="str">
        <f t="shared" si="43"/>
        <v/>
      </c>
      <c r="AU15" s="922" t="str">
        <f t="shared" si="44"/>
        <v/>
      </c>
      <c r="AV15" s="922" t="str">
        <f t="shared" si="45"/>
        <v/>
      </c>
      <c r="AW15" s="926" t="str">
        <f t="shared" si="45"/>
        <v/>
      </c>
    </row>
    <row r="16" spans="1:49" s="374" customFormat="1">
      <c r="A16" s="906" t="str">
        <f t="shared" si="46"/>
        <v>2022/12/03</v>
      </c>
      <c r="B16" s="373" t="s">
        <v>298</v>
      </c>
      <c r="C16" s="373" t="str">
        <f t="shared" si="0"/>
        <v>chất mềm (merlin starer)
開缸劑</v>
      </c>
      <c r="D16" s="373" t="str">
        <f t="shared" si="1"/>
        <v>XL-001E</v>
      </c>
      <c r="E16" s="373" t="str">
        <f t="shared" si="2"/>
        <v>ml/KAH</v>
      </c>
      <c r="F16" s="373" t="str">
        <f t="shared" si="3"/>
        <v>300-360</v>
      </c>
      <c r="G16" s="894">
        <f t="shared" si="4"/>
        <v>350</v>
      </c>
      <c r="H16" s="894">
        <f t="shared" si="5"/>
        <v>0</v>
      </c>
      <c r="I16" s="899">
        <f t="shared" si="6"/>
        <v>0</v>
      </c>
      <c r="J16" s="894">
        <f t="shared" si="7"/>
        <v>345</v>
      </c>
      <c r="K16" s="894">
        <f t="shared" si="8"/>
        <v>0</v>
      </c>
      <c r="L16" s="899">
        <f t="shared" si="9"/>
        <v>0</v>
      </c>
      <c r="M16" s="894">
        <f t="shared" si="10"/>
        <v>330</v>
      </c>
      <c r="N16" s="894">
        <f t="shared" si="11"/>
        <v>0</v>
      </c>
      <c r="O16" s="899">
        <f t="shared" si="12"/>
        <v>0</v>
      </c>
      <c r="P16" s="894">
        <f t="shared" si="13"/>
        <v>335</v>
      </c>
      <c r="Q16" s="894">
        <f t="shared" si="14"/>
        <v>0</v>
      </c>
      <c r="R16" s="899">
        <f t="shared" si="15"/>
        <v>0</v>
      </c>
      <c r="S16" s="894">
        <f t="shared" si="16"/>
        <v>0</v>
      </c>
      <c r="T16" s="887">
        <f t="shared" si="17"/>
        <v>0</v>
      </c>
      <c r="U16" s="888">
        <f t="shared" si="18"/>
        <v>0</v>
      </c>
      <c r="V16" s="894">
        <f t="shared" si="19"/>
        <v>340</v>
      </c>
      <c r="W16" s="887">
        <f t="shared" si="20"/>
        <v>0</v>
      </c>
      <c r="X16" s="888">
        <f t="shared" si="21"/>
        <v>0</v>
      </c>
      <c r="Z16" s="374" t="b">
        <f t="shared" si="23"/>
        <v>1</v>
      </c>
      <c r="AA16" s="374" t="b">
        <f t="shared" si="24"/>
        <v>1</v>
      </c>
      <c r="AB16" s="374" t="b">
        <f t="shared" si="25"/>
        <v>1</v>
      </c>
      <c r="AC16" s="374" t="b">
        <f t="shared" si="26"/>
        <v>1</v>
      </c>
      <c r="AD16" s="374" t="b">
        <f t="shared" si="27"/>
        <v>1</v>
      </c>
      <c r="AE16" s="374" t="b">
        <f t="shared" si="28"/>
        <v>1</v>
      </c>
      <c r="AF16" s="374" t="b">
        <f t="shared" si="29"/>
        <v>1</v>
      </c>
      <c r="AG16" s="374" t="b">
        <f t="shared" si="30"/>
        <v>1</v>
      </c>
      <c r="AH16" s="374" t="b">
        <f t="shared" si="31"/>
        <v>1</v>
      </c>
      <c r="AI16" s="374" t="b">
        <f t="shared" si="32"/>
        <v>1</v>
      </c>
      <c r="AJ16" s="374" t="b">
        <f t="shared" si="33"/>
        <v>1</v>
      </c>
      <c r="AK16" s="374" t="b">
        <f t="shared" si="34"/>
        <v>1</v>
      </c>
      <c r="AL16" s="921" t="str">
        <f t="shared" si="35"/>
        <v/>
      </c>
      <c r="AM16" s="922" t="str">
        <f t="shared" si="36"/>
        <v/>
      </c>
      <c r="AN16" s="922" t="str">
        <f t="shared" si="37"/>
        <v/>
      </c>
      <c r="AO16" s="922" t="str">
        <f t="shared" si="38"/>
        <v/>
      </c>
      <c r="AP16" s="922" t="str">
        <f t="shared" si="39"/>
        <v/>
      </c>
      <c r="AQ16" s="922" t="str">
        <f t="shared" si="40"/>
        <v/>
      </c>
      <c r="AR16" s="922" t="str">
        <f t="shared" si="41"/>
        <v/>
      </c>
      <c r="AS16" s="922" t="str">
        <f t="shared" si="42"/>
        <v/>
      </c>
      <c r="AT16" s="922" t="str">
        <f t="shared" si="43"/>
        <v/>
      </c>
      <c r="AU16" s="922" t="str">
        <f t="shared" si="44"/>
        <v/>
      </c>
      <c r="AV16" s="922" t="str">
        <f t="shared" si="45"/>
        <v/>
      </c>
      <c r="AW16" s="926" t="str">
        <f t="shared" si="45"/>
        <v/>
      </c>
    </row>
    <row r="17" spans="1:49" s="374" customFormat="1">
      <c r="A17" s="906" t="str">
        <f t="shared" si="46"/>
        <v>2022/12/03</v>
      </c>
      <c r="B17" s="373" t="s">
        <v>299</v>
      </c>
      <c r="C17" s="373" t="str">
        <f t="shared" si="0"/>
        <v>chaát boùng (merlin brightener)
光亮劑</v>
      </c>
      <c r="D17" s="373" t="str">
        <f t="shared" si="1"/>
        <v>XL-001E</v>
      </c>
      <c r="E17" s="373" t="str">
        <f t="shared" si="2"/>
        <v>ml/KAH</v>
      </c>
      <c r="F17" s="373" t="str">
        <f t="shared" si="3"/>
        <v>30-50</v>
      </c>
      <c r="G17" s="894">
        <f t="shared" si="4"/>
        <v>44</v>
      </c>
      <c r="H17" s="894">
        <f t="shared" si="5"/>
        <v>0</v>
      </c>
      <c r="I17" s="899">
        <f t="shared" si="6"/>
        <v>0</v>
      </c>
      <c r="J17" s="894">
        <f t="shared" si="7"/>
        <v>42</v>
      </c>
      <c r="K17" s="894">
        <f t="shared" si="8"/>
        <v>0</v>
      </c>
      <c r="L17" s="899">
        <f t="shared" si="9"/>
        <v>0</v>
      </c>
      <c r="M17" s="894">
        <f t="shared" si="10"/>
        <v>42</v>
      </c>
      <c r="N17" s="894">
        <f t="shared" si="11"/>
        <v>0</v>
      </c>
      <c r="O17" s="899">
        <f t="shared" si="12"/>
        <v>0</v>
      </c>
      <c r="P17" s="894">
        <f t="shared" si="13"/>
        <v>40</v>
      </c>
      <c r="Q17" s="894">
        <f t="shared" si="14"/>
        <v>0</v>
      </c>
      <c r="R17" s="899">
        <f t="shared" si="15"/>
        <v>0</v>
      </c>
      <c r="S17" s="894">
        <f t="shared" si="16"/>
        <v>0</v>
      </c>
      <c r="T17" s="887">
        <f t="shared" si="17"/>
        <v>0</v>
      </c>
      <c r="U17" s="888">
        <f t="shared" si="18"/>
        <v>0</v>
      </c>
      <c r="V17" s="894">
        <f t="shared" si="19"/>
        <v>42</v>
      </c>
      <c r="W17" s="887">
        <f t="shared" si="20"/>
        <v>0</v>
      </c>
      <c r="X17" s="888">
        <f t="shared" si="21"/>
        <v>0</v>
      </c>
      <c r="Z17" s="374" t="b">
        <f t="shared" si="23"/>
        <v>1</v>
      </c>
      <c r="AA17" s="374" t="b">
        <f t="shared" si="24"/>
        <v>1</v>
      </c>
      <c r="AB17" s="374" t="b">
        <f t="shared" si="25"/>
        <v>1</v>
      </c>
      <c r="AC17" s="374" t="b">
        <f t="shared" si="26"/>
        <v>1</v>
      </c>
      <c r="AD17" s="374" t="b">
        <f t="shared" si="27"/>
        <v>1</v>
      </c>
      <c r="AE17" s="374" t="b">
        <f t="shared" si="28"/>
        <v>1</v>
      </c>
      <c r="AF17" s="374" t="b">
        <f t="shared" si="29"/>
        <v>1</v>
      </c>
      <c r="AG17" s="374" t="b">
        <f t="shared" si="30"/>
        <v>1</v>
      </c>
      <c r="AH17" s="374" t="b">
        <f t="shared" si="31"/>
        <v>1</v>
      </c>
      <c r="AI17" s="374" t="b">
        <f t="shared" si="32"/>
        <v>1</v>
      </c>
      <c r="AJ17" s="374" t="b">
        <f t="shared" si="33"/>
        <v>1</v>
      </c>
      <c r="AK17" s="374" t="b">
        <f t="shared" si="34"/>
        <v>1</v>
      </c>
      <c r="AL17" s="921" t="str">
        <f t="shared" si="35"/>
        <v/>
      </c>
      <c r="AM17" s="922" t="str">
        <f t="shared" si="36"/>
        <v/>
      </c>
      <c r="AN17" s="922" t="str">
        <f t="shared" si="37"/>
        <v/>
      </c>
      <c r="AO17" s="922" t="str">
        <f t="shared" si="38"/>
        <v/>
      </c>
      <c r="AP17" s="922" t="str">
        <f t="shared" si="39"/>
        <v/>
      </c>
      <c r="AQ17" s="922" t="str">
        <f t="shared" si="40"/>
        <v/>
      </c>
      <c r="AR17" s="922" t="str">
        <f t="shared" si="41"/>
        <v/>
      </c>
      <c r="AS17" s="922" t="str">
        <f t="shared" si="42"/>
        <v/>
      </c>
      <c r="AT17" s="922" t="str">
        <f t="shared" si="43"/>
        <v/>
      </c>
      <c r="AU17" s="922" t="str">
        <f t="shared" si="44"/>
        <v/>
      </c>
      <c r="AV17" s="922" t="str">
        <f t="shared" si="45"/>
        <v/>
      </c>
      <c r="AW17" s="926" t="str">
        <f t="shared" si="45"/>
        <v/>
      </c>
    </row>
    <row r="18" spans="1:49" s="374" customFormat="1">
      <c r="A18" s="906" t="str">
        <f t="shared" si="46"/>
        <v>2022/12/03</v>
      </c>
      <c r="B18" s="373" t="s">
        <v>300</v>
      </c>
      <c r="C18" s="373" t="str">
        <f t="shared" si="0"/>
        <v xml:space="preserve">Xà bông (1)脫脂 </v>
      </c>
      <c r="D18" s="373" t="str">
        <f t="shared" si="1"/>
        <v>XL-001F</v>
      </c>
      <c r="E18" s="373" t="str">
        <f t="shared" si="2"/>
        <v>g/L</v>
      </c>
      <c r="F18" s="373" t="str">
        <f t="shared" si="3"/>
        <v>60~80g/L
(70±5g/L)</v>
      </c>
      <c r="G18" s="894">
        <f t="shared" si="4"/>
        <v>72.039000000000001</v>
      </c>
      <c r="H18" s="894">
        <f t="shared" si="5"/>
        <v>0</v>
      </c>
      <c r="I18" s="899" t="str">
        <f t="shared" si="6"/>
        <v>kg</v>
      </c>
      <c r="J18" s="894">
        <f t="shared" si="7"/>
        <v>70.741</v>
      </c>
      <c r="K18" s="894">
        <f t="shared" si="8"/>
        <v>0</v>
      </c>
      <c r="L18" s="899" t="str">
        <f t="shared" si="9"/>
        <v>kg</v>
      </c>
      <c r="M18" s="894">
        <f t="shared" si="10"/>
        <v>73.337000000000003</v>
      </c>
      <c r="N18" s="894">
        <f t="shared" si="11"/>
        <v>0</v>
      </c>
      <c r="O18" s="899" t="str">
        <f t="shared" si="12"/>
        <v>kg</v>
      </c>
      <c r="P18" s="894">
        <f t="shared" si="13"/>
        <v>72.039000000000001</v>
      </c>
      <c r="Q18" s="894">
        <f t="shared" si="14"/>
        <v>0</v>
      </c>
      <c r="R18" s="899" t="str">
        <f t="shared" si="15"/>
        <v>kg</v>
      </c>
      <c r="S18" s="894">
        <f t="shared" si="16"/>
        <v>0</v>
      </c>
      <c r="T18" s="887">
        <f t="shared" si="17"/>
        <v>188.51</v>
      </c>
      <c r="U18" s="888" t="str">
        <f t="shared" si="18"/>
        <v>kg</v>
      </c>
      <c r="V18" s="894">
        <f t="shared" si="19"/>
        <v>71.39</v>
      </c>
      <c r="W18" s="887">
        <f t="shared" si="20"/>
        <v>0</v>
      </c>
      <c r="X18" s="888" t="str">
        <f t="shared" si="21"/>
        <v>kg</v>
      </c>
      <c r="Z18" s="374" t="b">
        <f t="shared" si="23"/>
        <v>1</v>
      </c>
      <c r="AA18" s="374" t="b">
        <f t="shared" si="24"/>
        <v>1</v>
      </c>
      <c r="AB18" s="374" t="b">
        <f t="shared" si="25"/>
        <v>1</v>
      </c>
      <c r="AC18" s="374" t="b">
        <f t="shared" si="26"/>
        <v>1</v>
      </c>
      <c r="AD18" s="374" t="b">
        <f t="shared" si="27"/>
        <v>1</v>
      </c>
      <c r="AE18" s="374" t="b">
        <f t="shared" si="28"/>
        <v>1</v>
      </c>
      <c r="AF18" s="374" t="b">
        <f t="shared" si="29"/>
        <v>1</v>
      </c>
      <c r="AG18" s="374" t="b">
        <f t="shared" si="30"/>
        <v>1</v>
      </c>
      <c r="AH18" s="374" t="b">
        <f t="shared" si="31"/>
        <v>1</v>
      </c>
      <c r="AI18" s="374" t="b">
        <f t="shared" si="32"/>
        <v>1</v>
      </c>
      <c r="AJ18" s="374" t="b">
        <f t="shared" si="33"/>
        <v>1</v>
      </c>
      <c r="AK18" s="374" t="b">
        <f t="shared" si="34"/>
        <v>1</v>
      </c>
      <c r="AL18" s="921" t="str">
        <f t="shared" si="35"/>
        <v/>
      </c>
      <c r="AM18" s="922" t="str">
        <f t="shared" si="36"/>
        <v/>
      </c>
      <c r="AN18" s="922" t="str">
        <f t="shared" si="37"/>
        <v/>
      </c>
      <c r="AO18" s="922" t="str">
        <f t="shared" si="38"/>
        <v/>
      </c>
      <c r="AP18" s="922" t="str">
        <f t="shared" si="39"/>
        <v/>
      </c>
      <c r="AQ18" s="922" t="str">
        <f t="shared" si="40"/>
        <v/>
      </c>
      <c r="AR18" s="922" t="str">
        <f t="shared" si="41"/>
        <v/>
      </c>
      <c r="AS18" s="922" t="str">
        <f t="shared" si="42"/>
        <v/>
      </c>
      <c r="AT18" s="922" t="str">
        <f t="shared" si="43"/>
        <v/>
      </c>
      <c r="AU18" s="922" t="str">
        <f t="shared" si="44"/>
        <v/>
      </c>
      <c r="AV18" s="922" t="str">
        <f t="shared" si="45"/>
        <v/>
      </c>
      <c r="AW18" s="926" t="str">
        <f t="shared" si="45"/>
        <v/>
      </c>
    </row>
    <row r="19" spans="1:49" s="374" customFormat="1">
      <c r="A19" s="906" t="str">
        <f t="shared" si="46"/>
        <v>2022/12/03</v>
      </c>
      <c r="B19" s="373" t="s">
        <v>301</v>
      </c>
      <c r="C19" s="373" t="str">
        <f t="shared" si="0"/>
        <v xml:space="preserve">Xà bông (2)脫脂 </v>
      </c>
      <c r="D19" s="373" t="str">
        <f t="shared" si="1"/>
        <v>XL-001F</v>
      </c>
      <c r="E19" s="373" t="str">
        <f t="shared" si="2"/>
        <v>g/L</v>
      </c>
      <c r="F19" s="373" t="str">
        <f t="shared" si="3"/>
        <v>60~80g/L
(70±5g/L)</v>
      </c>
      <c r="G19" s="894">
        <f t="shared" si="4"/>
        <v>79.177999999999997</v>
      </c>
      <c r="H19" s="894">
        <f t="shared" si="5"/>
        <v>0</v>
      </c>
      <c r="I19" s="899" t="str">
        <f t="shared" si="6"/>
        <v>kg</v>
      </c>
      <c r="J19" s="894">
        <f t="shared" si="7"/>
        <v>79.177999999999997</v>
      </c>
      <c r="K19" s="894">
        <f t="shared" si="8"/>
        <v>0</v>
      </c>
      <c r="L19" s="899" t="str">
        <f t="shared" si="9"/>
        <v>kg</v>
      </c>
      <c r="M19" s="894">
        <f t="shared" si="10"/>
        <v>79.827000000000012</v>
      </c>
      <c r="N19" s="894">
        <f t="shared" si="11"/>
        <v>0</v>
      </c>
      <c r="O19" s="899" t="str">
        <f t="shared" si="12"/>
        <v>kg</v>
      </c>
      <c r="P19" s="894">
        <f t="shared" si="13"/>
        <v>81.125</v>
      </c>
      <c r="Q19" s="894">
        <f t="shared" si="14"/>
        <v>0</v>
      </c>
      <c r="R19" s="899" t="str">
        <f t="shared" si="15"/>
        <v>kg</v>
      </c>
      <c r="S19" s="894">
        <f t="shared" si="16"/>
        <v>0</v>
      </c>
      <c r="T19" s="887">
        <f t="shared" si="17"/>
        <v>231.35</v>
      </c>
      <c r="U19" s="888" t="str">
        <f t="shared" si="18"/>
        <v>kg</v>
      </c>
      <c r="V19" s="894">
        <f t="shared" si="19"/>
        <v>80.475999999999999</v>
      </c>
      <c r="W19" s="887">
        <f t="shared" si="20"/>
        <v>0</v>
      </c>
      <c r="X19" s="888" t="str">
        <f t="shared" si="21"/>
        <v>kg</v>
      </c>
      <c r="Z19" s="374" t="b">
        <f t="shared" si="23"/>
        <v>1</v>
      </c>
      <c r="AA19" s="374" t="b">
        <f t="shared" si="24"/>
        <v>1</v>
      </c>
      <c r="AB19" s="374" t="b">
        <f t="shared" si="25"/>
        <v>1</v>
      </c>
      <c r="AC19" s="374" t="b">
        <f t="shared" si="26"/>
        <v>1</v>
      </c>
      <c r="AD19" s="374" t="b">
        <f t="shared" si="27"/>
        <v>1</v>
      </c>
      <c r="AE19" s="374" t="b">
        <f t="shared" si="28"/>
        <v>1</v>
      </c>
      <c r="AF19" s="374" t="b">
        <f t="shared" si="29"/>
        <v>1</v>
      </c>
      <c r="AG19" s="374" t="b">
        <f t="shared" si="30"/>
        <v>1</v>
      </c>
      <c r="AH19" s="374" t="b">
        <f t="shared" si="31"/>
        <v>1</v>
      </c>
      <c r="AI19" s="374" t="b">
        <f t="shared" si="32"/>
        <v>1</v>
      </c>
      <c r="AJ19" s="374" t="b">
        <f t="shared" si="33"/>
        <v>1</v>
      </c>
      <c r="AK19" s="374" t="b">
        <f t="shared" si="34"/>
        <v>1</v>
      </c>
      <c r="AL19" s="921" t="str">
        <f t="shared" si="35"/>
        <v/>
      </c>
      <c r="AM19" s="922" t="str">
        <f t="shared" si="36"/>
        <v/>
      </c>
      <c r="AN19" s="922" t="str">
        <f t="shared" si="37"/>
        <v/>
      </c>
      <c r="AO19" s="922" t="str">
        <f t="shared" si="38"/>
        <v/>
      </c>
      <c r="AP19" s="922" t="str">
        <f t="shared" si="39"/>
        <v/>
      </c>
      <c r="AQ19" s="922" t="str">
        <f t="shared" si="40"/>
        <v/>
      </c>
      <c r="AR19" s="922" t="str">
        <f t="shared" si="41"/>
        <v/>
      </c>
      <c r="AS19" s="922" t="str">
        <f t="shared" si="42"/>
        <v/>
      </c>
      <c r="AT19" s="922" t="str">
        <f t="shared" si="43"/>
        <v/>
      </c>
      <c r="AU19" s="922" t="str">
        <f t="shared" si="44"/>
        <v/>
      </c>
      <c r="AV19" s="922" t="str">
        <f t="shared" si="45"/>
        <v/>
      </c>
      <c r="AW19" s="926" t="str">
        <f t="shared" si="45"/>
        <v/>
      </c>
    </row>
    <row r="20" spans="1:49" s="374" customFormat="1">
      <c r="A20" s="906" t="str">
        <f t="shared" si="46"/>
        <v>2022/12/03</v>
      </c>
      <c r="B20" s="373" t="s">
        <v>302</v>
      </c>
      <c r="C20" s="373" t="str">
        <f t="shared" si="0"/>
        <v xml:space="preserve">điện giải(1)+電解  </v>
      </c>
      <c r="D20" s="373" t="str">
        <f t="shared" si="1"/>
        <v>XL-001F</v>
      </c>
      <c r="E20" s="373" t="str">
        <f t="shared" si="2"/>
        <v>g/L</v>
      </c>
      <c r="F20" s="373" t="str">
        <f t="shared" si="3"/>
        <v>50~70g/L
(60±5g/L)</v>
      </c>
      <c r="G20" s="894">
        <f t="shared" si="4"/>
        <v>51.744</v>
      </c>
      <c r="H20" s="894">
        <f t="shared" si="5"/>
        <v>9.5439360000000004</v>
      </c>
      <c r="I20" s="899" t="str">
        <f t="shared" si="6"/>
        <v>kg</v>
      </c>
      <c r="J20" s="894">
        <f t="shared" si="7"/>
        <v>53.591999999999999</v>
      </c>
      <c r="K20" s="894">
        <f t="shared" si="8"/>
        <v>7.4076480000000009</v>
      </c>
      <c r="L20" s="899" t="str">
        <f t="shared" si="9"/>
        <v>kg</v>
      </c>
      <c r="M20" s="894">
        <f t="shared" si="10"/>
        <v>55.902000000000001</v>
      </c>
      <c r="N20" s="894">
        <f t="shared" si="11"/>
        <v>4.7372879999999986</v>
      </c>
      <c r="O20" s="899" t="str">
        <f t="shared" si="12"/>
        <v>kg</v>
      </c>
      <c r="P20" s="894">
        <f t="shared" si="13"/>
        <v>62.370000000000005</v>
      </c>
      <c r="Q20" s="894">
        <f t="shared" si="14"/>
        <v>0</v>
      </c>
      <c r="R20" s="899" t="str">
        <f t="shared" si="15"/>
        <v>kg</v>
      </c>
      <c r="S20" s="894">
        <f t="shared" si="16"/>
        <v>0</v>
      </c>
      <c r="T20" s="887">
        <f t="shared" si="17"/>
        <v>69.36</v>
      </c>
      <c r="U20" s="888" t="str">
        <f t="shared" si="18"/>
        <v>kg</v>
      </c>
      <c r="V20" s="894">
        <f t="shared" si="19"/>
        <v>60.983999999999995</v>
      </c>
      <c r="W20" s="887">
        <f t="shared" si="20"/>
        <v>0</v>
      </c>
      <c r="X20" s="888" t="str">
        <f t="shared" si="21"/>
        <v>kg</v>
      </c>
      <c r="Z20" s="374" t="b">
        <f t="shared" si="23"/>
        <v>1</v>
      </c>
      <c r="AA20" s="374" t="b">
        <f t="shared" si="24"/>
        <v>1</v>
      </c>
      <c r="AB20" s="374" t="b">
        <f t="shared" si="25"/>
        <v>1</v>
      </c>
      <c r="AC20" s="374" t="b">
        <f t="shared" si="26"/>
        <v>1</v>
      </c>
      <c r="AD20" s="374" t="b">
        <f t="shared" si="27"/>
        <v>1</v>
      </c>
      <c r="AE20" s="374" t="b">
        <f t="shared" si="28"/>
        <v>1</v>
      </c>
      <c r="AF20" s="374" t="b">
        <f t="shared" si="29"/>
        <v>1</v>
      </c>
      <c r="AG20" s="374" t="b">
        <f t="shared" si="30"/>
        <v>1</v>
      </c>
      <c r="AH20" s="374" t="b">
        <f t="shared" si="31"/>
        <v>1</v>
      </c>
      <c r="AI20" s="374" t="b">
        <f t="shared" si="32"/>
        <v>1</v>
      </c>
      <c r="AJ20" s="374" t="b">
        <f t="shared" si="33"/>
        <v>1</v>
      </c>
      <c r="AK20" s="374" t="b">
        <f t="shared" si="34"/>
        <v>1</v>
      </c>
      <c r="AL20" s="921" t="str">
        <f t="shared" si="35"/>
        <v/>
      </c>
      <c r="AM20" s="922" t="str">
        <f t="shared" si="36"/>
        <v/>
      </c>
      <c r="AN20" s="922" t="str">
        <f t="shared" si="37"/>
        <v/>
      </c>
      <c r="AO20" s="922" t="str">
        <f t="shared" si="38"/>
        <v/>
      </c>
      <c r="AP20" s="922" t="str">
        <f t="shared" si="39"/>
        <v/>
      </c>
      <c r="AQ20" s="922" t="str">
        <f t="shared" si="40"/>
        <v/>
      </c>
      <c r="AR20" s="922" t="str">
        <f t="shared" si="41"/>
        <v/>
      </c>
      <c r="AS20" s="922" t="str">
        <f t="shared" si="42"/>
        <v/>
      </c>
      <c r="AT20" s="922" t="str">
        <f t="shared" si="43"/>
        <v/>
      </c>
      <c r="AU20" s="922" t="str">
        <f t="shared" si="44"/>
        <v/>
      </c>
      <c r="AV20" s="922" t="str">
        <f t="shared" si="45"/>
        <v/>
      </c>
      <c r="AW20" s="926" t="str">
        <f t="shared" si="45"/>
        <v/>
      </c>
    </row>
    <row r="21" spans="1:49" s="374" customFormat="1">
      <c r="A21" s="906" t="str">
        <f t="shared" si="46"/>
        <v>2022/12/03</v>
      </c>
      <c r="B21" s="373" t="s">
        <v>303</v>
      </c>
      <c r="C21" s="373" t="str">
        <f t="shared" si="0"/>
        <v xml:space="preserve">điện giải (2)+電解  </v>
      </c>
      <c r="D21" s="373" t="str">
        <f t="shared" si="1"/>
        <v>XL-001F</v>
      </c>
      <c r="E21" s="373" t="str">
        <f t="shared" si="2"/>
        <v>g/L</v>
      </c>
      <c r="F21" s="373" t="str">
        <f t="shared" si="3"/>
        <v>50~70g/L
(60±5g/L)</v>
      </c>
      <c r="G21" s="894">
        <f t="shared" si="4"/>
        <v>75.768000000000001</v>
      </c>
      <c r="H21" s="894">
        <f t="shared" si="5"/>
        <v>0</v>
      </c>
      <c r="I21" s="899" t="str">
        <f t="shared" si="6"/>
        <v>kg</v>
      </c>
      <c r="J21" s="894">
        <f t="shared" si="7"/>
        <v>42.503999999999998</v>
      </c>
      <c r="K21" s="894">
        <f t="shared" si="8"/>
        <v>25.526664000000004</v>
      </c>
      <c r="L21" s="899" t="str">
        <f t="shared" si="9"/>
        <v>kg</v>
      </c>
      <c r="M21" s="894">
        <f t="shared" si="10"/>
        <v>54.053999999999995</v>
      </c>
      <c r="N21" s="894">
        <f t="shared" si="11"/>
        <v>8.6752140000000075</v>
      </c>
      <c r="O21" s="899" t="str">
        <f t="shared" si="12"/>
        <v>kg</v>
      </c>
      <c r="P21" s="894">
        <f t="shared" si="13"/>
        <v>58.211999999999996</v>
      </c>
      <c r="Q21" s="894">
        <f t="shared" si="14"/>
        <v>2.6086920000000053</v>
      </c>
      <c r="R21" s="899" t="str">
        <f t="shared" si="15"/>
        <v>kg</v>
      </c>
      <c r="S21" s="894">
        <f t="shared" si="16"/>
        <v>0</v>
      </c>
      <c r="T21" s="887">
        <f t="shared" si="17"/>
        <v>87.54</v>
      </c>
      <c r="U21" s="888" t="str">
        <f t="shared" si="18"/>
        <v>kg</v>
      </c>
      <c r="V21" s="894">
        <f t="shared" si="19"/>
        <v>57.75</v>
      </c>
      <c r="W21" s="887">
        <f t="shared" si="20"/>
        <v>3.2827500000000001</v>
      </c>
      <c r="X21" s="888" t="str">
        <f t="shared" si="21"/>
        <v>kg</v>
      </c>
      <c r="Z21" s="374" t="b">
        <f t="shared" si="23"/>
        <v>1</v>
      </c>
      <c r="AA21" s="374" t="b">
        <f t="shared" si="24"/>
        <v>1</v>
      </c>
      <c r="AB21" s="374" t="b">
        <f t="shared" si="25"/>
        <v>1</v>
      </c>
      <c r="AC21" s="374" t="b">
        <f t="shared" si="26"/>
        <v>1</v>
      </c>
      <c r="AD21" s="374" t="b">
        <f t="shared" si="27"/>
        <v>1</v>
      </c>
      <c r="AE21" s="374" t="b">
        <f t="shared" si="28"/>
        <v>1</v>
      </c>
      <c r="AF21" s="374" t="b">
        <f t="shared" si="29"/>
        <v>1</v>
      </c>
      <c r="AG21" s="374" t="b">
        <f t="shared" si="30"/>
        <v>1</v>
      </c>
      <c r="AH21" s="374" t="b">
        <f t="shared" si="31"/>
        <v>1</v>
      </c>
      <c r="AI21" s="374" t="b">
        <f t="shared" si="32"/>
        <v>1</v>
      </c>
      <c r="AJ21" s="374" t="b">
        <f t="shared" si="33"/>
        <v>1</v>
      </c>
      <c r="AK21" s="374" t="b">
        <f t="shared" si="34"/>
        <v>1</v>
      </c>
      <c r="AL21" s="921" t="str">
        <f t="shared" si="35"/>
        <v/>
      </c>
      <c r="AM21" s="922" t="str">
        <f t="shared" si="36"/>
        <v/>
      </c>
      <c r="AN21" s="922" t="str">
        <f t="shared" si="37"/>
        <v/>
      </c>
      <c r="AO21" s="922" t="str">
        <f t="shared" si="38"/>
        <v/>
      </c>
      <c r="AP21" s="922" t="str">
        <f t="shared" si="39"/>
        <v/>
      </c>
      <c r="AQ21" s="922" t="str">
        <f t="shared" si="40"/>
        <v/>
      </c>
      <c r="AR21" s="922" t="str">
        <f t="shared" si="41"/>
        <v/>
      </c>
      <c r="AS21" s="922" t="str">
        <f t="shared" si="42"/>
        <v/>
      </c>
      <c r="AT21" s="922" t="str">
        <f t="shared" si="43"/>
        <v/>
      </c>
      <c r="AU21" s="922" t="str">
        <f t="shared" si="44"/>
        <v/>
      </c>
      <c r="AV21" s="922" t="str">
        <f t="shared" si="45"/>
        <v/>
      </c>
      <c r="AW21" s="926" t="str">
        <f t="shared" si="45"/>
        <v/>
      </c>
    </row>
    <row r="22" spans="1:49" s="374" customFormat="1">
      <c r="A22" s="906" t="str">
        <f t="shared" si="46"/>
        <v>2022/12/03</v>
      </c>
      <c r="B22" s="373" t="s">
        <v>304</v>
      </c>
      <c r="C22" s="373" t="str">
        <f t="shared" si="0"/>
        <v>Nồng độ    NaOH
氫氧化鈉</v>
      </c>
      <c r="D22" s="373" t="str">
        <f t="shared" si="1"/>
        <v>XL-001F</v>
      </c>
      <c r="E22" s="373" t="str">
        <f t="shared" si="2"/>
        <v>g/L</v>
      </c>
      <c r="F22" s="373" t="str">
        <f t="shared" si="3"/>
        <v>130 - 150g/L
(140±10g/L)</v>
      </c>
      <c r="G22" s="894">
        <f t="shared" si="4"/>
        <v>140</v>
      </c>
      <c r="H22" s="894">
        <f t="shared" si="5"/>
        <v>0</v>
      </c>
      <c r="I22" s="899" t="str">
        <f t="shared" si="6"/>
        <v>kg</v>
      </c>
      <c r="J22" s="894">
        <f t="shared" si="7"/>
        <v>140</v>
      </c>
      <c r="K22" s="894">
        <f t="shared" si="8"/>
        <v>0</v>
      </c>
      <c r="L22" s="899" t="str">
        <f t="shared" si="9"/>
        <v>kg</v>
      </c>
      <c r="M22" s="894">
        <f t="shared" si="10"/>
        <v>140</v>
      </c>
      <c r="N22" s="894">
        <f t="shared" si="11"/>
        <v>0</v>
      </c>
      <c r="O22" s="899" t="str">
        <f t="shared" si="12"/>
        <v>kg</v>
      </c>
      <c r="P22" s="894">
        <f t="shared" si="13"/>
        <v>140</v>
      </c>
      <c r="Q22" s="894">
        <f t="shared" si="14"/>
        <v>0</v>
      </c>
      <c r="R22" s="899" t="str">
        <f t="shared" si="15"/>
        <v>kg</v>
      </c>
      <c r="S22" s="894">
        <f t="shared" si="16"/>
        <v>0</v>
      </c>
      <c r="T22" s="887">
        <f t="shared" si="17"/>
        <v>2793.14</v>
      </c>
      <c r="U22" s="888" t="str">
        <f t="shared" si="18"/>
        <v>kg</v>
      </c>
      <c r="V22" s="894">
        <f t="shared" si="19"/>
        <v>140</v>
      </c>
      <c r="W22" s="887">
        <f t="shared" si="20"/>
        <v>0</v>
      </c>
      <c r="X22" s="888" t="str">
        <f t="shared" si="21"/>
        <v>kg</v>
      </c>
      <c r="Z22" s="374" t="b">
        <f t="shared" si="23"/>
        <v>1</v>
      </c>
      <c r="AA22" s="374" t="b">
        <f t="shared" si="24"/>
        <v>1</v>
      </c>
      <c r="AB22" s="374" t="b">
        <f t="shared" si="25"/>
        <v>1</v>
      </c>
      <c r="AC22" s="374" t="b">
        <f t="shared" si="26"/>
        <v>1</v>
      </c>
      <c r="AD22" s="374" t="b">
        <f t="shared" si="27"/>
        <v>1</v>
      </c>
      <c r="AE22" s="374" t="b">
        <f t="shared" si="28"/>
        <v>1</v>
      </c>
      <c r="AF22" s="374" t="b">
        <f t="shared" si="29"/>
        <v>1</v>
      </c>
      <c r="AG22" s="374" t="b">
        <f t="shared" si="30"/>
        <v>1</v>
      </c>
      <c r="AH22" s="374" t="b">
        <f t="shared" si="31"/>
        <v>1</v>
      </c>
      <c r="AI22" s="374" t="b">
        <f t="shared" si="32"/>
        <v>1</v>
      </c>
      <c r="AJ22" s="374" t="b">
        <f t="shared" si="33"/>
        <v>1</v>
      </c>
      <c r="AK22" s="374" t="b">
        <f t="shared" si="34"/>
        <v>1</v>
      </c>
      <c r="AL22" s="921" t="str">
        <f t="shared" si="35"/>
        <v/>
      </c>
      <c r="AM22" s="922" t="str">
        <f t="shared" si="36"/>
        <v/>
      </c>
      <c r="AN22" s="922" t="str">
        <f t="shared" si="37"/>
        <v/>
      </c>
      <c r="AO22" s="922" t="str">
        <f t="shared" si="38"/>
        <v/>
      </c>
      <c r="AP22" s="922" t="str">
        <f t="shared" si="39"/>
        <v/>
      </c>
      <c r="AQ22" s="922" t="str">
        <f t="shared" si="40"/>
        <v/>
      </c>
      <c r="AR22" s="922" t="str">
        <f t="shared" si="41"/>
        <v/>
      </c>
      <c r="AS22" s="922" t="str">
        <f t="shared" si="42"/>
        <v/>
      </c>
      <c r="AT22" s="922" t="str">
        <f t="shared" si="43"/>
        <v/>
      </c>
      <c r="AU22" s="922" t="str">
        <f t="shared" si="44"/>
        <v/>
      </c>
      <c r="AV22" s="922" t="str">
        <f t="shared" si="45"/>
        <v/>
      </c>
      <c r="AW22" s="926" t="str">
        <f t="shared" si="45"/>
        <v/>
      </c>
    </row>
    <row r="23" spans="1:49" s="374" customFormat="1">
      <c r="A23" s="906" t="str">
        <f t="shared" si="46"/>
        <v>2022/12/03</v>
      </c>
      <c r="B23" s="373" t="s">
        <v>305</v>
      </c>
      <c r="C23" s="373" t="str">
        <f t="shared" si="0"/>
        <v>Nồng độ Zn  鋅
(1 pcs Zn=25kg)</v>
      </c>
      <c r="D23" s="373" t="str">
        <f t="shared" si="1"/>
        <v>XL-001F</v>
      </c>
      <c r="E23" s="373" t="str">
        <f t="shared" si="2"/>
        <v>g/L</v>
      </c>
      <c r="F23" s="373" t="str">
        <f t="shared" si="3"/>
        <v>8-12g/l
(10±1g/l)</v>
      </c>
      <c r="G23" s="894">
        <f t="shared" si="4"/>
        <v>8.19</v>
      </c>
      <c r="H23" s="894">
        <f t="shared" si="5"/>
        <v>36.11131000000001</v>
      </c>
      <c r="I23" s="899" t="str">
        <f t="shared" si="6"/>
        <v>kg</v>
      </c>
      <c r="J23" s="894">
        <f t="shared" si="7"/>
        <v>8.19</v>
      </c>
      <c r="K23" s="894">
        <f t="shared" si="8"/>
        <v>36.11131000000001</v>
      </c>
      <c r="L23" s="899" t="str">
        <f t="shared" si="9"/>
        <v>kg</v>
      </c>
      <c r="M23" s="894">
        <f t="shared" si="10"/>
        <v>8.125</v>
      </c>
      <c r="N23" s="894">
        <f t="shared" si="11"/>
        <v>37.408124999999998</v>
      </c>
      <c r="O23" s="899" t="str">
        <f t="shared" si="12"/>
        <v>kg</v>
      </c>
      <c r="P23" s="894">
        <f t="shared" si="13"/>
        <v>8.4500000000000011</v>
      </c>
      <c r="Q23" s="894">
        <f t="shared" si="14"/>
        <v>30.924049999999976</v>
      </c>
      <c r="R23" s="899" t="str">
        <f t="shared" si="15"/>
        <v>kg</v>
      </c>
      <c r="S23" s="894">
        <f t="shared" si="16"/>
        <v>0</v>
      </c>
      <c r="T23" s="887">
        <f t="shared" si="17"/>
        <v>199.51</v>
      </c>
      <c r="U23" s="888" t="str">
        <f t="shared" si="18"/>
        <v>kg</v>
      </c>
      <c r="V23" s="894">
        <f t="shared" si="19"/>
        <v>8.4500000000000011</v>
      </c>
      <c r="W23" s="887">
        <f t="shared" si="20"/>
        <v>30.924049999999976</v>
      </c>
      <c r="X23" s="888" t="str">
        <f t="shared" si="21"/>
        <v>kg</v>
      </c>
      <c r="Z23" s="374" t="b">
        <f t="shared" si="23"/>
        <v>1</v>
      </c>
      <c r="AA23" s="374" t="b">
        <f t="shared" si="24"/>
        <v>1</v>
      </c>
      <c r="AB23" s="374" t="b">
        <f t="shared" si="25"/>
        <v>1</v>
      </c>
      <c r="AC23" s="374" t="b">
        <f t="shared" si="26"/>
        <v>1</v>
      </c>
      <c r="AD23" s="374" t="b">
        <f t="shared" si="27"/>
        <v>1</v>
      </c>
      <c r="AE23" s="374" t="b">
        <f t="shared" si="28"/>
        <v>1</v>
      </c>
      <c r="AF23" s="374" t="b">
        <f t="shared" si="29"/>
        <v>1</v>
      </c>
      <c r="AG23" s="374" t="b">
        <f t="shared" si="30"/>
        <v>1</v>
      </c>
      <c r="AH23" s="374" t="b">
        <f t="shared" si="31"/>
        <v>1</v>
      </c>
      <c r="AI23" s="374" t="b">
        <f t="shared" si="32"/>
        <v>1</v>
      </c>
      <c r="AJ23" s="374" t="b">
        <f t="shared" si="33"/>
        <v>1</v>
      </c>
      <c r="AK23" s="374" t="b">
        <f t="shared" si="34"/>
        <v>1</v>
      </c>
      <c r="AL23" s="921" t="str">
        <f t="shared" si="35"/>
        <v/>
      </c>
      <c r="AM23" s="922" t="str">
        <f t="shared" si="36"/>
        <v/>
      </c>
      <c r="AN23" s="922" t="str">
        <f t="shared" si="37"/>
        <v/>
      </c>
      <c r="AO23" s="922" t="str">
        <f t="shared" si="38"/>
        <v/>
      </c>
      <c r="AP23" s="922" t="str">
        <f t="shared" si="39"/>
        <v/>
      </c>
      <c r="AQ23" s="922" t="str">
        <f t="shared" si="40"/>
        <v/>
      </c>
      <c r="AR23" s="922" t="str">
        <f t="shared" si="41"/>
        <v/>
      </c>
      <c r="AS23" s="922" t="str">
        <f t="shared" si="42"/>
        <v/>
      </c>
      <c r="AT23" s="922" t="str">
        <f t="shared" si="43"/>
        <v/>
      </c>
      <c r="AU23" s="922" t="str">
        <f t="shared" si="44"/>
        <v/>
      </c>
      <c r="AV23" s="922" t="str">
        <f t="shared" si="45"/>
        <v/>
      </c>
      <c r="AW23" s="926" t="str">
        <f t="shared" si="45"/>
        <v/>
      </c>
    </row>
    <row r="24" spans="1:49" s="374" customFormat="1">
      <c r="A24" s="906" t="str">
        <f t="shared" si="46"/>
        <v>2022/12/03</v>
      </c>
      <c r="B24" s="373" t="s">
        <v>306</v>
      </c>
      <c r="C24" s="373" t="str">
        <f t="shared" si="0"/>
        <v>Nồng độ Cr2O3 三價鉻
LANTHANE 318</v>
      </c>
      <c r="D24" s="373" t="str">
        <f t="shared" si="1"/>
        <v>XL-001F</v>
      </c>
      <c r="E24" s="373" t="str">
        <f t="shared" si="2"/>
        <v>%</v>
      </c>
      <c r="F24" s="373" t="str">
        <f t="shared" si="3"/>
        <v>6~10 %
(8±0.5%)</v>
      </c>
      <c r="G24" s="894">
        <f t="shared" si="4"/>
        <v>5.8178400000000003</v>
      </c>
      <c r="H24" s="894">
        <f t="shared" si="5"/>
        <v>12.547419999999997</v>
      </c>
      <c r="I24" s="899" t="str">
        <f t="shared" si="6"/>
        <v>L</v>
      </c>
      <c r="J24" s="894">
        <f t="shared" si="7"/>
        <v>5.7331000000000003</v>
      </c>
      <c r="K24" s="894">
        <f t="shared" si="8"/>
        <v>13.034674999999998</v>
      </c>
      <c r="L24" s="899" t="str">
        <f t="shared" si="9"/>
        <v>L</v>
      </c>
      <c r="M24" s="894">
        <f t="shared" si="10"/>
        <v>5.2670300000000001</v>
      </c>
      <c r="N24" s="894">
        <f t="shared" si="11"/>
        <v>15.714577500000001</v>
      </c>
      <c r="O24" s="899" t="str">
        <f t="shared" si="12"/>
        <v>L</v>
      </c>
      <c r="P24" s="894">
        <f t="shared" si="13"/>
        <v>4.1230399999999996</v>
      </c>
      <c r="Q24" s="894">
        <f t="shared" si="14"/>
        <v>22.292520000000003</v>
      </c>
      <c r="R24" s="899" t="str">
        <f t="shared" si="15"/>
        <v>L</v>
      </c>
      <c r="S24" s="894">
        <f t="shared" si="16"/>
        <v>-1.0461</v>
      </c>
      <c r="T24" s="887">
        <f t="shared" si="17"/>
        <v>52.015074999999996</v>
      </c>
      <c r="U24" s="888" t="str">
        <f t="shared" si="18"/>
        <v>L</v>
      </c>
      <c r="V24" s="894">
        <f t="shared" si="19"/>
        <v>4.5467399999999998</v>
      </c>
      <c r="W24" s="887">
        <f t="shared" si="20"/>
        <v>19.856245000000001</v>
      </c>
      <c r="X24" s="888" t="str">
        <f t="shared" si="21"/>
        <v>L</v>
      </c>
      <c r="Z24" s="374" t="b">
        <f t="shared" si="23"/>
        <v>1</v>
      </c>
      <c r="AA24" s="374" t="b">
        <f t="shared" si="24"/>
        <v>1</v>
      </c>
      <c r="AB24" s="374" t="b">
        <f t="shared" si="25"/>
        <v>1</v>
      </c>
      <c r="AC24" s="374" t="b">
        <f t="shared" si="26"/>
        <v>1</v>
      </c>
      <c r="AD24" s="374" t="b">
        <f t="shared" si="27"/>
        <v>1</v>
      </c>
      <c r="AE24" s="374" t="b">
        <f t="shared" si="28"/>
        <v>1</v>
      </c>
      <c r="AF24" s="374" t="b">
        <f t="shared" si="29"/>
        <v>1</v>
      </c>
      <c r="AG24" s="374" t="b">
        <f t="shared" si="30"/>
        <v>1</v>
      </c>
      <c r="AH24" s="374" t="b">
        <f t="shared" si="31"/>
        <v>1</v>
      </c>
      <c r="AI24" s="374" t="b">
        <f t="shared" si="32"/>
        <v>1</v>
      </c>
      <c r="AJ24" s="374" t="b">
        <f t="shared" si="33"/>
        <v>1</v>
      </c>
      <c r="AK24" s="374" t="b">
        <f t="shared" si="34"/>
        <v>1</v>
      </c>
      <c r="AL24" s="921" t="str">
        <f t="shared" si="35"/>
        <v/>
      </c>
      <c r="AM24" s="922" t="str">
        <f t="shared" si="36"/>
        <v/>
      </c>
      <c r="AN24" s="922" t="str">
        <f t="shared" si="37"/>
        <v/>
      </c>
      <c r="AO24" s="922" t="str">
        <f t="shared" si="38"/>
        <v/>
      </c>
      <c r="AP24" s="922" t="str">
        <f t="shared" si="39"/>
        <v/>
      </c>
      <c r="AQ24" s="922" t="str">
        <f t="shared" si="40"/>
        <v/>
      </c>
      <c r="AR24" s="922" t="str">
        <f t="shared" si="41"/>
        <v/>
      </c>
      <c r="AS24" s="922" t="str">
        <f t="shared" si="42"/>
        <v/>
      </c>
      <c r="AT24" s="922" t="str">
        <f t="shared" si="43"/>
        <v/>
      </c>
      <c r="AU24" s="922" t="str">
        <f t="shared" si="44"/>
        <v/>
      </c>
      <c r="AV24" s="922" t="str">
        <f t="shared" si="45"/>
        <v/>
      </c>
      <c r="AW24" s="926" t="str">
        <f t="shared" si="45"/>
        <v/>
      </c>
    </row>
    <row r="25" spans="1:49" s="374" customFormat="1">
      <c r="A25" s="906" t="str">
        <f t="shared" si="46"/>
        <v>2022/12/03</v>
      </c>
      <c r="B25" s="373" t="s">
        <v>307</v>
      </c>
      <c r="C25" s="373" t="str">
        <f t="shared" si="0"/>
        <v>PH</v>
      </c>
      <c r="D25" s="373" t="str">
        <f t="shared" si="1"/>
        <v>XL-001F</v>
      </c>
      <c r="E25" s="373" t="str">
        <f t="shared" si="2"/>
        <v>pH</v>
      </c>
      <c r="F25" s="373" t="str">
        <f t="shared" si="3"/>
        <v>2~2.5(2.3±0.1 )</v>
      </c>
      <c r="G25" s="894">
        <f t="shared" si="4"/>
        <v>2.35</v>
      </c>
      <c r="H25" s="894">
        <f t="shared" si="5"/>
        <v>0</v>
      </c>
      <c r="I25" s="899">
        <f t="shared" si="6"/>
        <v>0</v>
      </c>
      <c r="J25" s="894">
        <f t="shared" si="7"/>
        <v>2.3199999999999998</v>
      </c>
      <c r="K25" s="894">
        <f t="shared" si="8"/>
        <v>0</v>
      </c>
      <c r="L25" s="899">
        <f t="shared" si="9"/>
        <v>0</v>
      </c>
      <c r="M25" s="894">
        <f t="shared" si="10"/>
        <v>2.4300000000000002</v>
      </c>
      <c r="N25" s="894">
        <f t="shared" si="11"/>
        <v>0</v>
      </c>
      <c r="O25" s="899">
        <f t="shared" si="12"/>
        <v>0</v>
      </c>
      <c r="P25" s="894">
        <f t="shared" si="13"/>
        <v>2.4</v>
      </c>
      <c r="Q25" s="894">
        <f t="shared" si="14"/>
        <v>0</v>
      </c>
      <c r="R25" s="899">
        <f t="shared" si="15"/>
        <v>0</v>
      </c>
      <c r="S25" s="894">
        <f t="shared" si="16"/>
        <v>0</v>
      </c>
      <c r="T25" s="887">
        <f t="shared" si="17"/>
        <v>0</v>
      </c>
      <c r="U25" s="888">
        <f t="shared" si="18"/>
        <v>0</v>
      </c>
      <c r="V25" s="894">
        <f t="shared" si="19"/>
        <v>2.35</v>
      </c>
      <c r="W25" s="887">
        <f t="shared" si="20"/>
        <v>0</v>
      </c>
      <c r="X25" s="888">
        <f t="shared" si="21"/>
        <v>0</v>
      </c>
      <c r="Z25" s="374" t="b">
        <f t="shared" si="23"/>
        <v>1</v>
      </c>
      <c r="AA25" s="374" t="b">
        <f t="shared" si="24"/>
        <v>1</v>
      </c>
      <c r="AB25" s="374" t="b">
        <f t="shared" si="25"/>
        <v>1</v>
      </c>
      <c r="AC25" s="374" t="b">
        <f t="shared" si="26"/>
        <v>1</v>
      </c>
      <c r="AD25" s="374" t="b">
        <f t="shared" si="27"/>
        <v>1</v>
      </c>
      <c r="AE25" s="374" t="b">
        <f t="shared" si="28"/>
        <v>1</v>
      </c>
      <c r="AF25" s="374" t="b">
        <f t="shared" si="29"/>
        <v>1</v>
      </c>
      <c r="AG25" s="374" t="b">
        <f t="shared" si="30"/>
        <v>1</v>
      </c>
      <c r="AH25" s="374" t="b">
        <f t="shared" si="31"/>
        <v>1</v>
      </c>
      <c r="AI25" s="374" t="b">
        <f t="shared" si="32"/>
        <v>1</v>
      </c>
      <c r="AJ25" s="374" t="b">
        <f t="shared" si="33"/>
        <v>1</v>
      </c>
      <c r="AK25" s="374" t="b">
        <f t="shared" si="34"/>
        <v>1</v>
      </c>
      <c r="AL25" s="921" t="str">
        <f t="shared" si="35"/>
        <v/>
      </c>
      <c r="AM25" s="922" t="str">
        <f t="shared" si="36"/>
        <v/>
      </c>
      <c r="AN25" s="922" t="str">
        <f t="shared" si="37"/>
        <v/>
      </c>
      <c r="AO25" s="922" t="str">
        <f t="shared" si="38"/>
        <v/>
      </c>
      <c r="AP25" s="922" t="str">
        <f t="shared" si="39"/>
        <v/>
      </c>
      <c r="AQ25" s="922" t="str">
        <f t="shared" si="40"/>
        <v/>
      </c>
      <c r="AR25" s="922" t="str">
        <f t="shared" si="41"/>
        <v/>
      </c>
      <c r="AS25" s="922" t="str">
        <f t="shared" si="42"/>
        <v/>
      </c>
      <c r="AT25" s="922" t="str">
        <f t="shared" si="43"/>
        <v/>
      </c>
      <c r="AU25" s="922" t="str">
        <f t="shared" si="44"/>
        <v/>
      </c>
      <c r="AV25" s="922" t="str">
        <f t="shared" si="45"/>
        <v/>
      </c>
      <c r="AW25" s="926" t="str">
        <f t="shared" si="45"/>
        <v/>
      </c>
    </row>
    <row r="26" spans="1:49" s="374" customFormat="1">
      <c r="A26" s="906" t="str">
        <f t="shared" si="46"/>
        <v>2022/12/03</v>
      </c>
      <c r="B26" s="373" t="s">
        <v>308</v>
      </c>
      <c r="C26" s="373" t="str">
        <f t="shared" si="0"/>
        <v>Nồng độ acid đặc
鹽酸 濃度</v>
      </c>
      <c r="D26" s="373" t="str">
        <f t="shared" si="1"/>
        <v>XL-001F</v>
      </c>
      <c r="E26" s="373" t="str">
        <f t="shared" si="2"/>
        <v>%V/V</v>
      </c>
      <c r="F26" s="373" t="str">
        <f t="shared" si="3"/>
        <v>30~60 %V/V
(45±5% V/V)</v>
      </c>
      <c r="G26" s="894">
        <f t="shared" si="4"/>
        <v>0.47906250000000006</v>
      </c>
      <c r="H26" s="894">
        <f t="shared" si="5"/>
        <v>0</v>
      </c>
      <c r="I26" s="899" t="str">
        <f t="shared" si="6"/>
        <v>L</v>
      </c>
      <c r="J26" s="894">
        <f t="shared" si="7"/>
        <v>0.50187500000000007</v>
      </c>
      <c r="K26" s="894">
        <f t="shared" si="8"/>
        <v>0</v>
      </c>
      <c r="L26" s="899" t="str">
        <f t="shared" si="9"/>
        <v>L</v>
      </c>
      <c r="M26" s="894">
        <f t="shared" si="10"/>
        <v>0.50187500000000007</v>
      </c>
      <c r="N26" s="894">
        <f t="shared" si="11"/>
        <v>0</v>
      </c>
      <c r="O26" s="899" t="str">
        <f t="shared" si="12"/>
        <v>L</v>
      </c>
      <c r="P26" s="894">
        <f t="shared" si="13"/>
        <v>0.46765624999999994</v>
      </c>
      <c r="Q26" s="894">
        <f t="shared" si="14"/>
        <v>0</v>
      </c>
      <c r="R26" s="899" t="str">
        <f t="shared" si="15"/>
        <v>L</v>
      </c>
      <c r="S26" s="894">
        <f t="shared" si="16"/>
        <v>0</v>
      </c>
      <c r="T26" s="887">
        <f t="shared" si="17"/>
        <v>954.9</v>
      </c>
      <c r="U26" s="888" t="str">
        <f t="shared" si="18"/>
        <v>L</v>
      </c>
      <c r="V26" s="894">
        <f t="shared" si="19"/>
        <v>0.45624999999999999</v>
      </c>
      <c r="W26" s="887">
        <f t="shared" si="20"/>
        <v>0</v>
      </c>
      <c r="X26" s="888" t="str">
        <f t="shared" si="21"/>
        <v>L</v>
      </c>
      <c r="Z26" s="374" t="b">
        <f t="shared" si="23"/>
        <v>1</v>
      </c>
      <c r="AA26" s="374" t="b">
        <f t="shared" si="24"/>
        <v>1</v>
      </c>
      <c r="AB26" s="374" t="b">
        <f t="shared" si="25"/>
        <v>1</v>
      </c>
      <c r="AC26" s="374" t="b">
        <f t="shared" si="26"/>
        <v>1</v>
      </c>
      <c r="AD26" s="374" t="b">
        <f t="shared" si="27"/>
        <v>1</v>
      </c>
      <c r="AE26" s="374" t="b">
        <f t="shared" si="28"/>
        <v>1</v>
      </c>
      <c r="AF26" s="374" t="b">
        <f t="shared" si="29"/>
        <v>1</v>
      </c>
      <c r="AG26" s="374" t="b">
        <f t="shared" si="30"/>
        <v>1</v>
      </c>
      <c r="AH26" s="374" t="b">
        <f t="shared" si="31"/>
        <v>1</v>
      </c>
      <c r="AI26" s="374" t="b">
        <f t="shared" si="32"/>
        <v>1</v>
      </c>
      <c r="AJ26" s="374" t="b">
        <f t="shared" si="33"/>
        <v>1</v>
      </c>
      <c r="AK26" s="374" t="b">
        <f t="shared" si="34"/>
        <v>1</v>
      </c>
      <c r="AL26" s="921" t="str">
        <f t="shared" si="35"/>
        <v/>
      </c>
      <c r="AM26" s="922" t="str">
        <f t="shared" si="36"/>
        <v/>
      </c>
      <c r="AN26" s="922" t="str">
        <f t="shared" si="37"/>
        <v/>
      </c>
      <c r="AO26" s="922" t="str">
        <f t="shared" si="38"/>
        <v/>
      </c>
      <c r="AP26" s="922" t="str">
        <f t="shared" si="39"/>
        <v/>
      </c>
      <c r="AQ26" s="922" t="str">
        <f t="shared" si="40"/>
        <v/>
      </c>
      <c r="AR26" s="922" t="str">
        <f t="shared" si="41"/>
        <v/>
      </c>
      <c r="AS26" s="922" t="str">
        <f t="shared" si="42"/>
        <v/>
      </c>
      <c r="AT26" s="922" t="str">
        <f t="shared" si="43"/>
        <v/>
      </c>
      <c r="AU26" s="922" t="str">
        <f t="shared" si="44"/>
        <v/>
      </c>
      <c r="AV26" s="922" t="str">
        <f t="shared" si="45"/>
        <v/>
      </c>
      <c r="AW26" s="926" t="str">
        <f t="shared" si="45"/>
        <v/>
      </c>
    </row>
    <row r="27" spans="1:49" s="374" customFormat="1">
      <c r="A27" s="906" t="str">
        <f t="shared" si="46"/>
        <v>2022/12/03</v>
      </c>
      <c r="B27" s="373" t="s">
        <v>309</v>
      </c>
      <c r="C27" s="373" t="str">
        <f t="shared" si="0"/>
        <v>Nồng độ acid loãng
稀酸 濃度</v>
      </c>
      <c r="D27" s="373" t="str">
        <f t="shared" si="1"/>
        <v>XL-001F</v>
      </c>
      <c r="E27" s="373" t="str">
        <f t="shared" si="2"/>
        <v>%V/V</v>
      </c>
      <c r="F27" s="373" t="str">
        <f t="shared" si="3"/>
        <v>15~30 %V/V
(22±5 V/V)</v>
      </c>
      <c r="G27" s="894">
        <f t="shared" si="4"/>
        <v>0.25093750000000004</v>
      </c>
      <c r="H27" s="894">
        <f t="shared" si="5"/>
        <v>0</v>
      </c>
      <c r="I27" s="899" t="str">
        <f t="shared" si="6"/>
        <v>L</v>
      </c>
      <c r="J27" s="894">
        <f t="shared" si="7"/>
        <v>0.25093750000000004</v>
      </c>
      <c r="K27" s="894">
        <f t="shared" si="8"/>
        <v>0</v>
      </c>
      <c r="L27" s="899" t="str">
        <f t="shared" si="9"/>
        <v>L</v>
      </c>
      <c r="M27" s="894">
        <f t="shared" si="10"/>
        <v>0.25093750000000004</v>
      </c>
      <c r="N27" s="894">
        <f t="shared" si="11"/>
        <v>0</v>
      </c>
      <c r="O27" s="899" t="str">
        <f t="shared" si="12"/>
        <v>L</v>
      </c>
      <c r="P27" s="894">
        <f t="shared" si="13"/>
        <v>0.26234374999999999</v>
      </c>
      <c r="Q27" s="894">
        <f t="shared" si="14"/>
        <v>0</v>
      </c>
      <c r="R27" s="899" t="str">
        <f t="shared" si="15"/>
        <v>L</v>
      </c>
      <c r="S27" s="894">
        <f t="shared" si="16"/>
        <v>0</v>
      </c>
      <c r="T27" s="887">
        <f t="shared" si="17"/>
        <v>134.64000000000001</v>
      </c>
      <c r="U27" s="888" t="str">
        <f t="shared" si="18"/>
        <v>L</v>
      </c>
      <c r="V27" s="894">
        <f t="shared" si="19"/>
        <v>0.25093750000000004</v>
      </c>
      <c r="W27" s="887">
        <f t="shared" si="20"/>
        <v>0</v>
      </c>
      <c r="X27" s="888" t="str">
        <f t="shared" si="21"/>
        <v>L</v>
      </c>
      <c r="Z27" s="374" t="b">
        <f t="shared" si="23"/>
        <v>1</v>
      </c>
      <c r="AA27" s="374" t="b">
        <f t="shared" si="24"/>
        <v>1</v>
      </c>
      <c r="AB27" s="374" t="b">
        <f t="shared" si="25"/>
        <v>1</v>
      </c>
      <c r="AC27" s="374" t="b">
        <f t="shared" si="26"/>
        <v>1</v>
      </c>
      <c r="AD27" s="374" t="b">
        <f t="shared" si="27"/>
        <v>1</v>
      </c>
      <c r="AE27" s="374" t="b">
        <f t="shared" si="28"/>
        <v>1</v>
      </c>
      <c r="AF27" s="374" t="b">
        <f t="shared" si="29"/>
        <v>1</v>
      </c>
      <c r="AG27" s="374" t="b">
        <f t="shared" si="30"/>
        <v>1</v>
      </c>
      <c r="AH27" s="374" t="b">
        <f t="shared" si="31"/>
        <v>1</v>
      </c>
      <c r="AI27" s="374" t="b">
        <f t="shared" si="32"/>
        <v>1</v>
      </c>
      <c r="AJ27" s="374" t="b">
        <f t="shared" si="33"/>
        <v>1</v>
      </c>
      <c r="AK27" s="374" t="b">
        <f t="shared" si="34"/>
        <v>1</v>
      </c>
      <c r="AL27" s="921" t="str">
        <f t="shared" si="35"/>
        <v/>
      </c>
      <c r="AM27" s="922" t="str">
        <f t="shared" si="36"/>
        <v/>
      </c>
      <c r="AN27" s="922" t="str">
        <f t="shared" si="37"/>
        <v/>
      </c>
      <c r="AO27" s="922" t="str">
        <f t="shared" si="38"/>
        <v/>
      </c>
      <c r="AP27" s="922" t="str">
        <f t="shared" si="39"/>
        <v/>
      </c>
      <c r="AQ27" s="922" t="str">
        <f t="shared" si="40"/>
        <v/>
      </c>
      <c r="AR27" s="922" t="str">
        <f t="shared" si="41"/>
        <v/>
      </c>
      <c r="AS27" s="922" t="str">
        <f t="shared" si="42"/>
        <v/>
      </c>
      <c r="AT27" s="922" t="str">
        <f t="shared" si="43"/>
        <v/>
      </c>
      <c r="AU27" s="922" t="str">
        <f t="shared" si="44"/>
        <v/>
      </c>
      <c r="AV27" s="922" t="str">
        <f t="shared" si="45"/>
        <v/>
      </c>
      <c r="AW27" s="926" t="str">
        <f t="shared" si="45"/>
        <v/>
      </c>
    </row>
    <row r="28" spans="1:49" s="374" customFormat="1">
      <c r="A28" s="906" t="str">
        <f t="shared" si="46"/>
        <v>2022/12/03</v>
      </c>
      <c r="B28" s="373" t="s">
        <v>310</v>
      </c>
      <c r="C28" s="373" t="str">
        <f t="shared" si="0"/>
        <v>Nồng độ HCl hoạt hóa
稀酸活化 濃度</v>
      </c>
      <c r="D28" s="373" t="str">
        <f t="shared" si="1"/>
        <v>XL-001F</v>
      </c>
      <c r="E28" s="373" t="str">
        <f t="shared" si="2"/>
        <v>%V/V</v>
      </c>
      <c r="F28" s="373" t="str">
        <f t="shared" si="3"/>
        <v>5~15 %V/V
(10±3% V/V)</v>
      </c>
      <c r="G28" s="894">
        <f t="shared" si="4"/>
        <v>0.10721875</v>
      </c>
      <c r="H28" s="894">
        <f t="shared" si="5"/>
        <v>0</v>
      </c>
      <c r="I28" s="899" t="str">
        <f t="shared" si="6"/>
        <v>L</v>
      </c>
      <c r="J28" s="894">
        <f t="shared" si="7"/>
        <v>0.13915624999999998</v>
      </c>
      <c r="K28" s="894">
        <f t="shared" si="8"/>
        <v>0</v>
      </c>
      <c r="L28" s="899" t="str">
        <f t="shared" si="9"/>
        <v>L</v>
      </c>
      <c r="M28" s="894">
        <f t="shared" si="10"/>
        <v>0.12774999999999997</v>
      </c>
      <c r="N28" s="894">
        <f t="shared" si="11"/>
        <v>0</v>
      </c>
      <c r="O28" s="899" t="str">
        <f t="shared" si="12"/>
        <v>L</v>
      </c>
      <c r="P28" s="894">
        <f t="shared" si="13"/>
        <v>0.12090624999999999</v>
      </c>
      <c r="Q28" s="894">
        <f t="shared" si="14"/>
        <v>0</v>
      </c>
      <c r="R28" s="899" t="str">
        <f t="shared" si="15"/>
        <v>L</v>
      </c>
      <c r="S28" s="894">
        <f t="shared" si="16"/>
        <v>0</v>
      </c>
      <c r="T28" s="887">
        <f t="shared" si="17"/>
        <v>57.5</v>
      </c>
      <c r="U28" s="888" t="str">
        <f t="shared" si="18"/>
        <v>L</v>
      </c>
      <c r="V28" s="894">
        <f t="shared" si="19"/>
        <v>0.1140625</v>
      </c>
      <c r="W28" s="887">
        <f t="shared" si="20"/>
        <v>0</v>
      </c>
      <c r="X28" s="888" t="str">
        <f t="shared" si="21"/>
        <v>L</v>
      </c>
      <c r="Z28" s="374" t="b">
        <f t="shared" si="23"/>
        <v>1</v>
      </c>
      <c r="AA28" s="374" t="b">
        <f t="shared" si="24"/>
        <v>1</v>
      </c>
      <c r="AB28" s="374" t="b">
        <f t="shared" si="25"/>
        <v>1</v>
      </c>
      <c r="AC28" s="374" t="b">
        <f t="shared" si="26"/>
        <v>1</v>
      </c>
      <c r="AD28" s="374" t="b">
        <f t="shared" si="27"/>
        <v>1</v>
      </c>
      <c r="AE28" s="374" t="b">
        <f t="shared" si="28"/>
        <v>1</v>
      </c>
      <c r="AF28" s="374" t="b">
        <f t="shared" si="29"/>
        <v>1</v>
      </c>
      <c r="AG28" s="374" t="b">
        <f t="shared" si="30"/>
        <v>1</v>
      </c>
      <c r="AH28" s="374" t="b">
        <f t="shared" si="31"/>
        <v>1</v>
      </c>
      <c r="AI28" s="374" t="b">
        <f t="shared" si="32"/>
        <v>1</v>
      </c>
      <c r="AJ28" s="374" t="b">
        <f t="shared" si="33"/>
        <v>1</v>
      </c>
      <c r="AK28" s="374" t="b">
        <f t="shared" si="34"/>
        <v>1</v>
      </c>
      <c r="AL28" s="921" t="str">
        <f t="shared" si="35"/>
        <v/>
      </c>
      <c r="AM28" s="922" t="str">
        <f t="shared" si="36"/>
        <v/>
      </c>
      <c r="AN28" s="922" t="str">
        <f t="shared" si="37"/>
        <v/>
      </c>
      <c r="AO28" s="922" t="str">
        <f t="shared" si="38"/>
        <v/>
      </c>
      <c r="AP28" s="922" t="str">
        <f t="shared" si="39"/>
        <v/>
      </c>
      <c r="AQ28" s="922" t="str">
        <f t="shared" si="40"/>
        <v/>
      </c>
      <c r="AR28" s="922" t="str">
        <f t="shared" si="41"/>
        <v/>
      </c>
      <c r="AS28" s="922" t="str">
        <f t="shared" si="42"/>
        <v/>
      </c>
      <c r="AT28" s="922" t="str">
        <f t="shared" si="43"/>
        <v/>
      </c>
      <c r="AU28" s="922" t="str">
        <f t="shared" si="44"/>
        <v/>
      </c>
      <c r="AV28" s="922" t="str">
        <f t="shared" si="45"/>
        <v/>
      </c>
      <c r="AW28" s="926" t="str">
        <f t="shared" si="45"/>
        <v/>
      </c>
    </row>
    <row r="29" spans="1:49" s="374" customFormat="1">
      <c r="A29" s="906" t="str">
        <f t="shared" si="46"/>
        <v>2022/12/03</v>
      </c>
      <c r="B29" s="373" t="s">
        <v>311</v>
      </c>
      <c r="C29" s="373" t="str">
        <f t="shared" si="0"/>
        <v>Nồng độ  HNO3
硝酸濃度</v>
      </c>
      <c r="D29" s="373" t="str">
        <f t="shared" si="1"/>
        <v>XL-001F</v>
      </c>
      <c r="E29" s="373" t="str">
        <f t="shared" si="2"/>
        <v>%</v>
      </c>
      <c r="F29" s="373" t="str">
        <f t="shared" si="3"/>
        <v>0.5~1.5%
(1±0.2%)</v>
      </c>
      <c r="G29" s="894">
        <f t="shared" si="4"/>
        <v>1.1341800000000003E-2</v>
      </c>
      <c r="H29" s="894">
        <f t="shared" si="5"/>
        <v>0</v>
      </c>
      <c r="I29" s="899" t="str">
        <f t="shared" si="6"/>
        <v>L</v>
      </c>
      <c r="J29" s="894">
        <f t="shared" si="7"/>
        <v>1.2602E-2</v>
      </c>
      <c r="K29" s="894">
        <f t="shared" si="8"/>
        <v>0</v>
      </c>
      <c r="L29" s="899" t="str">
        <f t="shared" si="9"/>
        <v>L</v>
      </c>
      <c r="M29" s="894">
        <f t="shared" si="10"/>
        <v>1.1341800000000003E-2</v>
      </c>
      <c r="N29" s="894">
        <f t="shared" si="11"/>
        <v>0</v>
      </c>
      <c r="O29" s="899" t="str">
        <f t="shared" si="12"/>
        <v>L</v>
      </c>
      <c r="P29" s="894">
        <f t="shared" si="13"/>
        <v>1.1341800000000003E-2</v>
      </c>
      <c r="Q29" s="894">
        <f t="shared" si="14"/>
        <v>0</v>
      </c>
      <c r="R29" s="899" t="str">
        <f t="shared" si="15"/>
        <v>L</v>
      </c>
      <c r="S29" s="894">
        <f t="shared" si="16"/>
        <v>0</v>
      </c>
      <c r="T29" s="887">
        <f t="shared" si="17"/>
        <v>8.1538461538461533</v>
      </c>
      <c r="U29" s="888" t="str">
        <f t="shared" si="18"/>
        <v>L</v>
      </c>
      <c r="V29" s="894">
        <f t="shared" si="19"/>
        <v>1.209792E-2</v>
      </c>
      <c r="W29" s="887">
        <f t="shared" si="20"/>
        <v>0</v>
      </c>
      <c r="X29" s="888" t="str">
        <f t="shared" si="21"/>
        <v>L</v>
      </c>
      <c r="Z29" s="374" t="b">
        <f t="shared" si="23"/>
        <v>1</v>
      </c>
      <c r="AA29" s="374" t="b">
        <f t="shared" si="24"/>
        <v>1</v>
      </c>
      <c r="AB29" s="374" t="b">
        <f t="shared" si="25"/>
        <v>1</v>
      </c>
      <c r="AC29" s="374" t="b">
        <f t="shared" si="26"/>
        <v>1</v>
      </c>
      <c r="AD29" s="374" t="b">
        <f t="shared" si="27"/>
        <v>1</v>
      </c>
      <c r="AE29" s="374" t="b">
        <f t="shared" si="28"/>
        <v>1</v>
      </c>
      <c r="AF29" s="374" t="b">
        <f t="shared" si="29"/>
        <v>1</v>
      </c>
      <c r="AG29" s="374" t="b">
        <f t="shared" si="30"/>
        <v>1</v>
      </c>
      <c r="AH29" s="374" t="b">
        <f t="shared" si="31"/>
        <v>1</v>
      </c>
      <c r="AI29" s="374" t="b">
        <f t="shared" si="32"/>
        <v>1</v>
      </c>
      <c r="AJ29" s="374" t="b">
        <f t="shared" si="33"/>
        <v>1</v>
      </c>
      <c r="AK29" s="374" t="b">
        <f t="shared" si="34"/>
        <v>1</v>
      </c>
      <c r="AL29" s="921" t="str">
        <f t="shared" si="35"/>
        <v/>
      </c>
      <c r="AM29" s="922" t="str">
        <f t="shared" si="36"/>
        <v/>
      </c>
      <c r="AN29" s="922" t="str">
        <f t="shared" si="37"/>
        <v/>
      </c>
      <c r="AO29" s="922" t="str">
        <f t="shared" si="38"/>
        <v/>
      </c>
      <c r="AP29" s="922" t="str">
        <f t="shared" si="39"/>
        <v/>
      </c>
      <c r="AQ29" s="922" t="str">
        <f t="shared" si="40"/>
        <v/>
      </c>
      <c r="AR29" s="922" t="str">
        <f t="shared" si="41"/>
        <v/>
      </c>
      <c r="AS29" s="922" t="str">
        <f t="shared" si="42"/>
        <v/>
      </c>
      <c r="AT29" s="922" t="str">
        <f t="shared" si="43"/>
        <v/>
      </c>
      <c r="AU29" s="922" t="str">
        <f t="shared" si="44"/>
        <v/>
      </c>
      <c r="AV29" s="922" t="str">
        <f t="shared" si="45"/>
        <v/>
      </c>
      <c r="AW29" s="926" t="str">
        <f t="shared" si="45"/>
        <v/>
      </c>
    </row>
    <row r="30" spans="1:49" s="374" customFormat="1">
      <c r="A30" s="906" t="str">
        <f t="shared" si="46"/>
        <v>2022/12/03</v>
      </c>
      <c r="B30" s="373" t="s">
        <v>321</v>
      </c>
      <c r="C30" s="373" t="str">
        <f t="shared" si="0"/>
        <v>開缸劑
250 Base</v>
      </c>
      <c r="D30" s="373" t="str">
        <f t="shared" si="1"/>
        <v>XL-001F</v>
      </c>
      <c r="E30" s="373" t="str">
        <f t="shared" si="2"/>
        <v>ml/1000AH</v>
      </c>
      <c r="F30" s="373" t="str">
        <f t="shared" si="3"/>
        <v>100-200</v>
      </c>
      <c r="G30" s="894">
        <f t="shared" si="4"/>
        <v>200</v>
      </c>
      <c r="H30" s="894">
        <f t="shared" si="5"/>
        <v>0</v>
      </c>
      <c r="I30" s="899">
        <f t="shared" si="6"/>
        <v>0</v>
      </c>
      <c r="J30" s="894">
        <f t="shared" si="7"/>
        <v>195</v>
      </c>
      <c r="K30" s="894">
        <f t="shared" si="8"/>
        <v>0</v>
      </c>
      <c r="L30" s="899">
        <f t="shared" si="9"/>
        <v>0</v>
      </c>
      <c r="M30" s="894">
        <f t="shared" si="10"/>
        <v>190</v>
      </c>
      <c r="N30" s="894">
        <f t="shared" si="11"/>
        <v>0</v>
      </c>
      <c r="O30" s="899">
        <f t="shared" si="12"/>
        <v>0</v>
      </c>
      <c r="P30" s="894">
        <f t="shared" si="13"/>
        <v>195</v>
      </c>
      <c r="Q30" s="894">
        <f t="shared" si="14"/>
        <v>0</v>
      </c>
      <c r="R30" s="899">
        <f t="shared" si="15"/>
        <v>0</v>
      </c>
      <c r="S30" s="894">
        <f t="shared" si="16"/>
        <v>0</v>
      </c>
      <c r="T30" s="887">
        <f t="shared" si="17"/>
        <v>0</v>
      </c>
      <c r="U30" s="888">
        <f t="shared" si="18"/>
        <v>0</v>
      </c>
      <c r="V30" s="894">
        <f t="shared" si="19"/>
        <v>190</v>
      </c>
      <c r="W30" s="887">
        <f t="shared" si="20"/>
        <v>0</v>
      </c>
      <c r="X30" s="888">
        <f t="shared" si="21"/>
        <v>0</v>
      </c>
      <c r="Z30" s="374" t="b">
        <f t="shared" si="23"/>
        <v>1</v>
      </c>
      <c r="AA30" s="374" t="b">
        <f t="shared" si="24"/>
        <v>1</v>
      </c>
      <c r="AB30" s="374" t="b">
        <f t="shared" si="25"/>
        <v>1</v>
      </c>
      <c r="AC30" s="374" t="b">
        <f t="shared" si="26"/>
        <v>1</v>
      </c>
      <c r="AD30" s="374" t="b">
        <f t="shared" si="27"/>
        <v>1</v>
      </c>
      <c r="AE30" s="374" t="b">
        <f t="shared" si="28"/>
        <v>1</v>
      </c>
      <c r="AF30" s="374" t="b">
        <f t="shared" si="29"/>
        <v>1</v>
      </c>
      <c r="AG30" s="374" t="b">
        <f t="shared" si="30"/>
        <v>1</v>
      </c>
      <c r="AH30" s="374" t="b">
        <f t="shared" si="31"/>
        <v>1</v>
      </c>
      <c r="AI30" s="374" t="b">
        <f t="shared" si="32"/>
        <v>1</v>
      </c>
      <c r="AJ30" s="374" t="b">
        <f t="shared" si="33"/>
        <v>1</v>
      </c>
      <c r="AK30" s="374" t="b">
        <f t="shared" si="34"/>
        <v>1</v>
      </c>
      <c r="AL30" s="921" t="str">
        <f t="shared" si="35"/>
        <v/>
      </c>
      <c r="AM30" s="922" t="str">
        <f t="shared" si="36"/>
        <v/>
      </c>
      <c r="AN30" s="922" t="str">
        <f t="shared" si="37"/>
        <v/>
      </c>
      <c r="AO30" s="922" t="str">
        <f t="shared" si="38"/>
        <v/>
      </c>
      <c r="AP30" s="922" t="str">
        <f t="shared" si="39"/>
        <v/>
      </c>
      <c r="AQ30" s="922" t="str">
        <f t="shared" si="40"/>
        <v/>
      </c>
      <c r="AR30" s="922" t="str">
        <f t="shared" si="41"/>
        <v/>
      </c>
      <c r="AS30" s="922" t="str">
        <f t="shared" si="42"/>
        <v/>
      </c>
      <c r="AT30" s="922" t="str">
        <f t="shared" si="43"/>
        <v/>
      </c>
      <c r="AU30" s="922" t="str">
        <f t="shared" si="44"/>
        <v/>
      </c>
      <c r="AV30" s="922" t="str">
        <f t="shared" si="45"/>
        <v/>
      </c>
      <c r="AW30" s="926" t="str">
        <f t="shared" si="45"/>
        <v/>
      </c>
    </row>
    <row r="31" spans="1:49" s="904" customFormat="1">
      <c r="A31" s="1006" t="str">
        <f t="shared" si="46"/>
        <v>2022/12/03</v>
      </c>
      <c r="B31" s="855" t="s">
        <v>322</v>
      </c>
      <c r="C31" s="855" t="str">
        <f t="shared" si="0"/>
        <v>光亮劑
250 Brightener</v>
      </c>
      <c r="D31" s="855" t="str">
        <f t="shared" si="1"/>
        <v>XL-001F</v>
      </c>
      <c r="E31" s="855" t="str">
        <f t="shared" si="2"/>
        <v>ml/1000AH</v>
      </c>
      <c r="F31" s="855" t="str">
        <f t="shared" si="3"/>
        <v>20-50</v>
      </c>
      <c r="G31" s="889">
        <f t="shared" si="4"/>
        <v>43</v>
      </c>
      <c r="H31" s="889">
        <f t="shared" si="5"/>
        <v>0</v>
      </c>
      <c r="I31" s="890">
        <f t="shared" si="6"/>
        <v>0</v>
      </c>
      <c r="J31" s="889">
        <f t="shared" si="7"/>
        <v>42</v>
      </c>
      <c r="K31" s="889">
        <f t="shared" si="8"/>
        <v>0</v>
      </c>
      <c r="L31" s="890">
        <f t="shared" si="9"/>
        <v>0</v>
      </c>
      <c r="M31" s="889">
        <f t="shared" si="10"/>
        <v>43</v>
      </c>
      <c r="N31" s="889">
        <f t="shared" si="11"/>
        <v>0</v>
      </c>
      <c r="O31" s="890">
        <f t="shared" si="12"/>
        <v>0</v>
      </c>
      <c r="P31" s="889">
        <f t="shared" si="13"/>
        <v>42</v>
      </c>
      <c r="Q31" s="889">
        <f t="shared" si="14"/>
        <v>0</v>
      </c>
      <c r="R31" s="890">
        <f t="shared" si="15"/>
        <v>0</v>
      </c>
      <c r="S31" s="889">
        <f t="shared" si="16"/>
        <v>0</v>
      </c>
      <c r="T31" s="889">
        <f t="shared" si="17"/>
        <v>0</v>
      </c>
      <c r="U31" s="890">
        <f t="shared" si="18"/>
        <v>0</v>
      </c>
      <c r="V31" s="889">
        <f t="shared" si="19"/>
        <v>39</v>
      </c>
      <c r="W31" s="889">
        <f t="shared" si="20"/>
        <v>0</v>
      </c>
      <c r="X31" s="890">
        <f t="shared" si="21"/>
        <v>0</v>
      </c>
      <c r="Z31" s="904" t="b">
        <f t="shared" si="23"/>
        <v>1</v>
      </c>
      <c r="AA31" s="904" t="b">
        <f t="shared" si="24"/>
        <v>1</v>
      </c>
      <c r="AB31" s="904" t="b">
        <f t="shared" si="25"/>
        <v>1</v>
      </c>
      <c r="AC31" s="904" t="b">
        <f t="shared" si="26"/>
        <v>1</v>
      </c>
      <c r="AD31" s="904" t="b">
        <f t="shared" si="27"/>
        <v>1</v>
      </c>
      <c r="AE31" s="904" t="b">
        <f t="shared" si="28"/>
        <v>1</v>
      </c>
      <c r="AF31" s="904" t="b">
        <f t="shared" si="29"/>
        <v>1</v>
      </c>
      <c r="AG31" s="904" t="b">
        <f t="shared" si="30"/>
        <v>1</v>
      </c>
      <c r="AH31" s="904" t="b">
        <f t="shared" si="31"/>
        <v>1</v>
      </c>
      <c r="AI31" s="904" t="b">
        <f t="shared" si="32"/>
        <v>1</v>
      </c>
      <c r="AJ31" s="904" t="b">
        <f t="shared" si="33"/>
        <v>1</v>
      </c>
      <c r="AK31" s="904" t="b">
        <f t="shared" si="34"/>
        <v>1</v>
      </c>
      <c r="AL31" s="1007" t="str">
        <f t="shared" si="35"/>
        <v/>
      </c>
      <c r="AM31" s="1008" t="str">
        <f t="shared" si="36"/>
        <v/>
      </c>
      <c r="AN31" s="1008" t="str">
        <f t="shared" si="37"/>
        <v/>
      </c>
      <c r="AO31" s="1008" t="str">
        <f t="shared" si="38"/>
        <v/>
      </c>
      <c r="AP31" s="1008" t="str">
        <f t="shared" si="39"/>
        <v/>
      </c>
      <c r="AQ31" s="1008" t="str">
        <f t="shared" si="40"/>
        <v/>
      </c>
      <c r="AR31" s="1008" t="str">
        <f t="shared" si="41"/>
        <v/>
      </c>
      <c r="AS31" s="1008" t="str">
        <f t="shared" si="42"/>
        <v/>
      </c>
      <c r="AT31" s="1008" t="str">
        <f t="shared" si="43"/>
        <v/>
      </c>
      <c r="AU31" s="1008" t="str">
        <f t="shared" si="44"/>
        <v/>
      </c>
      <c r="AV31" s="1008" t="str">
        <f t="shared" si="45"/>
        <v/>
      </c>
      <c r="AW31" s="1009" t="str">
        <f t="shared" si="45"/>
        <v/>
      </c>
    </row>
    <row r="32" spans="1:49" s="374" customFormat="1">
      <c r="A32" s="906" t="str">
        <f t="shared" si="46"/>
        <v>2022/12/03</v>
      </c>
      <c r="B32" s="373" t="s">
        <v>323</v>
      </c>
      <c r="C32" s="373" t="str">
        <f t="shared" si="0"/>
        <v xml:space="preserve"> Xà bông  脫脂 (2,3,4)</v>
      </c>
      <c r="D32" s="373" t="str">
        <f t="shared" si="1"/>
        <v>XT-000C</v>
      </c>
      <c r="E32" s="373" t="str">
        <f t="shared" si="2"/>
        <v>g/L</v>
      </c>
      <c r="F32" s="373" t="str">
        <f t="shared" si="3"/>
        <v>40~60g/L
(50±5g/L)</v>
      </c>
      <c r="G32" s="894">
        <f t="shared" si="4"/>
        <v>0</v>
      </c>
      <c r="H32" s="894">
        <f t="shared" si="5"/>
        <v>775.85</v>
      </c>
      <c r="I32" s="899" t="str">
        <f t="shared" si="6"/>
        <v>kg</v>
      </c>
      <c r="J32" s="894">
        <f t="shared" si="7"/>
        <v>0</v>
      </c>
      <c r="K32" s="894">
        <f t="shared" si="8"/>
        <v>775.85</v>
      </c>
      <c r="L32" s="899" t="str">
        <f t="shared" si="9"/>
        <v>kg</v>
      </c>
      <c r="M32" s="894">
        <f t="shared" si="10"/>
        <v>0</v>
      </c>
      <c r="N32" s="894">
        <f t="shared" si="11"/>
        <v>775.85</v>
      </c>
      <c r="O32" s="899" t="str">
        <f t="shared" si="12"/>
        <v>kg</v>
      </c>
      <c r="P32" s="894">
        <f t="shared" si="13"/>
        <v>0</v>
      </c>
      <c r="Q32" s="894">
        <f t="shared" si="14"/>
        <v>775.85</v>
      </c>
      <c r="R32" s="899" t="str">
        <f t="shared" si="15"/>
        <v>kg</v>
      </c>
      <c r="S32" s="894">
        <f t="shared" si="16"/>
        <v>0</v>
      </c>
      <c r="T32" s="887">
        <f t="shared" si="17"/>
        <v>775.85</v>
      </c>
      <c r="U32" s="888" t="str">
        <f t="shared" si="18"/>
        <v>kg</v>
      </c>
      <c r="V32" s="894">
        <f t="shared" si="19"/>
        <v>0</v>
      </c>
      <c r="W32" s="887">
        <f t="shared" si="20"/>
        <v>775.85</v>
      </c>
      <c r="X32" s="888" t="str">
        <f t="shared" si="21"/>
        <v>kg</v>
      </c>
      <c r="Z32" s="374" t="b">
        <f t="shared" si="23"/>
        <v>1</v>
      </c>
      <c r="AA32" s="374" t="b">
        <f t="shared" si="24"/>
        <v>1</v>
      </c>
      <c r="AB32" s="374" t="b">
        <f t="shared" si="25"/>
        <v>1</v>
      </c>
      <c r="AC32" s="374" t="b">
        <f t="shared" si="26"/>
        <v>1</v>
      </c>
      <c r="AD32" s="374" t="b">
        <f t="shared" si="27"/>
        <v>1</v>
      </c>
      <c r="AE32" s="374" t="b">
        <f t="shared" si="28"/>
        <v>1</v>
      </c>
      <c r="AF32" s="374" t="b">
        <f t="shared" si="29"/>
        <v>1</v>
      </c>
      <c r="AG32" s="374" t="b">
        <f t="shared" si="30"/>
        <v>1</v>
      </c>
      <c r="AH32" s="374" t="b">
        <f t="shared" si="31"/>
        <v>1</v>
      </c>
      <c r="AI32" s="374" t="b">
        <f t="shared" si="32"/>
        <v>1</v>
      </c>
      <c r="AJ32" s="374" t="b">
        <f t="shared" si="33"/>
        <v>1</v>
      </c>
      <c r="AK32" s="374" t="b">
        <f t="shared" si="34"/>
        <v>1</v>
      </c>
      <c r="AL32" s="921" t="str">
        <f t="shared" si="35"/>
        <v/>
      </c>
      <c r="AM32" s="922" t="str">
        <f t="shared" si="36"/>
        <v/>
      </c>
      <c r="AN32" s="922" t="str">
        <f t="shared" si="37"/>
        <v/>
      </c>
      <c r="AO32" s="922" t="str">
        <f t="shared" si="38"/>
        <v/>
      </c>
      <c r="AP32" s="922" t="str">
        <f t="shared" si="39"/>
        <v/>
      </c>
      <c r="AQ32" s="922" t="str">
        <f t="shared" si="40"/>
        <v/>
      </c>
      <c r="AR32" s="922" t="str">
        <f t="shared" si="41"/>
        <v/>
      </c>
      <c r="AS32" s="922" t="str">
        <f t="shared" si="42"/>
        <v/>
      </c>
      <c r="AT32" s="922" t="str">
        <f t="shared" si="43"/>
        <v/>
      </c>
      <c r="AU32" s="922" t="str">
        <f t="shared" si="44"/>
        <v/>
      </c>
      <c r="AV32" s="922" t="str">
        <f t="shared" si="45"/>
        <v/>
      </c>
      <c r="AW32" s="926" t="str">
        <f t="shared" si="45"/>
        <v/>
      </c>
    </row>
    <row r="33" spans="1:49" s="374" customFormat="1">
      <c r="A33" s="906" t="str">
        <f t="shared" si="46"/>
        <v>2022/12/03</v>
      </c>
      <c r="B33" s="373" t="s">
        <v>324</v>
      </c>
      <c r="C33" s="373" t="str">
        <f t="shared" si="0"/>
        <v>Xà bông  脫脂  (5,6)</v>
      </c>
      <c r="D33" s="373" t="str">
        <f t="shared" si="1"/>
        <v>XT-000C</v>
      </c>
      <c r="E33" s="373" t="str">
        <f t="shared" si="2"/>
        <v>g/L</v>
      </c>
      <c r="F33" s="373" t="str">
        <f t="shared" si="3"/>
        <v>40~60g/L
(50±5g/L)</v>
      </c>
      <c r="G33" s="894">
        <f t="shared" si="4"/>
        <v>0</v>
      </c>
      <c r="H33" s="894">
        <f t="shared" si="5"/>
        <v>573.75</v>
      </c>
      <c r="I33" s="899" t="str">
        <f t="shared" si="6"/>
        <v>kg</v>
      </c>
      <c r="J33" s="894">
        <f t="shared" si="7"/>
        <v>0</v>
      </c>
      <c r="K33" s="894">
        <f t="shared" si="8"/>
        <v>573.75</v>
      </c>
      <c r="L33" s="899" t="str">
        <f t="shared" si="9"/>
        <v>kg</v>
      </c>
      <c r="M33" s="894">
        <f t="shared" si="10"/>
        <v>0</v>
      </c>
      <c r="N33" s="894">
        <f t="shared" si="11"/>
        <v>573.75</v>
      </c>
      <c r="O33" s="899" t="str">
        <f t="shared" si="12"/>
        <v>kg</v>
      </c>
      <c r="P33" s="894">
        <f t="shared" si="13"/>
        <v>0</v>
      </c>
      <c r="Q33" s="894">
        <f t="shared" si="14"/>
        <v>573.75</v>
      </c>
      <c r="R33" s="899" t="str">
        <f t="shared" si="15"/>
        <v>kg</v>
      </c>
      <c r="S33" s="894">
        <f t="shared" si="16"/>
        <v>0</v>
      </c>
      <c r="T33" s="887">
        <f t="shared" si="17"/>
        <v>573.75</v>
      </c>
      <c r="U33" s="888" t="str">
        <f t="shared" si="18"/>
        <v>kg</v>
      </c>
      <c r="V33" s="894">
        <f t="shared" si="19"/>
        <v>0</v>
      </c>
      <c r="W33" s="887">
        <f t="shared" si="20"/>
        <v>573.75</v>
      </c>
      <c r="X33" s="888" t="str">
        <f t="shared" si="21"/>
        <v>kg</v>
      </c>
      <c r="Z33" s="374" t="b">
        <f t="shared" si="23"/>
        <v>1</v>
      </c>
      <c r="AA33" s="374" t="b">
        <f t="shared" si="24"/>
        <v>1</v>
      </c>
      <c r="AB33" s="374" t="b">
        <f t="shared" si="25"/>
        <v>1</v>
      </c>
      <c r="AC33" s="374" t="b">
        <f t="shared" si="26"/>
        <v>1</v>
      </c>
      <c r="AD33" s="374" t="b">
        <f t="shared" si="27"/>
        <v>1</v>
      </c>
      <c r="AE33" s="374" t="b">
        <f t="shared" si="28"/>
        <v>1</v>
      </c>
      <c r="AF33" s="374" t="b">
        <f t="shared" si="29"/>
        <v>1</v>
      </c>
      <c r="AG33" s="374" t="b">
        <f t="shared" si="30"/>
        <v>1</v>
      </c>
      <c r="AH33" s="374" t="b">
        <f t="shared" si="31"/>
        <v>1</v>
      </c>
      <c r="AI33" s="374" t="b">
        <f t="shared" si="32"/>
        <v>1</v>
      </c>
      <c r="AJ33" s="374" t="b">
        <f t="shared" si="33"/>
        <v>1</v>
      </c>
      <c r="AK33" s="374" t="b">
        <f t="shared" si="34"/>
        <v>1</v>
      </c>
      <c r="AL33" s="921" t="str">
        <f t="shared" si="35"/>
        <v/>
      </c>
      <c r="AM33" s="922" t="str">
        <f t="shared" si="36"/>
        <v/>
      </c>
      <c r="AN33" s="922" t="str">
        <f t="shared" si="37"/>
        <v/>
      </c>
      <c r="AO33" s="922" t="str">
        <f t="shared" si="38"/>
        <v/>
      </c>
      <c r="AP33" s="922" t="str">
        <f t="shared" si="39"/>
        <v/>
      </c>
      <c r="AQ33" s="922" t="str">
        <f t="shared" si="40"/>
        <v/>
      </c>
      <c r="AR33" s="922" t="str">
        <f t="shared" si="41"/>
        <v/>
      </c>
      <c r="AS33" s="922" t="str">
        <f t="shared" si="42"/>
        <v/>
      </c>
      <c r="AT33" s="922" t="str">
        <f t="shared" si="43"/>
        <v/>
      </c>
      <c r="AU33" s="922" t="str">
        <f t="shared" si="44"/>
        <v/>
      </c>
      <c r="AV33" s="922" t="str">
        <f t="shared" si="45"/>
        <v/>
      </c>
      <c r="AW33" s="926" t="str">
        <f t="shared" si="45"/>
        <v/>
      </c>
    </row>
    <row r="34" spans="1:49" s="374" customFormat="1">
      <c r="A34" s="906" t="str">
        <f t="shared" si="46"/>
        <v>2022/12/03</v>
      </c>
      <c r="B34" s="373" t="s">
        <v>325</v>
      </c>
      <c r="C34" s="373" t="str">
        <f t="shared" ref="C34:C45" si="47">IFERROR(VLOOKUP($B34,_XM_XT_THUCTE,3,0),"")</f>
        <v>Điện giải  電解 (8)</v>
      </c>
      <c r="D34" s="373" t="str">
        <f t="shared" ref="D34:D45" si="48">IFERROR(VLOOKUP($B34,_XM_XT_THUCTE,2,0),"")</f>
        <v>XT-000C</v>
      </c>
      <c r="E34" s="373" t="str">
        <f t="shared" ref="E34:E45" si="49">IFERROR(VLOOKUP($B34,_XM_XT_THUCTE,4,0),"")</f>
        <v>g/L</v>
      </c>
      <c r="F34" s="373" t="str">
        <f t="shared" ref="F34:F45" si="50">IFERROR(VLOOKUP($B34,_XM_XT_THUCTE,5,0),"")</f>
        <v>50~70g/L
(60±5g/L)</v>
      </c>
      <c r="G34" s="894">
        <f t="shared" ref="G34:G45" si="51">IFERROR(VLOOKUP($B34,_XM_XT_THUCTE,8,0),"")</f>
        <v>0</v>
      </c>
      <c r="H34" s="894">
        <f t="shared" ref="H34:H45" si="52">IFERROR(VLOOKUP($B34,_XM_XT_THUCTE,11,0),"")</f>
        <v>492</v>
      </c>
      <c r="I34" s="899" t="str">
        <f t="shared" ref="I34:I45" si="53">IFERROR(VLOOKUP($B34,_XM_XT_THUCTE,12,0),"")</f>
        <v>kg</v>
      </c>
      <c r="J34" s="894">
        <f t="shared" si="7"/>
        <v>0</v>
      </c>
      <c r="K34" s="894">
        <f t="shared" ref="K34:K45" si="54">IFERROR(VLOOKUP($B34,_XM_XT_THUCTE,17,0),"")</f>
        <v>492</v>
      </c>
      <c r="L34" s="899" t="str">
        <f t="shared" ref="L34:L45" si="55">IFERROR(VLOOKUP($B34,_XM_XT_THUCTE,18,0),"")</f>
        <v>kg</v>
      </c>
      <c r="M34" s="894">
        <f t="shared" ref="M34:M45" si="56">IFERROR(VLOOKUP($B34,_XM_XT_THUCTE,20,0),"")</f>
        <v>0</v>
      </c>
      <c r="N34" s="894">
        <f t="shared" ref="N34:N45" si="57">IFERROR(VLOOKUP($B34,_XM_XT_THUCTE,23,0),"")</f>
        <v>492</v>
      </c>
      <c r="O34" s="899" t="str">
        <f t="shared" ref="O34:O45" si="58">IFERROR(VLOOKUP($B34,_XM_XT_THUCTE,24,0),"")</f>
        <v>kg</v>
      </c>
      <c r="P34" s="894">
        <f t="shared" ref="P34:P45" si="59">IFERROR(VLOOKUP($B34,_XM_XT_THUCTE,26,0),"")</f>
        <v>0</v>
      </c>
      <c r="Q34" s="894">
        <f t="shared" ref="Q34:Q45" si="60">IFERROR(VLOOKUP($B34,_XM_XT_THUCTE,29,0),"")</f>
        <v>492</v>
      </c>
      <c r="R34" s="899" t="str">
        <f t="shared" ref="R34:R45" si="61">IFERROR(VLOOKUP($B34,_XM_XT_THUCTE,30,0),"")</f>
        <v>kg</v>
      </c>
      <c r="S34" s="894">
        <f t="shared" ref="S34:S45" si="62">IFERROR(VLOOKUP($B34,_XM_XT_THUCTE,32,0),"")</f>
        <v>0</v>
      </c>
      <c r="T34" s="887">
        <f t="shared" ref="T34:T45" si="63">IFERROR(VLOOKUP($B34,_XM_XT_THUCTE,35,0),"")</f>
        <v>492</v>
      </c>
      <c r="U34" s="888" t="str">
        <f t="shared" ref="U34:U45" si="64">IFERROR(VLOOKUP($B34,_XM_XT_THUCTE,36,0),"")</f>
        <v>kg</v>
      </c>
      <c r="V34" s="894">
        <f t="shared" ref="V34:V45" si="65">IFERROR(VLOOKUP($B34,_XM_XT_THUCTE,38,0),"")</f>
        <v>0</v>
      </c>
      <c r="W34" s="887">
        <f t="shared" ref="W34:W45" si="66">IFERROR(VLOOKUP($B34,_XM_XT_THUCTE,41,0),"")</f>
        <v>492</v>
      </c>
      <c r="X34" s="888" t="str">
        <f t="shared" ref="X34:X45" si="67">IFERROR(VLOOKUP($B34,_XM_XT_THUCTE,42,0),"")</f>
        <v>kg</v>
      </c>
      <c r="Z34" s="374" t="b">
        <f t="shared" si="23"/>
        <v>1</v>
      </c>
      <c r="AA34" s="374" t="b">
        <f t="shared" si="24"/>
        <v>1</v>
      </c>
      <c r="AB34" s="374" t="b">
        <f t="shared" si="25"/>
        <v>1</v>
      </c>
      <c r="AC34" s="374" t="b">
        <f t="shared" si="26"/>
        <v>1</v>
      </c>
      <c r="AD34" s="374" t="b">
        <f t="shared" si="27"/>
        <v>1</v>
      </c>
      <c r="AE34" s="374" t="b">
        <f t="shared" si="28"/>
        <v>1</v>
      </c>
      <c r="AF34" s="374" t="b">
        <f t="shared" si="29"/>
        <v>1</v>
      </c>
      <c r="AG34" s="374" t="b">
        <f t="shared" si="30"/>
        <v>1</v>
      </c>
      <c r="AH34" s="374" t="b">
        <f t="shared" si="31"/>
        <v>1</v>
      </c>
      <c r="AI34" s="374" t="b">
        <f t="shared" si="32"/>
        <v>1</v>
      </c>
      <c r="AJ34" s="374" t="b">
        <f t="shared" si="33"/>
        <v>1</v>
      </c>
      <c r="AK34" s="374" t="b">
        <f t="shared" si="34"/>
        <v>1</v>
      </c>
      <c r="AL34" s="921" t="str">
        <f t="shared" si="35"/>
        <v/>
      </c>
      <c r="AM34" s="922" t="str">
        <f t="shared" si="36"/>
        <v/>
      </c>
      <c r="AN34" s="922" t="str">
        <f t="shared" si="37"/>
        <v/>
      </c>
      <c r="AO34" s="922" t="str">
        <f t="shared" si="38"/>
        <v/>
      </c>
      <c r="AP34" s="922" t="str">
        <f t="shared" si="39"/>
        <v/>
      </c>
      <c r="AQ34" s="922" t="str">
        <f t="shared" si="40"/>
        <v/>
      </c>
      <c r="AR34" s="922" t="str">
        <f t="shared" si="41"/>
        <v/>
      </c>
      <c r="AS34" s="922" t="str">
        <f t="shared" si="42"/>
        <v/>
      </c>
      <c r="AT34" s="922" t="str">
        <f t="shared" si="43"/>
        <v/>
      </c>
      <c r="AU34" s="922" t="str">
        <f t="shared" si="44"/>
        <v/>
      </c>
      <c r="AV34" s="922" t="str">
        <f t="shared" si="45"/>
        <v/>
      </c>
      <c r="AW34" s="926" t="str">
        <f t="shared" si="45"/>
        <v/>
      </c>
    </row>
    <row r="35" spans="1:49" s="374" customFormat="1">
      <c r="A35" s="906" t="str">
        <f t="shared" si="46"/>
        <v>2022/12/03</v>
      </c>
      <c r="B35" s="373" t="s">
        <v>326</v>
      </c>
      <c r="C35" s="373" t="str">
        <f t="shared" si="47"/>
        <v>Điện giải  電解  (20,21)</v>
      </c>
      <c r="D35" s="373" t="str">
        <f t="shared" si="48"/>
        <v>XT-000C</v>
      </c>
      <c r="E35" s="373" t="str">
        <f t="shared" si="49"/>
        <v>g/L</v>
      </c>
      <c r="F35" s="373" t="str">
        <f t="shared" si="50"/>
        <v>50~70g/L
(60±5g/L)</v>
      </c>
      <c r="G35" s="894">
        <f t="shared" si="51"/>
        <v>0</v>
      </c>
      <c r="H35" s="894">
        <f t="shared" si="52"/>
        <v>520.08000000000004</v>
      </c>
      <c r="I35" s="899" t="str">
        <f t="shared" si="53"/>
        <v>kg</v>
      </c>
      <c r="J35" s="894">
        <f t="shared" si="7"/>
        <v>0</v>
      </c>
      <c r="K35" s="894">
        <f t="shared" si="54"/>
        <v>520.08000000000004</v>
      </c>
      <c r="L35" s="899" t="str">
        <f t="shared" si="55"/>
        <v>kg</v>
      </c>
      <c r="M35" s="894">
        <f t="shared" si="56"/>
        <v>0</v>
      </c>
      <c r="N35" s="894">
        <f t="shared" si="57"/>
        <v>520.08000000000004</v>
      </c>
      <c r="O35" s="899" t="str">
        <f t="shared" si="58"/>
        <v>kg</v>
      </c>
      <c r="P35" s="894">
        <f t="shared" si="59"/>
        <v>0</v>
      </c>
      <c r="Q35" s="894">
        <f t="shared" si="60"/>
        <v>520.08000000000004</v>
      </c>
      <c r="R35" s="899" t="str">
        <f t="shared" si="61"/>
        <v>kg</v>
      </c>
      <c r="S35" s="894">
        <f t="shared" si="62"/>
        <v>0</v>
      </c>
      <c r="T35" s="887">
        <f t="shared" si="63"/>
        <v>520.08000000000004</v>
      </c>
      <c r="U35" s="888" t="str">
        <f t="shared" si="64"/>
        <v>kg</v>
      </c>
      <c r="V35" s="894">
        <f t="shared" si="65"/>
        <v>0</v>
      </c>
      <c r="W35" s="887">
        <f t="shared" si="66"/>
        <v>520.08000000000004</v>
      </c>
      <c r="X35" s="888" t="str">
        <f t="shared" si="67"/>
        <v>kg</v>
      </c>
      <c r="Z35" s="374" t="b">
        <f t="shared" si="23"/>
        <v>1</v>
      </c>
      <c r="AA35" s="374" t="b">
        <f t="shared" si="24"/>
        <v>1</v>
      </c>
      <c r="AB35" s="374" t="b">
        <f t="shared" si="25"/>
        <v>1</v>
      </c>
      <c r="AC35" s="374" t="b">
        <f t="shared" si="26"/>
        <v>1</v>
      </c>
      <c r="AD35" s="374" t="b">
        <f t="shared" si="27"/>
        <v>1</v>
      </c>
      <c r="AE35" s="374" t="b">
        <f t="shared" si="28"/>
        <v>1</v>
      </c>
      <c r="AF35" s="374" t="b">
        <f t="shared" si="29"/>
        <v>1</v>
      </c>
      <c r="AG35" s="374" t="b">
        <f t="shared" si="30"/>
        <v>1</v>
      </c>
      <c r="AH35" s="374" t="b">
        <f t="shared" si="31"/>
        <v>1</v>
      </c>
      <c r="AI35" s="374" t="b">
        <f t="shared" si="32"/>
        <v>1</v>
      </c>
      <c r="AJ35" s="374" t="b">
        <f t="shared" si="33"/>
        <v>1</v>
      </c>
      <c r="AK35" s="374" t="b">
        <f t="shared" si="34"/>
        <v>1</v>
      </c>
      <c r="AL35" s="921" t="str">
        <f t="shared" si="35"/>
        <v/>
      </c>
      <c r="AM35" s="922" t="str">
        <f t="shared" si="36"/>
        <v/>
      </c>
      <c r="AN35" s="922" t="str">
        <f t="shared" si="37"/>
        <v/>
      </c>
      <c r="AO35" s="922" t="str">
        <f t="shared" si="38"/>
        <v/>
      </c>
      <c r="AP35" s="922" t="str">
        <f t="shared" si="39"/>
        <v/>
      </c>
      <c r="AQ35" s="922" t="str">
        <f t="shared" si="40"/>
        <v/>
      </c>
      <c r="AR35" s="922" t="str">
        <f t="shared" si="41"/>
        <v/>
      </c>
      <c r="AS35" s="922" t="str">
        <f t="shared" si="42"/>
        <v/>
      </c>
      <c r="AT35" s="922" t="str">
        <f t="shared" si="43"/>
        <v/>
      </c>
      <c r="AU35" s="922" t="str">
        <f t="shared" si="44"/>
        <v/>
      </c>
      <c r="AV35" s="922" t="str">
        <f t="shared" si="45"/>
        <v/>
      </c>
      <c r="AW35" s="926" t="str">
        <f t="shared" si="45"/>
        <v/>
      </c>
    </row>
    <row r="36" spans="1:49" s="374" customFormat="1">
      <c r="A36" s="906" t="str">
        <f t="shared" si="46"/>
        <v>2022/12/03</v>
      </c>
      <c r="B36" s="373" t="s">
        <v>327</v>
      </c>
      <c r="C36" s="373" t="str">
        <f t="shared" si="47"/>
        <v>NaOH (26-37)
氫氧化鈉</v>
      </c>
      <c r="D36" s="373" t="str">
        <f t="shared" si="48"/>
        <v>XT-000C</v>
      </c>
      <c r="E36" s="373" t="str">
        <f t="shared" si="49"/>
        <v>g/L</v>
      </c>
      <c r="F36" s="373" t="str">
        <f t="shared" si="50"/>
        <v>135~ 145g/L
(140±5g/L)</v>
      </c>
      <c r="G36" s="894">
        <f t="shared" si="51"/>
        <v>0</v>
      </c>
      <c r="H36" s="894">
        <f t="shared" si="52"/>
        <v>7429.24</v>
      </c>
      <c r="I36" s="899" t="str">
        <f t="shared" si="53"/>
        <v>kg</v>
      </c>
      <c r="J36" s="894">
        <f t="shared" si="7"/>
        <v>0</v>
      </c>
      <c r="K36" s="894">
        <f t="shared" si="54"/>
        <v>7429.24</v>
      </c>
      <c r="L36" s="899" t="str">
        <f t="shared" si="55"/>
        <v>kg</v>
      </c>
      <c r="M36" s="894">
        <f t="shared" si="56"/>
        <v>0</v>
      </c>
      <c r="N36" s="894">
        <f t="shared" si="57"/>
        <v>7429.24</v>
      </c>
      <c r="O36" s="899" t="str">
        <f t="shared" si="58"/>
        <v>kg</v>
      </c>
      <c r="P36" s="894">
        <f t="shared" si="59"/>
        <v>0</v>
      </c>
      <c r="Q36" s="894">
        <f t="shared" si="60"/>
        <v>7429.24</v>
      </c>
      <c r="R36" s="899" t="str">
        <f t="shared" si="61"/>
        <v>kg</v>
      </c>
      <c r="S36" s="894">
        <f t="shared" si="62"/>
        <v>0</v>
      </c>
      <c r="T36" s="887">
        <f t="shared" si="63"/>
        <v>7429.24</v>
      </c>
      <c r="U36" s="888" t="str">
        <f t="shared" si="64"/>
        <v>kg</v>
      </c>
      <c r="V36" s="894">
        <f t="shared" si="65"/>
        <v>0</v>
      </c>
      <c r="W36" s="887">
        <f t="shared" si="66"/>
        <v>7429.24</v>
      </c>
      <c r="X36" s="888" t="str">
        <f t="shared" si="67"/>
        <v>kg</v>
      </c>
      <c r="Z36" s="374" t="b">
        <f t="shared" si="23"/>
        <v>1</v>
      </c>
      <c r="AA36" s="374" t="b">
        <f t="shared" si="24"/>
        <v>1</v>
      </c>
      <c r="AB36" s="374" t="b">
        <f t="shared" si="25"/>
        <v>1</v>
      </c>
      <c r="AC36" s="374" t="b">
        <f t="shared" si="26"/>
        <v>1</v>
      </c>
      <c r="AD36" s="374" t="b">
        <f t="shared" si="27"/>
        <v>1</v>
      </c>
      <c r="AE36" s="374" t="b">
        <f t="shared" si="28"/>
        <v>1</v>
      </c>
      <c r="AF36" s="374" t="b">
        <f t="shared" si="29"/>
        <v>1</v>
      </c>
      <c r="AG36" s="374" t="b">
        <f t="shared" si="30"/>
        <v>1</v>
      </c>
      <c r="AH36" s="374" t="b">
        <f t="shared" si="31"/>
        <v>1</v>
      </c>
      <c r="AI36" s="374" t="b">
        <f t="shared" si="32"/>
        <v>1</v>
      </c>
      <c r="AJ36" s="374" t="b">
        <f t="shared" si="33"/>
        <v>1</v>
      </c>
      <c r="AK36" s="374" t="b">
        <f t="shared" si="34"/>
        <v>1</v>
      </c>
      <c r="AL36" s="921" t="str">
        <f t="shared" si="35"/>
        <v/>
      </c>
      <c r="AM36" s="922" t="str">
        <f t="shared" si="36"/>
        <v/>
      </c>
      <c r="AN36" s="922" t="str">
        <f t="shared" si="37"/>
        <v/>
      </c>
      <c r="AO36" s="922" t="str">
        <f t="shared" si="38"/>
        <v/>
      </c>
      <c r="AP36" s="922" t="str">
        <f t="shared" si="39"/>
        <v/>
      </c>
      <c r="AQ36" s="922" t="str">
        <f t="shared" si="40"/>
        <v/>
      </c>
      <c r="AR36" s="922" t="str">
        <f t="shared" si="41"/>
        <v/>
      </c>
      <c r="AS36" s="922" t="str">
        <f t="shared" si="42"/>
        <v/>
      </c>
      <c r="AT36" s="922" t="str">
        <f t="shared" si="43"/>
        <v/>
      </c>
      <c r="AU36" s="922" t="str">
        <f t="shared" si="44"/>
        <v/>
      </c>
      <c r="AV36" s="922" t="str">
        <f t="shared" si="45"/>
        <v/>
      </c>
      <c r="AW36" s="926" t="str">
        <f t="shared" si="45"/>
        <v/>
      </c>
    </row>
    <row r="37" spans="1:49" s="374" customFormat="1">
      <c r="A37" s="906" t="str">
        <f t="shared" si="46"/>
        <v>2022/12/03</v>
      </c>
      <c r="B37" s="373" t="s">
        <v>328</v>
      </c>
      <c r="C37" s="373" t="str">
        <f t="shared" si="47"/>
        <v>Zn  鋅 (26-37)
(1 pcs Zn=25kg)</v>
      </c>
      <c r="D37" s="373" t="str">
        <f t="shared" si="48"/>
        <v>XT-000C</v>
      </c>
      <c r="E37" s="373" t="str">
        <f t="shared" si="49"/>
        <v>g/L</v>
      </c>
      <c r="F37" s="373" t="str">
        <f t="shared" si="50"/>
        <v>6~8g/L
(7±0.5g/L)</v>
      </c>
      <c r="G37" s="894">
        <f t="shared" si="51"/>
        <v>0</v>
      </c>
      <c r="H37" s="894">
        <f t="shared" si="52"/>
        <v>371.46199999999999</v>
      </c>
      <c r="I37" s="899" t="str">
        <f t="shared" si="53"/>
        <v>kg</v>
      </c>
      <c r="J37" s="894">
        <f t="shared" si="7"/>
        <v>0</v>
      </c>
      <c r="K37" s="894">
        <f t="shared" si="54"/>
        <v>371.46199999999999</v>
      </c>
      <c r="L37" s="899" t="str">
        <f t="shared" si="55"/>
        <v>kg</v>
      </c>
      <c r="M37" s="894">
        <f t="shared" si="56"/>
        <v>0</v>
      </c>
      <c r="N37" s="894">
        <f t="shared" si="57"/>
        <v>371.46199999999999</v>
      </c>
      <c r="O37" s="899" t="str">
        <f t="shared" si="58"/>
        <v>kg</v>
      </c>
      <c r="P37" s="894">
        <f t="shared" si="59"/>
        <v>0</v>
      </c>
      <c r="Q37" s="894">
        <f t="shared" si="60"/>
        <v>371.46199999999999</v>
      </c>
      <c r="R37" s="899" t="str">
        <f t="shared" si="61"/>
        <v>kg</v>
      </c>
      <c r="S37" s="894">
        <f t="shared" si="62"/>
        <v>0</v>
      </c>
      <c r="T37" s="887">
        <f t="shared" si="63"/>
        <v>371.46199999999999</v>
      </c>
      <c r="U37" s="888" t="str">
        <f t="shared" si="64"/>
        <v>kg</v>
      </c>
      <c r="V37" s="894">
        <f t="shared" si="65"/>
        <v>0</v>
      </c>
      <c r="W37" s="887">
        <f t="shared" si="66"/>
        <v>371.46199999999999</v>
      </c>
      <c r="X37" s="888" t="str">
        <f t="shared" si="67"/>
        <v>kg</v>
      </c>
      <c r="Z37" s="374" t="b">
        <f t="shared" si="23"/>
        <v>1</v>
      </c>
      <c r="AA37" s="374" t="b">
        <f t="shared" si="24"/>
        <v>1</v>
      </c>
      <c r="AB37" s="374" t="b">
        <f t="shared" si="25"/>
        <v>1</v>
      </c>
      <c r="AC37" s="374" t="b">
        <f t="shared" si="26"/>
        <v>1</v>
      </c>
      <c r="AD37" s="374" t="b">
        <f t="shared" si="27"/>
        <v>1</v>
      </c>
      <c r="AE37" s="374" t="b">
        <f t="shared" si="28"/>
        <v>1</v>
      </c>
      <c r="AF37" s="374" t="b">
        <f t="shared" si="29"/>
        <v>1</v>
      </c>
      <c r="AG37" s="374" t="b">
        <f t="shared" si="30"/>
        <v>1</v>
      </c>
      <c r="AH37" s="374" t="b">
        <f t="shared" si="31"/>
        <v>1</v>
      </c>
      <c r="AI37" s="374" t="b">
        <f t="shared" si="32"/>
        <v>1</v>
      </c>
      <c r="AJ37" s="374" t="b">
        <f t="shared" si="33"/>
        <v>1</v>
      </c>
      <c r="AK37" s="374" t="b">
        <f t="shared" si="34"/>
        <v>1</v>
      </c>
      <c r="AL37" s="921" t="str">
        <f t="shared" si="35"/>
        <v/>
      </c>
      <c r="AM37" s="922" t="str">
        <f t="shared" si="36"/>
        <v/>
      </c>
      <c r="AN37" s="922" t="str">
        <f t="shared" si="37"/>
        <v/>
      </c>
      <c r="AO37" s="922" t="str">
        <f t="shared" si="38"/>
        <v/>
      </c>
      <c r="AP37" s="922" t="str">
        <f t="shared" si="39"/>
        <v/>
      </c>
      <c r="AQ37" s="922" t="str">
        <f t="shared" si="40"/>
        <v/>
      </c>
      <c r="AR37" s="922" t="str">
        <f t="shared" si="41"/>
        <v/>
      </c>
      <c r="AS37" s="922" t="str">
        <f t="shared" si="42"/>
        <v/>
      </c>
      <c r="AT37" s="922" t="str">
        <f t="shared" si="43"/>
        <v/>
      </c>
      <c r="AU37" s="922" t="str">
        <f t="shared" si="44"/>
        <v/>
      </c>
      <c r="AV37" s="922" t="str">
        <f t="shared" si="45"/>
        <v/>
      </c>
      <c r="AW37" s="926" t="str">
        <f t="shared" si="45"/>
        <v/>
      </c>
    </row>
    <row r="38" spans="1:49" s="374" customFormat="1">
      <c r="A38" s="906" t="str">
        <f t="shared" si="46"/>
        <v>2022/12/03</v>
      </c>
      <c r="B38" s="373" t="s">
        <v>329</v>
      </c>
      <c r="C38" s="373" t="str">
        <f t="shared" si="47"/>
        <v>Nồng độ Cr2O3 三價鉻(46)
LANTHANE 318 (HALO)</v>
      </c>
      <c r="D38" s="373" t="str">
        <f t="shared" si="48"/>
        <v>XT-000C</v>
      </c>
      <c r="E38" s="373" t="str">
        <f t="shared" si="49"/>
        <v>%</v>
      </c>
      <c r="F38" s="373" t="str">
        <f t="shared" si="50"/>
        <v>5~8 %
(6±0.5%)</v>
      </c>
      <c r="G38" s="894">
        <f t="shared" si="51"/>
        <v>-1.0461</v>
      </c>
      <c r="H38" s="894">
        <f t="shared" si="52"/>
        <v>236.74896000000001</v>
      </c>
      <c r="I38" s="899" t="str">
        <f t="shared" si="53"/>
        <v>L</v>
      </c>
      <c r="J38" s="894">
        <f t="shared" si="7"/>
        <v>-1.0461</v>
      </c>
      <c r="K38" s="894">
        <f t="shared" si="54"/>
        <v>236.74896000000001</v>
      </c>
      <c r="L38" s="899" t="str">
        <f t="shared" si="55"/>
        <v>L</v>
      </c>
      <c r="M38" s="894">
        <f t="shared" si="56"/>
        <v>-1.0461</v>
      </c>
      <c r="N38" s="894">
        <f t="shared" si="57"/>
        <v>236.74896000000001</v>
      </c>
      <c r="O38" s="899" t="str">
        <f t="shared" si="58"/>
        <v>L</v>
      </c>
      <c r="P38" s="894">
        <f t="shared" si="59"/>
        <v>-1.0461</v>
      </c>
      <c r="Q38" s="894">
        <f t="shared" si="60"/>
        <v>236.74896000000001</v>
      </c>
      <c r="R38" s="899" t="str">
        <f t="shared" si="61"/>
        <v>L</v>
      </c>
      <c r="S38" s="894">
        <f t="shared" si="62"/>
        <v>-1.0461</v>
      </c>
      <c r="T38" s="887">
        <f t="shared" si="63"/>
        <v>236.74896000000001</v>
      </c>
      <c r="U38" s="888" t="str">
        <f t="shared" si="64"/>
        <v>L</v>
      </c>
      <c r="V38" s="894">
        <f t="shared" si="65"/>
        <v>-1.0461</v>
      </c>
      <c r="W38" s="887">
        <f t="shared" si="66"/>
        <v>236.74896000000001</v>
      </c>
      <c r="X38" s="888" t="str">
        <f t="shared" si="67"/>
        <v>L</v>
      </c>
      <c r="Z38" s="374" t="b">
        <f t="shared" si="23"/>
        <v>1</v>
      </c>
      <c r="AA38" s="374" t="b">
        <f t="shared" si="24"/>
        <v>1</v>
      </c>
      <c r="AB38" s="374" t="b">
        <f t="shared" si="25"/>
        <v>1</v>
      </c>
      <c r="AC38" s="374" t="b">
        <f t="shared" si="26"/>
        <v>1</v>
      </c>
      <c r="AD38" s="374" t="b">
        <f t="shared" si="27"/>
        <v>1</v>
      </c>
      <c r="AE38" s="374" t="b">
        <f t="shared" si="28"/>
        <v>1</v>
      </c>
      <c r="AF38" s="374" t="b">
        <f t="shared" si="29"/>
        <v>1</v>
      </c>
      <c r="AG38" s="374" t="b">
        <f t="shared" si="30"/>
        <v>1</v>
      </c>
      <c r="AH38" s="374" t="b">
        <f t="shared" si="31"/>
        <v>1</v>
      </c>
      <c r="AI38" s="374" t="b">
        <f t="shared" si="32"/>
        <v>1</v>
      </c>
      <c r="AJ38" s="374" t="b">
        <f t="shared" si="33"/>
        <v>1</v>
      </c>
      <c r="AK38" s="374" t="b">
        <f t="shared" si="34"/>
        <v>1</v>
      </c>
      <c r="AL38" s="921" t="str">
        <f t="shared" si="35"/>
        <v/>
      </c>
      <c r="AM38" s="922" t="str">
        <f t="shared" si="36"/>
        <v/>
      </c>
      <c r="AN38" s="922" t="str">
        <f t="shared" si="37"/>
        <v/>
      </c>
      <c r="AO38" s="922" t="str">
        <f t="shared" si="38"/>
        <v/>
      </c>
      <c r="AP38" s="922" t="str">
        <f t="shared" si="39"/>
        <v/>
      </c>
      <c r="AQ38" s="922" t="str">
        <f t="shared" si="40"/>
        <v/>
      </c>
      <c r="AR38" s="922" t="str">
        <f t="shared" si="41"/>
        <v/>
      </c>
      <c r="AS38" s="922" t="str">
        <f t="shared" si="42"/>
        <v/>
      </c>
      <c r="AT38" s="922" t="str">
        <f t="shared" si="43"/>
        <v/>
      </c>
      <c r="AU38" s="922" t="str">
        <f t="shared" si="44"/>
        <v/>
      </c>
      <c r="AV38" s="922" t="str">
        <f t="shared" si="45"/>
        <v/>
      </c>
      <c r="AW38" s="926" t="str">
        <f t="shared" si="45"/>
        <v/>
      </c>
    </row>
    <row r="39" spans="1:49" s="374" customFormat="1">
      <c r="A39" s="906" t="str">
        <f t="shared" si="46"/>
        <v>2022/12/03</v>
      </c>
      <c r="B39" s="373" t="s">
        <v>330</v>
      </c>
      <c r="C39" s="373" t="str">
        <f t="shared" si="47"/>
        <v>PH</v>
      </c>
      <c r="D39" s="373" t="str">
        <f t="shared" si="48"/>
        <v>XT-000C</v>
      </c>
      <c r="E39" s="373" t="str">
        <f t="shared" si="49"/>
        <v>pH</v>
      </c>
      <c r="F39" s="373" t="str">
        <f t="shared" si="50"/>
        <v>2.0~2.4(2.2±0.2 )</v>
      </c>
      <c r="G39" s="894">
        <f t="shared" si="51"/>
        <v>0</v>
      </c>
      <c r="H39" s="894">
        <f t="shared" si="52"/>
        <v>0</v>
      </c>
      <c r="I39" s="899">
        <f t="shared" si="53"/>
        <v>0</v>
      </c>
      <c r="J39" s="894">
        <f t="shared" si="7"/>
        <v>0</v>
      </c>
      <c r="K39" s="894">
        <f t="shared" si="54"/>
        <v>0</v>
      </c>
      <c r="L39" s="899">
        <f t="shared" si="55"/>
        <v>0</v>
      </c>
      <c r="M39" s="894">
        <f t="shared" si="56"/>
        <v>0</v>
      </c>
      <c r="N39" s="894">
        <f t="shared" si="57"/>
        <v>0</v>
      </c>
      <c r="O39" s="899">
        <f t="shared" si="58"/>
        <v>0</v>
      </c>
      <c r="P39" s="894">
        <f t="shared" si="59"/>
        <v>0</v>
      </c>
      <c r="Q39" s="894">
        <f t="shared" si="60"/>
        <v>0</v>
      </c>
      <c r="R39" s="899">
        <f t="shared" si="61"/>
        <v>0</v>
      </c>
      <c r="S39" s="894">
        <f t="shared" si="62"/>
        <v>0</v>
      </c>
      <c r="T39" s="887">
        <f t="shared" si="63"/>
        <v>0</v>
      </c>
      <c r="U39" s="888">
        <f t="shared" si="64"/>
        <v>0</v>
      </c>
      <c r="V39" s="894">
        <f t="shared" si="65"/>
        <v>0</v>
      </c>
      <c r="W39" s="887">
        <f t="shared" si="66"/>
        <v>0</v>
      </c>
      <c r="X39" s="888">
        <f t="shared" si="67"/>
        <v>0</v>
      </c>
      <c r="Z39" s="374" t="b">
        <f t="shared" si="23"/>
        <v>1</v>
      </c>
      <c r="AA39" s="374" t="b">
        <f t="shared" si="24"/>
        <v>1</v>
      </c>
      <c r="AB39" s="374" t="b">
        <f t="shared" si="25"/>
        <v>1</v>
      </c>
      <c r="AC39" s="374" t="b">
        <f t="shared" si="26"/>
        <v>1</v>
      </c>
      <c r="AD39" s="374" t="b">
        <f t="shared" si="27"/>
        <v>1</v>
      </c>
      <c r="AE39" s="374" t="b">
        <f t="shared" si="28"/>
        <v>1</v>
      </c>
      <c r="AF39" s="374" t="b">
        <f t="shared" si="29"/>
        <v>1</v>
      </c>
      <c r="AG39" s="374" t="b">
        <f t="shared" si="30"/>
        <v>1</v>
      </c>
      <c r="AH39" s="374" t="b">
        <f t="shared" si="31"/>
        <v>1</v>
      </c>
      <c r="AI39" s="374" t="b">
        <f t="shared" si="32"/>
        <v>1</v>
      </c>
      <c r="AJ39" s="374" t="b">
        <f t="shared" si="33"/>
        <v>1</v>
      </c>
      <c r="AK39" s="374" t="b">
        <f t="shared" si="34"/>
        <v>1</v>
      </c>
      <c r="AL39" s="921" t="str">
        <f t="shared" si="35"/>
        <v/>
      </c>
      <c r="AM39" s="922" t="str">
        <f t="shared" si="36"/>
        <v/>
      </c>
      <c r="AN39" s="922" t="str">
        <f t="shared" si="37"/>
        <v/>
      </c>
      <c r="AO39" s="922" t="str">
        <f t="shared" si="38"/>
        <v/>
      </c>
      <c r="AP39" s="922" t="str">
        <f t="shared" si="39"/>
        <v/>
      </c>
      <c r="AQ39" s="922" t="str">
        <f t="shared" si="40"/>
        <v/>
      </c>
      <c r="AR39" s="922" t="str">
        <f t="shared" si="41"/>
        <v/>
      </c>
      <c r="AS39" s="922" t="str">
        <f t="shared" si="42"/>
        <v/>
      </c>
      <c r="AT39" s="922" t="str">
        <f t="shared" si="43"/>
        <v/>
      </c>
      <c r="AU39" s="922" t="str">
        <f t="shared" si="44"/>
        <v/>
      </c>
      <c r="AV39" s="922" t="str">
        <f t="shared" si="45"/>
        <v/>
      </c>
      <c r="AW39" s="926" t="str">
        <f t="shared" si="45"/>
        <v/>
      </c>
    </row>
    <row r="40" spans="1:49" s="374" customFormat="1">
      <c r="A40" s="906" t="str">
        <f t="shared" si="46"/>
        <v>2022/12/03</v>
      </c>
      <c r="B40" s="373" t="s">
        <v>331</v>
      </c>
      <c r="C40" s="373" t="str">
        <f t="shared" si="47"/>
        <v>Nồng độ acid đặc (13,14)
鹽酸 濃度</v>
      </c>
      <c r="D40" s="373" t="str">
        <f t="shared" si="48"/>
        <v>XT-000C</v>
      </c>
      <c r="E40" s="373" t="str">
        <f t="shared" si="49"/>
        <v>%V/V</v>
      </c>
      <c r="F40" s="373" t="str">
        <f t="shared" si="50"/>
        <v>40~50 %V/V
(45±5% V/V)</v>
      </c>
      <c r="G40" s="894">
        <f t="shared" si="51"/>
        <v>0</v>
      </c>
      <c r="H40" s="894">
        <f t="shared" si="52"/>
        <v>3025.35</v>
      </c>
      <c r="I40" s="899" t="str">
        <f t="shared" si="53"/>
        <v>L</v>
      </c>
      <c r="J40" s="894">
        <f t="shared" si="7"/>
        <v>0</v>
      </c>
      <c r="K40" s="894">
        <f t="shared" si="54"/>
        <v>3025.35</v>
      </c>
      <c r="L40" s="899" t="str">
        <f t="shared" si="55"/>
        <v>L</v>
      </c>
      <c r="M40" s="894">
        <f t="shared" si="56"/>
        <v>0</v>
      </c>
      <c r="N40" s="894">
        <f t="shared" si="57"/>
        <v>3025.35</v>
      </c>
      <c r="O40" s="899" t="str">
        <f t="shared" si="58"/>
        <v>L</v>
      </c>
      <c r="P40" s="894">
        <f t="shared" si="59"/>
        <v>0</v>
      </c>
      <c r="Q40" s="894">
        <f t="shared" si="60"/>
        <v>3025.35</v>
      </c>
      <c r="R40" s="899" t="str">
        <f t="shared" si="61"/>
        <v>L</v>
      </c>
      <c r="S40" s="894">
        <f t="shared" si="62"/>
        <v>0</v>
      </c>
      <c r="T40" s="887">
        <f t="shared" si="63"/>
        <v>3025.35</v>
      </c>
      <c r="U40" s="888" t="str">
        <f t="shared" si="64"/>
        <v>L</v>
      </c>
      <c r="V40" s="894">
        <f t="shared" si="65"/>
        <v>0</v>
      </c>
      <c r="W40" s="887">
        <f t="shared" si="66"/>
        <v>3025.35</v>
      </c>
      <c r="X40" s="888" t="str">
        <f t="shared" si="67"/>
        <v>L</v>
      </c>
      <c r="Z40" s="374" t="b">
        <f t="shared" si="23"/>
        <v>1</v>
      </c>
      <c r="AA40" s="374" t="b">
        <f t="shared" si="24"/>
        <v>1</v>
      </c>
      <c r="AB40" s="374" t="b">
        <f t="shared" si="25"/>
        <v>1</v>
      </c>
      <c r="AC40" s="374" t="b">
        <f t="shared" si="26"/>
        <v>1</v>
      </c>
      <c r="AD40" s="374" t="b">
        <f t="shared" si="27"/>
        <v>1</v>
      </c>
      <c r="AE40" s="374" t="b">
        <f t="shared" si="28"/>
        <v>1</v>
      </c>
      <c r="AF40" s="374" t="b">
        <f t="shared" si="29"/>
        <v>1</v>
      </c>
      <c r="AG40" s="374" t="b">
        <f t="shared" si="30"/>
        <v>1</v>
      </c>
      <c r="AH40" s="374" t="b">
        <f t="shared" si="31"/>
        <v>1</v>
      </c>
      <c r="AI40" s="374" t="b">
        <f t="shared" si="32"/>
        <v>1</v>
      </c>
      <c r="AJ40" s="374" t="b">
        <f t="shared" si="33"/>
        <v>1</v>
      </c>
      <c r="AK40" s="374" t="b">
        <f t="shared" si="34"/>
        <v>1</v>
      </c>
      <c r="AL40" s="921" t="str">
        <f t="shared" si="35"/>
        <v/>
      </c>
      <c r="AM40" s="922" t="str">
        <f t="shared" si="36"/>
        <v/>
      </c>
      <c r="AN40" s="922" t="str">
        <f t="shared" si="37"/>
        <v/>
      </c>
      <c r="AO40" s="922" t="str">
        <f t="shared" si="38"/>
        <v/>
      </c>
      <c r="AP40" s="922" t="str">
        <f t="shared" si="39"/>
        <v/>
      </c>
      <c r="AQ40" s="922" t="str">
        <f t="shared" si="40"/>
        <v/>
      </c>
      <c r="AR40" s="922" t="str">
        <f t="shared" si="41"/>
        <v/>
      </c>
      <c r="AS40" s="922" t="str">
        <f t="shared" si="42"/>
        <v/>
      </c>
      <c r="AT40" s="922" t="str">
        <f t="shared" si="43"/>
        <v/>
      </c>
      <c r="AU40" s="922" t="str">
        <f t="shared" si="44"/>
        <v/>
      </c>
      <c r="AV40" s="922" t="str">
        <f t="shared" si="45"/>
        <v/>
      </c>
      <c r="AW40" s="926" t="str">
        <f t="shared" si="45"/>
        <v/>
      </c>
    </row>
    <row r="41" spans="1:49" s="374" customFormat="1">
      <c r="A41" s="906" t="str">
        <f t="shared" si="46"/>
        <v>2022/12/03</v>
      </c>
      <c r="B41" s="373" t="s">
        <v>332</v>
      </c>
      <c r="C41" s="373" t="str">
        <f t="shared" si="47"/>
        <v>Nồng độ acid đặc (15,16,17)
鹽酸 濃度</v>
      </c>
      <c r="D41" s="373" t="str">
        <f t="shared" si="48"/>
        <v>XT-000C</v>
      </c>
      <c r="E41" s="373" t="str">
        <f t="shared" si="49"/>
        <v>%V/V</v>
      </c>
      <c r="F41" s="373" t="str">
        <f t="shared" si="50"/>
        <v>40~50 %V/V
(45±5% V/V)</v>
      </c>
      <c r="G41" s="894">
        <f t="shared" si="51"/>
        <v>0</v>
      </c>
      <c r="H41" s="894">
        <f t="shared" si="52"/>
        <v>4729.05</v>
      </c>
      <c r="I41" s="899" t="str">
        <f t="shared" si="53"/>
        <v>L</v>
      </c>
      <c r="J41" s="894">
        <f t="shared" si="7"/>
        <v>0</v>
      </c>
      <c r="K41" s="894">
        <f t="shared" si="54"/>
        <v>4729.05</v>
      </c>
      <c r="L41" s="899" t="str">
        <f t="shared" si="55"/>
        <v>L</v>
      </c>
      <c r="M41" s="894">
        <f t="shared" si="56"/>
        <v>0</v>
      </c>
      <c r="N41" s="894">
        <f t="shared" si="57"/>
        <v>4729.05</v>
      </c>
      <c r="O41" s="899" t="str">
        <f t="shared" si="58"/>
        <v>L</v>
      </c>
      <c r="P41" s="894">
        <f t="shared" si="59"/>
        <v>0</v>
      </c>
      <c r="Q41" s="894">
        <f t="shared" si="60"/>
        <v>4729.05</v>
      </c>
      <c r="R41" s="899" t="str">
        <f t="shared" si="61"/>
        <v>L</v>
      </c>
      <c r="S41" s="894">
        <f t="shared" si="62"/>
        <v>0</v>
      </c>
      <c r="T41" s="887">
        <f t="shared" si="63"/>
        <v>4729.05</v>
      </c>
      <c r="U41" s="888" t="str">
        <f t="shared" si="64"/>
        <v>L</v>
      </c>
      <c r="V41" s="894">
        <f t="shared" si="65"/>
        <v>0</v>
      </c>
      <c r="W41" s="887">
        <f t="shared" si="66"/>
        <v>4729.05</v>
      </c>
      <c r="X41" s="888" t="str">
        <f t="shared" si="67"/>
        <v>L</v>
      </c>
      <c r="Z41" s="374" t="b">
        <f t="shared" si="23"/>
        <v>1</v>
      </c>
      <c r="AA41" s="374" t="b">
        <f t="shared" si="24"/>
        <v>1</v>
      </c>
      <c r="AB41" s="374" t="b">
        <f t="shared" si="25"/>
        <v>1</v>
      </c>
      <c r="AC41" s="374" t="b">
        <f t="shared" si="26"/>
        <v>1</v>
      </c>
      <c r="AD41" s="374" t="b">
        <f t="shared" si="27"/>
        <v>1</v>
      </c>
      <c r="AE41" s="374" t="b">
        <f t="shared" si="28"/>
        <v>1</v>
      </c>
      <c r="AF41" s="374" t="b">
        <f t="shared" si="29"/>
        <v>1</v>
      </c>
      <c r="AG41" s="374" t="b">
        <f t="shared" si="30"/>
        <v>1</v>
      </c>
      <c r="AH41" s="374" t="b">
        <f t="shared" si="31"/>
        <v>1</v>
      </c>
      <c r="AI41" s="374" t="b">
        <f t="shared" si="32"/>
        <v>1</v>
      </c>
      <c r="AJ41" s="374" t="b">
        <f t="shared" si="33"/>
        <v>1</v>
      </c>
      <c r="AK41" s="374" t="b">
        <f t="shared" si="34"/>
        <v>1</v>
      </c>
      <c r="AL41" s="921" t="str">
        <f t="shared" si="35"/>
        <v/>
      </c>
      <c r="AM41" s="922" t="str">
        <f t="shared" si="36"/>
        <v/>
      </c>
      <c r="AN41" s="922" t="str">
        <f t="shared" si="37"/>
        <v/>
      </c>
      <c r="AO41" s="922" t="str">
        <f t="shared" si="38"/>
        <v/>
      </c>
      <c r="AP41" s="922" t="str">
        <f t="shared" si="39"/>
        <v/>
      </c>
      <c r="AQ41" s="922" t="str">
        <f t="shared" si="40"/>
        <v/>
      </c>
      <c r="AR41" s="922" t="str">
        <f t="shared" si="41"/>
        <v/>
      </c>
      <c r="AS41" s="922" t="str">
        <f t="shared" si="42"/>
        <v/>
      </c>
      <c r="AT41" s="922" t="str">
        <f t="shared" si="43"/>
        <v/>
      </c>
      <c r="AU41" s="922" t="str">
        <f t="shared" si="44"/>
        <v/>
      </c>
      <c r="AV41" s="922" t="str">
        <f t="shared" si="45"/>
        <v/>
      </c>
      <c r="AW41" s="926" t="str">
        <f t="shared" si="45"/>
        <v/>
      </c>
    </row>
    <row r="42" spans="1:49" s="374" customFormat="1">
      <c r="A42" s="906" t="str">
        <f t="shared" si="46"/>
        <v>2022/12/03</v>
      </c>
      <c r="B42" s="373" t="s">
        <v>333</v>
      </c>
      <c r="C42" s="373" t="str">
        <f t="shared" si="47"/>
        <v>Nồng độ acid loãng (12)
稀酸 濃度</v>
      </c>
      <c r="D42" s="373" t="str">
        <f t="shared" si="48"/>
        <v>XT-000C</v>
      </c>
      <c r="E42" s="373" t="str">
        <f t="shared" si="49"/>
        <v>%V/V</v>
      </c>
      <c r="F42" s="373" t="str">
        <f t="shared" si="50"/>
        <v>20~40 %V/V
(30±5% V/V)</v>
      </c>
      <c r="G42" s="894">
        <f t="shared" si="51"/>
        <v>0</v>
      </c>
      <c r="H42" s="894">
        <f t="shared" si="52"/>
        <v>970.19999999999993</v>
      </c>
      <c r="I42" s="899" t="str">
        <f t="shared" si="53"/>
        <v>L</v>
      </c>
      <c r="J42" s="894">
        <f t="shared" si="7"/>
        <v>0</v>
      </c>
      <c r="K42" s="894">
        <f t="shared" si="54"/>
        <v>970.19999999999993</v>
      </c>
      <c r="L42" s="899" t="str">
        <f t="shared" si="55"/>
        <v>L</v>
      </c>
      <c r="M42" s="894">
        <f t="shared" si="56"/>
        <v>0</v>
      </c>
      <c r="N42" s="894">
        <f t="shared" si="57"/>
        <v>970.19999999999993</v>
      </c>
      <c r="O42" s="899" t="str">
        <f t="shared" si="58"/>
        <v>L</v>
      </c>
      <c r="P42" s="894">
        <f t="shared" si="59"/>
        <v>0</v>
      </c>
      <c r="Q42" s="894">
        <f t="shared" si="60"/>
        <v>970.19999999999993</v>
      </c>
      <c r="R42" s="899" t="str">
        <f t="shared" si="61"/>
        <v>L</v>
      </c>
      <c r="S42" s="894">
        <f t="shared" si="62"/>
        <v>0</v>
      </c>
      <c r="T42" s="887">
        <f t="shared" si="63"/>
        <v>970.19999999999993</v>
      </c>
      <c r="U42" s="888" t="str">
        <f t="shared" si="64"/>
        <v>L</v>
      </c>
      <c r="V42" s="894">
        <f t="shared" si="65"/>
        <v>0</v>
      </c>
      <c r="W42" s="887">
        <f t="shared" si="66"/>
        <v>970.19999999999993</v>
      </c>
      <c r="X42" s="888" t="str">
        <f t="shared" si="67"/>
        <v>L</v>
      </c>
      <c r="Z42" s="374" t="b">
        <f t="shared" si="23"/>
        <v>1</v>
      </c>
      <c r="AA42" s="374" t="b">
        <f t="shared" si="24"/>
        <v>1</v>
      </c>
      <c r="AB42" s="374" t="b">
        <f t="shared" si="25"/>
        <v>1</v>
      </c>
      <c r="AC42" s="374" t="b">
        <f t="shared" si="26"/>
        <v>1</v>
      </c>
      <c r="AD42" s="374" t="b">
        <f t="shared" si="27"/>
        <v>1</v>
      </c>
      <c r="AE42" s="374" t="b">
        <f t="shared" si="28"/>
        <v>1</v>
      </c>
      <c r="AF42" s="374" t="b">
        <f t="shared" si="29"/>
        <v>1</v>
      </c>
      <c r="AG42" s="374" t="b">
        <f t="shared" si="30"/>
        <v>1</v>
      </c>
      <c r="AH42" s="374" t="b">
        <f t="shared" si="31"/>
        <v>1</v>
      </c>
      <c r="AI42" s="374" t="b">
        <f t="shared" si="32"/>
        <v>1</v>
      </c>
      <c r="AJ42" s="374" t="b">
        <f t="shared" si="33"/>
        <v>1</v>
      </c>
      <c r="AK42" s="374" t="b">
        <f t="shared" si="34"/>
        <v>1</v>
      </c>
      <c r="AL42" s="921" t="str">
        <f t="shared" si="35"/>
        <v/>
      </c>
      <c r="AM42" s="922" t="str">
        <f t="shared" si="36"/>
        <v/>
      </c>
      <c r="AN42" s="922" t="str">
        <f t="shared" si="37"/>
        <v/>
      </c>
      <c r="AO42" s="922" t="str">
        <f t="shared" si="38"/>
        <v/>
      </c>
      <c r="AP42" s="922" t="str">
        <f t="shared" si="39"/>
        <v/>
      </c>
      <c r="AQ42" s="922" t="str">
        <f t="shared" si="40"/>
        <v/>
      </c>
      <c r="AR42" s="922" t="str">
        <f t="shared" si="41"/>
        <v/>
      </c>
      <c r="AS42" s="922" t="str">
        <f t="shared" si="42"/>
        <v/>
      </c>
      <c r="AT42" s="922" t="str">
        <f t="shared" si="43"/>
        <v/>
      </c>
      <c r="AU42" s="922" t="str">
        <f t="shared" si="44"/>
        <v/>
      </c>
      <c r="AV42" s="922" t="str">
        <f t="shared" si="45"/>
        <v/>
      </c>
      <c r="AW42" s="926" t="str">
        <f t="shared" si="45"/>
        <v/>
      </c>
    </row>
    <row r="43" spans="1:49" s="374" customFormat="1">
      <c r="A43" s="906" t="str">
        <f t="shared" si="46"/>
        <v>2022/12/03</v>
      </c>
      <c r="B43" s="373" t="s">
        <v>334</v>
      </c>
      <c r="C43" s="373" t="str">
        <f t="shared" si="47"/>
        <v>Nồng độ HNO3  (42)
硝酸濃度</v>
      </c>
      <c r="D43" s="373" t="str">
        <f t="shared" si="48"/>
        <v>XT-000C</v>
      </c>
      <c r="E43" s="373" t="str">
        <f t="shared" si="49"/>
        <v>%V/V</v>
      </c>
      <c r="F43" s="373" t="str">
        <f t="shared" si="50"/>
        <v>0.5~1.5%
(1±0.4%)</v>
      </c>
      <c r="G43" s="894">
        <f t="shared" si="51"/>
        <v>0</v>
      </c>
      <c r="H43" s="894">
        <f t="shared" si="52"/>
        <v>28.080000000000002</v>
      </c>
      <c r="I43" s="899" t="str">
        <f t="shared" si="53"/>
        <v>L</v>
      </c>
      <c r="J43" s="894">
        <f t="shared" si="7"/>
        <v>0</v>
      </c>
      <c r="K43" s="894">
        <f t="shared" si="54"/>
        <v>28.080000000000002</v>
      </c>
      <c r="L43" s="899" t="str">
        <f t="shared" si="55"/>
        <v>L</v>
      </c>
      <c r="M43" s="894">
        <f t="shared" si="56"/>
        <v>0</v>
      </c>
      <c r="N43" s="894">
        <f t="shared" si="57"/>
        <v>28.080000000000002</v>
      </c>
      <c r="O43" s="899" t="str">
        <f t="shared" si="58"/>
        <v>L</v>
      </c>
      <c r="P43" s="894">
        <f t="shared" si="59"/>
        <v>0</v>
      </c>
      <c r="Q43" s="894">
        <f t="shared" si="60"/>
        <v>28.080000000000002</v>
      </c>
      <c r="R43" s="899" t="str">
        <f t="shared" si="61"/>
        <v>L</v>
      </c>
      <c r="S43" s="894">
        <f t="shared" si="62"/>
        <v>0</v>
      </c>
      <c r="T43" s="887">
        <f t="shared" si="63"/>
        <v>28.080000000000002</v>
      </c>
      <c r="U43" s="888" t="str">
        <f t="shared" si="64"/>
        <v>L</v>
      </c>
      <c r="V43" s="894">
        <f t="shared" si="65"/>
        <v>0</v>
      </c>
      <c r="W43" s="887">
        <f t="shared" si="66"/>
        <v>28.080000000000002</v>
      </c>
      <c r="X43" s="888" t="str">
        <f t="shared" si="67"/>
        <v>L</v>
      </c>
      <c r="Z43" s="374" t="b">
        <f t="shared" si="23"/>
        <v>1</v>
      </c>
      <c r="AA43" s="374" t="b">
        <f t="shared" si="24"/>
        <v>1</v>
      </c>
      <c r="AB43" s="374" t="b">
        <f t="shared" si="25"/>
        <v>1</v>
      </c>
      <c r="AC43" s="374" t="b">
        <f t="shared" si="26"/>
        <v>1</v>
      </c>
      <c r="AD43" s="374" t="b">
        <f t="shared" si="27"/>
        <v>1</v>
      </c>
      <c r="AE43" s="374" t="b">
        <f t="shared" si="28"/>
        <v>1</v>
      </c>
      <c r="AF43" s="374" t="b">
        <f t="shared" si="29"/>
        <v>1</v>
      </c>
      <c r="AG43" s="374" t="b">
        <f t="shared" si="30"/>
        <v>1</v>
      </c>
      <c r="AH43" s="374" t="b">
        <f t="shared" si="31"/>
        <v>1</v>
      </c>
      <c r="AI43" s="374" t="b">
        <f t="shared" si="32"/>
        <v>1</v>
      </c>
      <c r="AJ43" s="374" t="b">
        <f t="shared" si="33"/>
        <v>1</v>
      </c>
      <c r="AK43" s="374" t="b">
        <f t="shared" si="34"/>
        <v>1</v>
      </c>
      <c r="AL43" s="921" t="str">
        <f t="shared" si="35"/>
        <v/>
      </c>
      <c r="AM43" s="922" t="str">
        <f t="shared" si="36"/>
        <v/>
      </c>
      <c r="AN43" s="922" t="str">
        <f t="shared" si="37"/>
        <v/>
      </c>
      <c r="AO43" s="922" t="str">
        <f t="shared" si="38"/>
        <v/>
      </c>
      <c r="AP43" s="922" t="str">
        <f t="shared" si="39"/>
        <v/>
      </c>
      <c r="AQ43" s="922" t="str">
        <f t="shared" si="40"/>
        <v/>
      </c>
      <c r="AR43" s="922" t="str">
        <f t="shared" si="41"/>
        <v/>
      </c>
      <c r="AS43" s="922" t="str">
        <f t="shared" si="42"/>
        <v/>
      </c>
      <c r="AT43" s="922" t="str">
        <f t="shared" si="43"/>
        <v/>
      </c>
      <c r="AU43" s="922" t="str">
        <f t="shared" si="44"/>
        <v/>
      </c>
      <c r="AV43" s="922" t="str">
        <f t="shared" si="45"/>
        <v/>
      </c>
      <c r="AW43" s="926" t="str">
        <f t="shared" si="45"/>
        <v/>
      </c>
    </row>
    <row r="44" spans="1:49" s="374" customFormat="1">
      <c r="A44" s="906" t="str">
        <f t="shared" si="46"/>
        <v>2022/12/03</v>
      </c>
      <c r="B44" s="373" t="s">
        <v>344</v>
      </c>
      <c r="C44" s="373" t="str">
        <f t="shared" si="47"/>
        <v>chất bóng (250 brightener)
光亮劑</v>
      </c>
      <c r="D44" s="373" t="str">
        <f t="shared" si="48"/>
        <v>XT-000C</v>
      </c>
      <c r="E44" s="373" t="str">
        <f t="shared" si="49"/>
        <v>ml/KAH</v>
      </c>
      <c r="F44" s="373" t="str">
        <f t="shared" si="50"/>
        <v>30~50 
(40)</v>
      </c>
      <c r="G44" s="894">
        <f t="shared" si="51"/>
        <v>0</v>
      </c>
      <c r="H44" s="894">
        <f t="shared" si="52"/>
        <v>0</v>
      </c>
      <c r="I44" s="899">
        <f t="shared" si="53"/>
        <v>0</v>
      </c>
      <c r="J44" s="894">
        <f t="shared" si="7"/>
        <v>0</v>
      </c>
      <c r="K44" s="894">
        <f t="shared" si="54"/>
        <v>0</v>
      </c>
      <c r="L44" s="899">
        <f t="shared" si="55"/>
        <v>0</v>
      </c>
      <c r="M44" s="894">
        <f t="shared" si="56"/>
        <v>0</v>
      </c>
      <c r="N44" s="894">
        <f t="shared" si="57"/>
        <v>0</v>
      </c>
      <c r="O44" s="899">
        <f t="shared" si="58"/>
        <v>0</v>
      </c>
      <c r="P44" s="894">
        <f t="shared" si="59"/>
        <v>0</v>
      </c>
      <c r="Q44" s="894">
        <f t="shared" si="60"/>
        <v>0</v>
      </c>
      <c r="R44" s="899">
        <f t="shared" si="61"/>
        <v>0</v>
      </c>
      <c r="S44" s="894">
        <f t="shared" si="62"/>
        <v>0</v>
      </c>
      <c r="T44" s="887">
        <f t="shared" si="63"/>
        <v>0</v>
      </c>
      <c r="U44" s="888">
        <f t="shared" si="64"/>
        <v>0</v>
      </c>
      <c r="V44" s="894">
        <f t="shared" si="65"/>
        <v>0</v>
      </c>
      <c r="W44" s="887">
        <f t="shared" si="66"/>
        <v>0</v>
      </c>
      <c r="X44" s="888">
        <f t="shared" si="67"/>
        <v>0</v>
      </c>
      <c r="Z44" s="374" t="b">
        <f t="shared" si="23"/>
        <v>1</v>
      </c>
      <c r="AA44" s="374" t="b">
        <f t="shared" si="24"/>
        <v>1</v>
      </c>
      <c r="AB44" s="374" t="b">
        <f t="shared" si="25"/>
        <v>1</v>
      </c>
      <c r="AC44" s="374" t="b">
        <f t="shared" si="26"/>
        <v>1</v>
      </c>
      <c r="AD44" s="374" t="b">
        <f t="shared" si="27"/>
        <v>1</v>
      </c>
      <c r="AE44" s="374" t="b">
        <f t="shared" si="28"/>
        <v>1</v>
      </c>
      <c r="AF44" s="374" t="b">
        <f t="shared" si="29"/>
        <v>1</v>
      </c>
      <c r="AG44" s="374" t="b">
        <f t="shared" si="30"/>
        <v>1</v>
      </c>
      <c r="AH44" s="374" t="b">
        <f t="shared" si="31"/>
        <v>1</v>
      </c>
      <c r="AI44" s="374" t="b">
        <f t="shared" si="32"/>
        <v>1</v>
      </c>
      <c r="AJ44" s="374" t="b">
        <f t="shared" si="33"/>
        <v>1</v>
      </c>
      <c r="AK44" s="374" t="b">
        <f t="shared" si="34"/>
        <v>1</v>
      </c>
      <c r="AL44" s="921" t="str">
        <f t="shared" si="35"/>
        <v/>
      </c>
      <c r="AM44" s="922" t="str">
        <f t="shared" si="36"/>
        <v/>
      </c>
      <c r="AN44" s="922" t="str">
        <f t="shared" si="37"/>
        <v/>
      </c>
      <c r="AO44" s="922" t="str">
        <f t="shared" si="38"/>
        <v/>
      </c>
      <c r="AP44" s="922" t="str">
        <f t="shared" si="39"/>
        <v/>
      </c>
      <c r="AQ44" s="922" t="str">
        <f t="shared" si="40"/>
        <v/>
      </c>
      <c r="AR44" s="922" t="str">
        <f t="shared" si="41"/>
        <v/>
      </c>
      <c r="AS44" s="922" t="str">
        <f t="shared" si="42"/>
        <v/>
      </c>
      <c r="AT44" s="922" t="str">
        <f t="shared" si="43"/>
        <v/>
      </c>
      <c r="AU44" s="922" t="str">
        <f t="shared" si="44"/>
        <v/>
      </c>
      <c r="AV44" s="922" t="str">
        <f t="shared" si="45"/>
        <v/>
      </c>
      <c r="AW44" s="926" t="str">
        <f t="shared" si="45"/>
        <v/>
      </c>
    </row>
    <row r="45" spans="1:49" s="374" customFormat="1">
      <c r="A45" s="906" t="str">
        <f t="shared" si="46"/>
        <v>2022/12/03</v>
      </c>
      <c r="B45" s="373" t="s">
        <v>345</v>
      </c>
      <c r="C45" s="373" t="str">
        <f t="shared" si="47"/>
        <v>chất mềm (250 base)
開缸劑</v>
      </c>
      <c r="D45" s="373" t="str">
        <f t="shared" si="48"/>
        <v>XT-000C</v>
      </c>
      <c r="E45" s="373" t="str">
        <f t="shared" si="49"/>
        <v>ml/KAH</v>
      </c>
      <c r="F45" s="373" t="str">
        <f t="shared" si="50"/>
        <v>160~220
(180)</v>
      </c>
      <c r="G45" s="894">
        <f t="shared" si="51"/>
        <v>0</v>
      </c>
      <c r="H45" s="894">
        <f t="shared" si="52"/>
        <v>0</v>
      </c>
      <c r="I45" s="899">
        <f t="shared" si="53"/>
        <v>0</v>
      </c>
      <c r="J45" s="894">
        <f t="shared" ref="J45" si="68">IFERROR(VLOOKUP($B45,_XM_XT_THUCTE,14,0),"")</f>
        <v>0</v>
      </c>
      <c r="K45" s="894">
        <f t="shared" si="54"/>
        <v>0</v>
      </c>
      <c r="L45" s="899">
        <f t="shared" si="55"/>
        <v>0</v>
      </c>
      <c r="M45" s="894">
        <f t="shared" si="56"/>
        <v>0</v>
      </c>
      <c r="N45" s="894">
        <f t="shared" si="57"/>
        <v>0</v>
      </c>
      <c r="O45" s="899">
        <f t="shared" si="58"/>
        <v>0</v>
      </c>
      <c r="P45" s="894">
        <f t="shared" si="59"/>
        <v>0</v>
      </c>
      <c r="Q45" s="894">
        <f t="shared" si="60"/>
        <v>0</v>
      </c>
      <c r="R45" s="899">
        <f t="shared" si="61"/>
        <v>0</v>
      </c>
      <c r="S45" s="894">
        <f t="shared" si="62"/>
        <v>0</v>
      </c>
      <c r="T45" s="887">
        <f t="shared" si="63"/>
        <v>0</v>
      </c>
      <c r="U45" s="888">
        <f t="shared" si="64"/>
        <v>0</v>
      </c>
      <c r="V45" s="894">
        <f t="shared" si="65"/>
        <v>0</v>
      </c>
      <c r="W45" s="887">
        <f t="shared" si="66"/>
        <v>0</v>
      </c>
      <c r="X45" s="888">
        <f t="shared" si="67"/>
        <v>0</v>
      </c>
      <c r="Z45" s="374" t="b">
        <f t="shared" si="23"/>
        <v>1</v>
      </c>
      <c r="AA45" s="374" t="b">
        <f t="shared" si="24"/>
        <v>1</v>
      </c>
      <c r="AB45" s="374" t="b">
        <f t="shared" si="25"/>
        <v>1</v>
      </c>
      <c r="AC45" s="374" t="b">
        <f t="shared" si="26"/>
        <v>1</v>
      </c>
      <c r="AD45" s="374" t="b">
        <f t="shared" si="27"/>
        <v>1</v>
      </c>
      <c r="AE45" s="374" t="b">
        <f t="shared" si="28"/>
        <v>1</v>
      </c>
      <c r="AF45" s="374" t="b">
        <f t="shared" si="29"/>
        <v>1</v>
      </c>
      <c r="AG45" s="374" t="b">
        <f t="shared" si="30"/>
        <v>1</v>
      </c>
      <c r="AH45" s="374" t="b">
        <f t="shared" si="31"/>
        <v>1</v>
      </c>
      <c r="AI45" s="374" t="b">
        <f t="shared" si="32"/>
        <v>1</v>
      </c>
      <c r="AJ45" s="374" t="b">
        <f t="shared" si="33"/>
        <v>1</v>
      </c>
      <c r="AK45" s="374" t="b">
        <f t="shared" si="34"/>
        <v>1</v>
      </c>
      <c r="AL45" s="921" t="str">
        <f t="shared" si="35"/>
        <v/>
      </c>
      <c r="AM45" s="922" t="str">
        <f t="shared" si="36"/>
        <v/>
      </c>
      <c r="AN45" s="922" t="str">
        <f t="shared" si="37"/>
        <v/>
      </c>
      <c r="AO45" s="922" t="str">
        <f t="shared" si="38"/>
        <v/>
      </c>
      <c r="AP45" s="922" t="str">
        <f t="shared" si="39"/>
        <v/>
      </c>
      <c r="AQ45" s="922" t="str">
        <f t="shared" si="40"/>
        <v/>
      </c>
      <c r="AR45" s="922" t="str">
        <f t="shared" si="41"/>
        <v/>
      </c>
      <c r="AS45" s="922" t="str">
        <f t="shared" si="42"/>
        <v/>
      </c>
      <c r="AT45" s="922" t="str">
        <f t="shared" si="43"/>
        <v/>
      </c>
      <c r="AU45" s="922" t="str">
        <f t="shared" si="44"/>
        <v/>
      </c>
      <c r="AV45" s="922" t="str">
        <f t="shared" si="45"/>
        <v/>
      </c>
      <c r="AW45" s="926" t="str">
        <f t="shared" si="45"/>
        <v/>
      </c>
    </row>
    <row r="46" spans="1:49" s="903" customFormat="1">
      <c r="A46" s="1006" t="str">
        <f t="shared" si="46"/>
        <v>2022/12/03</v>
      </c>
      <c r="B46" s="902" t="s">
        <v>468</v>
      </c>
      <c r="C46" s="902" t="str">
        <f t="shared" ref="C46:C74" si="69">IFERROR(VLOOKUP($B46,RLMLXD,2,0),"")</f>
        <v>Rua acid (1) 鹽酸洗槽</v>
      </c>
      <c r="D46" s="902" t="str">
        <f t="shared" ref="D46:D74" si="70">IFERROR(VLOOKUP($B46,RLMLXD,43,0),"")</f>
        <v>CR-000E</v>
      </c>
      <c r="E46" s="902" t="str">
        <f t="shared" ref="E46:E74" si="71">IFERROR(VLOOKUP($B46,RLMLXD,4,0),"")</f>
        <v>%</v>
      </c>
      <c r="F46" s="902" t="str">
        <f t="shared" ref="F46:F74" si="72">IFERROR(VLOOKUP($B46,RLMLXD,5,0),"")</f>
        <v>10~15%  (12.5%)</v>
      </c>
      <c r="G46" s="889">
        <f t="shared" ref="G46:G99" si="73">IFERROR(VLOOKUP($B46,RLMLXD,8,0),"")</f>
        <v>0</v>
      </c>
      <c r="H46" s="889">
        <f t="shared" ref="H46:H99" si="74">IFERROR(VLOOKUP($B46,RLMLXD,11,0),"")</f>
        <v>292.1875</v>
      </c>
      <c r="I46" s="890" t="str">
        <f t="shared" ref="I46:I99" si="75">IFERROR(VLOOKUP($B46,RLMLXD,12,0),"")</f>
        <v>L</v>
      </c>
      <c r="J46" s="889">
        <f t="shared" ref="J46:J99" si="76">IFERROR(VLOOKUP($B46,RLMLXD,14,0),"")</f>
        <v>0</v>
      </c>
      <c r="K46" s="889">
        <f t="shared" ref="K46:K99" si="77">IFERROR(VLOOKUP($B46,RLMLXD,17,0),"")</f>
        <v>292.1875</v>
      </c>
      <c r="L46" s="890" t="str">
        <f t="shared" ref="L46:L99" si="78">IFERROR(VLOOKUP($B46,RLMLXD,18,0),"")</f>
        <v>L</v>
      </c>
      <c r="M46" s="889">
        <f t="shared" ref="M46:M99" si="79">IFERROR(VLOOKUP($B46,RLMLXD,20,0),"")</f>
        <v>0</v>
      </c>
      <c r="N46" s="889">
        <f t="shared" ref="N46:N99" si="80">IFERROR(VLOOKUP($B46,RLMLXD,23,0),"")</f>
        <v>292.1875</v>
      </c>
      <c r="O46" s="890" t="str">
        <f t="shared" ref="O46:O99" si="81">IFERROR(VLOOKUP($B46,RLMLXD,24,0),"")</f>
        <v>L</v>
      </c>
      <c r="P46" s="889">
        <f t="shared" ref="P46:P99" si="82">IFERROR(VLOOKUP($B46,RLMLXD,26,0),"")</f>
        <v>0</v>
      </c>
      <c r="Q46" s="889">
        <f t="shared" ref="Q46:Q99" si="83">IFERROR(VLOOKUP($B46,RLMLXD,29,0),"")</f>
        <v>292.1875</v>
      </c>
      <c r="R46" s="890" t="str">
        <f t="shared" ref="R46:R99" si="84">IFERROR(VLOOKUP($B46,RLMLXD,30,0),"")</f>
        <v>L</v>
      </c>
      <c r="S46" s="889">
        <f t="shared" ref="S46:S99" si="85">IFERROR(VLOOKUP($B46,RLMLXD,32,0),"")</f>
        <v>0</v>
      </c>
      <c r="T46" s="889">
        <f t="shared" ref="T46:T99" si="86">IFERROR(VLOOKUP($B46,RLMLXD,35,0),"")</f>
        <v>292.1875</v>
      </c>
      <c r="U46" s="890" t="str">
        <f t="shared" ref="U46:U99" si="87">IFERROR(VLOOKUP($B46,RLMLXD,36,0),"")</f>
        <v>L</v>
      </c>
      <c r="V46" s="889">
        <f t="shared" ref="V46:V99" si="88">IFERROR(VLOOKUP($B46,RLMLXD,38,0),"")</f>
        <v>0</v>
      </c>
      <c r="W46" s="889">
        <f t="shared" ref="W46:W99" si="89">IFERROR(VLOOKUP($B46,RLMLXD,41,0),"")</f>
        <v>292.1875</v>
      </c>
      <c r="X46" s="890" t="str">
        <f t="shared" ref="X46:X99" si="90">IFERROR(VLOOKUP($B46,RLMLXD,42,0),"")</f>
        <v>L</v>
      </c>
      <c r="Z46" s="904" t="b">
        <f t="shared" si="23"/>
        <v>1</v>
      </c>
      <c r="AA46" s="904" t="b">
        <f t="shared" si="24"/>
        <v>1</v>
      </c>
      <c r="AB46" s="904" t="b">
        <f t="shared" si="25"/>
        <v>1</v>
      </c>
      <c r="AC46" s="904" t="b">
        <f t="shared" si="26"/>
        <v>1</v>
      </c>
      <c r="AD46" s="904" t="b">
        <f t="shared" si="27"/>
        <v>1</v>
      </c>
      <c r="AE46" s="904" t="b">
        <f t="shared" si="28"/>
        <v>1</v>
      </c>
      <c r="AF46" s="904" t="b">
        <f t="shared" si="29"/>
        <v>1</v>
      </c>
      <c r="AG46" s="904" t="b">
        <f t="shared" si="30"/>
        <v>1</v>
      </c>
      <c r="AH46" s="904" t="b">
        <f t="shared" si="31"/>
        <v>1</v>
      </c>
      <c r="AI46" s="904" t="b">
        <f t="shared" si="32"/>
        <v>1</v>
      </c>
      <c r="AJ46" s="904" t="b">
        <f t="shared" si="33"/>
        <v>1</v>
      </c>
      <c r="AK46" s="904" t="b">
        <f t="shared" si="34"/>
        <v>1</v>
      </c>
      <c r="AL46" s="1007" t="str">
        <f t="shared" si="35"/>
        <v/>
      </c>
      <c r="AM46" s="1008" t="str">
        <f t="shared" si="36"/>
        <v/>
      </c>
      <c r="AN46" s="1008" t="str">
        <f t="shared" si="37"/>
        <v/>
      </c>
      <c r="AO46" s="1008" t="str">
        <f t="shared" si="38"/>
        <v/>
      </c>
      <c r="AP46" s="1008" t="str">
        <f t="shared" si="39"/>
        <v/>
      </c>
      <c r="AQ46" s="1008" t="str">
        <f t="shared" si="40"/>
        <v/>
      </c>
      <c r="AR46" s="1008" t="str">
        <f t="shared" si="41"/>
        <v/>
      </c>
      <c r="AS46" s="1008" t="str">
        <f t="shared" si="42"/>
        <v/>
      </c>
      <c r="AT46" s="1008" t="str">
        <f t="shared" si="43"/>
        <v/>
      </c>
      <c r="AU46" s="1008" t="str">
        <f t="shared" si="44"/>
        <v/>
      </c>
      <c r="AV46" s="1008" t="str">
        <f t="shared" si="45"/>
        <v/>
      </c>
      <c r="AW46" s="1009" t="str">
        <f t="shared" si="45"/>
        <v/>
      </c>
    </row>
    <row r="47" spans="1:49">
      <c r="A47" s="906" t="str">
        <f t="shared" si="46"/>
        <v>2022/12/03</v>
      </c>
      <c r="B47" s="373" t="s">
        <v>472</v>
      </c>
      <c r="C47" s="373" t="str">
        <f t="shared" si="69"/>
        <v>Rua acid (2) 鹽酸洗槽</v>
      </c>
      <c r="D47" s="373" t="str">
        <f t="shared" si="70"/>
        <v>CR-000E</v>
      </c>
      <c r="E47" s="373" t="str">
        <f t="shared" si="71"/>
        <v>%</v>
      </c>
      <c r="F47" s="373" t="str">
        <f t="shared" si="72"/>
        <v>10~15%  (12.5%)</v>
      </c>
      <c r="G47" s="894">
        <f t="shared" si="73"/>
        <v>0</v>
      </c>
      <c r="H47" s="894">
        <f t="shared" si="74"/>
        <v>292.1875</v>
      </c>
      <c r="I47" s="899" t="str">
        <f t="shared" si="75"/>
        <v>L</v>
      </c>
      <c r="J47" s="894">
        <f t="shared" si="76"/>
        <v>0</v>
      </c>
      <c r="K47" s="894">
        <f t="shared" si="77"/>
        <v>292.1875</v>
      </c>
      <c r="L47" s="899" t="str">
        <f t="shared" si="78"/>
        <v>L</v>
      </c>
      <c r="M47" s="894">
        <f t="shared" si="79"/>
        <v>0</v>
      </c>
      <c r="N47" s="894">
        <f t="shared" si="80"/>
        <v>292.1875</v>
      </c>
      <c r="O47" s="899" t="str">
        <f t="shared" si="81"/>
        <v>L</v>
      </c>
      <c r="P47" s="894">
        <f t="shared" si="82"/>
        <v>0</v>
      </c>
      <c r="Q47" s="894">
        <f t="shared" si="83"/>
        <v>292.1875</v>
      </c>
      <c r="R47" s="899" t="str">
        <f t="shared" si="84"/>
        <v>L</v>
      </c>
      <c r="S47" s="894">
        <f t="shared" si="85"/>
        <v>0</v>
      </c>
      <c r="T47" s="887">
        <f t="shared" si="86"/>
        <v>292.1875</v>
      </c>
      <c r="U47" s="888" t="str">
        <f t="shared" si="87"/>
        <v>L</v>
      </c>
      <c r="V47" s="894">
        <f t="shared" si="88"/>
        <v>0</v>
      </c>
      <c r="W47" s="887">
        <f t="shared" si="89"/>
        <v>292.1875</v>
      </c>
      <c r="X47" s="888" t="str">
        <f t="shared" si="90"/>
        <v>L</v>
      </c>
      <c r="Z47" s="374" t="b">
        <f t="shared" si="23"/>
        <v>1</v>
      </c>
      <c r="AA47" s="374" t="b">
        <f t="shared" si="24"/>
        <v>1</v>
      </c>
      <c r="AB47" s="374" t="b">
        <f t="shared" si="25"/>
        <v>1</v>
      </c>
      <c r="AC47" s="374" t="b">
        <f t="shared" si="26"/>
        <v>1</v>
      </c>
      <c r="AD47" s="374" t="b">
        <f t="shared" si="27"/>
        <v>1</v>
      </c>
      <c r="AE47" s="374" t="b">
        <f t="shared" si="28"/>
        <v>1</v>
      </c>
      <c r="AF47" s="374" t="b">
        <f t="shared" si="29"/>
        <v>1</v>
      </c>
      <c r="AG47" s="374" t="b">
        <f t="shared" si="30"/>
        <v>1</v>
      </c>
      <c r="AH47" s="374" t="b">
        <f t="shared" si="31"/>
        <v>1</v>
      </c>
      <c r="AI47" s="374" t="b">
        <f t="shared" si="32"/>
        <v>1</v>
      </c>
      <c r="AJ47" s="374" t="b">
        <f t="shared" si="33"/>
        <v>1</v>
      </c>
      <c r="AK47" s="374" t="b">
        <f t="shared" si="34"/>
        <v>1</v>
      </c>
      <c r="AL47" s="921" t="str">
        <f t="shared" si="35"/>
        <v/>
      </c>
      <c r="AM47" s="922" t="str">
        <f t="shared" si="36"/>
        <v/>
      </c>
      <c r="AN47" s="922" t="str">
        <f t="shared" si="37"/>
        <v/>
      </c>
      <c r="AO47" s="922" t="str">
        <f t="shared" si="38"/>
        <v/>
      </c>
      <c r="AP47" s="922" t="str">
        <f t="shared" si="39"/>
        <v/>
      </c>
      <c r="AQ47" s="922" t="str">
        <f t="shared" si="40"/>
        <v/>
      </c>
      <c r="AR47" s="922" t="str">
        <f t="shared" si="41"/>
        <v/>
      </c>
      <c r="AS47" s="922" t="str">
        <f t="shared" si="42"/>
        <v/>
      </c>
      <c r="AT47" s="922" t="str">
        <f t="shared" si="43"/>
        <v/>
      </c>
      <c r="AU47" s="922" t="str">
        <f t="shared" si="44"/>
        <v/>
      </c>
      <c r="AV47" s="922" t="str">
        <f t="shared" si="45"/>
        <v/>
      </c>
      <c r="AW47" s="926" t="str">
        <f t="shared" si="45"/>
        <v/>
      </c>
    </row>
    <row r="48" spans="1:49">
      <c r="A48" s="906" t="str">
        <f t="shared" si="46"/>
        <v>2022/12/03</v>
      </c>
      <c r="B48" s="373" t="s">
        <v>473</v>
      </c>
      <c r="C48" s="373" t="str">
        <f t="shared" si="69"/>
        <v>Muối axit Phosphoric  (TA)
磷酸鹽</v>
      </c>
      <c r="D48" s="373" t="str">
        <f t="shared" si="70"/>
        <v>CR-000E</v>
      </c>
      <c r="E48" s="373" t="str">
        <f t="shared" si="71"/>
        <v>Point</v>
      </c>
      <c r="F48" s="373" t="str">
        <f t="shared" si="72"/>
        <v>Tổng chua TA  全酸
40~60 (50)</v>
      </c>
      <c r="G48" s="894">
        <f t="shared" si="73"/>
        <v>0</v>
      </c>
      <c r="H48" s="894">
        <f t="shared" si="74"/>
        <v>69.400000000000006</v>
      </c>
      <c r="I48" s="899" t="str">
        <f t="shared" si="75"/>
        <v>kg</v>
      </c>
      <c r="J48" s="894">
        <f t="shared" si="76"/>
        <v>0</v>
      </c>
      <c r="K48" s="894">
        <f t="shared" si="77"/>
        <v>69.400000000000006</v>
      </c>
      <c r="L48" s="899" t="str">
        <f t="shared" si="78"/>
        <v>kg</v>
      </c>
      <c r="M48" s="894">
        <f t="shared" si="79"/>
        <v>0</v>
      </c>
      <c r="N48" s="894">
        <f t="shared" si="80"/>
        <v>69.400000000000006</v>
      </c>
      <c r="O48" s="899" t="str">
        <f t="shared" si="81"/>
        <v>kg</v>
      </c>
      <c r="P48" s="894">
        <f t="shared" si="82"/>
        <v>0</v>
      </c>
      <c r="Q48" s="894">
        <f t="shared" si="83"/>
        <v>69.400000000000006</v>
      </c>
      <c r="R48" s="899" t="str">
        <f t="shared" si="84"/>
        <v>kg</v>
      </c>
      <c r="S48" s="894">
        <f t="shared" si="85"/>
        <v>0</v>
      </c>
      <c r="T48" s="887">
        <f t="shared" si="86"/>
        <v>69.400000000000006</v>
      </c>
      <c r="U48" s="888" t="str">
        <f t="shared" si="87"/>
        <v>kg</v>
      </c>
      <c r="V48" s="894">
        <f t="shared" si="88"/>
        <v>0</v>
      </c>
      <c r="W48" s="887">
        <f t="shared" si="89"/>
        <v>69.400000000000006</v>
      </c>
      <c r="X48" s="888" t="str">
        <f t="shared" si="90"/>
        <v>kg</v>
      </c>
      <c r="Z48" s="374" t="b">
        <f t="shared" si="23"/>
        <v>1</v>
      </c>
      <c r="AA48" s="374" t="b">
        <f t="shared" si="24"/>
        <v>1</v>
      </c>
      <c r="AB48" s="374" t="b">
        <f t="shared" si="25"/>
        <v>1</v>
      </c>
      <c r="AC48" s="374" t="b">
        <f t="shared" si="26"/>
        <v>1</v>
      </c>
      <c r="AD48" s="374" t="b">
        <f t="shared" si="27"/>
        <v>1</v>
      </c>
      <c r="AE48" s="374" t="b">
        <f t="shared" si="28"/>
        <v>1</v>
      </c>
      <c r="AF48" s="374" t="b">
        <f t="shared" si="29"/>
        <v>1</v>
      </c>
      <c r="AG48" s="374" t="b">
        <f t="shared" si="30"/>
        <v>1</v>
      </c>
      <c r="AH48" s="374" t="b">
        <f t="shared" si="31"/>
        <v>1</v>
      </c>
      <c r="AI48" s="374" t="b">
        <f t="shared" si="32"/>
        <v>1</v>
      </c>
      <c r="AJ48" s="374" t="b">
        <f t="shared" si="33"/>
        <v>1</v>
      </c>
      <c r="AK48" s="374" t="b">
        <f t="shared" si="34"/>
        <v>1</v>
      </c>
      <c r="AL48" s="921" t="str">
        <f t="shared" si="35"/>
        <v/>
      </c>
      <c r="AM48" s="922" t="str">
        <f t="shared" si="36"/>
        <v/>
      </c>
      <c r="AN48" s="922" t="str">
        <f t="shared" si="37"/>
        <v/>
      </c>
      <c r="AO48" s="922" t="str">
        <f t="shared" si="38"/>
        <v/>
      </c>
      <c r="AP48" s="922" t="str">
        <f t="shared" si="39"/>
        <v/>
      </c>
      <c r="AQ48" s="922" t="str">
        <f t="shared" si="40"/>
        <v/>
      </c>
      <c r="AR48" s="922" t="str">
        <f t="shared" si="41"/>
        <v/>
      </c>
      <c r="AS48" s="922" t="str">
        <f t="shared" si="42"/>
        <v/>
      </c>
      <c r="AT48" s="922" t="str">
        <f t="shared" si="43"/>
        <v/>
      </c>
      <c r="AU48" s="922" t="str">
        <f t="shared" si="44"/>
        <v/>
      </c>
      <c r="AV48" s="922" t="str">
        <f t="shared" si="45"/>
        <v/>
      </c>
      <c r="AW48" s="926" t="str">
        <f t="shared" si="45"/>
        <v/>
      </c>
    </row>
    <row r="49" spans="1:49">
      <c r="A49" s="906" t="str">
        <f t="shared" si="46"/>
        <v>2022/12/03</v>
      </c>
      <c r="B49" s="373" t="s">
        <v>476</v>
      </c>
      <c r="C49" s="373" t="str">
        <f t="shared" si="69"/>
        <v>Muối axit Phosphoric  (tỷ lệ axit)
磷酸鹽</v>
      </c>
      <c r="D49" s="373" t="str">
        <f t="shared" si="70"/>
        <v>CR-000E</v>
      </c>
      <c r="E49" s="373" t="str">
        <f t="shared" si="71"/>
        <v>Point</v>
      </c>
      <c r="F49" s="373" t="str">
        <f t="shared" si="72"/>
        <v>tỷ lệ axit  酸比 
5.2~7.8 (6.5)</v>
      </c>
      <c r="G49" s="894">
        <f t="shared" si="73"/>
        <v>0</v>
      </c>
      <c r="H49" s="894">
        <f t="shared" si="74"/>
        <v>4.5110000000000001</v>
      </c>
      <c r="I49" s="899" t="str">
        <f t="shared" si="75"/>
        <v>kg</v>
      </c>
      <c r="J49" s="894">
        <f t="shared" si="76"/>
        <v>0</v>
      </c>
      <c r="K49" s="894">
        <f t="shared" si="77"/>
        <v>4.5110000000000001</v>
      </c>
      <c r="L49" s="899" t="str">
        <f t="shared" si="78"/>
        <v>kg</v>
      </c>
      <c r="M49" s="894">
        <f t="shared" si="79"/>
        <v>0</v>
      </c>
      <c r="N49" s="894">
        <f t="shared" si="80"/>
        <v>4.5110000000000001</v>
      </c>
      <c r="O49" s="899" t="str">
        <f t="shared" si="81"/>
        <v>kg</v>
      </c>
      <c r="P49" s="894">
        <f t="shared" si="82"/>
        <v>0</v>
      </c>
      <c r="Q49" s="894">
        <f t="shared" si="83"/>
        <v>4.5110000000000001</v>
      </c>
      <c r="R49" s="899" t="str">
        <f t="shared" si="84"/>
        <v>kg</v>
      </c>
      <c r="S49" s="894">
        <f t="shared" si="85"/>
        <v>0</v>
      </c>
      <c r="T49" s="887">
        <f t="shared" si="86"/>
        <v>4.5110000000000001</v>
      </c>
      <c r="U49" s="888" t="str">
        <f t="shared" si="87"/>
        <v>kg</v>
      </c>
      <c r="V49" s="894">
        <f t="shared" si="88"/>
        <v>0</v>
      </c>
      <c r="W49" s="887">
        <f t="shared" si="89"/>
        <v>4.5110000000000001</v>
      </c>
      <c r="X49" s="888" t="str">
        <f t="shared" si="90"/>
        <v>kg</v>
      </c>
      <c r="Z49" s="374" t="b">
        <f t="shared" si="23"/>
        <v>1</v>
      </c>
      <c r="AA49" s="374" t="b">
        <f t="shared" si="24"/>
        <v>1</v>
      </c>
      <c r="AB49" s="374" t="b">
        <f t="shared" si="25"/>
        <v>1</v>
      </c>
      <c r="AC49" s="374" t="b">
        <f t="shared" si="26"/>
        <v>1</v>
      </c>
      <c r="AD49" s="374" t="b">
        <f t="shared" si="27"/>
        <v>1</v>
      </c>
      <c r="AE49" s="374" t="b">
        <f t="shared" si="28"/>
        <v>1</v>
      </c>
      <c r="AF49" s="374" t="b">
        <f t="shared" si="29"/>
        <v>1</v>
      </c>
      <c r="AG49" s="374" t="b">
        <f t="shared" si="30"/>
        <v>1</v>
      </c>
      <c r="AH49" s="374" t="b">
        <f t="shared" si="31"/>
        <v>1</v>
      </c>
      <c r="AI49" s="374" t="b">
        <f t="shared" si="32"/>
        <v>1</v>
      </c>
      <c r="AJ49" s="374" t="b">
        <f t="shared" si="33"/>
        <v>1</v>
      </c>
      <c r="AK49" s="374" t="b">
        <f t="shared" si="34"/>
        <v>1</v>
      </c>
      <c r="AL49" s="921" t="str">
        <f t="shared" si="35"/>
        <v/>
      </c>
      <c r="AM49" s="922" t="str">
        <f t="shared" si="36"/>
        <v/>
      </c>
      <c r="AN49" s="922" t="str">
        <f t="shared" si="37"/>
        <v/>
      </c>
      <c r="AO49" s="922" t="str">
        <f t="shared" si="38"/>
        <v/>
      </c>
      <c r="AP49" s="922" t="str">
        <f t="shared" si="39"/>
        <v/>
      </c>
      <c r="AQ49" s="922" t="str">
        <f t="shared" si="40"/>
        <v/>
      </c>
      <c r="AR49" s="922" t="str">
        <f t="shared" si="41"/>
        <v/>
      </c>
      <c r="AS49" s="922" t="str">
        <f t="shared" si="42"/>
        <v/>
      </c>
      <c r="AT49" s="922" t="str">
        <f t="shared" si="43"/>
        <v/>
      </c>
      <c r="AU49" s="922" t="str">
        <f t="shared" si="44"/>
        <v/>
      </c>
      <c r="AV49" s="922" t="str">
        <f t="shared" si="45"/>
        <v/>
      </c>
      <c r="AW49" s="926" t="str">
        <f t="shared" si="45"/>
        <v/>
      </c>
    </row>
    <row r="50" spans="1:49">
      <c r="A50" s="906" t="str">
        <f t="shared" si="46"/>
        <v>2022/12/03</v>
      </c>
      <c r="B50" s="373" t="s">
        <v>477</v>
      </c>
      <c r="C50" s="373" t="str">
        <f t="shared" si="69"/>
        <v>Muối axit Phosphoric (Fe phân ly) 
磷酸鹽</v>
      </c>
      <c r="D50" s="373" t="str">
        <f t="shared" si="70"/>
        <v>CR-000E</v>
      </c>
      <c r="E50" s="373" t="str">
        <f t="shared" si="71"/>
        <v>Point</v>
      </c>
      <c r="F50" s="373" t="str">
        <f t="shared" si="72"/>
        <v xml:space="preserve">Fe phân ly &lt;0.4
 鐵離子&lt;0.4
</v>
      </c>
      <c r="G50" s="894">
        <f t="shared" si="73"/>
        <v>0</v>
      </c>
      <c r="H50" s="894">
        <f>IFERROR(VLOOKUP($B50,RLMLXD,11,0),"")</f>
        <v>0</v>
      </c>
      <c r="I50" s="899">
        <f t="shared" si="75"/>
        <v>0</v>
      </c>
      <c r="J50" s="894">
        <f t="shared" si="76"/>
        <v>0</v>
      </c>
      <c r="K50" s="894">
        <f t="shared" si="77"/>
        <v>0</v>
      </c>
      <c r="L50" s="899">
        <f t="shared" si="78"/>
        <v>0</v>
      </c>
      <c r="M50" s="894">
        <f t="shared" si="79"/>
        <v>0</v>
      </c>
      <c r="N50" s="894">
        <f t="shared" si="80"/>
        <v>0</v>
      </c>
      <c r="O50" s="899">
        <f t="shared" si="81"/>
        <v>0</v>
      </c>
      <c r="P50" s="894">
        <f t="shared" si="82"/>
        <v>0</v>
      </c>
      <c r="Q50" s="894">
        <f t="shared" si="83"/>
        <v>0</v>
      </c>
      <c r="R50" s="899">
        <f t="shared" si="84"/>
        <v>0</v>
      </c>
      <c r="S50" s="894">
        <f t="shared" si="85"/>
        <v>0</v>
      </c>
      <c r="T50" s="887">
        <f t="shared" si="86"/>
        <v>0</v>
      </c>
      <c r="U50" s="888">
        <f t="shared" si="87"/>
        <v>0</v>
      </c>
      <c r="V50" s="894">
        <f t="shared" si="88"/>
        <v>0</v>
      </c>
      <c r="W50" s="887">
        <f t="shared" si="89"/>
        <v>0</v>
      </c>
      <c r="X50" s="888">
        <f t="shared" si="90"/>
        <v>0</v>
      </c>
      <c r="Z50" s="374" t="b">
        <f t="shared" si="23"/>
        <v>1</v>
      </c>
      <c r="AA50" s="374" t="b">
        <f t="shared" si="24"/>
        <v>1</v>
      </c>
      <c r="AB50" s="374" t="b">
        <f t="shared" si="25"/>
        <v>1</v>
      </c>
      <c r="AC50" s="374" t="b">
        <f t="shared" si="26"/>
        <v>1</v>
      </c>
      <c r="AD50" s="374" t="b">
        <f t="shared" si="27"/>
        <v>1</v>
      </c>
      <c r="AE50" s="374" t="b">
        <f t="shared" si="28"/>
        <v>1</v>
      </c>
      <c r="AF50" s="374" t="b">
        <f t="shared" si="29"/>
        <v>1</v>
      </c>
      <c r="AG50" s="374" t="b">
        <f t="shared" si="30"/>
        <v>1</v>
      </c>
      <c r="AH50" s="374" t="b">
        <f t="shared" si="31"/>
        <v>1</v>
      </c>
      <c r="AI50" s="374" t="b">
        <f t="shared" si="32"/>
        <v>1</v>
      </c>
      <c r="AJ50" s="374" t="b">
        <f t="shared" si="33"/>
        <v>1</v>
      </c>
      <c r="AK50" s="374" t="b">
        <f t="shared" si="34"/>
        <v>1</v>
      </c>
      <c r="AL50" s="921" t="str">
        <f t="shared" si="35"/>
        <v/>
      </c>
      <c r="AM50" s="922" t="str">
        <f t="shared" si="36"/>
        <v/>
      </c>
      <c r="AN50" s="922" t="str">
        <f t="shared" si="37"/>
        <v/>
      </c>
      <c r="AO50" s="922" t="str">
        <f t="shared" si="38"/>
        <v/>
      </c>
      <c r="AP50" s="922" t="str">
        <f t="shared" si="39"/>
        <v/>
      </c>
      <c r="AQ50" s="922" t="str">
        <f t="shared" si="40"/>
        <v/>
      </c>
      <c r="AR50" s="922" t="str">
        <f t="shared" si="41"/>
        <v/>
      </c>
      <c r="AS50" s="922" t="str">
        <f t="shared" si="42"/>
        <v/>
      </c>
      <c r="AT50" s="922" t="str">
        <f t="shared" si="43"/>
        <v/>
      </c>
      <c r="AU50" s="922" t="str">
        <f t="shared" si="44"/>
        <v/>
      </c>
      <c r="AV50" s="922" t="str">
        <f t="shared" si="45"/>
        <v/>
      </c>
      <c r="AW50" s="926" t="str">
        <f t="shared" si="45"/>
        <v/>
      </c>
    </row>
    <row r="51" spans="1:49">
      <c r="A51" s="906" t="str">
        <f t="shared" si="46"/>
        <v>2022/12/03</v>
      </c>
      <c r="B51" s="373" t="s">
        <v>479</v>
      </c>
      <c r="C51" s="373" t="str">
        <f t="shared" si="69"/>
        <v>Muối axit Phosphoric  (TA)
磷酸鹽</v>
      </c>
      <c r="D51" s="373" t="str">
        <f t="shared" si="70"/>
        <v>CR-000E</v>
      </c>
      <c r="E51" s="373" t="str">
        <f t="shared" si="71"/>
        <v>Point</v>
      </c>
      <c r="F51" s="373" t="str">
        <f t="shared" si="72"/>
        <v>Tổng chua TA  全酸
40~60 (50)</v>
      </c>
      <c r="G51" s="894">
        <f t="shared" si="73"/>
        <v>0</v>
      </c>
      <c r="H51" s="894">
        <f t="shared" si="74"/>
        <v>69.400000000000006</v>
      </c>
      <c r="I51" s="899" t="str">
        <f t="shared" si="75"/>
        <v>kg</v>
      </c>
      <c r="J51" s="894">
        <f t="shared" si="76"/>
        <v>0</v>
      </c>
      <c r="K51" s="894">
        <f t="shared" si="77"/>
        <v>69.400000000000006</v>
      </c>
      <c r="L51" s="899" t="str">
        <f t="shared" si="78"/>
        <v>kg</v>
      </c>
      <c r="M51" s="894">
        <f t="shared" si="79"/>
        <v>0</v>
      </c>
      <c r="N51" s="894">
        <f t="shared" si="80"/>
        <v>69.400000000000006</v>
      </c>
      <c r="O51" s="899" t="str">
        <f t="shared" si="81"/>
        <v>kg</v>
      </c>
      <c r="P51" s="894">
        <f t="shared" si="82"/>
        <v>0</v>
      </c>
      <c r="Q51" s="894">
        <f t="shared" si="83"/>
        <v>69.400000000000006</v>
      </c>
      <c r="R51" s="899" t="str">
        <f t="shared" si="84"/>
        <v>kg</v>
      </c>
      <c r="S51" s="894">
        <f t="shared" si="85"/>
        <v>0</v>
      </c>
      <c r="T51" s="887">
        <f t="shared" si="86"/>
        <v>69.400000000000006</v>
      </c>
      <c r="U51" s="888" t="str">
        <f t="shared" si="87"/>
        <v>kg</v>
      </c>
      <c r="V51" s="894">
        <f t="shared" si="88"/>
        <v>0</v>
      </c>
      <c r="W51" s="887">
        <f t="shared" si="89"/>
        <v>69.400000000000006</v>
      </c>
      <c r="X51" s="888" t="str">
        <f t="shared" si="90"/>
        <v>kg</v>
      </c>
      <c r="Z51" s="374" t="b">
        <f t="shared" si="23"/>
        <v>1</v>
      </c>
      <c r="AA51" s="374" t="b">
        <f t="shared" si="24"/>
        <v>1</v>
      </c>
      <c r="AB51" s="374" t="b">
        <f t="shared" si="25"/>
        <v>1</v>
      </c>
      <c r="AC51" s="374" t="b">
        <f t="shared" si="26"/>
        <v>1</v>
      </c>
      <c r="AD51" s="374" t="b">
        <f t="shared" si="27"/>
        <v>1</v>
      </c>
      <c r="AE51" s="374" t="b">
        <f t="shared" si="28"/>
        <v>1</v>
      </c>
      <c r="AF51" s="374" t="b">
        <f t="shared" si="29"/>
        <v>1</v>
      </c>
      <c r="AG51" s="374" t="b">
        <f t="shared" si="30"/>
        <v>1</v>
      </c>
      <c r="AH51" s="374" t="b">
        <f t="shared" si="31"/>
        <v>1</v>
      </c>
      <c r="AI51" s="374" t="b">
        <f t="shared" si="32"/>
        <v>1</v>
      </c>
      <c r="AJ51" s="374" t="b">
        <f t="shared" si="33"/>
        <v>1</v>
      </c>
      <c r="AK51" s="374" t="b">
        <f t="shared" si="34"/>
        <v>1</v>
      </c>
      <c r="AL51" s="921" t="str">
        <f t="shared" si="35"/>
        <v/>
      </c>
      <c r="AM51" s="922" t="str">
        <f t="shared" si="36"/>
        <v/>
      </c>
      <c r="AN51" s="922" t="str">
        <f t="shared" si="37"/>
        <v/>
      </c>
      <c r="AO51" s="922" t="str">
        <f t="shared" si="38"/>
        <v/>
      </c>
      <c r="AP51" s="922" t="str">
        <f t="shared" si="39"/>
        <v/>
      </c>
      <c r="AQ51" s="922" t="str">
        <f t="shared" si="40"/>
        <v/>
      </c>
      <c r="AR51" s="922" t="str">
        <f t="shared" si="41"/>
        <v/>
      </c>
      <c r="AS51" s="922" t="str">
        <f t="shared" si="42"/>
        <v/>
      </c>
      <c r="AT51" s="922" t="str">
        <f t="shared" si="43"/>
        <v/>
      </c>
      <c r="AU51" s="922" t="str">
        <f t="shared" si="44"/>
        <v/>
      </c>
      <c r="AV51" s="922" t="str">
        <f t="shared" si="45"/>
        <v/>
      </c>
      <c r="AW51" s="926" t="str">
        <f t="shared" si="45"/>
        <v/>
      </c>
    </row>
    <row r="52" spans="1:49">
      <c r="A52" s="906" t="str">
        <f t="shared" si="46"/>
        <v>2022/12/03</v>
      </c>
      <c r="B52" s="373" t="s">
        <v>481</v>
      </c>
      <c r="C52" s="373" t="str">
        <f t="shared" si="69"/>
        <v>Muối axit Phosphoric  (tỷ lệ axit)
磷酸鹽</v>
      </c>
      <c r="D52" s="373" t="str">
        <f t="shared" si="70"/>
        <v>CR-000E</v>
      </c>
      <c r="E52" s="373" t="str">
        <f t="shared" si="71"/>
        <v>Point</v>
      </c>
      <c r="F52" s="373" t="str">
        <f t="shared" si="72"/>
        <v>tỷ lệ axit  酸比 
5.2~7.8 (6.5)</v>
      </c>
      <c r="G52" s="894">
        <f t="shared" si="73"/>
        <v>0</v>
      </c>
      <c r="H52" s="894">
        <f t="shared" si="74"/>
        <v>4.5110000000000001</v>
      </c>
      <c r="I52" s="899" t="str">
        <f t="shared" si="75"/>
        <v>kg</v>
      </c>
      <c r="J52" s="894">
        <f t="shared" si="76"/>
        <v>0</v>
      </c>
      <c r="K52" s="894">
        <f t="shared" si="77"/>
        <v>4.5110000000000001</v>
      </c>
      <c r="L52" s="899" t="str">
        <f t="shared" si="78"/>
        <v>kg</v>
      </c>
      <c r="M52" s="894">
        <f t="shared" si="79"/>
        <v>0</v>
      </c>
      <c r="N52" s="894">
        <f t="shared" si="80"/>
        <v>4.5110000000000001</v>
      </c>
      <c r="O52" s="899" t="str">
        <f t="shared" si="81"/>
        <v>kg</v>
      </c>
      <c r="P52" s="894">
        <f t="shared" si="82"/>
        <v>0</v>
      </c>
      <c r="Q52" s="894">
        <f t="shared" si="83"/>
        <v>4.5110000000000001</v>
      </c>
      <c r="R52" s="899" t="str">
        <f t="shared" si="84"/>
        <v>kg</v>
      </c>
      <c r="S52" s="894">
        <f t="shared" si="85"/>
        <v>0</v>
      </c>
      <c r="T52" s="887">
        <f t="shared" si="86"/>
        <v>4.5110000000000001</v>
      </c>
      <c r="U52" s="888" t="str">
        <f t="shared" si="87"/>
        <v>kg</v>
      </c>
      <c r="V52" s="894">
        <f t="shared" si="88"/>
        <v>0</v>
      </c>
      <c r="W52" s="887">
        <f t="shared" si="89"/>
        <v>4.5110000000000001</v>
      </c>
      <c r="X52" s="888" t="str">
        <f t="shared" si="90"/>
        <v>kg</v>
      </c>
      <c r="Z52" s="374" t="b">
        <f t="shared" si="23"/>
        <v>1</v>
      </c>
      <c r="AA52" s="374" t="b">
        <f t="shared" si="24"/>
        <v>1</v>
      </c>
      <c r="AB52" s="374" t="b">
        <f t="shared" si="25"/>
        <v>1</v>
      </c>
      <c r="AC52" s="374" t="b">
        <f t="shared" si="26"/>
        <v>1</v>
      </c>
      <c r="AD52" s="374" t="b">
        <f t="shared" si="27"/>
        <v>1</v>
      </c>
      <c r="AE52" s="374" t="b">
        <f t="shared" si="28"/>
        <v>1</v>
      </c>
      <c r="AF52" s="374" t="b">
        <f t="shared" si="29"/>
        <v>1</v>
      </c>
      <c r="AG52" s="374" t="b">
        <f t="shared" si="30"/>
        <v>1</v>
      </c>
      <c r="AH52" s="374" t="b">
        <f t="shared" si="31"/>
        <v>1</v>
      </c>
      <c r="AI52" s="374" t="b">
        <f t="shared" si="32"/>
        <v>1</v>
      </c>
      <c r="AJ52" s="374" t="b">
        <f t="shared" si="33"/>
        <v>1</v>
      </c>
      <c r="AK52" s="374" t="b">
        <f t="shared" si="34"/>
        <v>1</v>
      </c>
      <c r="AL52" s="921" t="str">
        <f t="shared" si="35"/>
        <v/>
      </c>
      <c r="AM52" s="922" t="str">
        <f t="shared" si="36"/>
        <v/>
      </c>
      <c r="AN52" s="922" t="str">
        <f t="shared" si="37"/>
        <v/>
      </c>
      <c r="AO52" s="922" t="str">
        <f t="shared" si="38"/>
        <v/>
      </c>
      <c r="AP52" s="922" t="str">
        <f t="shared" si="39"/>
        <v/>
      </c>
      <c r="AQ52" s="922" t="str">
        <f t="shared" si="40"/>
        <v/>
      </c>
      <c r="AR52" s="922" t="str">
        <f t="shared" si="41"/>
        <v/>
      </c>
      <c r="AS52" s="922" t="str">
        <f t="shared" si="42"/>
        <v/>
      </c>
      <c r="AT52" s="922" t="str">
        <f t="shared" si="43"/>
        <v/>
      </c>
      <c r="AU52" s="922" t="str">
        <f t="shared" si="44"/>
        <v/>
      </c>
      <c r="AV52" s="922" t="str">
        <f t="shared" si="45"/>
        <v/>
      </c>
      <c r="AW52" s="926" t="str">
        <f t="shared" si="45"/>
        <v/>
      </c>
    </row>
    <row r="53" spans="1:49">
      <c r="A53" s="906" t="str">
        <f t="shared" si="46"/>
        <v>2022/12/03</v>
      </c>
      <c r="B53" s="373" t="s">
        <v>482</v>
      </c>
      <c r="C53" s="373" t="str">
        <f t="shared" si="69"/>
        <v>Muối axit Phosphoric (Fe phân ly) 
磷酸鹽</v>
      </c>
      <c r="D53" s="373" t="str">
        <f t="shared" si="70"/>
        <v>CR-000E</v>
      </c>
      <c r="E53" s="373" t="str">
        <f t="shared" si="71"/>
        <v>Point</v>
      </c>
      <c r="F53" s="373" t="str">
        <f t="shared" si="72"/>
        <v xml:space="preserve">Fe phân ly &lt;0.4
 鐵離子&lt;0.4
</v>
      </c>
      <c r="G53" s="894">
        <f t="shared" si="73"/>
        <v>0</v>
      </c>
      <c r="H53" s="894">
        <f t="shared" si="74"/>
        <v>0</v>
      </c>
      <c r="I53" s="899">
        <f t="shared" si="75"/>
        <v>0</v>
      </c>
      <c r="J53" s="894">
        <f t="shared" si="76"/>
        <v>0</v>
      </c>
      <c r="K53" s="894">
        <f t="shared" si="77"/>
        <v>0</v>
      </c>
      <c r="L53" s="899">
        <f t="shared" si="78"/>
        <v>0</v>
      </c>
      <c r="M53" s="894">
        <f t="shared" si="79"/>
        <v>0</v>
      </c>
      <c r="N53" s="894">
        <f t="shared" si="80"/>
        <v>0</v>
      </c>
      <c r="O53" s="899">
        <f t="shared" si="81"/>
        <v>0</v>
      </c>
      <c r="P53" s="894">
        <f t="shared" si="82"/>
        <v>0</v>
      </c>
      <c r="Q53" s="894">
        <f t="shared" si="83"/>
        <v>0</v>
      </c>
      <c r="R53" s="899">
        <f t="shared" si="84"/>
        <v>0</v>
      </c>
      <c r="S53" s="894">
        <f t="shared" si="85"/>
        <v>0</v>
      </c>
      <c r="T53" s="887">
        <f t="shared" si="86"/>
        <v>0</v>
      </c>
      <c r="U53" s="888">
        <f t="shared" si="87"/>
        <v>0</v>
      </c>
      <c r="V53" s="894">
        <f t="shared" si="88"/>
        <v>0</v>
      </c>
      <c r="W53" s="887">
        <f t="shared" si="89"/>
        <v>0</v>
      </c>
      <c r="X53" s="888">
        <f t="shared" si="90"/>
        <v>0</v>
      </c>
      <c r="Z53" s="374" t="b">
        <f t="shared" si="23"/>
        <v>1</v>
      </c>
      <c r="AA53" s="374" t="b">
        <f t="shared" si="24"/>
        <v>1</v>
      </c>
      <c r="AB53" s="374" t="b">
        <f t="shared" si="25"/>
        <v>1</v>
      </c>
      <c r="AC53" s="374" t="b">
        <f t="shared" si="26"/>
        <v>1</v>
      </c>
      <c r="AD53" s="374" t="b">
        <f t="shared" si="27"/>
        <v>1</v>
      </c>
      <c r="AE53" s="374" t="b">
        <f t="shared" si="28"/>
        <v>1</v>
      </c>
      <c r="AF53" s="374" t="b">
        <f t="shared" si="29"/>
        <v>1</v>
      </c>
      <c r="AG53" s="374" t="b">
        <f t="shared" si="30"/>
        <v>1</v>
      </c>
      <c r="AH53" s="374" t="b">
        <f t="shared" si="31"/>
        <v>1</v>
      </c>
      <c r="AI53" s="374" t="b">
        <f t="shared" si="32"/>
        <v>1</v>
      </c>
      <c r="AJ53" s="374" t="b">
        <f t="shared" si="33"/>
        <v>1</v>
      </c>
      <c r="AK53" s="374" t="b">
        <f t="shared" si="34"/>
        <v>1</v>
      </c>
      <c r="AL53" s="921" t="str">
        <f t="shared" si="35"/>
        <v/>
      </c>
      <c r="AM53" s="922" t="str">
        <f t="shared" si="36"/>
        <v/>
      </c>
      <c r="AN53" s="922" t="str">
        <f t="shared" si="37"/>
        <v/>
      </c>
      <c r="AO53" s="922" t="str">
        <f t="shared" si="38"/>
        <v/>
      </c>
      <c r="AP53" s="922" t="str">
        <f t="shared" si="39"/>
        <v/>
      </c>
      <c r="AQ53" s="922" t="str">
        <f t="shared" si="40"/>
        <v/>
      </c>
      <c r="AR53" s="922" t="str">
        <f t="shared" si="41"/>
        <v/>
      </c>
      <c r="AS53" s="922" t="str">
        <f t="shared" si="42"/>
        <v/>
      </c>
      <c r="AT53" s="922" t="str">
        <f t="shared" si="43"/>
        <v/>
      </c>
      <c r="AU53" s="922" t="str">
        <f t="shared" si="44"/>
        <v/>
      </c>
      <c r="AV53" s="922" t="str">
        <f t="shared" si="45"/>
        <v/>
      </c>
      <c r="AW53" s="926" t="str">
        <f t="shared" si="45"/>
        <v/>
      </c>
    </row>
    <row r="54" spans="1:49">
      <c r="A54" s="906" t="str">
        <f t="shared" si="46"/>
        <v>2022/12/03</v>
      </c>
      <c r="B54" s="373" t="s">
        <v>483</v>
      </c>
      <c r="C54" s="373" t="str">
        <f t="shared" si="69"/>
        <v>Xà bông bôi trơn
潤滑皂</v>
      </c>
      <c r="D54" s="373" t="str">
        <f t="shared" si="70"/>
        <v>CR-000E</v>
      </c>
      <c r="E54" s="373" t="str">
        <f t="shared" si="71"/>
        <v>Point</v>
      </c>
      <c r="F54" s="373" t="str">
        <f t="shared" si="72"/>
        <v>0.8~1.2</v>
      </c>
      <c r="G54" s="894">
        <f t="shared" si="73"/>
        <v>0</v>
      </c>
      <c r="H54" s="894">
        <f t="shared" si="74"/>
        <v>4.3680000000000003</v>
      </c>
      <c r="I54" s="899" t="str">
        <f t="shared" si="75"/>
        <v>kg</v>
      </c>
      <c r="J54" s="894">
        <f t="shared" si="76"/>
        <v>0</v>
      </c>
      <c r="K54" s="894">
        <f t="shared" si="77"/>
        <v>4.3680000000000003</v>
      </c>
      <c r="L54" s="899" t="str">
        <f t="shared" si="78"/>
        <v>kg</v>
      </c>
      <c r="M54" s="894">
        <f t="shared" si="79"/>
        <v>0</v>
      </c>
      <c r="N54" s="894">
        <f t="shared" si="80"/>
        <v>4.3680000000000003</v>
      </c>
      <c r="O54" s="899" t="str">
        <f t="shared" si="81"/>
        <v>kg</v>
      </c>
      <c r="P54" s="894">
        <f t="shared" si="82"/>
        <v>0</v>
      </c>
      <c r="Q54" s="894">
        <f t="shared" si="83"/>
        <v>4.3680000000000003</v>
      </c>
      <c r="R54" s="899" t="str">
        <f t="shared" si="84"/>
        <v>kg</v>
      </c>
      <c r="S54" s="894">
        <f t="shared" si="85"/>
        <v>0</v>
      </c>
      <c r="T54" s="887">
        <f t="shared" si="86"/>
        <v>4.3680000000000003</v>
      </c>
      <c r="U54" s="888" t="str">
        <f t="shared" si="87"/>
        <v>kg</v>
      </c>
      <c r="V54" s="894">
        <f t="shared" si="88"/>
        <v>0</v>
      </c>
      <c r="W54" s="887">
        <f t="shared" si="89"/>
        <v>4.3680000000000003</v>
      </c>
      <c r="X54" s="888" t="str">
        <f t="shared" si="90"/>
        <v>kg</v>
      </c>
      <c r="Z54" s="374" t="b">
        <f t="shared" si="23"/>
        <v>1</v>
      </c>
      <c r="AA54" s="374" t="b">
        <f t="shared" si="24"/>
        <v>1</v>
      </c>
      <c r="AB54" s="374" t="b">
        <f t="shared" si="25"/>
        <v>1</v>
      </c>
      <c r="AC54" s="374" t="b">
        <f t="shared" si="26"/>
        <v>1</v>
      </c>
      <c r="AD54" s="374" t="b">
        <f t="shared" si="27"/>
        <v>1</v>
      </c>
      <c r="AE54" s="374" t="b">
        <f t="shared" si="28"/>
        <v>1</v>
      </c>
      <c r="AF54" s="374" t="b">
        <f t="shared" si="29"/>
        <v>1</v>
      </c>
      <c r="AG54" s="374" t="b">
        <f t="shared" si="30"/>
        <v>1</v>
      </c>
      <c r="AH54" s="374" t="b">
        <f t="shared" si="31"/>
        <v>1</v>
      </c>
      <c r="AI54" s="374" t="b">
        <f t="shared" si="32"/>
        <v>1</v>
      </c>
      <c r="AJ54" s="374" t="b">
        <f t="shared" si="33"/>
        <v>1</v>
      </c>
      <c r="AK54" s="374" t="b">
        <f t="shared" si="34"/>
        <v>1</v>
      </c>
      <c r="AL54" s="921" t="str">
        <f t="shared" si="35"/>
        <v/>
      </c>
      <c r="AM54" s="922" t="str">
        <f t="shared" si="36"/>
        <v/>
      </c>
      <c r="AN54" s="922" t="str">
        <f t="shared" si="37"/>
        <v/>
      </c>
      <c r="AO54" s="922" t="str">
        <f t="shared" si="38"/>
        <v/>
      </c>
      <c r="AP54" s="922" t="str">
        <f t="shared" si="39"/>
        <v/>
      </c>
      <c r="AQ54" s="922" t="str">
        <f t="shared" si="40"/>
        <v/>
      </c>
      <c r="AR54" s="922" t="str">
        <f t="shared" si="41"/>
        <v/>
      </c>
      <c r="AS54" s="922" t="str">
        <f t="shared" si="42"/>
        <v/>
      </c>
      <c r="AT54" s="922" t="str">
        <f t="shared" si="43"/>
        <v/>
      </c>
      <c r="AU54" s="922" t="str">
        <f t="shared" si="44"/>
        <v/>
      </c>
      <c r="AV54" s="922" t="str">
        <f t="shared" si="45"/>
        <v/>
      </c>
      <c r="AW54" s="926" t="str">
        <f t="shared" si="45"/>
        <v/>
      </c>
    </row>
    <row r="55" spans="1:49">
      <c r="A55" s="906" t="str">
        <f t="shared" si="46"/>
        <v>2022/12/03</v>
      </c>
      <c r="B55" s="373" t="s">
        <v>486</v>
      </c>
      <c r="C55" s="373" t="str">
        <f t="shared" si="69"/>
        <v>pH</v>
      </c>
      <c r="D55" s="373" t="str">
        <f t="shared" si="70"/>
        <v>CR-000E</v>
      </c>
      <c r="E55" s="373" t="str">
        <f t="shared" si="71"/>
        <v>pH</v>
      </c>
      <c r="F55" s="373" t="str">
        <f t="shared" si="72"/>
        <v>8~10</v>
      </c>
      <c r="G55" s="894">
        <f t="shared" si="73"/>
        <v>0</v>
      </c>
      <c r="H55" s="894">
        <f t="shared" si="74"/>
        <v>0</v>
      </c>
      <c r="I55" s="899">
        <f t="shared" si="75"/>
        <v>0</v>
      </c>
      <c r="J55" s="894">
        <f t="shared" si="76"/>
        <v>0</v>
      </c>
      <c r="K55" s="894">
        <f t="shared" si="77"/>
        <v>0</v>
      </c>
      <c r="L55" s="899">
        <f t="shared" si="78"/>
        <v>0</v>
      </c>
      <c r="M55" s="894">
        <f t="shared" si="79"/>
        <v>0</v>
      </c>
      <c r="N55" s="894">
        <f t="shared" si="80"/>
        <v>0</v>
      </c>
      <c r="O55" s="899">
        <f t="shared" si="81"/>
        <v>0</v>
      </c>
      <c r="P55" s="894">
        <f t="shared" si="82"/>
        <v>0</v>
      </c>
      <c r="Q55" s="894">
        <f t="shared" si="83"/>
        <v>0</v>
      </c>
      <c r="R55" s="899">
        <f t="shared" si="84"/>
        <v>0</v>
      </c>
      <c r="S55" s="894">
        <f t="shared" si="85"/>
        <v>0</v>
      </c>
      <c r="T55" s="887">
        <f t="shared" si="86"/>
        <v>0</v>
      </c>
      <c r="U55" s="888">
        <f t="shared" si="87"/>
        <v>0</v>
      </c>
      <c r="V55" s="894">
        <f t="shared" si="88"/>
        <v>0</v>
      </c>
      <c r="W55" s="887">
        <f t="shared" si="89"/>
        <v>0</v>
      </c>
      <c r="X55" s="888">
        <f t="shared" si="90"/>
        <v>0</v>
      </c>
      <c r="Z55" s="374" t="b">
        <f t="shared" si="23"/>
        <v>1</v>
      </c>
      <c r="AA55" s="374" t="b">
        <f t="shared" si="24"/>
        <v>1</v>
      </c>
      <c r="AB55" s="374" t="b">
        <f t="shared" si="25"/>
        <v>1</v>
      </c>
      <c r="AC55" s="374" t="b">
        <f t="shared" si="26"/>
        <v>1</v>
      </c>
      <c r="AD55" s="374" t="b">
        <f t="shared" si="27"/>
        <v>1</v>
      </c>
      <c r="AE55" s="374" t="b">
        <f t="shared" si="28"/>
        <v>1</v>
      </c>
      <c r="AF55" s="374" t="b">
        <f t="shared" si="29"/>
        <v>1</v>
      </c>
      <c r="AG55" s="374" t="b">
        <f t="shared" si="30"/>
        <v>1</v>
      </c>
      <c r="AH55" s="374" t="b">
        <f t="shared" si="31"/>
        <v>1</v>
      </c>
      <c r="AI55" s="374" t="b">
        <f t="shared" si="32"/>
        <v>1</v>
      </c>
      <c r="AJ55" s="374" t="b">
        <f t="shared" si="33"/>
        <v>1</v>
      </c>
      <c r="AK55" s="374" t="b">
        <f t="shared" si="34"/>
        <v>1</v>
      </c>
      <c r="AL55" s="921" t="str">
        <f t="shared" si="35"/>
        <v/>
      </c>
      <c r="AM55" s="922" t="str">
        <f t="shared" si="36"/>
        <v/>
      </c>
      <c r="AN55" s="922" t="str">
        <f t="shared" si="37"/>
        <v/>
      </c>
      <c r="AO55" s="922" t="str">
        <f t="shared" si="38"/>
        <v/>
      </c>
      <c r="AP55" s="922" t="str">
        <f t="shared" si="39"/>
        <v/>
      </c>
      <c r="AQ55" s="922" t="str">
        <f t="shared" si="40"/>
        <v/>
      </c>
      <c r="AR55" s="922" t="str">
        <f t="shared" si="41"/>
        <v/>
      </c>
      <c r="AS55" s="922" t="str">
        <f t="shared" si="42"/>
        <v/>
      </c>
      <c r="AT55" s="922" t="str">
        <f t="shared" si="43"/>
        <v/>
      </c>
      <c r="AU55" s="922" t="str">
        <f t="shared" si="44"/>
        <v/>
      </c>
      <c r="AV55" s="922" t="str">
        <f t="shared" si="45"/>
        <v/>
      </c>
      <c r="AW55" s="926" t="str">
        <f t="shared" si="45"/>
        <v/>
      </c>
    </row>
    <row r="56" spans="1:49">
      <c r="A56" s="906" t="str">
        <f t="shared" si="46"/>
        <v>2022/12/03</v>
      </c>
      <c r="B56" s="373" t="s">
        <v>1000</v>
      </c>
      <c r="C56" s="373" t="str">
        <f t="shared" si="69"/>
        <v>Khử dầu
脫脂</v>
      </c>
      <c r="D56" s="373" t="str">
        <f t="shared" si="70"/>
        <v>CR-000C</v>
      </c>
      <c r="E56" s="373" t="str">
        <f t="shared" si="71"/>
        <v>Point</v>
      </c>
      <c r="F56" s="373" t="str">
        <f t="shared" si="72"/>
        <v>30 – 50 (40)</v>
      </c>
      <c r="G56" s="894">
        <f t="shared" si="73"/>
        <v>39</v>
      </c>
      <c r="H56" s="894">
        <f t="shared" si="74"/>
        <v>2.33</v>
      </c>
      <c r="I56" s="899" t="str">
        <f t="shared" si="75"/>
        <v>kg</v>
      </c>
      <c r="J56" s="894">
        <f t="shared" si="76"/>
        <v>48</v>
      </c>
      <c r="K56" s="894">
        <f t="shared" si="77"/>
        <v>0</v>
      </c>
      <c r="L56" s="899" t="str">
        <f t="shared" si="78"/>
        <v>kg</v>
      </c>
      <c r="M56" s="894">
        <f t="shared" si="79"/>
        <v>0</v>
      </c>
      <c r="N56" s="894">
        <f t="shared" si="80"/>
        <v>93.2</v>
      </c>
      <c r="O56" s="899" t="str">
        <f t="shared" si="81"/>
        <v>kg</v>
      </c>
      <c r="P56" s="894">
        <f t="shared" si="82"/>
        <v>0</v>
      </c>
      <c r="Q56" s="894">
        <f t="shared" si="83"/>
        <v>93.2</v>
      </c>
      <c r="R56" s="899" t="str">
        <f t="shared" si="84"/>
        <v>kg</v>
      </c>
      <c r="S56" s="894">
        <f t="shared" si="85"/>
        <v>0</v>
      </c>
      <c r="T56" s="887">
        <f t="shared" si="86"/>
        <v>93.2</v>
      </c>
      <c r="U56" s="888" t="str">
        <f t="shared" si="87"/>
        <v>kg</v>
      </c>
      <c r="V56" s="894">
        <f t="shared" si="88"/>
        <v>0</v>
      </c>
      <c r="W56" s="887">
        <f t="shared" si="89"/>
        <v>93.2</v>
      </c>
      <c r="X56" s="888" t="str">
        <f t="shared" si="90"/>
        <v>kg</v>
      </c>
      <c r="Z56" s="374" t="b">
        <f t="shared" si="23"/>
        <v>1</v>
      </c>
      <c r="AA56" s="374" t="b">
        <f t="shared" si="24"/>
        <v>1</v>
      </c>
      <c r="AB56" s="374" t="b">
        <f t="shared" si="25"/>
        <v>1</v>
      </c>
      <c r="AC56" s="374" t="b">
        <f t="shared" si="26"/>
        <v>1</v>
      </c>
      <c r="AD56" s="374" t="b">
        <f t="shared" si="27"/>
        <v>1</v>
      </c>
      <c r="AE56" s="374" t="b">
        <f t="shared" si="28"/>
        <v>1</v>
      </c>
      <c r="AF56" s="374" t="b">
        <f t="shared" si="29"/>
        <v>1</v>
      </c>
      <c r="AG56" s="374" t="b">
        <f t="shared" si="30"/>
        <v>1</v>
      </c>
      <c r="AH56" s="374" t="b">
        <f t="shared" si="31"/>
        <v>1</v>
      </c>
      <c r="AI56" s="374" t="b">
        <f t="shared" si="32"/>
        <v>1</v>
      </c>
      <c r="AJ56" s="374" t="b">
        <f t="shared" si="33"/>
        <v>1</v>
      </c>
      <c r="AK56" s="374" t="b">
        <f t="shared" si="34"/>
        <v>1</v>
      </c>
      <c r="AL56" s="921" t="str">
        <f t="shared" si="35"/>
        <v/>
      </c>
      <c r="AM56" s="922" t="str">
        <f t="shared" si="36"/>
        <v/>
      </c>
      <c r="AN56" s="922" t="str">
        <f t="shared" si="37"/>
        <v/>
      </c>
      <c r="AO56" s="922" t="str">
        <f t="shared" si="38"/>
        <v/>
      </c>
      <c r="AP56" s="922" t="str">
        <f t="shared" si="39"/>
        <v/>
      </c>
      <c r="AQ56" s="922" t="str">
        <f t="shared" si="40"/>
        <v/>
      </c>
      <c r="AR56" s="922" t="str">
        <f t="shared" si="41"/>
        <v/>
      </c>
      <c r="AS56" s="922" t="str">
        <f t="shared" si="42"/>
        <v/>
      </c>
      <c r="AT56" s="922" t="str">
        <f t="shared" si="43"/>
        <v/>
      </c>
      <c r="AU56" s="922" t="str">
        <f t="shared" si="44"/>
        <v/>
      </c>
      <c r="AV56" s="922" t="str">
        <f t="shared" si="45"/>
        <v/>
      </c>
      <c r="AW56" s="926" t="str">
        <f t="shared" si="45"/>
        <v/>
      </c>
    </row>
    <row r="57" spans="1:49">
      <c r="A57" s="906" t="str">
        <f t="shared" si="46"/>
        <v>2022/12/03</v>
      </c>
      <c r="B57" s="373" t="s">
        <v>1001</v>
      </c>
      <c r="C57" s="373" t="str">
        <f t="shared" si="69"/>
        <v>Rua acid  鹽酸洗槽</v>
      </c>
      <c r="D57" s="373" t="str">
        <f t="shared" si="70"/>
        <v>CR-000C</v>
      </c>
      <c r="E57" s="373" t="str">
        <f t="shared" si="71"/>
        <v>%</v>
      </c>
      <c r="F57" s="373" t="str">
        <f t="shared" si="72"/>
        <v>10~15%  (12.5%)</v>
      </c>
      <c r="G57" s="894">
        <f t="shared" si="73"/>
        <v>13.14</v>
      </c>
      <c r="H57" s="894">
        <f t="shared" si="74"/>
        <v>0</v>
      </c>
      <c r="I57" s="899" t="str">
        <f t="shared" si="75"/>
        <v>L</v>
      </c>
      <c r="J57" s="894">
        <f t="shared" si="76"/>
        <v>11.315000000000001</v>
      </c>
      <c r="K57" s="894">
        <f t="shared" si="77"/>
        <v>96.466406249999892</v>
      </c>
      <c r="L57" s="899" t="str">
        <f t="shared" si="78"/>
        <v>L</v>
      </c>
      <c r="M57" s="894">
        <f t="shared" si="79"/>
        <v>0</v>
      </c>
      <c r="N57" s="894">
        <f t="shared" si="80"/>
        <v>1017.578125</v>
      </c>
      <c r="O57" s="899" t="str">
        <f t="shared" si="81"/>
        <v>L</v>
      </c>
      <c r="P57" s="894">
        <f t="shared" si="82"/>
        <v>0</v>
      </c>
      <c r="Q57" s="894">
        <f t="shared" si="83"/>
        <v>1017.578125</v>
      </c>
      <c r="R57" s="899" t="str">
        <f t="shared" si="84"/>
        <v>L</v>
      </c>
      <c r="S57" s="894">
        <f t="shared" si="85"/>
        <v>0</v>
      </c>
      <c r="T57" s="887">
        <f t="shared" si="86"/>
        <v>1017.578125</v>
      </c>
      <c r="U57" s="888" t="str">
        <f t="shared" si="87"/>
        <v>L</v>
      </c>
      <c r="V57" s="894">
        <f t="shared" si="88"/>
        <v>0</v>
      </c>
      <c r="W57" s="887">
        <f t="shared" si="89"/>
        <v>1017.578125</v>
      </c>
      <c r="X57" s="888" t="str">
        <f t="shared" si="90"/>
        <v>L</v>
      </c>
      <c r="Z57" s="374" t="b">
        <f t="shared" si="23"/>
        <v>1</v>
      </c>
      <c r="AA57" s="374" t="b">
        <f t="shared" si="24"/>
        <v>1</v>
      </c>
      <c r="AB57" s="374" t="b">
        <f t="shared" si="25"/>
        <v>1</v>
      </c>
      <c r="AC57" s="374" t="b">
        <f t="shared" si="26"/>
        <v>1</v>
      </c>
      <c r="AD57" s="374" t="b">
        <f t="shared" si="27"/>
        <v>1</v>
      </c>
      <c r="AE57" s="374" t="b">
        <f t="shared" si="28"/>
        <v>1</v>
      </c>
      <c r="AF57" s="374" t="b">
        <f t="shared" si="29"/>
        <v>1</v>
      </c>
      <c r="AG57" s="374" t="b">
        <f t="shared" si="30"/>
        <v>1</v>
      </c>
      <c r="AH57" s="374" t="b">
        <f t="shared" si="31"/>
        <v>1</v>
      </c>
      <c r="AI57" s="374" t="b">
        <f t="shared" si="32"/>
        <v>1</v>
      </c>
      <c r="AJ57" s="374" t="b">
        <f t="shared" si="33"/>
        <v>1</v>
      </c>
      <c r="AK57" s="374" t="b">
        <f t="shared" si="34"/>
        <v>1</v>
      </c>
      <c r="AL57" s="921" t="str">
        <f t="shared" si="35"/>
        <v/>
      </c>
      <c r="AM57" s="922" t="str">
        <f t="shared" si="36"/>
        <v/>
      </c>
      <c r="AN57" s="922" t="str">
        <f t="shared" si="37"/>
        <v/>
      </c>
      <c r="AO57" s="922" t="str">
        <f t="shared" si="38"/>
        <v/>
      </c>
      <c r="AP57" s="922" t="str">
        <f t="shared" si="39"/>
        <v/>
      </c>
      <c r="AQ57" s="922" t="str">
        <f t="shared" si="40"/>
        <v/>
      </c>
      <c r="AR57" s="922" t="str">
        <f t="shared" si="41"/>
        <v/>
      </c>
      <c r="AS57" s="922" t="str">
        <f t="shared" si="42"/>
        <v/>
      </c>
      <c r="AT57" s="922" t="str">
        <f t="shared" si="43"/>
        <v/>
      </c>
      <c r="AU57" s="922" t="str">
        <f t="shared" si="44"/>
        <v/>
      </c>
      <c r="AV57" s="922" t="str">
        <f t="shared" si="45"/>
        <v/>
      </c>
      <c r="AW57" s="926" t="str">
        <f t="shared" si="45"/>
        <v/>
      </c>
    </row>
    <row r="58" spans="1:49">
      <c r="A58" s="906" t="str">
        <f t="shared" si="46"/>
        <v>2022/12/03</v>
      </c>
      <c r="B58" s="373" t="s">
        <v>1005</v>
      </c>
      <c r="C58" s="373" t="str">
        <f t="shared" si="69"/>
        <v>Muối axit Phosphoric  (TA)
磷酸鹽</v>
      </c>
      <c r="D58" s="373" t="str">
        <f t="shared" si="70"/>
        <v>CR-000C</v>
      </c>
      <c r="E58" s="373" t="str">
        <f t="shared" si="71"/>
        <v>Point</v>
      </c>
      <c r="F58" s="373" t="str">
        <f t="shared" si="72"/>
        <v>Tổng chua TA  全酸
40~60 (50)</v>
      </c>
      <c r="G58" s="894">
        <f t="shared" si="73"/>
        <v>56</v>
      </c>
      <c r="H58" s="894">
        <f t="shared" si="74"/>
        <v>0</v>
      </c>
      <c r="I58" s="899" t="str">
        <f t="shared" si="75"/>
        <v>kg</v>
      </c>
      <c r="J58" s="894">
        <f t="shared" si="76"/>
        <v>54</v>
      </c>
      <c r="K58" s="894">
        <f t="shared" si="77"/>
        <v>0</v>
      </c>
      <c r="L58" s="899" t="str">
        <f t="shared" si="78"/>
        <v>kg</v>
      </c>
      <c r="M58" s="894">
        <f t="shared" si="79"/>
        <v>0</v>
      </c>
      <c r="N58" s="894">
        <f t="shared" si="80"/>
        <v>246.75</v>
      </c>
      <c r="O58" s="899" t="str">
        <f t="shared" si="81"/>
        <v>kg</v>
      </c>
      <c r="P58" s="894">
        <f t="shared" si="82"/>
        <v>0</v>
      </c>
      <c r="Q58" s="894">
        <f t="shared" si="83"/>
        <v>246.75</v>
      </c>
      <c r="R58" s="899" t="str">
        <f t="shared" si="84"/>
        <v>kg</v>
      </c>
      <c r="S58" s="894">
        <f t="shared" si="85"/>
        <v>0</v>
      </c>
      <c r="T58" s="887">
        <f t="shared" si="86"/>
        <v>246.75</v>
      </c>
      <c r="U58" s="888" t="str">
        <f t="shared" si="87"/>
        <v>kg</v>
      </c>
      <c r="V58" s="894">
        <f t="shared" si="88"/>
        <v>0</v>
      </c>
      <c r="W58" s="887">
        <f t="shared" si="89"/>
        <v>246.75</v>
      </c>
      <c r="X58" s="888" t="str">
        <f t="shared" si="90"/>
        <v>kg</v>
      </c>
      <c r="Z58" s="374" t="b">
        <f t="shared" si="23"/>
        <v>1</v>
      </c>
      <c r="AA58" s="374" t="b">
        <f t="shared" si="24"/>
        <v>1</v>
      </c>
      <c r="AB58" s="374" t="b">
        <f t="shared" si="25"/>
        <v>1</v>
      </c>
      <c r="AC58" s="374" t="b">
        <f t="shared" si="26"/>
        <v>1</v>
      </c>
      <c r="AD58" s="374" t="b">
        <f t="shared" si="27"/>
        <v>1</v>
      </c>
      <c r="AE58" s="374" t="b">
        <f t="shared" si="28"/>
        <v>1</v>
      </c>
      <c r="AF58" s="374" t="b">
        <f t="shared" si="29"/>
        <v>1</v>
      </c>
      <c r="AG58" s="374" t="b">
        <f t="shared" si="30"/>
        <v>1</v>
      </c>
      <c r="AH58" s="374" t="b">
        <f t="shared" si="31"/>
        <v>1</v>
      </c>
      <c r="AI58" s="374" t="b">
        <f t="shared" si="32"/>
        <v>1</v>
      </c>
      <c r="AJ58" s="374" t="b">
        <f t="shared" si="33"/>
        <v>1</v>
      </c>
      <c r="AK58" s="374" t="b">
        <f t="shared" si="34"/>
        <v>1</v>
      </c>
      <c r="AL58" s="921" t="str">
        <f t="shared" si="35"/>
        <v/>
      </c>
      <c r="AM58" s="922" t="str">
        <f t="shared" si="36"/>
        <v/>
      </c>
      <c r="AN58" s="922" t="str">
        <f t="shared" si="37"/>
        <v/>
      </c>
      <c r="AO58" s="922" t="str">
        <f t="shared" si="38"/>
        <v/>
      </c>
      <c r="AP58" s="922" t="str">
        <f t="shared" si="39"/>
        <v/>
      </c>
      <c r="AQ58" s="922" t="str">
        <f t="shared" si="40"/>
        <v/>
      </c>
      <c r="AR58" s="922" t="str">
        <f t="shared" si="41"/>
        <v/>
      </c>
      <c r="AS58" s="922" t="str">
        <f t="shared" si="42"/>
        <v/>
      </c>
      <c r="AT58" s="922" t="str">
        <f t="shared" si="43"/>
        <v/>
      </c>
      <c r="AU58" s="922" t="str">
        <f t="shared" si="44"/>
        <v/>
      </c>
      <c r="AV58" s="922" t="str">
        <f t="shared" si="45"/>
        <v/>
      </c>
      <c r="AW58" s="926" t="str">
        <f t="shared" si="45"/>
        <v/>
      </c>
    </row>
    <row r="59" spans="1:49">
      <c r="A59" s="906" t="str">
        <f t="shared" si="46"/>
        <v>2022/12/03</v>
      </c>
      <c r="B59" s="373" t="s">
        <v>1007</v>
      </c>
      <c r="C59" s="373" t="str">
        <f t="shared" si="69"/>
        <v>Muối axit Phosphoric  (tỷ lệ axit)
磷酸鹽</v>
      </c>
      <c r="D59" s="373" t="str">
        <f t="shared" si="70"/>
        <v>CR-000C</v>
      </c>
      <c r="E59" s="373" t="str">
        <f t="shared" si="71"/>
        <v>Point</v>
      </c>
      <c r="F59" s="373" t="str">
        <f t="shared" si="72"/>
        <v>tỷ lệ axit  酸比 
5.2~7.8 (6.5)</v>
      </c>
      <c r="G59" s="894">
        <f t="shared" si="73"/>
        <v>8.2352941176470598</v>
      </c>
      <c r="H59" s="894">
        <f t="shared" si="74"/>
        <v>0</v>
      </c>
      <c r="I59" s="899" t="str">
        <f t="shared" si="75"/>
        <v>kg</v>
      </c>
      <c r="J59" s="894">
        <f t="shared" si="76"/>
        <v>9.3103448275862064</v>
      </c>
      <c r="K59" s="894">
        <f t="shared" si="77"/>
        <v>0</v>
      </c>
      <c r="L59" s="899" t="str">
        <f t="shared" si="78"/>
        <v>kg</v>
      </c>
      <c r="M59" s="894">
        <f t="shared" si="79"/>
        <v>0</v>
      </c>
      <c r="N59" s="894">
        <f t="shared" si="80"/>
        <v>32.077500000000001</v>
      </c>
      <c r="O59" s="899" t="str">
        <f t="shared" si="81"/>
        <v>kg</v>
      </c>
      <c r="P59" s="894">
        <f t="shared" si="82"/>
        <v>0</v>
      </c>
      <c r="Q59" s="894">
        <f t="shared" si="83"/>
        <v>32.077500000000001</v>
      </c>
      <c r="R59" s="899" t="str">
        <f t="shared" si="84"/>
        <v>kg</v>
      </c>
      <c r="S59" s="894">
        <f t="shared" si="85"/>
        <v>0</v>
      </c>
      <c r="T59" s="887">
        <f t="shared" si="86"/>
        <v>32.077500000000001</v>
      </c>
      <c r="U59" s="888" t="str">
        <f t="shared" si="87"/>
        <v>kg</v>
      </c>
      <c r="V59" s="894">
        <f t="shared" si="88"/>
        <v>0</v>
      </c>
      <c r="W59" s="887">
        <f t="shared" si="89"/>
        <v>32.077500000000001</v>
      </c>
      <c r="X59" s="888" t="str">
        <f t="shared" si="90"/>
        <v>kg</v>
      </c>
      <c r="Z59" s="374" t="b">
        <f t="shared" si="23"/>
        <v>1</v>
      </c>
      <c r="AA59" s="374" t="b">
        <f t="shared" si="24"/>
        <v>1</v>
      </c>
      <c r="AB59" s="374" t="b">
        <f t="shared" si="25"/>
        <v>1</v>
      </c>
      <c r="AC59" s="374" t="b">
        <f t="shared" si="26"/>
        <v>1</v>
      </c>
      <c r="AD59" s="374" t="b">
        <f t="shared" si="27"/>
        <v>1</v>
      </c>
      <c r="AE59" s="374" t="b">
        <f t="shared" si="28"/>
        <v>1</v>
      </c>
      <c r="AF59" s="374" t="b">
        <f t="shared" si="29"/>
        <v>1</v>
      </c>
      <c r="AG59" s="374" t="b">
        <f t="shared" si="30"/>
        <v>1</v>
      </c>
      <c r="AH59" s="374" t="b">
        <f t="shared" si="31"/>
        <v>1</v>
      </c>
      <c r="AI59" s="374" t="b">
        <f t="shared" si="32"/>
        <v>1</v>
      </c>
      <c r="AJ59" s="374" t="b">
        <f t="shared" si="33"/>
        <v>1</v>
      </c>
      <c r="AK59" s="374" t="b">
        <f t="shared" si="34"/>
        <v>1</v>
      </c>
      <c r="AL59" s="921" t="str">
        <f t="shared" si="35"/>
        <v/>
      </c>
      <c r="AM59" s="922" t="str">
        <f t="shared" si="36"/>
        <v/>
      </c>
      <c r="AN59" s="922" t="str">
        <f t="shared" si="37"/>
        <v/>
      </c>
      <c r="AO59" s="922" t="str">
        <f t="shared" si="38"/>
        <v/>
      </c>
      <c r="AP59" s="922" t="str">
        <f t="shared" si="39"/>
        <v/>
      </c>
      <c r="AQ59" s="922" t="str">
        <f t="shared" si="40"/>
        <v/>
      </c>
      <c r="AR59" s="922" t="str">
        <f t="shared" si="41"/>
        <v/>
      </c>
      <c r="AS59" s="922" t="str">
        <f t="shared" si="42"/>
        <v/>
      </c>
      <c r="AT59" s="922" t="str">
        <f t="shared" si="43"/>
        <v/>
      </c>
      <c r="AU59" s="922" t="str">
        <f t="shared" si="44"/>
        <v/>
      </c>
      <c r="AV59" s="922" t="str">
        <f t="shared" si="45"/>
        <v/>
      </c>
      <c r="AW59" s="926" t="str">
        <f t="shared" si="45"/>
        <v/>
      </c>
    </row>
    <row r="60" spans="1:49">
      <c r="A60" s="906" t="str">
        <f t="shared" si="46"/>
        <v>2022/12/03</v>
      </c>
      <c r="B60" s="373" t="s">
        <v>1008</v>
      </c>
      <c r="C60" s="373" t="str">
        <f t="shared" si="69"/>
        <v>Muối axit Phosphoric (Fe phân ly) 
磷酸鹽</v>
      </c>
      <c r="D60" s="373" t="str">
        <f t="shared" si="70"/>
        <v>CR-000C</v>
      </c>
      <c r="E60" s="373" t="str">
        <f t="shared" si="71"/>
        <v>Point</v>
      </c>
      <c r="F60" s="373" t="str">
        <f t="shared" si="72"/>
        <v xml:space="preserve">Fe phân ly &lt;0.4
 鐵離子&lt;0.4
</v>
      </c>
      <c r="G60" s="894">
        <f t="shared" si="73"/>
        <v>0.14000000000000001</v>
      </c>
      <c r="H60" s="894">
        <f t="shared" si="74"/>
        <v>0</v>
      </c>
      <c r="I60" s="899">
        <f t="shared" si="75"/>
        <v>0</v>
      </c>
      <c r="J60" s="894">
        <f t="shared" si="76"/>
        <v>0.4</v>
      </c>
      <c r="K60" s="894">
        <f t="shared" si="77"/>
        <v>0</v>
      </c>
      <c r="L60" s="899">
        <f t="shared" si="78"/>
        <v>0</v>
      </c>
      <c r="M60" s="894">
        <f t="shared" si="79"/>
        <v>0</v>
      </c>
      <c r="N60" s="894">
        <f t="shared" si="80"/>
        <v>0</v>
      </c>
      <c r="O60" s="899">
        <f t="shared" si="81"/>
        <v>0</v>
      </c>
      <c r="P60" s="894">
        <f t="shared" si="82"/>
        <v>0</v>
      </c>
      <c r="Q60" s="894">
        <f t="shared" si="83"/>
        <v>0</v>
      </c>
      <c r="R60" s="899">
        <f t="shared" si="84"/>
        <v>0</v>
      </c>
      <c r="S60" s="894">
        <f t="shared" si="85"/>
        <v>0</v>
      </c>
      <c r="T60" s="887">
        <f t="shared" si="86"/>
        <v>0</v>
      </c>
      <c r="U60" s="888">
        <f t="shared" si="87"/>
        <v>0</v>
      </c>
      <c r="V60" s="894">
        <f t="shared" si="88"/>
        <v>0</v>
      </c>
      <c r="W60" s="887">
        <f t="shared" si="89"/>
        <v>0</v>
      </c>
      <c r="X60" s="888">
        <f t="shared" si="90"/>
        <v>0</v>
      </c>
      <c r="Z60" s="374" t="b">
        <f t="shared" si="23"/>
        <v>1</v>
      </c>
      <c r="AA60" s="374" t="b">
        <f t="shared" si="24"/>
        <v>1</v>
      </c>
      <c r="AB60" s="374" t="b">
        <f t="shared" si="25"/>
        <v>1</v>
      </c>
      <c r="AC60" s="374" t="b">
        <f t="shared" si="26"/>
        <v>1</v>
      </c>
      <c r="AD60" s="374" t="b">
        <f t="shared" si="27"/>
        <v>1</v>
      </c>
      <c r="AE60" s="374" t="b">
        <f t="shared" si="28"/>
        <v>1</v>
      </c>
      <c r="AF60" s="374" t="b">
        <f t="shared" si="29"/>
        <v>1</v>
      </c>
      <c r="AG60" s="374" t="b">
        <f t="shared" si="30"/>
        <v>1</v>
      </c>
      <c r="AH60" s="374" t="b">
        <f t="shared" si="31"/>
        <v>1</v>
      </c>
      <c r="AI60" s="374" t="b">
        <f t="shared" si="32"/>
        <v>1</v>
      </c>
      <c r="AJ60" s="374" t="b">
        <f t="shared" si="33"/>
        <v>1</v>
      </c>
      <c r="AK60" s="374" t="b">
        <f t="shared" si="34"/>
        <v>1</v>
      </c>
      <c r="AL60" s="921" t="str">
        <f t="shared" si="35"/>
        <v/>
      </c>
      <c r="AM60" s="922" t="str">
        <f t="shared" si="36"/>
        <v/>
      </c>
      <c r="AN60" s="922" t="str">
        <f t="shared" si="37"/>
        <v/>
      </c>
      <c r="AO60" s="922" t="str">
        <f t="shared" si="38"/>
        <v/>
      </c>
      <c r="AP60" s="922" t="str">
        <f t="shared" si="39"/>
        <v/>
      </c>
      <c r="AQ60" s="922" t="str">
        <f t="shared" si="40"/>
        <v/>
      </c>
      <c r="AR60" s="922" t="str">
        <f t="shared" si="41"/>
        <v/>
      </c>
      <c r="AS60" s="922" t="str">
        <f t="shared" si="42"/>
        <v/>
      </c>
      <c r="AT60" s="922" t="str">
        <f t="shared" si="43"/>
        <v/>
      </c>
      <c r="AU60" s="922" t="str">
        <f t="shared" si="44"/>
        <v/>
      </c>
      <c r="AV60" s="922" t="str">
        <f t="shared" si="45"/>
        <v/>
      </c>
      <c r="AW60" s="926" t="str">
        <f t="shared" si="45"/>
        <v/>
      </c>
    </row>
    <row r="61" spans="1:49">
      <c r="A61" s="906" t="str">
        <f t="shared" si="46"/>
        <v>2022/12/03</v>
      </c>
      <c r="B61" s="373" t="s">
        <v>1003</v>
      </c>
      <c r="C61" s="373" t="str">
        <f t="shared" si="69"/>
        <v>Xà bông bôi trơn
潤滑皂</v>
      </c>
      <c r="D61" s="373" t="str">
        <f t="shared" si="70"/>
        <v>CR-000C</v>
      </c>
      <c r="E61" s="373" t="str">
        <f t="shared" si="71"/>
        <v>Point</v>
      </c>
      <c r="F61" s="373" t="str">
        <f t="shared" si="72"/>
        <v>0.8~1.2</v>
      </c>
      <c r="G61" s="894">
        <f t="shared" si="73"/>
        <v>0.95</v>
      </c>
      <c r="H61" s="894">
        <f t="shared" si="74"/>
        <v>6.1700000000000053E-2</v>
      </c>
      <c r="I61" s="899" t="str">
        <f t="shared" si="75"/>
        <v>kg</v>
      </c>
      <c r="J61" s="894">
        <f t="shared" si="76"/>
        <v>0.9</v>
      </c>
      <c r="K61" s="894">
        <f t="shared" si="77"/>
        <v>0.12339999999999998</v>
      </c>
      <c r="L61" s="899" t="str">
        <f t="shared" si="78"/>
        <v>kg</v>
      </c>
      <c r="M61" s="894">
        <f t="shared" si="79"/>
        <v>0</v>
      </c>
      <c r="N61" s="894">
        <f t="shared" si="80"/>
        <v>1.234</v>
      </c>
      <c r="O61" s="899" t="str">
        <f t="shared" si="81"/>
        <v>kg</v>
      </c>
      <c r="P61" s="894">
        <f t="shared" si="82"/>
        <v>0</v>
      </c>
      <c r="Q61" s="894">
        <f t="shared" si="83"/>
        <v>1.234</v>
      </c>
      <c r="R61" s="899" t="str">
        <f t="shared" si="84"/>
        <v>kg</v>
      </c>
      <c r="S61" s="894">
        <f t="shared" si="85"/>
        <v>0</v>
      </c>
      <c r="T61" s="887">
        <f t="shared" si="86"/>
        <v>1.234</v>
      </c>
      <c r="U61" s="888" t="str">
        <f t="shared" si="87"/>
        <v>kg</v>
      </c>
      <c r="V61" s="894">
        <f t="shared" si="88"/>
        <v>0</v>
      </c>
      <c r="W61" s="887">
        <f t="shared" si="89"/>
        <v>1.234</v>
      </c>
      <c r="X61" s="888" t="str">
        <f t="shared" si="90"/>
        <v>kg</v>
      </c>
      <c r="Z61" s="374" t="b">
        <f t="shared" si="23"/>
        <v>1</v>
      </c>
      <c r="AA61" s="374" t="b">
        <f t="shared" si="24"/>
        <v>1</v>
      </c>
      <c r="AB61" s="374" t="b">
        <f t="shared" si="25"/>
        <v>1</v>
      </c>
      <c r="AC61" s="374" t="b">
        <f t="shared" si="26"/>
        <v>1</v>
      </c>
      <c r="AD61" s="374" t="b">
        <f t="shared" si="27"/>
        <v>1</v>
      </c>
      <c r="AE61" s="374" t="b">
        <f t="shared" si="28"/>
        <v>1</v>
      </c>
      <c r="AF61" s="374" t="b">
        <f t="shared" si="29"/>
        <v>1</v>
      </c>
      <c r="AG61" s="374" t="b">
        <f t="shared" si="30"/>
        <v>1</v>
      </c>
      <c r="AH61" s="374" t="b">
        <f t="shared" si="31"/>
        <v>1</v>
      </c>
      <c r="AI61" s="374" t="b">
        <f t="shared" si="32"/>
        <v>1</v>
      </c>
      <c r="AJ61" s="374" t="b">
        <f t="shared" si="33"/>
        <v>1</v>
      </c>
      <c r="AK61" s="374" t="b">
        <f t="shared" si="34"/>
        <v>1</v>
      </c>
      <c r="AL61" s="921" t="str">
        <f t="shared" si="35"/>
        <v/>
      </c>
      <c r="AM61" s="922" t="str">
        <f t="shared" si="36"/>
        <v/>
      </c>
      <c r="AN61" s="922" t="str">
        <f t="shared" si="37"/>
        <v/>
      </c>
      <c r="AO61" s="922" t="str">
        <f t="shared" si="38"/>
        <v/>
      </c>
      <c r="AP61" s="922" t="str">
        <f t="shared" si="39"/>
        <v/>
      </c>
      <c r="AQ61" s="922" t="str">
        <f t="shared" si="40"/>
        <v/>
      </c>
      <c r="AR61" s="922" t="str">
        <f t="shared" si="41"/>
        <v/>
      </c>
      <c r="AS61" s="922" t="str">
        <f t="shared" si="42"/>
        <v/>
      </c>
      <c r="AT61" s="922" t="str">
        <f t="shared" si="43"/>
        <v/>
      </c>
      <c r="AU61" s="922" t="str">
        <f t="shared" si="44"/>
        <v/>
      </c>
      <c r="AV61" s="922" t="str">
        <f t="shared" si="45"/>
        <v/>
      </c>
      <c r="AW61" s="926" t="str">
        <f t="shared" si="45"/>
        <v/>
      </c>
    </row>
    <row r="62" spans="1:49">
      <c r="A62" s="906" t="str">
        <f t="shared" ref="A62:A99" si="91">IF(B62="","",$A$4)</f>
        <v>2022/12/03</v>
      </c>
      <c r="B62" s="373" t="s">
        <v>1004</v>
      </c>
      <c r="C62" s="373" t="str">
        <f t="shared" si="69"/>
        <v>pH</v>
      </c>
      <c r="D62" s="373" t="str">
        <f t="shared" si="70"/>
        <v>CR-000C</v>
      </c>
      <c r="E62" s="373" t="str">
        <f t="shared" si="71"/>
        <v>pH</v>
      </c>
      <c r="F62" s="373" t="str">
        <f t="shared" si="72"/>
        <v>8~10</v>
      </c>
      <c r="G62" s="894">
        <f t="shared" si="73"/>
        <v>9</v>
      </c>
      <c r="H62" s="894">
        <f t="shared" si="74"/>
        <v>0</v>
      </c>
      <c r="I62" s="899">
        <f t="shared" si="75"/>
        <v>0</v>
      </c>
      <c r="J62" s="894">
        <f t="shared" si="76"/>
        <v>9</v>
      </c>
      <c r="K62" s="894">
        <f t="shared" si="77"/>
        <v>0</v>
      </c>
      <c r="L62" s="899">
        <f t="shared" si="78"/>
        <v>0</v>
      </c>
      <c r="M62" s="894">
        <f t="shared" si="79"/>
        <v>0</v>
      </c>
      <c r="N62" s="894">
        <f t="shared" si="80"/>
        <v>0</v>
      </c>
      <c r="O62" s="899">
        <f t="shared" si="81"/>
        <v>0</v>
      </c>
      <c r="P62" s="894">
        <f t="shared" si="82"/>
        <v>0</v>
      </c>
      <c r="Q62" s="894">
        <f t="shared" si="83"/>
        <v>0</v>
      </c>
      <c r="R62" s="899">
        <f t="shared" si="84"/>
        <v>0</v>
      </c>
      <c r="S62" s="894">
        <f t="shared" si="85"/>
        <v>0</v>
      </c>
      <c r="T62" s="887">
        <f t="shared" si="86"/>
        <v>0</v>
      </c>
      <c r="U62" s="888">
        <f t="shared" si="87"/>
        <v>0</v>
      </c>
      <c r="V62" s="894">
        <f t="shared" si="88"/>
        <v>0</v>
      </c>
      <c r="W62" s="887">
        <f t="shared" si="89"/>
        <v>0</v>
      </c>
      <c r="X62" s="888">
        <f t="shared" si="90"/>
        <v>0</v>
      </c>
      <c r="Z62" s="374" t="b">
        <f t="shared" si="23"/>
        <v>1</v>
      </c>
      <c r="AA62" s="374" t="b">
        <f t="shared" si="24"/>
        <v>1</v>
      </c>
      <c r="AB62" s="374" t="b">
        <f t="shared" si="25"/>
        <v>1</v>
      </c>
      <c r="AC62" s="374" t="b">
        <f t="shared" si="26"/>
        <v>1</v>
      </c>
      <c r="AD62" s="374" t="b">
        <f t="shared" si="27"/>
        <v>1</v>
      </c>
      <c r="AE62" s="374" t="b">
        <f t="shared" si="28"/>
        <v>1</v>
      </c>
      <c r="AF62" s="374" t="b">
        <f t="shared" si="29"/>
        <v>1</v>
      </c>
      <c r="AG62" s="374" t="b">
        <f t="shared" si="30"/>
        <v>1</v>
      </c>
      <c r="AH62" s="374" t="b">
        <f t="shared" si="31"/>
        <v>1</v>
      </c>
      <c r="AI62" s="374" t="b">
        <f t="shared" si="32"/>
        <v>1</v>
      </c>
      <c r="AJ62" s="374" t="b">
        <f t="shared" si="33"/>
        <v>1</v>
      </c>
      <c r="AK62" s="374" t="b">
        <f t="shared" si="34"/>
        <v>1</v>
      </c>
      <c r="AL62" s="921" t="str">
        <f t="shared" si="35"/>
        <v/>
      </c>
      <c r="AM62" s="922" t="str">
        <f t="shared" si="36"/>
        <v/>
      </c>
      <c r="AN62" s="922" t="str">
        <f t="shared" si="37"/>
        <v/>
      </c>
      <c r="AO62" s="922" t="str">
        <f t="shared" si="38"/>
        <v/>
      </c>
      <c r="AP62" s="922" t="str">
        <f t="shared" si="39"/>
        <v/>
      </c>
      <c r="AQ62" s="922" t="str">
        <f t="shared" si="40"/>
        <v/>
      </c>
      <c r="AR62" s="922" t="str">
        <f t="shared" si="41"/>
        <v/>
      </c>
      <c r="AS62" s="922" t="str">
        <f t="shared" si="42"/>
        <v/>
      </c>
      <c r="AT62" s="922" t="str">
        <f t="shared" si="43"/>
        <v/>
      </c>
      <c r="AU62" s="922" t="str">
        <f t="shared" si="44"/>
        <v/>
      </c>
      <c r="AV62" s="922" t="str">
        <f t="shared" si="45"/>
        <v/>
      </c>
      <c r="AW62" s="926" t="str">
        <f t="shared" si="45"/>
        <v/>
      </c>
    </row>
    <row r="63" spans="1:49">
      <c r="A63" s="906" t="str">
        <f t="shared" si="91"/>
        <v>2022/12/03</v>
      </c>
      <c r="B63" s="373" t="s">
        <v>501</v>
      </c>
      <c r="C63" s="373" t="str">
        <f t="shared" si="69"/>
        <v/>
      </c>
      <c r="D63" s="373" t="str">
        <f t="shared" si="70"/>
        <v/>
      </c>
      <c r="E63" s="373" t="str">
        <f t="shared" si="71"/>
        <v/>
      </c>
      <c r="F63" s="373" t="str">
        <f t="shared" si="72"/>
        <v/>
      </c>
      <c r="G63" s="894" t="str">
        <f t="shared" si="73"/>
        <v/>
      </c>
      <c r="H63" s="894" t="str">
        <f t="shared" si="74"/>
        <v/>
      </c>
      <c r="I63" s="899" t="str">
        <f t="shared" si="75"/>
        <v/>
      </c>
      <c r="J63" s="894" t="str">
        <f t="shared" si="76"/>
        <v/>
      </c>
      <c r="K63" s="894" t="str">
        <f t="shared" si="77"/>
        <v/>
      </c>
      <c r="L63" s="899" t="str">
        <f t="shared" si="78"/>
        <v/>
      </c>
      <c r="M63" s="894" t="str">
        <f t="shared" si="79"/>
        <v/>
      </c>
      <c r="N63" s="894" t="str">
        <f t="shared" si="80"/>
        <v/>
      </c>
      <c r="O63" s="899" t="str">
        <f t="shared" si="81"/>
        <v/>
      </c>
      <c r="P63" s="894" t="str">
        <f t="shared" si="82"/>
        <v/>
      </c>
      <c r="Q63" s="894" t="str">
        <f t="shared" si="83"/>
        <v/>
      </c>
      <c r="R63" s="899" t="str">
        <f t="shared" si="84"/>
        <v/>
      </c>
      <c r="S63" s="894" t="str">
        <f t="shared" si="85"/>
        <v/>
      </c>
      <c r="T63" s="887" t="str">
        <f t="shared" si="86"/>
        <v/>
      </c>
      <c r="U63" s="888" t="str">
        <f t="shared" si="87"/>
        <v/>
      </c>
      <c r="V63" s="894" t="str">
        <f t="shared" si="88"/>
        <v/>
      </c>
      <c r="W63" s="887" t="str">
        <f t="shared" si="89"/>
        <v/>
      </c>
      <c r="X63" s="888" t="str">
        <f t="shared" si="90"/>
        <v/>
      </c>
      <c r="Z63" s="374" t="b">
        <f t="shared" si="23"/>
        <v>0</v>
      </c>
      <c r="AA63" s="374" t="b">
        <f t="shared" si="24"/>
        <v>0</v>
      </c>
      <c r="AB63" s="374" t="b">
        <f t="shared" si="25"/>
        <v>0</v>
      </c>
      <c r="AC63" s="374" t="b">
        <f t="shared" si="26"/>
        <v>0</v>
      </c>
      <c r="AD63" s="374" t="b">
        <f t="shared" si="27"/>
        <v>0</v>
      </c>
      <c r="AE63" s="374" t="b">
        <f t="shared" si="28"/>
        <v>0</v>
      </c>
      <c r="AF63" s="374" t="b">
        <f t="shared" si="29"/>
        <v>0</v>
      </c>
      <c r="AG63" s="374" t="b">
        <f t="shared" si="30"/>
        <v>0</v>
      </c>
      <c r="AH63" s="374" t="b">
        <f t="shared" si="31"/>
        <v>0</v>
      </c>
      <c r="AI63" s="374" t="b">
        <f t="shared" si="32"/>
        <v>0</v>
      </c>
      <c r="AJ63" s="374" t="b">
        <f t="shared" si="33"/>
        <v>0</v>
      </c>
      <c r="AK63" s="374" t="b">
        <f t="shared" si="34"/>
        <v>0</v>
      </c>
      <c r="AL63" s="921">
        <f t="shared" si="35"/>
        <v>1</v>
      </c>
      <c r="AM63" s="922">
        <f t="shared" si="36"/>
        <v>1</v>
      </c>
      <c r="AN63" s="922">
        <f t="shared" si="37"/>
        <v>1</v>
      </c>
      <c r="AO63" s="922">
        <f t="shared" si="38"/>
        <v>1</v>
      </c>
      <c r="AP63" s="922">
        <f t="shared" si="39"/>
        <v>1</v>
      </c>
      <c r="AQ63" s="922">
        <f t="shared" si="40"/>
        <v>1</v>
      </c>
      <c r="AR63" s="922">
        <f t="shared" si="41"/>
        <v>1</v>
      </c>
      <c r="AS63" s="922">
        <f t="shared" si="42"/>
        <v>1</v>
      </c>
      <c r="AT63" s="922">
        <f t="shared" si="43"/>
        <v>1</v>
      </c>
      <c r="AU63" s="922">
        <f t="shared" si="44"/>
        <v>1</v>
      </c>
      <c r="AV63" s="922">
        <f t="shared" si="45"/>
        <v>1</v>
      </c>
      <c r="AW63" s="926">
        <f t="shared" si="45"/>
        <v>1</v>
      </c>
    </row>
    <row r="64" spans="1:49">
      <c r="A64" s="906" t="str">
        <f t="shared" si="91"/>
        <v>2022/12/03</v>
      </c>
      <c r="B64" s="373" t="s">
        <v>503</v>
      </c>
      <c r="C64" s="373" t="str">
        <f t="shared" si="69"/>
        <v/>
      </c>
      <c r="D64" s="373" t="str">
        <f t="shared" si="70"/>
        <v/>
      </c>
      <c r="E64" s="373" t="str">
        <f t="shared" si="71"/>
        <v/>
      </c>
      <c r="F64" s="373" t="str">
        <f t="shared" si="72"/>
        <v/>
      </c>
      <c r="G64" s="894" t="str">
        <f t="shared" si="73"/>
        <v/>
      </c>
      <c r="H64" s="894" t="str">
        <f t="shared" si="74"/>
        <v/>
      </c>
      <c r="I64" s="899" t="str">
        <f t="shared" si="75"/>
        <v/>
      </c>
      <c r="J64" s="894" t="str">
        <f t="shared" si="76"/>
        <v/>
      </c>
      <c r="K64" s="894" t="str">
        <f t="shared" si="77"/>
        <v/>
      </c>
      <c r="L64" s="899" t="str">
        <f t="shared" si="78"/>
        <v/>
      </c>
      <c r="M64" s="894" t="str">
        <f t="shared" si="79"/>
        <v/>
      </c>
      <c r="N64" s="894" t="str">
        <f t="shared" si="80"/>
        <v/>
      </c>
      <c r="O64" s="899" t="str">
        <f t="shared" si="81"/>
        <v/>
      </c>
      <c r="P64" s="894" t="str">
        <f t="shared" si="82"/>
        <v/>
      </c>
      <c r="Q64" s="894" t="str">
        <f t="shared" si="83"/>
        <v/>
      </c>
      <c r="R64" s="899" t="str">
        <f t="shared" si="84"/>
        <v/>
      </c>
      <c r="S64" s="894" t="str">
        <f t="shared" si="85"/>
        <v/>
      </c>
      <c r="T64" s="887" t="str">
        <f t="shared" si="86"/>
        <v/>
      </c>
      <c r="U64" s="888" t="str">
        <f t="shared" si="87"/>
        <v/>
      </c>
      <c r="V64" s="894" t="str">
        <f t="shared" si="88"/>
        <v/>
      </c>
      <c r="W64" s="887" t="str">
        <f t="shared" si="89"/>
        <v/>
      </c>
      <c r="X64" s="888" t="str">
        <f t="shared" si="90"/>
        <v/>
      </c>
      <c r="Z64" s="374" t="b">
        <f t="shared" si="23"/>
        <v>0</v>
      </c>
      <c r="AA64" s="374" t="b">
        <f t="shared" si="24"/>
        <v>0</v>
      </c>
      <c r="AB64" s="374" t="b">
        <f t="shared" si="25"/>
        <v>0</v>
      </c>
      <c r="AC64" s="374" t="b">
        <f t="shared" si="26"/>
        <v>0</v>
      </c>
      <c r="AD64" s="374" t="b">
        <f t="shared" si="27"/>
        <v>0</v>
      </c>
      <c r="AE64" s="374" t="b">
        <f t="shared" si="28"/>
        <v>0</v>
      </c>
      <c r="AF64" s="374" t="b">
        <f t="shared" si="29"/>
        <v>0</v>
      </c>
      <c r="AG64" s="374" t="b">
        <f t="shared" si="30"/>
        <v>0</v>
      </c>
      <c r="AH64" s="374" t="b">
        <f t="shared" si="31"/>
        <v>0</v>
      </c>
      <c r="AI64" s="374" t="b">
        <f t="shared" si="32"/>
        <v>0</v>
      </c>
      <c r="AJ64" s="374" t="b">
        <f t="shared" si="33"/>
        <v>0</v>
      </c>
      <c r="AK64" s="374" t="b">
        <f t="shared" si="34"/>
        <v>0</v>
      </c>
      <c r="AL64" s="921">
        <f t="shared" si="35"/>
        <v>1</v>
      </c>
      <c r="AM64" s="922">
        <f t="shared" si="36"/>
        <v>1</v>
      </c>
      <c r="AN64" s="922">
        <f t="shared" si="37"/>
        <v>1</v>
      </c>
      <c r="AO64" s="922">
        <f t="shared" si="38"/>
        <v>1</v>
      </c>
      <c r="AP64" s="922">
        <f t="shared" si="39"/>
        <v>1</v>
      </c>
      <c r="AQ64" s="922">
        <f t="shared" si="40"/>
        <v>1</v>
      </c>
      <c r="AR64" s="922">
        <f t="shared" si="41"/>
        <v>1</v>
      </c>
      <c r="AS64" s="922">
        <f t="shared" si="42"/>
        <v>1</v>
      </c>
      <c r="AT64" s="922">
        <f t="shared" si="43"/>
        <v>1</v>
      </c>
      <c r="AU64" s="922">
        <f t="shared" si="44"/>
        <v>1</v>
      </c>
      <c r="AV64" s="922">
        <f t="shared" si="45"/>
        <v>1</v>
      </c>
      <c r="AW64" s="926">
        <f t="shared" si="45"/>
        <v>1</v>
      </c>
    </row>
    <row r="65" spans="1:49">
      <c r="A65" s="906" t="str">
        <f t="shared" si="91"/>
        <v>2022/12/03</v>
      </c>
      <c r="B65" s="373" t="s">
        <v>504</v>
      </c>
      <c r="C65" s="373" t="str">
        <f t="shared" si="69"/>
        <v/>
      </c>
      <c r="D65" s="373" t="str">
        <f t="shared" si="70"/>
        <v/>
      </c>
      <c r="E65" s="373" t="str">
        <f t="shared" si="71"/>
        <v/>
      </c>
      <c r="F65" s="373" t="str">
        <f t="shared" si="72"/>
        <v/>
      </c>
      <c r="G65" s="894" t="str">
        <f t="shared" si="73"/>
        <v/>
      </c>
      <c r="H65" s="894" t="str">
        <f t="shared" si="74"/>
        <v/>
      </c>
      <c r="I65" s="899" t="str">
        <f t="shared" si="75"/>
        <v/>
      </c>
      <c r="J65" s="894" t="str">
        <f t="shared" si="76"/>
        <v/>
      </c>
      <c r="K65" s="894" t="str">
        <f t="shared" si="77"/>
        <v/>
      </c>
      <c r="L65" s="899" t="str">
        <f t="shared" si="78"/>
        <v/>
      </c>
      <c r="M65" s="894" t="str">
        <f t="shared" si="79"/>
        <v/>
      </c>
      <c r="N65" s="894" t="str">
        <f t="shared" si="80"/>
        <v/>
      </c>
      <c r="O65" s="899" t="str">
        <f t="shared" si="81"/>
        <v/>
      </c>
      <c r="P65" s="894" t="str">
        <f t="shared" si="82"/>
        <v/>
      </c>
      <c r="Q65" s="894" t="str">
        <f t="shared" si="83"/>
        <v/>
      </c>
      <c r="R65" s="899" t="str">
        <f t="shared" si="84"/>
        <v/>
      </c>
      <c r="S65" s="894" t="str">
        <f t="shared" si="85"/>
        <v/>
      </c>
      <c r="T65" s="887" t="str">
        <f t="shared" si="86"/>
        <v/>
      </c>
      <c r="U65" s="888" t="str">
        <f t="shared" si="87"/>
        <v/>
      </c>
      <c r="V65" s="894" t="str">
        <f t="shared" si="88"/>
        <v/>
      </c>
      <c r="W65" s="887" t="str">
        <f t="shared" si="89"/>
        <v/>
      </c>
      <c r="X65" s="888" t="str">
        <f t="shared" si="90"/>
        <v/>
      </c>
      <c r="Z65" s="374" t="b">
        <f t="shared" si="23"/>
        <v>0</v>
      </c>
      <c r="AA65" s="374" t="b">
        <f t="shared" si="24"/>
        <v>0</v>
      </c>
      <c r="AB65" s="374" t="b">
        <f t="shared" si="25"/>
        <v>0</v>
      </c>
      <c r="AC65" s="374" t="b">
        <f t="shared" si="26"/>
        <v>0</v>
      </c>
      <c r="AD65" s="374" t="b">
        <f t="shared" si="27"/>
        <v>0</v>
      </c>
      <c r="AE65" s="374" t="b">
        <f t="shared" si="28"/>
        <v>0</v>
      </c>
      <c r="AF65" s="374" t="b">
        <f t="shared" si="29"/>
        <v>0</v>
      </c>
      <c r="AG65" s="374" t="b">
        <f t="shared" si="30"/>
        <v>0</v>
      </c>
      <c r="AH65" s="374" t="b">
        <f t="shared" si="31"/>
        <v>0</v>
      </c>
      <c r="AI65" s="374" t="b">
        <f t="shared" si="32"/>
        <v>0</v>
      </c>
      <c r="AJ65" s="374" t="b">
        <f t="shared" si="33"/>
        <v>0</v>
      </c>
      <c r="AK65" s="374" t="b">
        <f t="shared" si="34"/>
        <v>0</v>
      </c>
      <c r="AL65" s="921">
        <f t="shared" si="35"/>
        <v>1</v>
      </c>
      <c r="AM65" s="922">
        <f t="shared" si="36"/>
        <v>1</v>
      </c>
      <c r="AN65" s="922">
        <f t="shared" si="37"/>
        <v>1</v>
      </c>
      <c r="AO65" s="922">
        <f t="shared" si="38"/>
        <v>1</v>
      </c>
      <c r="AP65" s="922">
        <f t="shared" si="39"/>
        <v>1</v>
      </c>
      <c r="AQ65" s="922">
        <f t="shared" si="40"/>
        <v>1</v>
      </c>
      <c r="AR65" s="922">
        <f t="shared" si="41"/>
        <v>1</v>
      </c>
      <c r="AS65" s="922">
        <f t="shared" si="42"/>
        <v>1</v>
      </c>
      <c r="AT65" s="922">
        <f t="shared" si="43"/>
        <v>1</v>
      </c>
      <c r="AU65" s="922">
        <f t="shared" si="44"/>
        <v>1</v>
      </c>
      <c r="AV65" s="922">
        <f t="shared" si="45"/>
        <v>1</v>
      </c>
      <c r="AW65" s="926">
        <f t="shared" si="45"/>
        <v>1</v>
      </c>
    </row>
    <row r="66" spans="1:49">
      <c r="A66" s="906" t="str">
        <f t="shared" si="91"/>
        <v>2022/12/03</v>
      </c>
      <c r="B66" s="373" t="s">
        <v>505</v>
      </c>
      <c r="C66" s="373" t="str">
        <f t="shared" si="69"/>
        <v/>
      </c>
      <c r="D66" s="373" t="str">
        <f t="shared" si="70"/>
        <v/>
      </c>
      <c r="E66" s="373" t="str">
        <f t="shared" si="71"/>
        <v/>
      </c>
      <c r="F66" s="373" t="str">
        <f t="shared" si="72"/>
        <v/>
      </c>
      <c r="G66" s="894" t="str">
        <f t="shared" si="73"/>
        <v/>
      </c>
      <c r="H66" s="894" t="str">
        <f t="shared" si="74"/>
        <v/>
      </c>
      <c r="I66" s="899" t="str">
        <f t="shared" si="75"/>
        <v/>
      </c>
      <c r="J66" s="894" t="str">
        <f t="shared" si="76"/>
        <v/>
      </c>
      <c r="K66" s="894" t="str">
        <f t="shared" si="77"/>
        <v/>
      </c>
      <c r="L66" s="899" t="str">
        <f t="shared" si="78"/>
        <v/>
      </c>
      <c r="M66" s="894" t="str">
        <f t="shared" si="79"/>
        <v/>
      </c>
      <c r="N66" s="894" t="str">
        <f t="shared" si="80"/>
        <v/>
      </c>
      <c r="O66" s="899" t="str">
        <f t="shared" si="81"/>
        <v/>
      </c>
      <c r="P66" s="894" t="str">
        <f t="shared" si="82"/>
        <v/>
      </c>
      <c r="Q66" s="894" t="str">
        <f t="shared" si="83"/>
        <v/>
      </c>
      <c r="R66" s="899" t="str">
        <f t="shared" si="84"/>
        <v/>
      </c>
      <c r="S66" s="894" t="str">
        <f t="shared" si="85"/>
        <v/>
      </c>
      <c r="T66" s="887" t="str">
        <f t="shared" si="86"/>
        <v/>
      </c>
      <c r="U66" s="888" t="str">
        <f t="shared" si="87"/>
        <v/>
      </c>
      <c r="V66" s="894" t="str">
        <f t="shared" si="88"/>
        <v/>
      </c>
      <c r="W66" s="887" t="str">
        <f t="shared" si="89"/>
        <v/>
      </c>
      <c r="X66" s="888" t="str">
        <f t="shared" si="90"/>
        <v/>
      </c>
      <c r="Z66" s="374" t="b">
        <f t="shared" si="23"/>
        <v>0</v>
      </c>
      <c r="AA66" s="374" t="b">
        <f t="shared" si="24"/>
        <v>0</v>
      </c>
      <c r="AB66" s="374" t="b">
        <f t="shared" si="25"/>
        <v>0</v>
      </c>
      <c r="AC66" s="374" t="b">
        <f t="shared" si="26"/>
        <v>0</v>
      </c>
      <c r="AD66" s="374" t="b">
        <f t="shared" si="27"/>
        <v>0</v>
      </c>
      <c r="AE66" s="374" t="b">
        <f t="shared" si="28"/>
        <v>0</v>
      </c>
      <c r="AF66" s="374" t="b">
        <f t="shared" si="29"/>
        <v>0</v>
      </c>
      <c r="AG66" s="374" t="b">
        <f t="shared" si="30"/>
        <v>0</v>
      </c>
      <c r="AH66" s="374" t="b">
        <f t="shared" si="31"/>
        <v>0</v>
      </c>
      <c r="AI66" s="374" t="b">
        <f t="shared" si="32"/>
        <v>0</v>
      </c>
      <c r="AJ66" s="374" t="b">
        <f t="shared" si="33"/>
        <v>0</v>
      </c>
      <c r="AK66" s="374" t="b">
        <f t="shared" si="34"/>
        <v>0</v>
      </c>
      <c r="AL66" s="921">
        <f t="shared" si="35"/>
        <v>1</v>
      </c>
      <c r="AM66" s="922">
        <f t="shared" si="36"/>
        <v>1</v>
      </c>
      <c r="AN66" s="922">
        <f t="shared" si="37"/>
        <v>1</v>
      </c>
      <c r="AO66" s="922">
        <f t="shared" si="38"/>
        <v>1</v>
      </c>
      <c r="AP66" s="922">
        <f t="shared" si="39"/>
        <v>1</v>
      </c>
      <c r="AQ66" s="922">
        <f t="shared" si="40"/>
        <v>1</v>
      </c>
      <c r="AR66" s="922">
        <f t="shared" si="41"/>
        <v>1</v>
      </c>
      <c r="AS66" s="922">
        <f t="shared" si="42"/>
        <v>1</v>
      </c>
      <c r="AT66" s="922">
        <f t="shared" si="43"/>
        <v>1</v>
      </c>
      <c r="AU66" s="922">
        <f t="shared" si="44"/>
        <v>1</v>
      </c>
      <c r="AV66" s="922">
        <f t="shared" si="45"/>
        <v>1</v>
      </c>
      <c r="AW66" s="926">
        <f t="shared" si="45"/>
        <v>1</v>
      </c>
    </row>
    <row r="67" spans="1:49">
      <c r="A67" s="906" t="str">
        <f t="shared" si="91"/>
        <v>2022/12/03</v>
      </c>
      <c r="B67" s="373" t="s">
        <v>506</v>
      </c>
      <c r="C67" s="373" t="str">
        <f t="shared" si="69"/>
        <v/>
      </c>
      <c r="D67" s="373" t="str">
        <f t="shared" si="70"/>
        <v/>
      </c>
      <c r="E67" s="373" t="str">
        <f t="shared" si="71"/>
        <v/>
      </c>
      <c r="F67" s="373" t="str">
        <f t="shared" si="72"/>
        <v/>
      </c>
      <c r="G67" s="894" t="str">
        <f t="shared" si="73"/>
        <v/>
      </c>
      <c r="H67" s="894" t="str">
        <f t="shared" si="74"/>
        <v/>
      </c>
      <c r="I67" s="899" t="str">
        <f t="shared" si="75"/>
        <v/>
      </c>
      <c r="J67" s="894" t="str">
        <f t="shared" si="76"/>
        <v/>
      </c>
      <c r="K67" s="894" t="str">
        <f t="shared" si="77"/>
        <v/>
      </c>
      <c r="L67" s="899" t="str">
        <f t="shared" si="78"/>
        <v/>
      </c>
      <c r="M67" s="894" t="str">
        <f t="shared" si="79"/>
        <v/>
      </c>
      <c r="N67" s="894" t="str">
        <f t="shared" si="80"/>
        <v/>
      </c>
      <c r="O67" s="899" t="str">
        <f t="shared" si="81"/>
        <v/>
      </c>
      <c r="P67" s="894" t="str">
        <f t="shared" si="82"/>
        <v/>
      </c>
      <c r="Q67" s="894" t="str">
        <f t="shared" si="83"/>
        <v/>
      </c>
      <c r="R67" s="899" t="str">
        <f t="shared" si="84"/>
        <v/>
      </c>
      <c r="S67" s="894" t="str">
        <f t="shared" si="85"/>
        <v/>
      </c>
      <c r="T67" s="887" t="str">
        <f t="shared" si="86"/>
        <v/>
      </c>
      <c r="U67" s="888" t="str">
        <f t="shared" si="87"/>
        <v/>
      </c>
      <c r="V67" s="894" t="str">
        <f t="shared" si="88"/>
        <v/>
      </c>
      <c r="W67" s="887" t="str">
        <f t="shared" si="89"/>
        <v/>
      </c>
      <c r="X67" s="888" t="str">
        <f t="shared" si="90"/>
        <v/>
      </c>
      <c r="Z67" s="374" t="b">
        <f t="shared" si="23"/>
        <v>0</v>
      </c>
      <c r="AA67" s="374" t="b">
        <f t="shared" si="24"/>
        <v>0</v>
      </c>
      <c r="AB67" s="374" t="b">
        <f t="shared" si="25"/>
        <v>0</v>
      </c>
      <c r="AC67" s="374" t="b">
        <f t="shared" si="26"/>
        <v>0</v>
      </c>
      <c r="AD67" s="374" t="b">
        <f t="shared" si="27"/>
        <v>0</v>
      </c>
      <c r="AE67" s="374" t="b">
        <f t="shared" si="28"/>
        <v>0</v>
      </c>
      <c r="AF67" s="374" t="b">
        <f t="shared" si="29"/>
        <v>0</v>
      </c>
      <c r="AG67" s="374" t="b">
        <f t="shared" si="30"/>
        <v>0</v>
      </c>
      <c r="AH67" s="374" t="b">
        <f t="shared" si="31"/>
        <v>0</v>
      </c>
      <c r="AI67" s="374" t="b">
        <f t="shared" si="32"/>
        <v>0</v>
      </c>
      <c r="AJ67" s="374" t="b">
        <f t="shared" si="33"/>
        <v>0</v>
      </c>
      <c r="AK67" s="374" t="b">
        <f t="shared" si="34"/>
        <v>0</v>
      </c>
      <c r="AL67" s="921">
        <f t="shared" si="35"/>
        <v>1</v>
      </c>
      <c r="AM67" s="922">
        <f t="shared" si="36"/>
        <v>1</v>
      </c>
      <c r="AN67" s="922">
        <f t="shared" si="37"/>
        <v>1</v>
      </c>
      <c r="AO67" s="922">
        <f t="shared" si="38"/>
        <v>1</v>
      </c>
      <c r="AP67" s="922">
        <f t="shared" si="39"/>
        <v>1</v>
      </c>
      <c r="AQ67" s="922">
        <f t="shared" si="40"/>
        <v>1</v>
      </c>
      <c r="AR67" s="922">
        <f t="shared" si="41"/>
        <v>1</v>
      </c>
      <c r="AS67" s="922">
        <f t="shared" si="42"/>
        <v>1</v>
      </c>
      <c r="AT67" s="922">
        <f t="shared" si="43"/>
        <v>1</v>
      </c>
      <c r="AU67" s="922">
        <f t="shared" si="44"/>
        <v>1</v>
      </c>
      <c r="AV67" s="922">
        <f t="shared" si="45"/>
        <v>1</v>
      </c>
      <c r="AW67" s="926">
        <f t="shared" si="45"/>
        <v>1</v>
      </c>
    </row>
    <row r="68" spans="1:49">
      <c r="A68" s="906" t="str">
        <f t="shared" si="91"/>
        <v>2022/12/03</v>
      </c>
      <c r="B68" s="373" t="s">
        <v>507</v>
      </c>
      <c r="C68" s="373" t="str">
        <f t="shared" si="69"/>
        <v/>
      </c>
      <c r="D68" s="373" t="str">
        <f t="shared" si="70"/>
        <v/>
      </c>
      <c r="E68" s="373" t="str">
        <f t="shared" si="71"/>
        <v/>
      </c>
      <c r="F68" s="373" t="str">
        <f t="shared" si="72"/>
        <v/>
      </c>
      <c r="G68" s="894" t="str">
        <f t="shared" si="73"/>
        <v/>
      </c>
      <c r="H68" s="894" t="str">
        <f t="shared" si="74"/>
        <v/>
      </c>
      <c r="I68" s="899" t="str">
        <f t="shared" si="75"/>
        <v/>
      </c>
      <c r="J68" s="894" t="str">
        <f t="shared" si="76"/>
        <v/>
      </c>
      <c r="K68" s="894" t="str">
        <f t="shared" si="77"/>
        <v/>
      </c>
      <c r="L68" s="899" t="str">
        <f t="shared" si="78"/>
        <v/>
      </c>
      <c r="M68" s="894" t="str">
        <f t="shared" si="79"/>
        <v/>
      </c>
      <c r="N68" s="894" t="str">
        <f t="shared" si="80"/>
        <v/>
      </c>
      <c r="O68" s="899" t="str">
        <f t="shared" si="81"/>
        <v/>
      </c>
      <c r="P68" s="894" t="str">
        <f t="shared" si="82"/>
        <v/>
      </c>
      <c r="Q68" s="894" t="str">
        <f t="shared" si="83"/>
        <v/>
      </c>
      <c r="R68" s="899" t="str">
        <f t="shared" si="84"/>
        <v/>
      </c>
      <c r="S68" s="894" t="str">
        <f t="shared" si="85"/>
        <v/>
      </c>
      <c r="T68" s="887" t="str">
        <f t="shared" si="86"/>
        <v/>
      </c>
      <c r="U68" s="888" t="str">
        <f t="shared" si="87"/>
        <v/>
      </c>
      <c r="V68" s="894" t="str">
        <f t="shared" si="88"/>
        <v/>
      </c>
      <c r="W68" s="887" t="str">
        <f t="shared" si="89"/>
        <v/>
      </c>
      <c r="X68" s="888" t="str">
        <f t="shared" si="90"/>
        <v/>
      </c>
      <c r="Z68" s="374" t="b">
        <f t="shared" si="23"/>
        <v>0</v>
      </c>
      <c r="AA68" s="374" t="b">
        <f t="shared" si="24"/>
        <v>0</v>
      </c>
      <c r="AB68" s="374" t="b">
        <f t="shared" si="25"/>
        <v>0</v>
      </c>
      <c r="AC68" s="374" t="b">
        <f t="shared" si="26"/>
        <v>0</v>
      </c>
      <c r="AD68" s="374" t="b">
        <f t="shared" si="27"/>
        <v>0</v>
      </c>
      <c r="AE68" s="374" t="b">
        <f t="shared" si="28"/>
        <v>0</v>
      </c>
      <c r="AF68" s="374" t="b">
        <f t="shared" si="29"/>
        <v>0</v>
      </c>
      <c r="AG68" s="374" t="b">
        <f t="shared" si="30"/>
        <v>0</v>
      </c>
      <c r="AH68" s="374" t="b">
        <f t="shared" si="31"/>
        <v>0</v>
      </c>
      <c r="AI68" s="374" t="b">
        <f t="shared" si="32"/>
        <v>0</v>
      </c>
      <c r="AJ68" s="374" t="b">
        <f t="shared" si="33"/>
        <v>0</v>
      </c>
      <c r="AK68" s="374" t="b">
        <f t="shared" si="34"/>
        <v>0</v>
      </c>
      <c r="AL68" s="921">
        <f t="shared" si="35"/>
        <v>1</v>
      </c>
      <c r="AM68" s="922">
        <f t="shared" si="36"/>
        <v>1</v>
      </c>
      <c r="AN68" s="922">
        <f t="shared" si="37"/>
        <v>1</v>
      </c>
      <c r="AO68" s="922">
        <f t="shared" si="38"/>
        <v>1</v>
      </c>
      <c r="AP68" s="922">
        <f t="shared" si="39"/>
        <v>1</v>
      </c>
      <c r="AQ68" s="922">
        <f t="shared" si="40"/>
        <v>1</v>
      </c>
      <c r="AR68" s="922">
        <f t="shared" si="41"/>
        <v>1</v>
      </c>
      <c r="AS68" s="922">
        <f t="shared" si="42"/>
        <v>1</v>
      </c>
      <c r="AT68" s="922">
        <f t="shared" si="43"/>
        <v>1</v>
      </c>
      <c r="AU68" s="922">
        <f t="shared" si="44"/>
        <v>1</v>
      </c>
      <c r="AV68" s="922">
        <f t="shared" si="45"/>
        <v>1</v>
      </c>
      <c r="AW68" s="926">
        <f t="shared" si="45"/>
        <v>1</v>
      </c>
    </row>
    <row r="69" spans="1:49">
      <c r="A69" s="906" t="str">
        <f t="shared" si="91"/>
        <v>2022/12/03</v>
      </c>
      <c r="B69" s="373" t="s">
        <v>508</v>
      </c>
      <c r="C69" s="373" t="str">
        <f t="shared" si="69"/>
        <v/>
      </c>
      <c r="D69" s="373" t="str">
        <f t="shared" si="70"/>
        <v/>
      </c>
      <c r="E69" s="373" t="str">
        <f t="shared" si="71"/>
        <v/>
      </c>
      <c r="F69" s="373" t="str">
        <f t="shared" si="72"/>
        <v/>
      </c>
      <c r="G69" s="894" t="str">
        <f t="shared" si="73"/>
        <v/>
      </c>
      <c r="H69" s="894" t="str">
        <f t="shared" si="74"/>
        <v/>
      </c>
      <c r="I69" s="899" t="str">
        <f t="shared" si="75"/>
        <v/>
      </c>
      <c r="J69" s="894" t="str">
        <f t="shared" si="76"/>
        <v/>
      </c>
      <c r="K69" s="894" t="str">
        <f t="shared" si="77"/>
        <v/>
      </c>
      <c r="L69" s="899" t="str">
        <f t="shared" si="78"/>
        <v/>
      </c>
      <c r="M69" s="894" t="str">
        <f t="shared" si="79"/>
        <v/>
      </c>
      <c r="N69" s="894" t="str">
        <f t="shared" si="80"/>
        <v/>
      </c>
      <c r="O69" s="899" t="str">
        <f t="shared" si="81"/>
        <v/>
      </c>
      <c r="P69" s="894" t="str">
        <f t="shared" si="82"/>
        <v/>
      </c>
      <c r="Q69" s="894" t="str">
        <f t="shared" si="83"/>
        <v/>
      </c>
      <c r="R69" s="899" t="str">
        <f t="shared" si="84"/>
        <v/>
      </c>
      <c r="S69" s="894" t="str">
        <f t="shared" si="85"/>
        <v/>
      </c>
      <c r="T69" s="887" t="str">
        <f t="shared" si="86"/>
        <v/>
      </c>
      <c r="U69" s="888" t="str">
        <f t="shared" si="87"/>
        <v/>
      </c>
      <c r="V69" s="894" t="str">
        <f t="shared" si="88"/>
        <v/>
      </c>
      <c r="W69" s="887" t="str">
        <f t="shared" si="89"/>
        <v/>
      </c>
      <c r="X69" s="888" t="str">
        <f t="shared" si="90"/>
        <v/>
      </c>
      <c r="Z69" s="374" t="b">
        <f t="shared" ref="Z69:Z99" si="92">ISNUMBER(G69)</f>
        <v>0</v>
      </c>
      <c r="AA69" s="374" t="b">
        <f t="shared" ref="AA69:AA99" si="93">ISNUMBER(H69)</f>
        <v>0</v>
      </c>
      <c r="AB69" s="374" t="b">
        <f t="shared" ref="AB69:AB99" si="94">ISNUMBER(J69)</f>
        <v>0</v>
      </c>
      <c r="AC69" s="374" t="b">
        <f t="shared" ref="AC69:AC99" si="95">ISNUMBER(K69)</f>
        <v>0</v>
      </c>
      <c r="AD69" s="374" t="b">
        <f t="shared" ref="AD69:AD99" si="96">ISNUMBER(M69)</f>
        <v>0</v>
      </c>
      <c r="AE69" s="374" t="b">
        <f t="shared" ref="AE69:AE99" si="97">ISNUMBER(N69)</f>
        <v>0</v>
      </c>
      <c r="AF69" s="374" t="b">
        <f t="shared" ref="AF69:AF99" si="98">ISNUMBER(P69)</f>
        <v>0</v>
      </c>
      <c r="AG69" s="374" t="b">
        <f t="shared" ref="AG69:AG99" si="99">ISNUMBER(Q69)</f>
        <v>0</v>
      </c>
      <c r="AH69" s="374" t="b">
        <f t="shared" ref="AH69:AH99" si="100">ISNUMBER(S69)</f>
        <v>0</v>
      </c>
      <c r="AI69" s="374" t="b">
        <f t="shared" ref="AI69:AI99" si="101">ISNUMBER(T69)</f>
        <v>0</v>
      </c>
      <c r="AJ69" s="374" t="b">
        <f t="shared" ref="AJ69:AJ99" si="102">ISNUMBER(V69)</f>
        <v>0</v>
      </c>
      <c r="AK69" s="374" t="b">
        <f t="shared" ref="AK69:AK99" si="103">ISNUMBER(W69)</f>
        <v>0</v>
      </c>
      <c r="AL69" s="921">
        <f t="shared" ref="AL69:AL99" si="104">IF(Z69=TRUE,"",1)</f>
        <v>1</v>
      </c>
      <c r="AM69" s="922">
        <f t="shared" ref="AM69:AM99" si="105">IF(AA69=TRUE,"",1)</f>
        <v>1</v>
      </c>
      <c r="AN69" s="922">
        <f t="shared" ref="AN69:AN99" si="106">IF(AB69=TRUE,"",1)</f>
        <v>1</v>
      </c>
      <c r="AO69" s="922">
        <f t="shared" ref="AO69:AO99" si="107">IF(AC69=TRUE,"",1)</f>
        <v>1</v>
      </c>
      <c r="AP69" s="922">
        <f t="shared" ref="AP69:AP99" si="108">IF(AD69=TRUE,"",1)</f>
        <v>1</v>
      </c>
      <c r="AQ69" s="922">
        <f t="shared" ref="AQ69:AQ99" si="109">IF(AE69=TRUE,"",1)</f>
        <v>1</v>
      </c>
      <c r="AR69" s="922">
        <f t="shared" ref="AR69:AR99" si="110">IF(AF69=TRUE,"",1)</f>
        <v>1</v>
      </c>
      <c r="AS69" s="922">
        <f t="shared" ref="AS69:AS99" si="111">IF(AG69=TRUE,"",1)</f>
        <v>1</v>
      </c>
      <c r="AT69" s="922">
        <f t="shared" ref="AT69:AT99" si="112">IF(AH69=TRUE,"",1)</f>
        <v>1</v>
      </c>
      <c r="AU69" s="922">
        <f t="shared" ref="AU69:AU99" si="113">IF(AI69=TRUE,"",1)</f>
        <v>1</v>
      </c>
      <c r="AV69" s="922">
        <f t="shared" ref="AV69:AW99" si="114">IF(AJ69=TRUE,"",1)</f>
        <v>1</v>
      </c>
      <c r="AW69" s="926">
        <f t="shared" si="114"/>
        <v>1</v>
      </c>
    </row>
    <row r="70" spans="1:49">
      <c r="A70" s="906" t="str">
        <f t="shared" si="91"/>
        <v>2022/12/03</v>
      </c>
      <c r="B70" s="373" t="s">
        <v>509</v>
      </c>
      <c r="C70" s="373" t="str">
        <f t="shared" si="69"/>
        <v/>
      </c>
      <c r="D70" s="373" t="str">
        <f t="shared" si="70"/>
        <v/>
      </c>
      <c r="E70" s="373" t="str">
        <f t="shared" si="71"/>
        <v/>
      </c>
      <c r="F70" s="373" t="str">
        <f t="shared" si="72"/>
        <v/>
      </c>
      <c r="G70" s="894" t="str">
        <f t="shared" si="73"/>
        <v/>
      </c>
      <c r="H70" s="894" t="str">
        <f t="shared" si="74"/>
        <v/>
      </c>
      <c r="I70" s="899" t="str">
        <f t="shared" si="75"/>
        <v/>
      </c>
      <c r="J70" s="894" t="str">
        <f t="shared" si="76"/>
        <v/>
      </c>
      <c r="K70" s="894" t="str">
        <f t="shared" si="77"/>
        <v/>
      </c>
      <c r="L70" s="899" t="str">
        <f t="shared" si="78"/>
        <v/>
      </c>
      <c r="M70" s="894" t="str">
        <f t="shared" si="79"/>
        <v/>
      </c>
      <c r="N70" s="894" t="str">
        <f t="shared" si="80"/>
        <v/>
      </c>
      <c r="O70" s="899" t="str">
        <f t="shared" si="81"/>
        <v/>
      </c>
      <c r="P70" s="894" t="str">
        <f t="shared" si="82"/>
        <v/>
      </c>
      <c r="Q70" s="894" t="str">
        <f t="shared" si="83"/>
        <v/>
      </c>
      <c r="R70" s="899" t="str">
        <f t="shared" si="84"/>
        <v/>
      </c>
      <c r="S70" s="894" t="str">
        <f t="shared" si="85"/>
        <v/>
      </c>
      <c r="T70" s="887" t="str">
        <f t="shared" si="86"/>
        <v/>
      </c>
      <c r="U70" s="888" t="str">
        <f t="shared" si="87"/>
        <v/>
      </c>
      <c r="V70" s="894" t="str">
        <f t="shared" si="88"/>
        <v/>
      </c>
      <c r="W70" s="887" t="str">
        <f t="shared" si="89"/>
        <v/>
      </c>
      <c r="X70" s="888" t="str">
        <f t="shared" si="90"/>
        <v/>
      </c>
      <c r="Z70" s="374" t="b">
        <f t="shared" si="92"/>
        <v>0</v>
      </c>
      <c r="AA70" s="374" t="b">
        <f t="shared" si="93"/>
        <v>0</v>
      </c>
      <c r="AB70" s="374" t="b">
        <f t="shared" si="94"/>
        <v>0</v>
      </c>
      <c r="AC70" s="374" t="b">
        <f t="shared" si="95"/>
        <v>0</v>
      </c>
      <c r="AD70" s="374" t="b">
        <f t="shared" si="96"/>
        <v>0</v>
      </c>
      <c r="AE70" s="374" t="b">
        <f t="shared" si="97"/>
        <v>0</v>
      </c>
      <c r="AF70" s="374" t="b">
        <f t="shared" si="98"/>
        <v>0</v>
      </c>
      <c r="AG70" s="374" t="b">
        <f t="shared" si="99"/>
        <v>0</v>
      </c>
      <c r="AH70" s="374" t="b">
        <f t="shared" si="100"/>
        <v>0</v>
      </c>
      <c r="AI70" s="374" t="b">
        <f t="shared" si="101"/>
        <v>0</v>
      </c>
      <c r="AJ70" s="374" t="b">
        <f t="shared" si="102"/>
        <v>0</v>
      </c>
      <c r="AK70" s="374" t="b">
        <f t="shared" si="103"/>
        <v>0</v>
      </c>
      <c r="AL70" s="921">
        <f t="shared" si="104"/>
        <v>1</v>
      </c>
      <c r="AM70" s="922">
        <f t="shared" si="105"/>
        <v>1</v>
      </c>
      <c r="AN70" s="922">
        <f t="shared" si="106"/>
        <v>1</v>
      </c>
      <c r="AO70" s="922">
        <f t="shared" si="107"/>
        <v>1</v>
      </c>
      <c r="AP70" s="922">
        <f t="shared" si="108"/>
        <v>1</v>
      </c>
      <c r="AQ70" s="922">
        <f t="shared" si="109"/>
        <v>1</v>
      </c>
      <c r="AR70" s="922">
        <f t="shared" si="110"/>
        <v>1</v>
      </c>
      <c r="AS70" s="922">
        <f t="shared" si="111"/>
        <v>1</v>
      </c>
      <c r="AT70" s="922">
        <f t="shared" si="112"/>
        <v>1</v>
      </c>
      <c r="AU70" s="922">
        <f t="shared" si="113"/>
        <v>1</v>
      </c>
      <c r="AV70" s="922">
        <f t="shared" si="114"/>
        <v>1</v>
      </c>
      <c r="AW70" s="926">
        <f t="shared" si="114"/>
        <v>1</v>
      </c>
    </row>
    <row r="71" spans="1:49">
      <c r="A71" s="906" t="str">
        <f t="shared" si="91"/>
        <v>2022/12/03</v>
      </c>
      <c r="B71" s="373" t="s">
        <v>510</v>
      </c>
      <c r="C71" s="373" t="str">
        <f t="shared" si="69"/>
        <v/>
      </c>
      <c r="D71" s="373" t="str">
        <f t="shared" si="70"/>
        <v/>
      </c>
      <c r="E71" s="373" t="str">
        <f t="shared" si="71"/>
        <v/>
      </c>
      <c r="F71" s="373" t="str">
        <f t="shared" si="72"/>
        <v/>
      </c>
      <c r="G71" s="894" t="str">
        <f t="shared" si="73"/>
        <v/>
      </c>
      <c r="H71" s="894" t="str">
        <f t="shared" si="74"/>
        <v/>
      </c>
      <c r="I71" s="899" t="str">
        <f t="shared" si="75"/>
        <v/>
      </c>
      <c r="J71" s="894" t="str">
        <f t="shared" si="76"/>
        <v/>
      </c>
      <c r="K71" s="894" t="str">
        <f t="shared" si="77"/>
        <v/>
      </c>
      <c r="L71" s="899" t="str">
        <f t="shared" si="78"/>
        <v/>
      </c>
      <c r="M71" s="894" t="str">
        <f t="shared" si="79"/>
        <v/>
      </c>
      <c r="N71" s="894" t="str">
        <f t="shared" si="80"/>
        <v/>
      </c>
      <c r="O71" s="899" t="str">
        <f t="shared" si="81"/>
        <v/>
      </c>
      <c r="P71" s="894" t="str">
        <f t="shared" si="82"/>
        <v/>
      </c>
      <c r="Q71" s="894" t="str">
        <f t="shared" si="83"/>
        <v/>
      </c>
      <c r="R71" s="899" t="str">
        <f t="shared" si="84"/>
        <v/>
      </c>
      <c r="S71" s="894" t="str">
        <f t="shared" si="85"/>
        <v/>
      </c>
      <c r="T71" s="887" t="str">
        <f t="shared" si="86"/>
        <v/>
      </c>
      <c r="U71" s="888" t="str">
        <f t="shared" si="87"/>
        <v/>
      </c>
      <c r="V71" s="894" t="str">
        <f t="shared" si="88"/>
        <v/>
      </c>
      <c r="W71" s="887" t="str">
        <f t="shared" si="89"/>
        <v/>
      </c>
      <c r="X71" s="888" t="str">
        <f t="shared" si="90"/>
        <v/>
      </c>
      <c r="Z71" s="374" t="b">
        <f t="shared" si="92"/>
        <v>0</v>
      </c>
      <c r="AA71" s="374" t="b">
        <f t="shared" si="93"/>
        <v>0</v>
      </c>
      <c r="AB71" s="374" t="b">
        <f t="shared" si="94"/>
        <v>0</v>
      </c>
      <c r="AC71" s="374" t="b">
        <f t="shared" si="95"/>
        <v>0</v>
      </c>
      <c r="AD71" s="374" t="b">
        <f t="shared" si="96"/>
        <v>0</v>
      </c>
      <c r="AE71" s="374" t="b">
        <f t="shared" si="97"/>
        <v>0</v>
      </c>
      <c r="AF71" s="374" t="b">
        <f t="shared" si="98"/>
        <v>0</v>
      </c>
      <c r="AG71" s="374" t="b">
        <f t="shared" si="99"/>
        <v>0</v>
      </c>
      <c r="AH71" s="374" t="b">
        <f t="shared" si="100"/>
        <v>0</v>
      </c>
      <c r="AI71" s="374" t="b">
        <f t="shared" si="101"/>
        <v>0</v>
      </c>
      <c r="AJ71" s="374" t="b">
        <f t="shared" si="102"/>
        <v>0</v>
      </c>
      <c r="AK71" s="374" t="b">
        <f t="shared" si="103"/>
        <v>0</v>
      </c>
      <c r="AL71" s="921">
        <f t="shared" si="104"/>
        <v>1</v>
      </c>
      <c r="AM71" s="922">
        <f t="shared" si="105"/>
        <v>1</v>
      </c>
      <c r="AN71" s="922">
        <f t="shared" si="106"/>
        <v>1</v>
      </c>
      <c r="AO71" s="922">
        <f t="shared" si="107"/>
        <v>1</v>
      </c>
      <c r="AP71" s="922">
        <f t="shared" si="108"/>
        <v>1</v>
      </c>
      <c r="AQ71" s="922">
        <f t="shared" si="109"/>
        <v>1</v>
      </c>
      <c r="AR71" s="922">
        <f t="shared" si="110"/>
        <v>1</v>
      </c>
      <c r="AS71" s="922">
        <f t="shared" si="111"/>
        <v>1</v>
      </c>
      <c r="AT71" s="922">
        <f t="shared" si="112"/>
        <v>1</v>
      </c>
      <c r="AU71" s="922">
        <f t="shared" si="113"/>
        <v>1</v>
      </c>
      <c r="AV71" s="922">
        <f t="shared" si="114"/>
        <v>1</v>
      </c>
      <c r="AW71" s="926">
        <f t="shared" si="114"/>
        <v>1</v>
      </c>
    </row>
    <row r="72" spans="1:49">
      <c r="A72" s="906" t="str">
        <f t="shared" si="91"/>
        <v>2022/12/03</v>
      </c>
      <c r="B72" s="373" t="s">
        <v>511</v>
      </c>
      <c r="C72" s="373" t="str">
        <f t="shared" si="69"/>
        <v/>
      </c>
      <c r="D72" s="373" t="str">
        <f t="shared" si="70"/>
        <v/>
      </c>
      <c r="E72" s="373" t="str">
        <f t="shared" si="71"/>
        <v/>
      </c>
      <c r="F72" s="373" t="str">
        <f t="shared" si="72"/>
        <v/>
      </c>
      <c r="G72" s="894" t="str">
        <f t="shared" si="73"/>
        <v/>
      </c>
      <c r="H72" s="894" t="str">
        <f t="shared" si="74"/>
        <v/>
      </c>
      <c r="I72" s="899" t="str">
        <f t="shared" si="75"/>
        <v/>
      </c>
      <c r="J72" s="894" t="str">
        <f t="shared" si="76"/>
        <v/>
      </c>
      <c r="K72" s="894" t="str">
        <f t="shared" si="77"/>
        <v/>
      </c>
      <c r="L72" s="899" t="str">
        <f t="shared" si="78"/>
        <v/>
      </c>
      <c r="M72" s="894" t="str">
        <f t="shared" si="79"/>
        <v/>
      </c>
      <c r="N72" s="894" t="str">
        <f t="shared" si="80"/>
        <v/>
      </c>
      <c r="O72" s="899" t="str">
        <f t="shared" si="81"/>
        <v/>
      </c>
      <c r="P72" s="894" t="str">
        <f t="shared" si="82"/>
        <v/>
      </c>
      <c r="Q72" s="894" t="str">
        <f t="shared" si="83"/>
        <v/>
      </c>
      <c r="R72" s="899" t="str">
        <f t="shared" si="84"/>
        <v/>
      </c>
      <c r="S72" s="894" t="str">
        <f t="shared" si="85"/>
        <v/>
      </c>
      <c r="T72" s="887" t="str">
        <f t="shared" si="86"/>
        <v/>
      </c>
      <c r="U72" s="888" t="str">
        <f t="shared" si="87"/>
        <v/>
      </c>
      <c r="V72" s="894" t="str">
        <f t="shared" si="88"/>
        <v/>
      </c>
      <c r="W72" s="887" t="str">
        <f t="shared" si="89"/>
        <v/>
      </c>
      <c r="X72" s="888" t="str">
        <f t="shared" si="90"/>
        <v/>
      </c>
      <c r="Z72" s="374" t="b">
        <f t="shared" si="92"/>
        <v>0</v>
      </c>
      <c r="AA72" s="374" t="b">
        <f t="shared" si="93"/>
        <v>0</v>
      </c>
      <c r="AB72" s="374" t="b">
        <f t="shared" si="94"/>
        <v>0</v>
      </c>
      <c r="AC72" s="374" t="b">
        <f t="shared" si="95"/>
        <v>0</v>
      </c>
      <c r="AD72" s="374" t="b">
        <f t="shared" si="96"/>
        <v>0</v>
      </c>
      <c r="AE72" s="374" t="b">
        <f t="shared" si="97"/>
        <v>0</v>
      </c>
      <c r="AF72" s="374" t="b">
        <f t="shared" si="98"/>
        <v>0</v>
      </c>
      <c r="AG72" s="374" t="b">
        <f t="shared" si="99"/>
        <v>0</v>
      </c>
      <c r="AH72" s="374" t="b">
        <f t="shared" si="100"/>
        <v>0</v>
      </c>
      <c r="AI72" s="374" t="b">
        <f t="shared" si="101"/>
        <v>0</v>
      </c>
      <c r="AJ72" s="374" t="b">
        <f t="shared" si="102"/>
        <v>0</v>
      </c>
      <c r="AK72" s="374" t="b">
        <f t="shared" si="103"/>
        <v>0</v>
      </c>
      <c r="AL72" s="921">
        <f t="shared" si="104"/>
        <v>1</v>
      </c>
      <c r="AM72" s="922">
        <f t="shared" si="105"/>
        <v>1</v>
      </c>
      <c r="AN72" s="922">
        <f t="shared" si="106"/>
        <v>1</v>
      </c>
      <c r="AO72" s="922">
        <f t="shared" si="107"/>
        <v>1</v>
      </c>
      <c r="AP72" s="922">
        <f t="shared" si="108"/>
        <v>1</v>
      </c>
      <c r="AQ72" s="922">
        <f t="shared" si="109"/>
        <v>1</v>
      </c>
      <c r="AR72" s="922">
        <f t="shared" si="110"/>
        <v>1</v>
      </c>
      <c r="AS72" s="922">
        <f t="shared" si="111"/>
        <v>1</v>
      </c>
      <c r="AT72" s="922">
        <f t="shared" si="112"/>
        <v>1</v>
      </c>
      <c r="AU72" s="922">
        <f t="shared" si="113"/>
        <v>1</v>
      </c>
      <c r="AV72" s="922">
        <f t="shared" si="114"/>
        <v>1</v>
      </c>
      <c r="AW72" s="926">
        <f t="shared" si="114"/>
        <v>1</v>
      </c>
    </row>
    <row r="73" spans="1:49">
      <c r="A73" s="906" t="str">
        <f t="shared" si="91"/>
        <v>2022/12/03</v>
      </c>
      <c r="B73" s="373" t="s">
        <v>517</v>
      </c>
      <c r="C73" s="373" t="str">
        <f t="shared" si="69"/>
        <v>Xà bông 1
預脫脂</v>
      </c>
      <c r="D73" s="373" t="str">
        <f t="shared" si="70"/>
        <v>XD-000A</v>
      </c>
      <c r="E73" s="373" t="str">
        <f t="shared" si="71"/>
        <v>g/L</v>
      </c>
      <c r="F73" s="373" t="str">
        <f t="shared" si="72"/>
        <v>10~20
 (15)</v>
      </c>
      <c r="G73" s="894">
        <f t="shared" si="73"/>
        <v>16.399999999999999</v>
      </c>
      <c r="H73" s="894">
        <f t="shared" si="74"/>
        <v>0</v>
      </c>
      <c r="I73" s="899" t="str">
        <f t="shared" si="75"/>
        <v>kg</v>
      </c>
      <c r="J73" s="894">
        <f t="shared" si="76"/>
        <v>16.3</v>
      </c>
      <c r="K73" s="894">
        <f t="shared" si="77"/>
        <v>0</v>
      </c>
      <c r="L73" s="899" t="str">
        <f t="shared" si="78"/>
        <v>kg</v>
      </c>
      <c r="M73" s="894">
        <f t="shared" si="79"/>
        <v>0</v>
      </c>
      <c r="N73" s="894">
        <f t="shared" si="80"/>
        <v>0</v>
      </c>
      <c r="O73" s="899">
        <f t="shared" si="81"/>
        <v>0</v>
      </c>
      <c r="P73" s="894">
        <f t="shared" si="82"/>
        <v>0</v>
      </c>
      <c r="Q73" s="894">
        <f t="shared" si="83"/>
        <v>0</v>
      </c>
      <c r="R73" s="899">
        <f t="shared" si="84"/>
        <v>0</v>
      </c>
      <c r="S73" s="894">
        <f t="shared" si="85"/>
        <v>0</v>
      </c>
      <c r="T73" s="887">
        <f t="shared" si="86"/>
        <v>0</v>
      </c>
      <c r="U73" s="888">
        <f t="shared" si="87"/>
        <v>0</v>
      </c>
      <c r="V73" s="894">
        <f t="shared" si="88"/>
        <v>0</v>
      </c>
      <c r="W73" s="887">
        <f t="shared" si="89"/>
        <v>0</v>
      </c>
      <c r="X73" s="888">
        <f t="shared" si="90"/>
        <v>0</v>
      </c>
      <c r="Z73" s="374" t="b">
        <f t="shared" si="92"/>
        <v>1</v>
      </c>
      <c r="AA73" s="374" t="b">
        <f t="shared" si="93"/>
        <v>1</v>
      </c>
      <c r="AB73" s="374" t="b">
        <f t="shared" si="94"/>
        <v>1</v>
      </c>
      <c r="AC73" s="374" t="b">
        <f t="shared" si="95"/>
        <v>1</v>
      </c>
      <c r="AD73" s="374" t="b">
        <f t="shared" si="96"/>
        <v>1</v>
      </c>
      <c r="AE73" s="374" t="b">
        <f t="shared" si="97"/>
        <v>1</v>
      </c>
      <c r="AF73" s="374" t="b">
        <f t="shared" si="98"/>
        <v>1</v>
      </c>
      <c r="AG73" s="374" t="b">
        <f t="shared" si="99"/>
        <v>1</v>
      </c>
      <c r="AH73" s="374" t="b">
        <f t="shared" si="100"/>
        <v>1</v>
      </c>
      <c r="AI73" s="374" t="b">
        <f t="shared" si="101"/>
        <v>1</v>
      </c>
      <c r="AJ73" s="374" t="b">
        <f t="shared" si="102"/>
        <v>1</v>
      </c>
      <c r="AK73" s="374" t="b">
        <f t="shared" si="103"/>
        <v>1</v>
      </c>
      <c r="AL73" s="921" t="str">
        <f t="shared" si="104"/>
        <v/>
      </c>
      <c r="AM73" s="922" t="str">
        <f t="shared" si="105"/>
        <v/>
      </c>
      <c r="AN73" s="922" t="str">
        <f t="shared" si="106"/>
        <v/>
      </c>
      <c r="AO73" s="922" t="str">
        <f t="shared" si="107"/>
        <v/>
      </c>
      <c r="AP73" s="922" t="str">
        <f t="shared" si="108"/>
        <v/>
      </c>
      <c r="AQ73" s="922" t="str">
        <f t="shared" si="109"/>
        <v/>
      </c>
      <c r="AR73" s="922" t="str">
        <f t="shared" si="110"/>
        <v/>
      </c>
      <c r="AS73" s="922" t="str">
        <f t="shared" si="111"/>
        <v/>
      </c>
      <c r="AT73" s="922" t="str">
        <f t="shared" si="112"/>
        <v/>
      </c>
      <c r="AU73" s="922" t="str">
        <f t="shared" si="113"/>
        <v/>
      </c>
      <c r="AV73" s="922" t="str">
        <f t="shared" si="114"/>
        <v/>
      </c>
      <c r="AW73" s="926" t="str">
        <f t="shared" si="114"/>
        <v/>
      </c>
    </row>
    <row r="74" spans="1:49">
      <c r="A74" s="906" t="str">
        <f t="shared" si="91"/>
        <v>2022/12/03</v>
      </c>
      <c r="B74" s="373" t="s">
        <v>521</v>
      </c>
      <c r="C74" s="373" t="str">
        <f t="shared" si="69"/>
        <v>Xà bông 2
主脫脂</v>
      </c>
      <c r="D74" s="373" t="str">
        <f t="shared" si="70"/>
        <v>XD-000A</v>
      </c>
      <c r="E74" s="373" t="str">
        <f t="shared" si="71"/>
        <v>g/L</v>
      </c>
      <c r="F74" s="373" t="str">
        <f t="shared" si="72"/>
        <v>40~60g/L
(50±5g/L)</v>
      </c>
      <c r="G74" s="894">
        <f t="shared" si="73"/>
        <v>67.496000000000009</v>
      </c>
      <c r="H74" s="894">
        <f t="shared" si="74"/>
        <v>0</v>
      </c>
      <c r="I74" s="899" t="str">
        <f t="shared" si="75"/>
        <v>kg</v>
      </c>
      <c r="J74" s="894">
        <f t="shared" si="76"/>
        <v>66.847000000000008</v>
      </c>
      <c r="K74" s="894">
        <f t="shared" si="77"/>
        <v>0</v>
      </c>
      <c r="L74" s="899" t="str">
        <f t="shared" si="78"/>
        <v>kg</v>
      </c>
      <c r="M74" s="894" t="str">
        <f t="shared" si="79"/>
        <v>HALO</v>
      </c>
      <c r="N74" s="894" t="str">
        <f t="shared" si="80"/>
        <v>D:\2. Data hoa nghiem\1. PP HÓA NGHIỆM CÁC BỒN-XLBM\HALO-PPPT_CT-21A-XB-XT,XM-1F.pdf</v>
      </c>
      <c r="O74" s="899">
        <f t="shared" si="81"/>
        <v>0</v>
      </c>
      <c r="P74" s="894">
        <f t="shared" si="82"/>
        <v>0</v>
      </c>
      <c r="Q74" s="894">
        <f t="shared" si="83"/>
        <v>0</v>
      </c>
      <c r="R74" s="899">
        <f t="shared" si="84"/>
        <v>0</v>
      </c>
      <c r="S74" s="894">
        <f t="shared" si="85"/>
        <v>0</v>
      </c>
      <c r="T74" s="887">
        <f t="shared" si="86"/>
        <v>0</v>
      </c>
      <c r="U74" s="888">
        <f t="shared" si="87"/>
        <v>0</v>
      </c>
      <c r="V74" s="894">
        <f t="shared" si="88"/>
        <v>0</v>
      </c>
      <c r="W74" s="887">
        <f t="shared" si="89"/>
        <v>0</v>
      </c>
      <c r="X74" s="888">
        <f t="shared" si="90"/>
        <v>0</v>
      </c>
      <c r="Z74" s="374" t="b">
        <f t="shared" si="92"/>
        <v>1</v>
      </c>
      <c r="AA74" s="374" t="b">
        <f t="shared" si="93"/>
        <v>1</v>
      </c>
      <c r="AB74" s="374" t="b">
        <f t="shared" si="94"/>
        <v>1</v>
      </c>
      <c r="AC74" s="374" t="b">
        <f t="shared" si="95"/>
        <v>1</v>
      </c>
      <c r="AD74" s="374" t="b">
        <f t="shared" si="96"/>
        <v>0</v>
      </c>
      <c r="AE74" s="374" t="b">
        <f t="shared" si="97"/>
        <v>0</v>
      </c>
      <c r="AF74" s="374" t="b">
        <f t="shared" si="98"/>
        <v>1</v>
      </c>
      <c r="AG74" s="374" t="b">
        <f t="shared" si="99"/>
        <v>1</v>
      </c>
      <c r="AH74" s="374" t="b">
        <f t="shared" si="100"/>
        <v>1</v>
      </c>
      <c r="AI74" s="374" t="b">
        <f t="shared" si="101"/>
        <v>1</v>
      </c>
      <c r="AJ74" s="374" t="b">
        <f t="shared" si="102"/>
        <v>1</v>
      </c>
      <c r="AK74" s="374" t="b">
        <f t="shared" si="103"/>
        <v>1</v>
      </c>
      <c r="AL74" s="921" t="str">
        <f t="shared" si="104"/>
        <v/>
      </c>
      <c r="AM74" s="922" t="str">
        <f t="shared" si="105"/>
        <v/>
      </c>
      <c r="AN74" s="922" t="str">
        <f t="shared" si="106"/>
        <v/>
      </c>
      <c r="AO74" s="922" t="str">
        <f t="shared" si="107"/>
        <v/>
      </c>
      <c r="AP74" s="922">
        <f t="shared" si="108"/>
        <v>1</v>
      </c>
      <c r="AQ74" s="922">
        <f t="shared" si="109"/>
        <v>1</v>
      </c>
      <c r="AR74" s="922" t="str">
        <f t="shared" si="110"/>
        <v/>
      </c>
      <c r="AS74" s="922" t="str">
        <f t="shared" si="111"/>
        <v/>
      </c>
      <c r="AT74" s="922" t="str">
        <f t="shared" si="112"/>
        <v/>
      </c>
      <c r="AU74" s="922" t="str">
        <f t="shared" si="113"/>
        <v/>
      </c>
      <c r="AV74" s="922" t="str">
        <f t="shared" si="114"/>
        <v/>
      </c>
      <c r="AW74" s="926" t="str">
        <f t="shared" si="114"/>
        <v/>
      </c>
    </row>
    <row r="75" spans="1:49">
      <c r="A75" s="906" t="str">
        <f t="shared" si="91"/>
        <v>2022/12/03</v>
      </c>
      <c r="B75" s="373" t="s">
        <v>523</v>
      </c>
      <c r="C75" s="373" t="str">
        <f t="shared" ref="C75:C99" si="115">IFERROR(VLOOKUP($B75,RLMLXD,2,0),"")</f>
        <v xml:space="preserve">Xà bông 3 (siêu âm)
超音波脫脂
</v>
      </c>
      <c r="D75" s="373" t="str">
        <f t="shared" ref="D75:D99" si="116">IFERROR(VLOOKUP($B75,RLMLXD,43,0),"")</f>
        <v>XD-000A</v>
      </c>
      <c r="E75" s="373" t="str">
        <f t="shared" ref="E75:E99" si="117">IFERROR(VLOOKUP($B75,RLMLXD,4,0),"")</f>
        <v>g/L</v>
      </c>
      <c r="F75" s="373" t="str">
        <f t="shared" ref="F75:F99" si="118">IFERROR(VLOOKUP($B75,RLMLXD,5,0),"")</f>
        <v>40~60g/L
(50±5g/L)</v>
      </c>
      <c r="G75" s="894">
        <f t="shared" si="73"/>
        <v>58.410000000000004</v>
      </c>
      <c r="H75" s="894">
        <f t="shared" si="74"/>
        <v>0</v>
      </c>
      <c r="I75" s="899" t="str">
        <f t="shared" si="75"/>
        <v>kg</v>
      </c>
      <c r="J75" s="894">
        <f t="shared" si="76"/>
        <v>57.761000000000003</v>
      </c>
      <c r="K75" s="894">
        <f t="shared" si="77"/>
        <v>0</v>
      </c>
      <c r="L75" s="899" t="str">
        <f t="shared" si="78"/>
        <v>kg</v>
      </c>
      <c r="M75" s="894" t="str">
        <f t="shared" si="79"/>
        <v>HALO</v>
      </c>
      <c r="N75" s="894">
        <f t="shared" si="80"/>
        <v>0</v>
      </c>
      <c r="O75" s="899">
        <f t="shared" si="81"/>
        <v>0</v>
      </c>
      <c r="P75" s="894">
        <f t="shared" si="82"/>
        <v>0</v>
      </c>
      <c r="Q75" s="894">
        <f t="shared" si="83"/>
        <v>0</v>
      </c>
      <c r="R75" s="899">
        <f t="shared" si="84"/>
        <v>0</v>
      </c>
      <c r="S75" s="894">
        <f t="shared" si="85"/>
        <v>0</v>
      </c>
      <c r="T75" s="887">
        <f t="shared" si="86"/>
        <v>0</v>
      </c>
      <c r="U75" s="888">
        <f t="shared" si="87"/>
        <v>0</v>
      </c>
      <c r="V75" s="894">
        <f t="shared" si="88"/>
        <v>0</v>
      </c>
      <c r="W75" s="887">
        <f t="shared" si="89"/>
        <v>0</v>
      </c>
      <c r="X75" s="888">
        <f t="shared" si="90"/>
        <v>0</v>
      </c>
      <c r="Z75" s="374" t="b">
        <f t="shared" si="92"/>
        <v>1</v>
      </c>
      <c r="AA75" s="374" t="b">
        <f t="shared" si="93"/>
        <v>1</v>
      </c>
      <c r="AB75" s="374" t="b">
        <f t="shared" si="94"/>
        <v>1</v>
      </c>
      <c r="AC75" s="374" t="b">
        <f t="shared" si="95"/>
        <v>1</v>
      </c>
      <c r="AD75" s="374" t="b">
        <f t="shared" si="96"/>
        <v>0</v>
      </c>
      <c r="AE75" s="374" t="b">
        <f t="shared" si="97"/>
        <v>1</v>
      </c>
      <c r="AF75" s="374" t="b">
        <f t="shared" si="98"/>
        <v>1</v>
      </c>
      <c r="AG75" s="374" t="b">
        <f t="shared" si="99"/>
        <v>1</v>
      </c>
      <c r="AH75" s="374" t="b">
        <f t="shared" si="100"/>
        <v>1</v>
      </c>
      <c r="AI75" s="374" t="b">
        <f t="shared" si="101"/>
        <v>1</v>
      </c>
      <c r="AJ75" s="374" t="b">
        <f t="shared" si="102"/>
        <v>1</v>
      </c>
      <c r="AK75" s="374" t="b">
        <f t="shared" si="103"/>
        <v>1</v>
      </c>
      <c r="AL75" s="921" t="str">
        <f t="shared" si="104"/>
        <v/>
      </c>
      <c r="AM75" s="922" t="str">
        <f t="shared" si="105"/>
        <v/>
      </c>
      <c r="AN75" s="922" t="str">
        <f t="shared" si="106"/>
        <v/>
      </c>
      <c r="AO75" s="922" t="str">
        <f t="shared" si="107"/>
        <v/>
      </c>
      <c r="AP75" s="922">
        <f t="shared" si="108"/>
        <v>1</v>
      </c>
      <c r="AQ75" s="922" t="str">
        <f t="shared" si="109"/>
        <v/>
      </c>
      <c r="AR75" s="922" t="str">
        <f t="shared" si="110"/>
        <v/>
      </c>
      <c r="AS75" s="922" t="str">
        <f t="shared" si="111"/>
        <v/>
      </c>
      <c r="AT75" s="922" t="str">
        <f t="shared" si="112"/>
        <v/>
      </c>
      <c r="AU75" s="922" t="str">
        <f t="shared" si="113"/>
        <v/>
      </c>
      <c r="AV75" s="922" t="str">
        <f t="shared" si="114"/>
        <v/>
      </c>
      <c r="AW75" s="926" t="str">
        <f t="shared" si="114"/>
        <v/>
      </c>
    </row>
    <row r="76" spans="1:49">
      <c r="A76" s="906" t="str">
        <f t="shared" si="91"/>
        <v>2022/12/03</v>
      </c>
      <c r="B76" s="373" t="s">
        <v>525</v>
      </c>
      <c r="C76" s="373" t="str">
        <f t="shared" si="115"/>
        <v>Rửa acid
酸洗</v>
      </c>
      <c r="D76" s="373" t="str">
        <f t="shared" si="116"/>
        <v>XD-000A</v>
      </c>
      <c r="E76" s="373" t="str">
        <f t="shared" si="117"/>
        <v>Point</v>
      </c>
      <c r="F76" s="373" t="str">
        <f t="shared" si="118"/>
        <v>5~15
(10)</v>
      </c>
      <c r="G76" s="894">
        <f t="shared" si="73"/>
        <v>0</v>
      </c>
      <c r="H76" s="894">
        <f t="shared" si="74"/>
        <v>124.63199999999999</v>
      </c>
      <c r="I76" s="899" t="str">
        <f t="shared" si="75"/>
        <v>L</v>
      </c>
      <c r="J76" s="894">
        <f t="shared" si="76"/>
        <v>0</v>
      </c>
      <c r="K76" s="894">
        <f t="shared" si="77"/>
        <v>124.63199999999999</v>
      </c>
      <c r="L76" s="899" t="str">
        <f t="shared" si="78"/>
        <v>L</v>
      </c>
      <c r="M76" s="894">
        <f t="shared" si="79"/>
        <v>0</v>
      </c>
      <c r="N76" s="894">
        <f t="shared" si="80"/>
        <v>0</v>
      </c>
      <c r="O76" s="899">
        <f t="shared" si="81"/>
        <v>0</v>
      </c>
      <c r="P76" s="894">
        <f t="shared" si="82"/>
        <v>0</v>
      </c>
      <c r="Q76" s="894">
        <f t="shared" si="83"/>
        <v>0</v>
      </c>
      <c r="R76" s="899">
        <f t="shared" si="84"/>
        <v>0</v>
      </c>
      <c r="S76" s="894">
        <f t="shared" si="85"/>
        <v>0</v>
      </c>
      <c r="T76" s="887">
        <f t="shared" si="86"/>
        <v>0</v>
      </c>
      <c r="U76" s="888">
        <f t="shared" si="87"/>
        <v>0</v>
      </c>
      <c r="V76" s="894">
        <f t="shared" si="88"/>
        <v>0</v>
      </c>
      <c r="W76" s="887">
        <f t="shared" si="89"/>
        <v>0</v>
      </c>
      <c r="X76" s="888">
        <f t="shared" si="90"/>
        <v>0</v>
      </c>
      <c r="Z76" s="374" t="b">
        <f t="shared" si="92"/>
        <v>1</v>
      </c>
      <c r="AA76" s="374" t="b">
        <f t="shared" si="93"/>
        <v>1</v>
      </c>
      <c r="AB76" s="374" t="b">
        <f t="shared" si="94"/>
        <v>1</v>
      </c>
      <c r="AC76" s="374" t="b">
        <f t="shared" si="95"/>
        <v>1</v>
      </c>
      <c r="AD76" s="374" t="b">
        <f t="shared" si="96"/>
        <v>1</v>
      </c>
      <c r="AE76" s="374" t="b">
        <f t="shared" si="97"/>
        <v>1</v>
      </c>
      <c r="AF76" s="374" t="b">
        <f t="shared" si="98"/>
        <v>1</v>
      </c>
      <c r="AG76" s="374" t="b">
        <f t="shared" si="99"/>
        <v>1</v>
      </c>
      <c r="AH76" s="374" t="b">
        <f t="shared" si="100"/>
        <v>1</v>
      </c>
      <c r="AI76" s="374" t="b">
        <f t="shared" si="101"/>
        <v>1</v>
      </c>
      <c r="AJ76" s="374" t="b">
        <f t="shared" si="102"/>
        <v>1</v>
      </c>
      <c r="AK76" s="374" t="b">
        <f t="shared" si="103"/>
        <v>1</v>
      </c>
      <c r="AL76" s="921" t="str">
        <f t="shared" si="104"/>
        <v/>
      </c>
      <c r="AM76" s="922" t="str">
        <f t="shared" si="105"/>
        <v/>
      </c>
      <c r="AN76" s="922" t="str">
        <f t="shared" si="106"/>
        <v/>
      </c>
      <c r="AO76" s="922" t="str">
        <f t="shared" si="107"/>
        <v/>
      </c>
      <c r="AP76" s="922" t="str">
        <f t="shared" si="108"/>
        <v/>
      </c>
      <c r="AQ76" s="922" t="str">
        <f t="shared" si="109"/>
        <v/>
      </c>
      <c r="AR76" s="922" t="str">
        <f t="shared" si="110"/>
        <v/>
      </c>
      <c r="AS76" s="922" t="str">
        <f t="shared" si="111"/>
        <v/>
      </c>
      <c r="AT76" s="922" t="str">
        <f t="shared" si="112"/>
        <v/>
      </c>
      <c r="AU76" s="922" t="str">
        <f t="shared" si="113"/>
        <v/>
      </c>
      <c r="AV76" s="922" t="str">
        <f t="shared" si="114"/>
        <v/>
      </c>
      <c r="AW76" s="926" t="str">
        <f t="shared" si="114"/>
        <v/>
      </c>
    </row>
    <row r="77" spans="1:49">
      <c r="A77" s="906" t="str">
        <f t="shared" si="91"/>
        <v>2022/12/03</v>
      </c>
      <c r="B77" s="373" t="s">
        <v>527</v>
      </c>
      <c r="C77" s="373" t="str">
        <f t="shared" si="115"/>
        <v>phosphat                      acid phân ly
磷化處理                     游離酸度</v>
      </c>
      <c r="D77" s="373" t="str">
        <f t="shared" si="116"/>
        <v>XD-000A</v>
      </c>
      <c r="E77" s="373" t="str">
        <f t="shared" si="117"/>
        <v>Point</v>
      </c>
      <c r="F77" s="373" t="str">
        <f t="shared" si="118"/>
        <v>&lt;1.5</v>
      </c>
      <c r="G77" s="894">
        <f t="shared" si="73"/>
        <v>0.48</v>
      </c>
      <c r="H77" s="894">
        <f t="shared" si="74"/>
        <v>0</v>
      </c>
      <c r="I77" s="899" t="str">
        <f t="shared" si="75"/>
        <v>kg</v>
      </c>
      <c r="J77" s="894">
        <f t="shared" si="76"/>
        <v>0.5</v>
      </c>
      <c r="K77" s="894">
        <f t="shared" si="77"/>
        <v>0</v>
      </c>
      <c r="L77" s="899" t="str">
        <f t="shared" si="78"/>
        <v>kg</v>
      </c>
      <c r="M77" s="894">
        <f t="shared" si="79"/>
        <v>0</v>
      </c>
      <c r="N77" s="894">
        <f t="shared" si="80"/>
        <v>0</v>
      </c>
      <c r="O77" s="899">
        <f t="shared" si="81"/>
        <v>0</v>
      </c>
      <c r="P77" s="894">
        <f t="shared" si="82"/>
        <v>0</v>
      </c>
      <c r="Q77" s="894">
        <f t="shared" si="83"/>
        <v>0</v>
      </c>
      <c r="R77" s="899">
        <f t="shared" si="84"/>
        <v>0</v>
      </c>
      <c r="S77" s="894">
        <f t="shared" si="85"/>
        <v>0</v>
      </c>
      <c r="T77" s="887">
        <f t="shared" si="86"/>
        <v>0</v>
      </c>
      <c r="U77" s="888">
        <f t="shared" si="87"/>
        <v>0</v>
      </c>
      <c r="V77" s="894">
        <f t="shared" si="88"/>
        <v>0</v>
      </c>
      <c r="W77" s="887">
        <f t="shared" si="89"/>
        <v>0</v>
      </c>
      <c r="X77" s="888">
        <f t="shared" si="90"/>
        <v>0</v>
      </c>
      <c r="Z77" s="374" t="b">
        <f t="shared" si="92"/>
        <v>1</v>
      </c>
      <c r="AA77" s="374" t="b">
        <f t="shared" si="93"/>
        <v>1</v>
      </c>
      <c r="AB77" s="374" t="b">
        <f t="shared" si="94"/>
        <v>1</v>
      </c>
      <c r="AC77" s="374" t="b">
        <f t="shared" si="95"/>
        <v>1</v>
      </c>
      <c r="AD77" s="374" t="b">
        <f t="shared" si="96"/>
        <v>1</v>
      </c>
      <c r="AE77" s="374" t="b">
        <f t="shared" si="97"/>
        <v>1</v>
      </c>
      <c r="AF77" s="374" t="b">
        <f t="shared" si="98"/>
        <v>1</v>
      </c>
      <c r="AG77" s="374" t="b">
        <f t="shared" si="99"/>
        <v>1</v>
      </c>
      <c r="AH77" s="374" t="b">
        <f t="shared" si="100"/>
        <v>1</v>
      </c>
      <c r="AI77" s="374" t="b">
        <f t="shared" si="101"/>
        <v>1</v>
      </c>
      <c r="AJ77" s="374" t="b">
        <f t="shared" si="102"/>
        <v>1</v>
      </c>
      <c r="AK77" s="374" t="b">
        <f t="shared" si="103"/>
        <v>1</v>
      </c>
      <c r="AL77" s="921" t="str">
        <f t="shared" si="104"/>
        <v/>
      </c>
      <c r="AM77" s="922" t="str">
        <f t="shared" si="105"/>
        <v/>
      </c>
      <c r="AN77" s="922" t="str">
        <f t="shared" si="106"/>
        <v/>
      </c>
      <c r="AO77" s="922" t="str">
        <f t="shared" si="107"/>
        <v/>
      </c>
      <c r="AP77" s="922" t="str">
        <f t="shared" si="108"/>
        <v/>
      </c>
      <c r="AQ77" s="922" t="str">
        <f t="shared" si="109"/>
        <v/>
      </c>
      <c r="AR77" s="922" t="str">
        <f t="shared" si="110"/>
        <v/>
      </c>
      <c r="AS77" s="922" t="str">
        <f t="shared" si="111"/>
        <v/>
      </c>
      <c r="AT77" s="922" t="str">
        <f t="shared" si="112"/>
        <v/>
      </c>
      <c r="AU77" s="922" t="str">
        <f t="shared" si="113"/>
        <v/>
      </c>
      <c r="AV77" s="922" t="str">
        <f t="shared" si="114"/>
        <v/>
      </c>
      <c r="AW77" s="926" t="str">
        <f t="shared" si="114"/>
        <v/>
      </c>
    </row>
    <row r="78" spans="1:49">
      <c r="A78" s="906" t="str">
        <f t="shared" si="91"/>
        <v>2022/12/03</v>
      </c>
      <c r="B78" s="373" t="s">
        <v>530</v>
      </c>
      <c r="C78" s="373" t="str">
        <f t="shared" si="115"/>
        <v>phosphat                      tổng độ chua
磷化處理                      總酸度</v>
      </c>
      <c r="D78" s="373" t="str">
        <f t="shared" si="116"/>
        <v>XD-000A</v>
      </c>
      <c r="E78" s="373" t="str">
        <f t="shared" si="117"/>
        <v>Point</v>
      </c>
      <c r="F78" s="373" t="str">
        <f t="shared" si="118"/>
        <v>20~25
(22.5)</v>
      </c>
      <c r="G78" s="894">
        <f t="shared" si="73"/>
        <v>19.2</v>
      </c>
      <c r="H78" s="894">
        <f t="shared" si="74"/>
        <v>32.076000000000008</v>
      </c>
      <c r="I78" s="899" t="str">
        <f t="shared" si="75"/>
        <v>kg</v>
      </c>
      <c r="J78" s="894">
        <f t="shared" si="76"/>
        <v>20</v>
      </c>
      <c r="K78" s="894">
        <f t="shared" si="77"/>
        <v>24.3</v>
      </c>
      <c r="L78" s="899" t="str">
        <f t="shared" si="78"/>
        <v>kg</v>
      </c>
      <c r="M78" s="894">
        <f t="shared" si="79"/>
        <v>0</v>
      </c>
      <c r="N78" s="894">
        <f t="shared" si="80"/>
        <v>0</v>
      </c>
      <c r="O78" s="899">
        <f t="shared" si="81"/>
        <v>0</v>
      </c>
      <c r="P78" s="894">
        <f t="shared" si="82"/>
        <v>0</v>
      </c>
      <c r="Q78" s="894">
        <f t="shared" si="83"/>
        <v>0</v>
      </c>
      <c r="R78" s="899">
        <f t="shared" si="84"/>
        <v>0</v>
      </c>
      <c r="S78" s="894">
        <f t="shared" si="85"/>
        <v>0</v>
      </c>
      <c r="T78" s="887">
        <f t="shared" si="86"/>
        <v>0</v>
      </c>
      <c r="U78" s="888">
        <f t="shared" si="87"/>
        <v>0</v>
      </c>
      <c r="V78" s="894">
        <f t="shared" si="88"/>
        <v>0</v>
      </c>
      <c r="W78" s="887">
        <f t="shared" si="89"/>
        <v>0</v>
      </c>
      <c r="X78" s="888">
        <f t="shared" si="90"/>
        <v>0</v>
      </c>
      <c r="Z78" s="374" t="b">
        <f t="shared" si="92"/>
        <v>1</v>
      </c>
      <c r="AA78" s="374" t="b">
        <f t="shared" si="93"/>
        <v>1</v>
      </c>
      <c r="AB78" s="374" t="b">
        <f t="shared" si="94"/>
        <v>1</v>
      </c>
      <c r="AC78" s="374" t="b">
        <f t="shared" si="95"/>
        <v>1</v>
      </c>
      <c r="AD78" s="374" t="b">
        <f t="shared" si="96"/>
        <v>1</v>
      </c>
      <c r="AE78" s="374" t="b">
        <f t="shared" si="97"/>
        <v>1</v>
      </c>
      <c r="AF78" s="374" t="b">
        <f t="shared" si="98"/>
        <v>1</v>
      </c>
      <c r="AG78" s="374" t="b">
        <f t="shared" si="99"/>
        <v>1</v>
      </c>
      <c r="AH78" s="374" t="b">
        <f t="shared" si="100"/>
        <v>1</v>
      </c>
      <c r="AI78" s="374" t="b">
        <f t="shared" si="101"/>
        <v>1</v>
      </c>
      <c r="AJ78" s="374" t="b">
        <f t="shared" si="102"/>
        <v>1</v>
      </c>
      <c r="AK78" s="374" t="b">
        <f t="shared" si="103"/>
        <v>1</v>
      </c>
      <c r="AL78" s="921" t="str">
        <f t="shared" si="104"/>
        <v/>
      </c>
      <c r="AM78" s="922" t="str">
        <f t="shared" si="105"/>
        <v/>
      </c>
      <c r="AN78" s="922" t="str">
        <f t="shared" si="106"/>
        <v/>
      </c>
      <c r="AO78" s="922" t="str">
        <f t="shared" si="107"/>
        <v/>
      </c>
      <c r="AP78" s="922" t="str">
        <f t="shared" si="108"/>
        <v/>
      </c>
      <c r="AQ78" s="922" t="str">
        <f t="shared" si="109"/>
        <v/>
      </c>
      <c r="AR78" s="922" t="str">
        <f t="shared" si="110"/>
        <v/>
      </c>
      <c r="AS78" s="922" t="str">
        <f t="shared" si="111"/>
        <v/>
      </c>
      <c r="AT78" s="922" t="str">
        <f t="shared" si="112"/>
        <v/>
      </c>
      <c r="AU78" s="922" t="str">
        <f t="shared" si="113"/>
        <v/>
      </c>
      <c r="AV78" s="922" t="str">
        <f t="shared" si="114"/>
        <v/>
      </c>
      <c r="AW78" s="926" t="str">
        <f t="shared" si="114"/>
        <v/>
      </c>
    </row>
    <row r="79" spans="1:49">
      <c r="A79" s="906" t="str">
        <f t="shared" si="91"/>
        <v>2022/12/03</v>
      </c>
      <c r="B79" s="373" t="s">
        <v>533</v>
      </c>
      <c r="C79" s="373" t="str">
        <f t="shared" si="115"/>
        <v>phosphat                     Xúc tiến  AC
磷化處理                      促進劑</v>
      </c>
      <c r="D79" s="373" t="str">
        <f t="shared" si="116"/>
        <v>XD-000A</v>
      </c>
      <c r="E79" s="373" t="str">
        <f t="shared" si="117"/>
        <v>Point</v>
      </c>
      <c r="F79" s="373" t="str">
        <f t="shared" si="118"/>
        <v>6~9
(7.5)</v>
      </c>
      <c r="G79" s="894">
        <f t="shared" si="73"/>
        <v>8.3000000000000007</v>
      </c>
      <c r="H79" s="894">
        <f t="shared" si="74"/>
        <v>0</v>
      </c>
      <c r="I79" s="899" t="str">
        <f t="shared" si="75"/>
        <v>kg</v>
      </c>
      <c r="J79" s="894">
        <f t="shared" si="76"/>
        <v>8</v>
      </c>
      <c r="K79" s="894">
        <f t="shared" si="77"/>
        <v>0</v>
      </c>
      <c r="L79" s="899" t="str">
        <f t="shared" si="78"/>
        <v>kg</v>
      </c>
      <c r="M79" s="894">
        <f t="shared" si="79"/>
        <v>0</v>
      </c>
      <c r="N79" s="894">
        <f t="shared" si="80"/>
        <v>0</v>
      </c>
      <c r="O79" s="899">
        <f t="shared" si="81"/>
        <v>0</v>
      </c>
      <c r="P79" s="894">
        <f t="shared" si="82"/>
        <v>0</v>
      </c>
      <c r="Q79" s="894">
        <f t="shared" si="83"/>
        <v>0</v>
      </c>
      <c r="R79" s="899">
        <f t="shared" si="84"/>
        <v>0</v>
      </c>
      <c r="S79" s="894">
        <f t="shared" si="85"/>
        <v>0</v>
      </c>
      <c r="T79" s="887">
        <f t="shared" si="86"/>
        <v>0</v>
      </c>
      <c r="U79" s="888">
        <f t="shared" si="87"/>
        <v>0</v>
      </c>
      <c r="V79" s="894">
        <f t="shared" si="88"/>
        <v>0</v>
      </c>
      <c r="W79" s="887">
        <f t="shared" si="89"/>
        <v>0</v>
      </c>
      <c r="X79" s="888">
        <f t="shared" si="90"/>
        <v>0</v>
      </c>
      <c r="Z79" s="374" t="b">
        <f t="shared" si="92"/>
        <v>1</v>
      </c>
      <c r="AA79" s="374" t="b">
        <f t="shared" si="93"/>
        <v>1</v>
      </c>
      <c r="AB79" s="374" t="b">
        <f t="shared" si="94"/>
        <v>1</v>
      </c>
      <c r="AC79" s="374" t="b">
        <f t="shared" si="95"/>
        <v>1</v>
      </c>
      <c r="AD79" s="374" t="b">
        <f t="shared" si="96"/>
        <v>1</v>
      </c>
      <c r="AE79" s="374" t="b">
        <f t="shared" si="97"/>
        <v>1</v>
      </c>
      <c r="AF79" s="374" t="b">
        <f t="shared" si="98"/>
        <v>1</v>
      </c>
      <c r="AG79" s="374" t="b">
        <f t="shared" si="99"/>
        <v>1</v>
      </c>
      <c r="AH79" s="374" t="b">
        <f t="shared" si="100"/>
        <v>1</v>
      </c>
      <c r="AI79" s="374" t="b">
        <f t="shared" si="101"/>
        <v>1</v>
      </c>
      <c r="AJ79" s="374" t="b">
        <f t="shared" si="102"/>
        <v>1</v>
      </c>
      <c r="AK79" s="374" t="b">
        <f t="shared" si="103"/>
        <v>1</v>
      </c>
      <c r="AL79" s="921" t="str">
        <f t="shared" si="104"/>
        <v/>
      </c>
      <c r="AM79" s="922" t="str">
        <f t="shared" si="105"/>
        <v/>
      </c>
      <c r="AN79" s="922" t="str">
        <f t="shared" si="106"/>
        <v/>
      </c>
      <c r="AO79" s="922" t="str">
        <f t="shared" si="107"/>
        <v/>
      </c>
      <c r="AP79" s="922" t="str">
        <f t="shared" si="108"/>
        <v/>
      </c>
      <c r="AQ79" s="922" t="str">
        <f t="shared" si="109"/>
        <v/>
      </c>
      <c r="AR79" s="922" t="str">
        <f t="shared" si="110"/>
        <v/>
      </c>
      <c r="AS79" s="922" t="str">
        <f t="shared" si="111"/>
        <v/>
      </c>
      <c r="AT79" s="922" t="str">
        <f t="shared" si="112"/>
        <v/>
      </c>
      <c r="AU79" s="922" t="str">
        <f t="shared" si="113"/>
        <v/>
      </c>
      <c r="AV79" s="922" t="str">
        <f t="shared" si="114"/>
        <v/>
      </c>
      <c r="AW79" s="926" t="str">
        <f t="shared" si="114"/>
        <v/>
      </c>
    </row>
    <row r="80" spans="1:49">
      <c r="A80" s="906" t="str">
        <f t="shared" si="91"/>
        <v>2022/12/03</v>
      </c>
      <c r="B80" s="373" t="s">
        <v>536</v>
      </c>
      <c r="C80" s="373" t="str">
        <f t="shared" si="115"/>
        <v>chất điều chỉnh (pH&gt;7)
表調</v>
      </c>
      <c r="D80" s="373" t="str">
        <f t="shared" si="116"/>
        <v>XD-000A</v>
      </c>
      <c r="E80" s="373" t="str">
        <f t="shared" si="117"/>
        <v>pH</v>
      </c>
      <c r="F80" s="373" t="str">
        <f t="shared" si="118"/>
        <v>7~10 
(&gt;7)</v>
      </c>
      <c r="G80" s="894">
        <f t="shared" si="73"/>
        <v>8</v>
      </c>
      <c r="H80" s="894">
        <f t="shared" si="74"/>
        <v>0</v>
      </c>
      <c r="I80" s="899">
        <f t="shared" si="75"/>
        <v>0</v>
      </c>
      <c r="J80" s="894">
        <f t="shared" si="76"/>
        <v>7.8</v>
      </c>
      <c r="K80" s="894">
        <f t="shared" si="77"/>
        <v>0</v>
      </c>
      <c r="L80" s="899">
        <f t="shared" si="78"/>
        <v>0</v>
      </c>
      <c r="M80" s="894">
        <f t="shared" si="79"/>
        <v>0</v>
      </c>
      <c r="N80" s="894">
        <f t="shared" si="80"/>
        <v>0</v>
      </c>
      <c r="O80" s="899">
        <f t="shared" si="81"/>
        <v>0</v>
      </c>
      <c r="P80" s="894">
        <f t="shared" si="82"/>
        <v>0</v>
      </c>
      <c r="Q80" s="894">
        <f t="shared" si="83"/>
        <v>0</v>
      </c>
      <c r="R80" s="899">
        <f t="shared" si="84"/>
        <v>0</v>
      </c>
      <c r="S80" s="894">
        <f t="shared" si="85"/>
        <v>0</v>
      </c>
      <c r="T80" s="887">
        <f t="shared" si="86"/>
        <v>0</v>
      </c>
      <c r="U80" s="888">
        <f t="shared" si="87"/>
        <v>0</v>
      </c>
      <c r="V80" s="894">
        <f t="shared" si="88"/>
        <v>0</v>
      </c>
      <c r="W80" s="887">
        <f t="shared" si="89"/>
        <v>0</v>
      </c>
      <c r="X80" s="888">
        <f t="shared" si="90"/>
        <v>0</v>
      </c>
      <c r="Z80" s="374" t="b">
        <f t="shared" si="92"/>
        <v>1</v>
      </c>
      <c r="AA80" s="374" t="b">
        <f t="shared" si="93"/>
        <v>1</v>
      </c>
      <c r="AB80" s="374" t="b">
        <f t="shared" si="94"/>
        <v>1</v>
      </c>
      <c r="AC80" s="374" t="b">
        <f t="shared" si="95"/>
        <v>1</v>
      </c>
      <c r="AD80" s="374" t="b">
        <f t="shared" si="96"/>
        <v>1</v>
      </c>
      <c r="AE80" s="374" t="b">
        <f t="shared" si="97"/>
        <v>1</v>
      </c>
      <c r="AF80" s="374" t="b">
        <f t="shared" si="98"/>
        <v>1</v>
      </c>
      <c r="AG80" s="374" t="b">
        <f t="shared" si="99"/>
        <v>1</v>
      </c>
      <c r="AH80" s="374" t="b">
        <f t="shared" si="100"/>
        <v>1</v>
      </c>
      <c r="AI80" s="374" t="b">
        <f t="shared" si="101"/>
        <v>1</v>
      </c>
      <c r="AJ80" s="374" t="b">
        <f t="shared" si="102"/>
        <v>1</v>
      </c>
      <c r="AK80" s="374" t="b">
        <f t="shared" si="103"/>
        <v>1</v>
      </c>
      <c r="AL80" s="921" t="str">
        <f t="shared" si="104"/>
        <v/>
      </c>
      <c r="AM80" s="922" t="str">
        <f t="shared" si="105"/>
        <v/>
      </c>
      <c r="AN80" s="922" t="str">
        <f t="shared" si="106"/>
        <v/>
      </c>
      <c r="AO80" s="922" t="str">
        <f t="shared" si="107"/>
        <v/>
      </c>
      <c r="AP80" s="922" t="str">
        <f t="shared" si="108"/>
        <v/>
      </c>
      <c r="AQ80" s="922" t="str">
        <f t="shared" si="109"/>
        <v/>
      </c>
      <c r="AR80" s="922" t="str">
        <f t="shared" si="110"/>
        <v/>
      </c>
      <c r="AS80" s="922" t="str">
        <f t="shared" si="111"/>
        <v/>
      </c>
      <c r="AT80" s="922" t="str">
        <f t="shared" si="112"/>
        <v/>
      </c>
      <c r="AU80" s="922" t="str">
        <f t="shared" si="113"/>
        <v/>
      </c>
      <c r="AV80" s="922" t="str">
        <f t="shared" si="114"/>
        <v/>
      </c>
      <c r="AW80" s="926" t="str">
        <f t="shared" si="114"/>
        <v/>
      </c>
    </row>
    <row r="81" spans="1:49">
      <c r="A81" s="906" t="str">
        <f t="shared" si="91"/>
        <v>2022/12/03</v>
      </c>
      <c r="B81" s="373" t="s">
        <v>539</v>
      </c>
      <c r="C81" s="373" t="str">
        <f t="shared" si="115"/>
        <v>ED電泳 pH 
ED Bồn sơn tĩnh điện pH   1</v>
      </c>
      <c r="D81" s="373" t="str">
        <f t="shared" si="116"/>
        <v>XD-000A</v>
      </c>
      <c r="E81" s="373" t="str">
        <f t="shared" si="117"/>
        <v>pH</v>
      </c>
      <c r="F81" s="373" t="str">
        <f t="shared" si="118"/>
        <v>5.3~6.0
(5.5)</v>
      </c>
      <c r="G81" s="894">
        <f t="shared" si="73"/>
        <v>5.5</v>
      </c>
      <c r="H81" s="894">
        <f t="shared" si="74"/>
        <v>0</v>
      </c>
      <c r="I81" s="899">
        <f t="shared" si="75"/>
        <v>0</v>
      </c>
      <c r="J81" s="894">
        <f t="shared" si="76"/>
        <v>5.5</v>
      </c>
      <c r="K81" s="894">
        <f t="shared" si="77"/>
        <v>0</v>
      </c>
      <c r="L81" s="899">
        <f t="shared" si="78"/>
        <v>0</v>
      </c>
      <c r="M81" s="894">
        <f t="shared" si="79"/>
        <v>5.5</v>
      </c>
      <c r="N81" s="894">
        <f t="shared" si="80"/>
        <v>0</v>
      </c>
      <c r="O81" s="899">
        <f t="shared" si="81"/>
        <v>0</v>
      </c>
      <c r="P81" s="894">
        <f t="shared" si="82"/>
        <v>0</v>
      </c>
      <c r="Q81" s="894">
        <f t="shared" si="83"/>
        <v>0</v>
      </c>
      <c r="R81" s="899">
        <f t="shared" si="84"/>
        <v>0</v>
      </c>
      <c r="S81" s="894">
        <f t="shared" si="85"/>
        <v>0</v>
      </c>
      <c r="T81" s="887">
        <f t="shared" si="86"/>
        <v>0</v>
      </c>
      <c r="U81" s="888">
        <f t="shared" si="87"/>
        <v>0</v>
      </c>
      <c r="V81" s="894">
        <f t="shared" si="88"/>
        <v>0</v>
      </c>
      <c r="W81" s="887">
        <f t="shared" si="89"/>
        <v>0</v>
      </c>
      <c r="X81" s="888">
        <f t="shared" si="90"/>
        <v>0</v>
      </c>
      <c r="Z81" s="374" t="b">
        <f t="shared" si="92"/>
        <v>1</v>
      </c>
      <c r="AA81" s="374" t="b">
        <f t="shared" si="93"/>
        <v>1</v>
      </c>
      <c r="AB81" s="374" t="b">
        <f t="shared" si="94"/>
        <v>1</v>
      </c>
      <c r="AC81" s="374" t="b">
        <f t="shared" si="95"/>
        <v>1</v>
      </c>
      <c r="AD81" s="374" t="b">
        <f t="shared" si="96"/>
        <v>1</v>
      </c>
      <c r="AE81" s="374" t="b">
        <f t="shared" si="97"/>
        <v>1</v>
      </c>
      <c r="AF81" s="374" t="b">
        <f t="shared" si="98"/>
        <v>1</v>
      </c>
      <c r="AG81" s="374" t="b">
        <f t="shared" si="99"/>
        <v>1</v>
      </c>
      <c r="AH81" s="374" t="b">
        <f t="shared" si="100"/>
        <v>1</v>
      </c>
      <c r="AI81" s="374" t="b">
        <f t="shared" si="101"/>
        <v>1</v>
      </c>
      <c r="AJ81" s="374" t="b">
        <f t="shared" si="102"/>
        <v>1</v>
      </c>
      <c r="AK81" s="374" t="b">
        <f t="shared" si="103"/>
        <v>1</v>
      </c>
      <c r="AL81" s="921" t="str">
        <f t="shared" si="104"/>
        <v/>
      </c>
      <c r="AM81" s="922" t="str">
        <f t="shared" si="105"/>
        <v/>
      </c>
      <c r="AN81" s="922" t="str">
        <f t="shared" si="106"/>
        <v/>
      </c>
      <c r="AO81" s="922" t="str">
        <f t="shared" si="107"/>
        <v/>
      </c>
      <c r="AP81" s="922" t="str">
        <f t="shared" si="108"/>
        <v/>
      </c>
      <c r="AQ81" s="922" t="str">
        <f t="shared" si="109"/>
        <v/>
      </c>
      <c r="AR81" s="922" t="str">
        <f t="shared" si="110"/>
        <v/>
      </c>
      <c r="AS81" s="922" t="str">
        <f t="shared" si="111"/>
        <v/>
      </c>
      <c r="AT81" s="922" t="str">
        <f t="shared" si="112"/>
        <v/>
      </c>
      <c r="AU81" s="922" t="str">
        <f t="shared" si="113"/>
        <v/>
      </c>
      <c r="AV81" s="922" t="str">
        <f t="shared" si="114"/>
        <v/>
      </c>
      <c r="AW81" s="926" t="str">
        <f t="shared" si="114"/>
        <v/>
      </c>
    </row>
    <row r="82" spans="1:49">
      <c r="A82" s="906" t="str">
        <f t="shared" si="91"/>
        <v>2022/12/03</v>
      </c>
      <c r="B82" s="373" t="s">
        <v>544</v>
      </c>
      <c r="C82" s="373" t="str">
        <f t="shared" si="115"/>
        <v>ED 固成份 (NV)
ED Thành phần rắn 1</v>
      </c>
      <c r="D82" s="373" t="str">
        <f t="shared" si="116"/>
        <v>XD-000A</v>
      </c>
      <c r="E82" s="373" t="str">
        <f t="shared" si="117"/>
        <v>%</v>
      </c>
      <c r="F82" s="373" t="str">
        <f t="shared" si="118"/>
        <v xml:space="preserve"> 12~18%
(15%)</v>
      </c>
      <c r="G82" s="894">
        <f t="shared" si="73"/>
        <v>7.8643278743037639</v>
      </c>
      <c r="H82" s="894">
        <f t="shared" si="74"/>
        <v>163.76367528472861</v>
      </c>
      <c r="I82" s="899" t="str">
        <f t="shared" si="75"/>
        <v>L</v>
      </c>
      <c r="J82" s="894" t="str">
        <f t="shared" si="76"/>
        <v>\</v>
      </c>
      <c r="K82" s="894">
        <f t="shared" si="77"/>
        <v>0</v>
      </c>
      <c r="L82" s="899">
        <f t="shared" si="78"/>
        <v>0</v>
      </c>
      <c r="M82" s="894">
        <f t="shared" si="79"/>
        <v>7.8643278743037639</v>
      </c>
      <c r="N82" s="894">
        <f t="shared" si="80"/>
        <v>0</v>
      </c>
      <c r="O82" s="899">
        <f t="shared" si="81"/>
        <v>0</v>
      </c>
      <c r="P82" s="894">
        <f t="shared" si="82"/>
        <v>0</v>
      </c>
      <c r="Q82" s="894">
        <f t="shared" si="83"/>
        <v>0</v>
      </c>
      <c r="R82" s="899">
        <f t="shared" si="84"/>
        <v>0</v>
      </c>
      <c r="S82" s="894">
        <f t="shared" si="85"/>
        <v>0</v>
      </c>
      <c r="T82" s="887">
        <f t="shared" si="86"/>
        <v>0</v>
      </c>
      <c r="U82" s="888">
        <f t="shared" si="87"/>
        <v>0</v>
      </c>
      <c r="V82" s="894">
        <f t="shared" si="88"/>
        <v>0</v>
      </c>
      <c r="W82" s="887">
        <f t="shared" si="89"/>
        <v>0</v>
      </c>
      <c r="X82" s="888">
        <f t="shared" si="90"/>
        <v>0</v>
      </c>
      <c r="Z82" s="892" t="b">
        <f>ISNUMBER(G82)</f>
        <v>1</v>
      </c>
      <c r="AA82" s="892" t="b">
        <f t="shared" si="93"/>
        <v>1</v>
      </c>
      <c r="AB82" s="892" t="b">
        <f t="shared" si="94"/>
        <v>0</v>
      </c>
      <c r="AC82" s="892" t="b">
        <f t="shared" si="95"/>
        <v>1</v>
      </c>
      <c r="AD82" s="374" t="b">
        <f t="shared" si="96"/>
        <v>1</v>
      </c>
      <c r="AE82" s="374" t="b">
        <f t="shared" si="97"/>
        <v>1</v>
      </c>
      <c r="AF82" s="374" t="b">
        <f t="shared" si="98"/>
        <v>1</v>
      </c>
      <c r="AG82" s="374" t="b">
        <f t="shared" si="99"/>
        <v>1</v>
      </c>
      <c r="AH82" s="374" t="b">
        <f t="shared" si="100"/>
        <v>1</v>
      </c>
      <c r="AI82" s="374" t="b">
        <f t="shared" si="101"/>
        <v>1</v>
      </c>
      <c r="AJ82" s="374" t="b">
        <f t="shared" si="102"/>
        <v>1</v>
      </c>
      <c r="AK82" s="374" t="b">
        <f t="shared" si="103"/>
        <v>1</v>
      </c>
      <c r="AL82" s="921" t="str">
        <f t="shared" si="104"/>
        <v/>
      </c>
      <c r="AM82" s="922" t="str">
        <f t="shared" si="105"/>
        <v/>
      </c>
      <c r="AN82" s="922">
        <f t="shared" si="106"/>
        <v>1</v>
      </c>
      <c r="AO82" s="922" t="str">
        <f t="shared" si="107"/>
        <v/>
      </c>
      <c r="AP82" s="922" t="str">
        <f t="shared" si="108"/>
        <v/>
      </c>
      <c r="AQ82" s="922" t="str">
        <f t="shared" si="109"/>
        <v/>
      </c>
      <c r="AR82" s="922" t="str">
        <f t="shared" si="110"/>
        <v/>
      </c>
      <c r="AS82" s="922" t="str">
        <f t="shared" si="111"/>
        <v/>
      </c>
      <c r="AT82" s="922" t="str">
        <f t="shared" si="112"/>
        <v/>
      </c>
      <c r="AU82" s="922" t="str">
        <f t="shared" si="113"/>
        <v/>
      </c>
      <c r="AV82" s="922" t="str">
        <f t="shared" si="114"/>
        <v/>
      </c>
      <c r="AW82" s="926" t="str">
        <f t="shared" si="114"/>
        <v/>
      </c>
    </row>
    <row r="83" spans="1:49">
      <c r="A83" s="906" t="str">
        <f t="shared" si="91"/>
        <v>2022/12/03</v>
      </c>
      <c r="B83" s="373" t="s">
        <v>545</v>
      </c>
      <c r="C83" s="373" t="str">
        <f t="shared" si="115"/>
        <v>ED 色料比
EDTỷ lệ màu 1</v>
      </c>
      <c r="D83" s="373" t="str">
        <f t="shared" si="116"/>
        <v>XD-000A</v>
      </c>
      <c r="E83" s="373" t="str">
        <f t="shared" si="117"/>
        <v>%</v>
      </c>
      <c r="F83" s="373" t="str">
        <f t="shared" si="118"/>
        <v>8~16%
(12%)</v>
      </c>
      <c r="G83" s="894">
        <f t="shared" si="73"/>
        <v>8.6380074844838344</v>
      </c>
      <c r="H83" s="894">
        <f t="shared" si="74"/>
        <v>77.157728231096002</v>
      </c>
      <c r="I83" s="899" t="str">
        <f t="shared" si="75"/>
        <v>L</v>
      </c>
      <c r="J83" s="894" t="str">
        <f t="shared" si="76"/>
        <v>\</v>
      </c>
      <c r="K83" s="894">
        <f t="shared" si="77"/>
        <v>0</v>
      </c>
      <c r="L83" s="899">
        <f t="shared" si="78"/>
        <v>0</v>
      </c>
      <c r="M83" s="894">
        <f t="shared" si="79"/>
        <v>8.6380074844838344</v>
      </c>
      <c r="N83" s="894">
        <f t="shared" si="80"/>
        <v>0</v>
      </c>
      <c r="O83" s="899">
        <f t="shared" si="81"/>
        <v>0</v>
      </c>
      <c r="P83" s="894">
        <f t="shared" si="82"/>
        <v>0</v>
      </c>
      <c r="Q83" s="894">
        <f t="shared" si="83"/>
        <v>0</v>
      </c>
      <c r="R83" s="899">
        <f t="shared" si="84"/>
        <v>0</v>
      </c>
      <c r="S83" s="894">
        <f t="shared" si="85"/>
        <v>0</v>
      </c>
      <c r="T83" s="887">
        <f t="shared" si="86"/>
        <v>0</v>
      </c>
      <c r="U83" s="888">
        <f t="shared" si="87"/>
        <v>0</v>
      </c>
      <c r="V83" s="894">
        <f t="shared" si="88"/>
        <v>0</v>
      </c>
      <c r="W83" s="887">
        <f t="shared" si="89"/>
        <v>0</v>
      </c>
      <c r="X83" s="888">
        <f t="shared" si="90"/>
        <v>0</v>
      </c>
      <c r="Z83" s="892" t="b">
        <f t="shared" si="92"/>
        <v>1</v>
      </c>
      <c r="AA83" s="892" t="b">
        <f t="shared" si="93"/>
        <v>1</v>
      </c>
      <c r="AB83" s="892" t="b">
        <f t="shared" si="94"/>
        <v>0</v>
      </c>
      <c r="AC83" s="892" t="b">
        <f t="shared" si="95"/>
        <v>1</v>
      </c>
      <c r="AD83" s="374" t="b">
        <f t="shared" si="96"/>
        <v>1</v>
      </c>
      <c r="AE83" s="374" t="b">
        <f t="shared" si="97"/>
        <v>1</v>
      </c>
      <c r="AF83" s="374" t="b">
        <f t="shared" si="98"/>
        <v>1</v>
      </c>
      <c r="AG83" s="374" t="b">
        <f t="shared" si="99"/>
        <v>1</v>
      </c>
      <c r="AH83" s="374" t="b">
        <f t="shared" si="100"/>
        <v>1</v>
      </c>
      <c r="AI83" s="374" t="b">
        <f t="shared" si="101"/>
        <v>1</v>
      </c>
      <c r="AJ83" s="374" t="b">
        <f t="shared" si="102"/>
        <v>1</v>
      </c>
      <c r="AK83" s="374" t="b">
        <f t="shared" si="103"/>
        <v>1</v>
      </c>
      <c r="AL83" s="921" t="str">
        <f t="shared" si="104"/>
        <v/>
      </c>
      <c r="AM83" s="922" t="str">
        <f t="shared" si="105"/>
        <v/>
      </c>
      <c r="AN83" s="922">
        <f t="shared" si="106"/>
        <v>1</v>
      </c>
      <c r="AO83" s="922" t="str">
        <f t="shared" si="107"/>
        <v/>
      </c>
      <c r="AP83" s="922" t="str">
        <f t="shared" si="108"/>
        <v/>
      </c>
      <c r="AQ83" s="922" t="str">
        <f t="shared" si="109"/>
        <v/>
      </c>
      <c r="AR83" s="922" t="str">
        <f t="shared" si="110"/>
        <v/>
      </c>
      <c r="AS83" s="922" t="str">
        <f t="shared" si="111"/>
        <v/>
      </c>
      <c r="AT83" s="922" t="str">
        <f t="shared" si="112"/>
        <v/>
      </c>
      <c r="AU83" s="922" t="str">
        <f t="shared" si="113"/>
        <v/>
      </c>
      <c r="AV83" s="922" t="str">
        <f t="shared" si="114"/>
        <v/>
      </c>
      <c r="AW83" s="926" t="str">
        <f t="shared" si="114"/>
        <v/>
      </c>
    </row>
    <row r="84" spans="1:49">
      <c r="A84" s="906" t="str">
        <f t="shared" si="91"/>
        <v>2022/12/03</v>
      </c>
      <c r="B84" s="373" t="s">
        <v>548</v>
      </c>
      <c r="C84" s="373" t="str">
        <f t="shared" si="115"/>
        <v>UF水洗1
Bồn thu hồi 1 (Thành phần rắn)</v>
      </c>
      <c r="D84" s="373" t="str">
        <f t="shared" si="116"/>
        <v>XD-000A</v>
      </c>
      <c r="E84" s="373" t="str">
        <f t="shared" si="117"/>
        <v>%</v>
      </c>
      <c r="F84" s="373" t="str">
        <f t="shared" si="118"/>
        <v>&lt;5%</v>
      </c>
      <c r="G84" s="894">
        <f t="shared" si="73"/>
        <v>6.8477270845408622</v>
      </c>
      <c r="H84" s="894">
        <f t="shared" si="74"/>
        <v>0</v>
      </c>
      <c r="I84" s="899">
        <f t="shared" si="75"/>
        <v>0</v>
      </c>
      <c r="J84" s="894" t="str">
        <f t="shared" si="76"/>
        <v>\</v>
      </c>
      <c r="K84" s="894">
        <f t="shared" si="77"/>
        <v>0</v>
      </c>
      <c r="L84" s="899">
        <f t="shared" si="78"/>
        <v>0</v>
      </c>
      <c r="M84" s="894">
        <f t="shared" si="79"/>
        <v>6.8477270845408622</v>
      </c>
      <c r="N84" s="894">
        <f t="shared" si="80"/>
        <v>0</v>
      </c>
      <c r="O84" s="899">
        <f t="shared" si="81"/>
        <v>0</v>
      </c>
      <c r="P84" s="894">
        <f t="shared" si="82"/>
        <v>0</v>
      </c>
      <c r="Q84" s="894">
        <f t="shared" si="83"/>
        <v>0</v>
      </c>
      <c r="R84" s="899">
        <f t="shared" si="84"/>
        <v>0</v>
      </c>
      <c r="S84" s="894">
        <f t="shared" si="85"/>
        <v>0</v>
      </c>
      <c r="T84" s="887">
        <f t="shared" si="86"/>
        <v>0</v>
      </c>
      <c r="U84" s="888">
        <f t="shared" si="87"/>
        <v>0</v>
      </c>
      <c r="V84" s="894">
        <f t="shared" si="88"/>
        <v>0</v>
      </c>
      <c r="W84" s="887">
        <f t="shared" si="89"/>
        <v>0</v>
      </c>
      <c r="X84" s="888">
        <f t="shared" si="90"/>
        <v>0</v>
      </c>
      <c r="Z84" s="892" t="b">
        <f t="shared" si="92"/>
        <v>1</v>
      </c>
      <c r="AA84" s="893" t="b">
        <f t="shared" si="93"/>
        <v>1</v>
      </c>
      <c r="AB84" s="892" t="b">
        <f t="shared" si="94"/>
        <v>0</v>
      </c>
      <c r="AC84" s="374" t="b">
        <f t="shared" si="95"/>
        <v>1</v>
      </c>
      <c r="AD84" s="374" t="b">
        <f t="shared" si="96"/>
        <v>1</v>
      </c>
      <c r="AE84" s="374" t="b">
        <f t="shared" si="97"/>
        <v>1</v>
      </c>
      <c r="AF84" s="374" t="b">
        <f t="shared" si="98"/>
        <v>1</v>
      </c>
      <c r="AG84" s="374" t="b">
        <f t="shared" si="99"/>
        <v>1</v>
      </c>
      <c r="AH84" s="374" t="b">
        <f t="shared" si="100"/>
        <v>1</v>
      </c>
      <c r="AI84" s="374" t="b">
        <f t="shared" si="101"/>
        <v>1</v>
      </c>
      <c r="AJ84" s="374" t="b">
        <f t="shared" si="102"/>
        <v>1</v>
      </c>
      <c r="AK84" s="374" t="b">
        <f t="shared" si="103"/>
        <v>1</v>
      </c>
      <c r="AL84" s="921" t="str">
        <f t="shared" si="104"/>
        <v/>
      </c>
      <c r="AM84" s="922" t="str">
        <f t="shared" si="105"/>
        <v/>
      </c>
      <c r="AN84" s="922">
        <f t="shared" si="106"/>
        <v>1</v>
      </c>
      <c r="AO84" s="922" t="str">
        <f t="shared" si="107"/>
        <v/>
      </c>
      <c r="AP84" s="922" t="str">
        <f t="shared" si="108"/>
        <v/>
      </c>
      <c r="AQ84" s="922" t="str">
        <f t="shared" si="109"/>
        <v/>
      </c>
      <c r="AR84" s="922" t="str">
        <f t="shared" si="110"/>
        <v/>
      </c>
      <c r="AS84" s="922" t="str">
        <f t="shared" si="111"/>
        <v/>
      </c>
      <c r="AT84" s="922" t="str">
        <f t="shared" si="112"/>
        <v/>
      </c>
      <c r="AU84" s="922" t="str">
        <f t="shared" si="113"/>
        <v/>
      </c>
      <c r="AV84" s="922" t="str">
        <f t="shared" si="114"/>
        <v/>
      </c>
      <c r="AW84" s="926" t="str">
        <f t="shared" si="114"/>
        <v/>
      </c>
    </row>
    <row r="85" spans="1:49">
      <c r="A85" s="906" t="str">
        <f t="shared" si="91"/>
        <v>2022/12/03</v>
      </c>
      <c r="B85" s="373" t="s">
        <v>549</v>
      </c>
      <c r="C85" s="373" t="str">
        <f t="shared" si="115"/>
        <v>UF水洗2
 Bồn thu hồi 2  (Thành phần rắn)</v>
      </c>
      <c r="D85" s="373" t="str">
        <f t="shared" si="116"/>
        <v>XD-000A</v>
      </c>
      <c r="E85" s="373" t="str">
        <f t="shared" si="117"/>
        <v>%</v>
      </c>
      <c r="F85" s="373" t="str">
        <f t="shared" si="118"/>
        <v>&lt;3%</v>
      </c>
      <c r="G85" s="894">
        <f t="shared" si="73"/>
        <v>0.81368316174028488</v>
      </c>
      <c r="H85" s="894">
        <f t="shared" si="74"/>
        <v>0</v>
      </c>
      <c r="I85" s="899">
        <f t="shared" si="75"/>
        <v>0</v>
      </c>
      <c r="J85" s="894" t="str">
        <f t="shared" si="76"/>
        <v>\</v>
      </c>
      <c r="K85" s="894">
        <f t="shared" si="77"/>
        <v>0</v>
      </c>
      <c r="L85" s="899">
        <f t="shared" si="78"/>
        <v>0</v>
      </c>
      <c r="M85" s="894">
        <f t="shared" si="79"/>
        <v>0.81368316174028488</v>
      </c>
      <c r="N85" s="894">
        <f t="shared" si="80"/>
        <v>0</v>
      </c>
      <c r="O85" s="899">
        <f t="shared" si="81"/>
        <v>0</v>
      </c>
      <c r="P85" s="894">
        <f t="shared" si="82"/>
        <v>0</v>
      </c>
      <c r="Q85" s="894">
        <f t="shared" si="83"/>
        <v>0</v>
      </c>
      <c r="R85" s="899">
        <f t="shared" si="84"/>
        <v>0</v>
      </c>
      <c r="S85" s="894">
        <f t="shared" si="85"/>
        <v>0</v>
      </c>
      <c r="T85" s="887">
        <f t="shared" si="86"/>
        <v>0</v>
      </c>
      <c r="U85" s="888">
        <f t="shared" si="87"/>
        <v>0</v>
      </c>
      <c r="V85" s="894">
        <f t="shared" si="88"/>
        <v>0</v>
      </c>
      <c r="W85" s="887">
        <f t="shared" si="89"/>
        <v>0</v>
      </c>
      <c r="X85" s="888">
        <f t="shared" si="90"/>
        <v>0</v>
      </c>
      <c r="Z85" s="892" t="b">
        <f t="shared" si="92"/>
        <v>1</v>
      </c>
      <c r="AA85" s="893" t="b">
        <f t="shared" si="93"/>
        <v>1</v>
      </c>
      <c r="AB85" s="892" t="b">
        <f t="shared" si="94"/>
        <v>0</v>
      </c>
      <c r="AC85" s="374" t="b">
        <f t="shared" si="95"/>
        <v>1</v>
      </c>
      <c r="AD85" s="374" t="b">
        <f t="shared" si="96"/>
        <v>1</v>
      </c>
      <c r="AE85" s="374" t="b">
        <f t="shared" si="97"/>
        <v>1</v>
      </c>
      <c r="AF85" s="374" t="b">
        <f t="shared" si="98"/>
        <v>1</v>
      </c>
      <c r="AG85" s="374" t="b">
        <f t="shared" si="99"/>
        <v>1</v>
      </c>
      <c r="AH85" s="374" t="b">
        <f t="shared" si="100"/>
        <v>1</v>
      </c>
      <c r="AI85" s="374" t="b">
        <f t="shared" si="101"/>
        <v>1</v>
      </c>
      <c r="AJ85" s="374" t="b">
        <f t="shared" si="102"/>
        <v>1</v>
      </c>
      <c r="AK85" s="374" t="b">
        <f t="shared" si="103"/>
        <v>1</v>
      </c>
      <c r="AL85" s="921" t="str">
        <f t="shared" si="104"/>
        <v/>
      </c>
      <c r="AM85" s="922" t="str">
        <f t="shared" si="105"/>
        <v/>
      </c>
      <c r="AN85" s="922">
        <f t="shared" si="106"/>
        <v>1</v>
      </c>
      <c r="AO85" s="922" t="str">
        <f t="shared" si="107"/>
        <v/>
      </c>
      <c r="AP85" s="922" t="str">
        <f t="shared" si="108"/>
        <v/>
      </c>
      <c r="AQ85" s="922" t="str">
        <f t="shared" si="109"/>
        <v/>
      </c>
      <c r="AR85" s="922" t="str">
        <f t="shared" si="110"/>
        <v/>
      </c>
      <c r="AS85" s="922" t="str">
        <f t="shared" si="111"/>
        <v/>
      </c>
      <c r="AT85" s="922" t="str">
        <f t="shared" si="112"/>
        <v/>
      </c>
      <c r="AU85" s="922" t="str">
        <f t="shared" si="113"/>
        <v/>
      </c>
      <c r="AV85" s="922" t="str">
        <f t="shared" si="114"/>
        <v/>
      </c>
      <c r="AW85" s="926" t="str">
        <f t="shared" si="114"/>
        <v/>
      </c>
    </row>
    <row r="86" spans="1:49">
      <c r="A86" s="906" t="str">
        <f t="shared" si="91"/>
        <v>2022/12/03</v>
      </c>
      <c r="B86" s="373" t="s">
        <v>571</v>
      </c>
      <c r="C86" s="373" t="str">
        <f t="shared" si="115"/>
        <v>熱脫脂 Xà bông 1</v>
      </c>
      <c r="D86" s="373" t="str">
        <f t="shared" si="116"/>
        <v>DC-000A</v>
      </c>
      <c r="E86" s="373" t="str">
        <f t="shared" si="117"/>
        <v>g/L</v>
      </c>
      <c r="F86" s="373" t="str">
        <f t="shared" si="118"/>
        <v>20~30
(25±3)</v>
      </c>
      <c r="G86" s="894">
        <f t="shared" si="73"/>
        <v>23.700000000000003</v>
      </c>
      <c r="H86" s="894">
        <f t="shared" si="74"/>
        <v>2.1215999999999955</v>
      </c>
      <c r="I86" s="899" t="str">
        <f t="shared" si="75"/>
        <v>kg</v>
      </c>
      <c r="J86" s="894">
        <f t="shared" si="76"/>
        <v>0</v>
      </c>
      <c r="K86" s="894">
        <f t="shared" si="77"/>
        <v>40.799999999999997</v>
      </c>
      <c r="L86" s="899" t="str">
        <f t="shared" si="78"/>
        <v>kg</v>
      </c>
      <c r="M86" s="894">
        <f t="shared" si="79"/>
        <v>0</v>
      </c>
      <c r="N86" s="894" t="str">
        <f t="shared" si="80"/>
        <v>D:\2. Data hoa nghiem\1. PP HÓA NGHIỆM CÁC BỒN-XLBM\XB-ML.pdf</v>
      </c>
      <c r="O86" s="899">
        <f t="shared" si="81"/>
        <v>0</v>
      </c>
      <c r="P86" s="894">
        <f t="shared" si="82"/>
        <v>0</v>
      </c>
      <c r="Q86" s="894">
        <f t="shared" si="83"/>
        <v>0</v>
      </c>
      <c r="R86" s="899">
        <f t="shared" si="84"/>
        <v>0</v>
      </c>
      <c r="S86" s="894">
        <f t="shared" si="85"/>
        <v>0</v>
      </c>
      <c r="T86" s="887">
        <f t="shared" si="86"/>
        <v>0</v>
      </c>
      <c r="U86" s="888">
        <f t="shared" si="87"/>
        <v>0</v>
      </c>
      <c r="V86" s="894">
        <f t="shared" si="88"/>
        <v>0</v>
      </c>
      <c r="W86" s="887">
        <f t="shared" si="89"/>
        <v>0</v>
      </c>
      <c r="X86" s="888">
        <f t="shared" si="90"/>
        <v>0</v>
      </c>
      <c r="Z86" s="374" t="b">
        <f t="shared" si="92"/>
        <v>1</v>
      </c>
      <c r="AA86" s="374" t="b">
        <f t="shared" si="93"/>
        <v>1</v>
      </c>
      <c r="AB86" s="374" t="b">
        <f t="shared" si="94"/>
        <v>1</v>
      </c>
      <c r="AC86" s="374" t="b">
        <f t="shared" si="95"/>
        <v>1</v>
      </c>
      <c r="AD86" s="374" t="b">
        <f t="shared" si="96"/>
        <v>1</v>
      </c>
      <c r="AE86" s="374" t="b">
        <f t="shared" si="97"/>
        <v>0</v>
      </c>
      <c r="AF86" s="374" t="b">
        <f t="shared" si="98"/>
        <v>1</v>
      </c>
      <c r="AG86" s="374" t="b">
        <f t="shared" si="99"/>
        <v>1</v>
      </c>
      <c r="AH86" s="374" t="b">
        <f t="shared" si="100"/>
        <v>1</v>
      </c>
      <c r="AI86" s="374" t="b">
        <f t="shared" si="101"/>
        <v>1</v>
      </c>
      <c r="AJ86" s="374" t="b">
        <f t="shared" si="102"/>
        <v>1</v>
      </c>
      <c r="AK86" s="374" t="b">
        <f t="shared" si="103"/>
        <v>1</v>
      </c>
      <c r="AL86" s="921" t="str">
        <f t="shared" si="104"/>
        <v/>
      </c>
      <c r="AM86" s="922" t="str">
        <f t="shared" si="105"/>
        <v/>
      </c>
      <c r="AN86" s="922" t="str">
        <f t="shared" si="106"/>
        <v/>
      </c>
      <c r="AO86" s="922" t="str">
        <f t="shared" si="107"/>
        <v/>
      </c>
      <c r="AP86" s="922" t="str">
        <f t="shared" si="108"/>
        <v/>
      </c>
      <c r="AQ86" s="922">
        <f t="shared" si="109"/>
        <v>1</v>
      </c>
      <c r="AR86" s="922" t="str">
        <f t="shared" si="110"/>
        <v/>
      </c>
      <c r="AS86" s="922" t="str">
        <f t="shared" si="111"/>
        <v/>
      </c>
      <c r="AT86" s="922" t="str">
        <f t="shared" si="112"/>
        <v/>
      </c>
      <c r="AU86" s="922" t="str">
        <f t="shared" si="113"/>
        <v/>
      </c>
      <c r="AV86" s="922" t="str">
        <f t="shared" si="114"/>
        <v/>
      </c>
      <c r="AW86" s="926" t="str">
        <f t="shared" si="114"/>
        <v/>
      </c>
    </row>
    <row r="87" spans="1:49">
      <c r="A87" s="906" t="str">
        <f t="shared" si="91"/>
        <v>2022/12/03</v>
      </c>
      <c r="B87" s="373" t="s">
        <v>575</v>
      </c>
      <c r="C87" s="373" t="str">
        <f t="shared" si="115"/>
        <v>熱脫脂Xà bôngg 2</v>
      </c>
      <c r="D87" s="373" t="str">
        <f t="shared" si="116"/>
        <v>DC-000A</v>
      </c>
      <c r="E87" s="373" t="str">
        <f t="shared" si="117"/>
        <v>g/L</v>
      </c>
      <c r="F87" s="373" t="str">
        <f t="shared" si="118"/>
        <v>20~30
(25±3)</v>
      </c>
      <c r="G87" s="894">
        <f t="shared" si="73"/>
        <v>22.12</v>
      </c>
      <c r="H87" s="894">
        <f t="shared" si="74"/>
        <v>4.7001599999999977</v>
      </c>
      <c r="I87" s="899" t="str">
        <f t="shared" si="75"/>
        <v>kg</v>
      </c>
      <c r="J87" s="894">
        <f t="shared" si="76"/>
        <v>0</v>
      </c>
      <c r="K87" s="894">
        <f t="shared" si="77"/>
        <v>40.799999999999997</v>
      </c>
      <c r="L87" s="899" t="str">
        <f t="shared" si="78"/>
        <v>kg</v>
      </c>
      <c r="M87" s="894">
        <f t="shared" si="79"/>
        <v>0</v>
      </c>
      <c r="N87" s="894">
        <f t="shared" si="80"/>
        <v>0</v>
      </c>
      <c r="O87" s="899">
        <f t="shared" si="81"/>
        <v>0</v>
      </c>
      <c r="P87" s="894">
        <f t="shared" si="82"/>
        <v>0</v>
      </c>
      <c r="Q87" s="894">
        <f t="shared" si="83"/>
        <v>0</v>
      </c>
      <c r="R87" s="899">
        <f t="shared" si="84"/>
        <v>0</v>
      </c>
      <c r="S87" s="894">
        <f t="shared" si="85"/>
        <v>0</v>
      </c>
      <c r="T87" s="887">
        <f t="shared" si="86"/>
        <v>0</v>
      </c>
      <c r="U87" s="888">
        <f t="shared" si="87"/>
        <v>0</v>
      </c>
      <c r="V87" s="894">
        <f t="shared" si="88"/>
        <v>0</v>
      </c>
      <c r="W87" s="887">
        <f t="shared" si="89"/>
        <v>0</v>
      </c>
      <c r="X87" s="888">
        <f t="shared" si="90"/>
        <v>0</v>
      </c>
      <c r="Z87" s="374" t="b">
        <f t="shared" si="92"/>
        <v>1</v>
      </c>
      <c r="AA87" s="374" t="b">
        <f t="shared" si="93"/>
        <v>1</v>
      </c>
      <c r="AB87" s="374" t="b">
        <f t="shared" si="94"/>
        <v>1</v>
      </c>
      <c r="AC87" s="374" t="b">
        <f t="shared" si="95"/>
        <v>1</v>
      </c>
      <c r="AD87" s="374" t="b">
        <f t="shared" si="96"/>
        <v>1</v>
      </c>
      <c r="AE87" s="374" t="b">
        <f t="shared" si="97"/>
        <v>1</v>
      </c>
      <c r="AF87" s="374" t="b">
        <f t="shared" si="98"/>
        <v>1</v>
      </c>
      <c r="AG87" s="374" t="b">
        <f t="shared" si="99"/>
        <v>1</v>
      </c>
      <c r="AH87" s="374" t="b">
        <f t="shared" si="100"/>
        <v>1</v>
      </c>
      <c r="AI87" s="374" t="b">
        <f t="shared" si="101"/>
        <v>1</v>
      </c>
      <c r="AJ87" s="374" t="b">
        <f t="shared" si="102"/>
        <v>1</v>
      </c>
      <c r="AK87" s="374" t="b">
        <f t="shared" si="103"/>
        <v>1</v>
      </c>
      <c r="AL87" s="921" t="str">
        <f t="shared" si="104"/>
        <v/>
      </c>
      <c r="AM87" s="922" t="str">
        <f t="shared" si="105"/>
        <v/>
      </c>
      <c r="AN87" s="922" t="str">
        <f t="shared" si="106"/>
        <v/>
      </c>
      <c r="AO87" s="922" t="str">
        <f t="shared" si="107"/>
        <v/>
      </c>
      <c r="AP87" s="922" t="str">
        <f t="shared" si="108"/>
        <v/>
      </c>
      <c r="AQ87" s="922" t="str">
        <f t="shared" si="109"/>
        <v/>
      </c>
      <c r="AR87" s="922" t="str">
        <f t="shared" si="110"/>
        <v/>
      </c>
      <c r="AS87" s="922" t="str">
        <f t="shared" si="111"/>
        <v/>
      </c>
      <c r="AT87" s="922" t="str">
        <f t="shared" si="112"/>
        <v/>
      </c>
      <c r="AU87" s="922" t="str">
        <f t="shared" si="113"/>
        <v/>
      </c>
      <c r="AV87" s="922" t="str">
        <f t="shared" si="114"/>
        <v/>
      </c>
      <c r="AW87" s="926" t="str">
        <f t="shared" si="114"/>
        <v/>
      </c>
    </row>
    <row r="88" spans="1:49">
      <c r="A88" s="906" t="str">
        <f t="shared" si="91"/>
        <v>2022/12/03</v>
      </c>
      <c r="B88" s="373" t="s">
        <v>577</v>
      </c>
      <c r="C88" s="373" t="str">
        <f t="shared" si="115"/>
        <v>HNO3   中和</v>
      </c>
      <c r="D88" s="373" t="str">
        <f t="shared" si="116"/>
        <v>DC-000A</v>
      </c>
      <c r="E88" s="373" t="str">
        <f t="shared" si="117"/>
        <v>ml/L</v>
      </c>
      <c r="F88" s="373" t="str">
        <f t="shared" si="118"/>
        <v>210~290
(250±25)</v>
      </c>
      <c r="G88" s="894">
        <f t="shared" si="73"/>
        <v>234.72000000000003</v>
      </c>
      <c r="H88" s="894">
        <f t="shared" si="74"/>
        <v>24.936959999999956</v>
      </c>
      <c r="I88" s="899" t="str">
        <f t="shared" si="75"/>
        <v>L</v>
      </c>
      <c r="J88" s="894">
        <f t="shared" si="76"/>
        <v>0</v>
      </c>
      <c r="K88" s="894">
        <f t="shared" si="77"/>
        <v>408</v>
      </c>
      <c r="L88" s="899" t="str">
        <f t="shared" si="78"/>
        <v>L</v>
      </c>
      <c r="M88" s="894">
        <f t="shared" si="79"/>
        <v>0</v>
      </c>
      <c r="N88" s="894" t="str">
        <f t="shared" si="80"/>
        <v>D:\2. Data hoa nghiem\1. PP HÓA NGHIỆM CÁC BỒN-XLBM\HNO3-ML.pdf</v>
      </c>
      <c r="O88" s="899">
        <f t="shared" si="81"/>
        <v>0</v>
      </c>
      <c r="P88" s="894">
        <f t="shared" si="82"/>
        <v>0</v>
      </c>
      <c r="Q88" s="894">
        <f t="shared" si="83"/>
        <v>0</v>
      </c>
      <c r="R88" s="899">
        <f t="shared" si="84"/>
        <v>0</v>
      </c>
      <c r="S88" s="894">
        <f t="shared" si="85"/>
        <v>0</v>
      </c>
      <c r="T88" s="887">
        <f t="shared" si="86"/>
        <v>0</v>
      </c>
      <c r="U88" s="888">
        <f t="shared" si="87"/>
        <v>0</v>
      </c>
      <c r="V88" s="894">
        <f t="shared" si="88"/>
        <v>0</v>
      </c>
      <c r="W88" s="887">
        <f t="shared" si="89"/>
        <v>0</v>
      </c>
      <c r="X88" s="888">
        <f t="shared" si="90"/>
        <v>0</v>
      </c>
      <c r="Z88" s="374" t="b">
        <f t="shared" si="92"/>
        <v>1</v>
      </c>
      <c r="AA88" s="374" t="b">
        <f t="shared" si="93"/>
        <v>1</v>
      </c>
      <c r="AB88" s="374" t="b">
        <f t="shared" si="94"/>
        <v>1</v>
      </c>
      <c r="AC88" s="374" t="b">
        <f t="shared" si="95"/>
        <v>1</v>
      </c>
      <c r="AD88" s="374" t="b">
        <f t="shared" si="96"/>
        <v>1</v>
      </c>
      <c r="AE88" s="374" t="b">
        <f t="shared" si="97"/>
        <v>0</v>
      </c>
      <c r="AF88" s="374" t="b">
        <f t="shared" si="98"/>
        <v>1</v>
      </c>
      <c r="AG88" s="374" t="b">
        <f t="shared" si="99"/>
        <v>1</v>
      </c>
      <c r="AH88" s="374" t="b">
        <f t="shared" si="100"/>
        <v>1</v>
      </c>
      <c r="AI88" s="374" t="b">
        <f t="shared" si="101"/>
        <v>1</v>
      </c>
      <c r="AJ88" s="374" t="b">
        <f t="shared" si="102"/>
        <v>1</v>
      </c>
      <c r="AK88" s="374" t="b">
        <f t="shared" si="103"/>
        <v>1</v>
      </c>
      <c r="AL88" s="921" t="str">
        <f t="shared" si="104"/>
        <v/>
      </c>
      <c r="AM88" s="922" t="str">
        <f t="shared" si="105"/>
        <v/>
      </c>
      <c r="AN88" s="922" t="str">
        <f t="shared" si="106"/>
        <v/>
      </c>
      <c r="AO88" s="922" t="str">
        <f t="shared" si="107"/>
        <v/>
      </c>
      <c r="AP88" s="922" t="str">
        <f t="shared" si="108"/>
        <v/>
      </c>
      <c r="AQ88" s="922">
        <f t="shared" si="109"/>
        <v>1</v>
      </c>
      <c r="AR88" s="922" t="str">
        <f t="shared" si="110"/>
        <v/>
      </c>
      <c r="AS88" s="922" t="str">
        <f t="shared" si="111"/>
        <v/>
      </c>
      <c r="AT88" s="922" t="str">
        <f t="shared" si="112"/>
        <v/>
      </c>
      <c r="AU88" s="922" t="str">
        <f t="shared" si="113"/>
        <v/>
      </c>
      <c r="AV88" s="922" t="str">
        <f t="shared" si="114"/>
        <v/>
      </c>
      <c r="AW88" s="926" t="str">
        <f t="shared" si="114"/>
        <v/>
      </c>
    </row>
    <row r="89" spans="1:49">
      <c r="A89" s="906" t="str">
        <f t="shared" si="91"/>
        <v>2022/12/03</v>
      </c>
      <c r="B89" s="373" t="s">
        <v>580</v>
      </c>
      <c r="C89" s="373" t="str">
        <f t="shared" si="115"/>
        <v>陽極處理槽  dương cực  H2SO4 (18)</v>
      </c>
      <c r="D89" s="373" t="str">
        <f t="shared" si="116"/>
        <v>DC-000A</v>
      </c>
      <c r="E89" s="373" t="str">
        <f t="shared" si="117"/>
        <v>g/L</v>
      </c>
      <c r="F89" s="373" t="str">
        <f t="shared" si="118"/>
        <v>120~150
(130±10)</v>
      </c>
      <c r="G89" s="894">
        <f t="shared" si="73"/>
        <v>137.5</v>
      </c>
      <c r="H89" s="894">
        <f t="shared" si="74"/>
        <v>0</v>
      </c>
      <c r="I89" s="899" t="str">
        <f t="shared" si="75"/>
        <v>kg</v>
      </c>
      <c r="J89" s="894">
        <f t="shared" si="76"/>
        <v>0</v>
      </c>
      <c r="K89" s="894">
        <f t="shared" si="77"/>
        <v>224.64</v>
      </c>
      <c r="L89" s="899" t="str">
        <f t="shared" si="78"/>
        <v>kg</v>
      </c>
      <c r="M89" s="894">
        <f t="shared" si="79"/>
        <v>0</v>
      </c>
      <c r="N89" s="894" t="str">
        <f t="shared" si="80"/>
        <v>D:\2. Data hoa nghiem\1. PP HÓA NGHIỆM CÁC BỒN-XLBM\H2SO4-ML.pdf</v>
      </c>
      <c r="O89" s="899">
        <f t="shared" si="81"/>
        <v>0</v>
      </c>
      <c r="P89" s="894">
        <f t="shared" si="82"/>
        <v>0</v>
      </c>
      <c r="Q89" s="894">
        <f t="shared" si="83"/>
        <v>0</v>
      </c>
      <c r="R89" s="899">
        <f t="shared" si="84"/>
        <v>0</v>
      </c>
      <c r="S89" s="894">
        <f t="shared" si="85"/>
        <v>0</v>
      </c>
      <c r="T89" s="887">
        <f t="shared" si="86"/>
        <v>0</v>
      </c>
      <c r="U89" s="888">
        <f t="shared" si="87"/>
        <v>0</v>
      </c>
      <c r="V89" s="894">
        <f t="shared" si="88"/>
        <v>0</v>
      </c>
      <c r="W89" s="887">
        <f t="shared" si="89"/>
        <v>0</v>
      </c>
      <c r="X89" s="888">
        <f t="shared" si="90"/>
        <v>0</v>
      </c>
      <c r="Z89" s="374" t="b">
        <f t="shared" si="92"/>
        <v>1</v>
      </c>
      <c r="AA89" s="374" t="b">
        <f t="shared" si="93"/>
        <v>1</v>
      </c>
      <c r="AB89" s="374" t="b">
        <f t="shared" si="94"/>
        <v>1</v>
      </c>
      <c r="AC89" s="374" t="b">
        <f t="shared" si="95"/>
        <v>1</v>
      </c>
      <c r="AD89" s="374" t="b">
        <f t="shared" si="96"/>
        <v>1</v>
      </c>
      <c r="AE89" s="374" t="b">
        <f t="shared" si="97"/>
        <v>0</v>
      </c>
      <c r="AF89" s="374" t="b">
        <f t="shared" si="98"/>
        <v>1</v>
      </c>
      <c r="AG89" s="374" t="b">
        <f t="shared" si="99"/>
        <v>1</v>
      </c>
      <c r="AH89" s="374" t="b">
        <f t="shared" si="100"/>
        <v>1</v>
      </c>
      <c r="AI89" s="374" t="b">
        <f t="shared" si="101"/>
        <v>1</v>
      </c>
      <c r="AJ89" s="374" t="b">
        <f t="shared" si="102"/>
        <v>1</v>
      </c>
      <c r="AK89" s="374" t="b">
        <f t="shared" si="103"/>
        <v>1</v>
      </c>
      <c r="AL89" s="921" t="str">
        <f t="shared" si="104"/>
        <v/>
      </c>
      <c r="AM89" s="922" t="str">
        <f t="shared" si="105"/>
        <v/>
      </c>
      <c r="AN89" s="922" t="str">
        <f t="shared" si="106"/>
        <v/>
      </c>
      <c r="AO89" s="922" t="str">
        <f t="shared" si="107"/>
        <v/>
      </c>
      <c r="AP89" s="922" t="str">
        <f t="shared" si="108"/>
        <v/>
      </c>
      <c r="AQ89" s="922">
        <f t="shared" si="109"/>
        <v>1</v>
      </c>
      <c r="AR89" s="922" t="str">
        <f t="shared" si="110"/>
        <v/>
      </c>
      <c r="AS89" s="922" t="str">
        <f t="shared" si="111"/>
        <v/>
      </c>
      <c r="AT89" s="922" t="str">
        <f t="shared" si="112"/>
        <v/>
      </c>
      <c r="AU89" s="922" t="str">
        <f t="shared" si="113"/>
        <v/>
      </c>
      <c r="AV89" s="922" t="str">
        <f t="shared" si="114"/>
        <v/>
      </c>
      <c r="AW89" s="926" t="str">
        <f t="shared" si="114"/>
        <v/>
      </c>
    </row>
    <row r="90" spans="1:49">
      <c r="A90" s="906" t="str">
        <f t="shared" si="91"/>
        <v>2022/12/03</v>
      </c>
      <c r="B90" s="373" t="s">
        <v>582</v>
      </c>
      <c r="C90" s="373" t="str">
        <f t="shared" si="115"/>
        <v>陽極處理槽 dương cực Al3+ (18)</v>
      </c>
      <c r="D90" s="373" t="str">
        <f t="shared" si="116"/>
        <v>DC-000A</v>
      </c>
      <c r="E90" s="373" t="str">
        <f t="shared" si="117"/>
        <v>g/L</v>
      </c>
      <c r="F90" s="373" t="str">
        <f t="shared" si="118"/>
        <v>1~5
(3±1.5)</v>
      </c>
      <c r="G90" s="894">
        <f t="shared" si="73"/>
        <v>5.25</v>
      </c>
      <c r="H90" s="894">
        <f t="shared" si="74"/>
        <v>0</v>
      </c>
      <c r="I90" s="899" t="str">
        <f t="shared" si="75"/>
        <v>kg</v>
      </c>
      <c r="J90" s="894">
        <f t="shared" si="76"/>
        <v>0</v>
      </c>
      <c r="K90" s="894">
        <f t="shared" si="77"/>
        <v>0</v>
      </c>
      <c r="L90" s="899" t="str">
        <f t="shared" si="78"/>
        <v>kg</v>
      </c>
      <c r="M90" s="894">
        <f t="shared" si="79"/>
        <v>0</v>
      </c>
      <c r="N90" s="894" t="str">
        <f t="shared" si="80"/>
        <v>D:\2. Data hoa nghiem\1. PP HÓA NGHIỆM CÁC BỒN-XLBM\AL3+ML.pdf</v>
      </c>
      <c r="O90" s="899">
        <f t="shared" si="81"/>
        <v>0</v>
      </c>
      <c r="P90" s="894">
        <f t="shared" si="82"/>
        <v>0</v>
      </c>
      <c r="Q90" s="894">
        <f t="shared" si="83"/>
        <v>0</v>
      </c>
      <c r="R90" s="899">
        <f t="shared" si="84"/>
        <v>0</v>
      </c>
      <c r="S90" s="894">
        <f t="shared" si="85"/>
        <v>0</v>
      </c>
      <c r="T90" s="887">
        <f t="shared" si="86"/>
        <v>0</v>
      </c>
      <c r="U90" s="888">
        <f t="shared" si="87"/>
        <v>0</v>
      </c>
      <c r="V90" s="894">
        <f t="shared" si="88"/>
        <v>0</v>
      </c>
      <c r="W90" s="887">
        <f t="shared" si="89"/>
        <v>0</v>
      </c>
      <c r="X90" s="888">
        <f t="shared" si="90"/>
        <v>0</v>
      </c>
      <c r="Z90" s="374" t="b">
        <f t="shared" si="92"/>
        <v>1</v>
      </c>
      <c r="AA90" s="374" t="b">
        <f t="shared" si="93"/>
        <v>1</v>
      </c>
      <c r="AB90" s="374" t="b">
        <f t="shared" si="94"/>
        <v>1</v>
      </c>
      <c r="AC90" s="374" t="b">
        <f t="shared" si="95"/>
        <v>1</v>
      </c>
      <c r="AD90" s="374" t="b">
        <f t="shared" si="96"/>
        <v>1</v>
      </c>
      <c r="AE90" s="374" t="b">
        <f t="shared" si="97"/>
        <v>0</v>
      </c>
      <c r="AF90" s="374" t="b">
        <f t="shared" si="98"/>
        <v>1</v>
      </c>
      <c r="AG90" s="374" t="b">
        <f t="shared" si="99"/>
        <v>1</v>
      </c>
      <c r="AH90" s="374" t="b">
        <f t="shared" si="100"/>
        <v>1</v>
      </c>
      <c r="AI90" s="374" t="b">
        <f t="shared" si="101"/>
        <v>1</v>
      </c>
      <c r="AJ90" s="374" t="b">
        <f t="shared" si="102"/>
        <v>1</v>
      </c>
      <c r="AK90" s="374" t="b">
        <f t="shared" si="103"/>
        <v>1</v>
      </c>
      <c r="AL90" s="921" t="str">
        <f t="shared" si="104"/>
        <v/>
      </c>
      <c r="AM90" s="922" t="str">
        <f t="shared" si="105"/>
        <v/>
      </c>
      <c r="AN90" s="922" t="str">
        <f t="shared" si="106"/>
        <v/>
      </c>
      <c r="AO90" s="922" t="str">
        <f t="shared" si="107"/>
        <v/>
      </c>
      <c r="AP90" s="922" t="str">
        <f t="shared" si="108"/>
        <v/>
      </c>
      <c r="AQ90" s="922">
        <f t="shared" si="109"/>
        <v>1</v>
      </c>
      <c r="AR90" s="922" t="str">
        <f t="shared" si="110"/>
        <v/>
      </c>
      <c r="AS90" s="922" t="str">
        <f t="shared" si="111"/>
        <v/>
      </c>
      <c r="AT90" s="922" t="str">
        <f t="shared" si="112"/>
        <v/>
      </c>
      <c r="AU90" s="922" t="str">
        <f t="shared" si="113"/>
        <v/>
      </c>
      <c r="AV90" s="922" t="str">
        <f t="shared" si="114"/>
        <v/>
      </c>
      <c r="AW90" s="926" t="str">
        <f t="shared" si="114"/>
        <v/>
      </c>
    </row>
    <row r="91" spans="1:49">
      <c r="A91" s="906" t="str">
        <f t="shared" si="91"/>
        <v>2022/12/03</v>
      </c>
      <c r="B91" s="373" t="s">
        <v>584</v>
      </c>
      <c r="C91" s="373" t="str">
        <f t="shared" si="115"/>
        <v>陽極處理槽  dương cực  H2SO4 (19)</v>
      </c>
      <c r="D91" s="373" t="str">
        <f t="shared" si="116"/>
        <v>DC-000A</v>
      </c>
      <c r="E91" s="373" t="str">
        <f t="shared" si="117"/>
        <v>g/L</v>
      </c>
      <c r="F91" s="373" t="str">
        <f t="shared" si="118"/>
        <v>120~150
(130±10)</v>
      </c>
      <c r="G91" s="894">
        <f t="shared" si="73"/>
        <v>150</v>
      </c>
      <c r="H91" s="894">
        <f t="shared" si="74"/>
        <v>0</v>
      </c>
      <c r="I91" s="899" t="str">
        <f t="shared" si="75"/>
        <v>kg</v>
      </c>
      <c r="J91" s="894">
        <f t="shared" si="76"/>
        <v>0</v>
      </c>
      <c r="K91" s="894">
        <f t="shared" si="77"/>
        <v>224.64</v>
      </c>
      <c r="L91" s="899" t="str">
        <f t="shared" si="78"/>
        <v>kg</v>
      </c>
      <c r="M91" s="894">
        <f t="shared" si="79"/>
        <v>0</v>
      </c>
      <c r="N91" s="894">
        <f t="shared" si="80"/>
        <v>0</v>
      </c>
      <c r="O91" s="899">
        <f t="shared" si="81"/>
        <v>0</v>
      </c>
      <c r="P91" s="894">
        <f t="shared" si="82"/>
        <v>0</v>
      </c>
      <c r="Q91" s="894">
        <f t="shared" si="83"/>
        <v>0</v>
      </c>
      <c r="R91" s="899">
        <f t="shared" si="84"/>
        <v>0</v>
      </c>
      <c r="S91" s="894">
        <f t="shared" si="85"/>
        <v>0</v>
      </c>
      <c r="T91" s="887">
        <f t="shared" si="86"/>
        <v>0</v>
      </c>
      <c r="U91" s="888">
        <f t="shared" si="87"/>
        <v>0</v>
      </c>
      <c r="V91" s="894">
        <f t="shared" si="88"/>
        <v>0</v>
      </c>
      <c r="W91" s="887">
        <f t="shared" si="89"/>
        <v>0</v>
      </c>
      <c r="X91" s="888">
        <f t="shared" si="90"/>
        <v>0</v>
      </c>
      <c r="Z91" s="374" t="b">
        <f t="shared" si="92"/>
        <v>1</v>
      </c>
      <c r="AA91" s="374" t="b">
        <f t="shared" si="93"/>
        <v>1</v>
      </c>
      <c r="AB91" s="374" t="b">
        <f t="shared" si="94"/>
        <v>1</v>
      </c>
      <c r="AC91" s="374" t="b">
        <f t="shared" si="95"/>
        <v>1</v>
      </c>
      <c r="AD91" s="374" t="b">
        <f t="shared" si="96"/>
        <v>1</v>
      </c>
      <c r="AE91" s="374" t="b">
        <f t="shared" si="97"/>
        <v>1</v>
      </c>
      <c r="AF91" s="374" t="b">
        <f t="shared" si="98"/>
        <v>1</v>
      </c>
      <c r="AG91" s="374" t="b">
        <f t="shared" si="99"/>
        <v>1</v>
      </c>
      <c r="AH91" s="374" t="b">
        <f t="shared" si="100"/>
        <v>1</v>
      </c>
      <c r="AI91" s="374" t="b">
        <f t="shared" si="101"/>
        <v>1</v>
      </c>
      <c r="AJ91" s="374" t="b">
        <f t="shared" si="102"/>
        <v>1</v>
      </c>
      <c r="AK91" s="374" t="b">
        <f t="shared" si="103"/>
        <v>1</v>
      </c>
      <c r="AL91" s="921" t="str">
        <f t="shared" si="104"/>
        <v/>
      </c>
      <c r="AM91" s="922" t="str">
        <f t="shared" si="105"/>
        <v/>
      </c>
      <c r="AN91" s="922" t="str">
        <f t="shared" si="106"/>
        <v/>
      </c>
      <c r="AO91" s="922" t="str">
        <f t="shared" si="107"/>
        <v/>
      </c>
      <c r="AP91" s="922" t="str">
        <f t="shared" si="108"/>
        <v/>
      </c>
      <c r="AQ91" s="922" t="str">
        <f t="shared" si="109"/>
        <v/>
      </c>
      <c r="AR91" s="922" t="str">
        <f t="shared" si="110"/>
        <v/>
      </c>
      <c r="AS91" s="922" t="str">
        <f t="shared" si="111"/>
        <v/>
      </c>
      <c r="AT91" s="922" t="str">
        <f t="shared" si="112"/>
        <v/>
      </c>
      <c r="AU91" s="922" t="str">
        <f t="shared" si="113"/>
        <v/>
      </c>
      <c r="AV91" s="922" t="str">
        <f t="shared" si="114"/>
        <v/>
      </c>
      <c r="AW91" s="926" t="str">
        <f t="shared" si="114"/>
        <v/>
      </c>
    </row>
    <row r="92" spans="1:49">
      <c r="A92" s="906" t="str">
        <f t="shared" si="91"/>
        <v>2022/12/03</v>
      </c>
      <c r="B92" s="373" t="s">
        <v>585</v>
      </c>
      <c r="C92" s="373" t="str">
        <f t="shared" si="115"/>
        <v>陽極處理槽 dương cực Al3+ (19)</v>
      </c>
      <c r="D92" s="373" t="str">
        <f t="shared" si="116"/>
        <v>DC-000A</v>
      </c>
      <c r="E92" s="373" t="str">
        <f t="shared" si="117"/>
        <v>g/L</v>
      </c>
      <c r="F92" s="373" t="str">
        <f t="shared" si="118"/>
        <v>1~5
(3±1.5)</v>
      </c>
      <c r="G92" s="894">
        <f t="shared" si="73"/>
        <v>4.375</v>
      </c>
      <c r="H92" s="894">
        <f t="shared" si="74"/>
        <v>0</v>
      </c>
      <c r="I92" s="899" t="str">
        <f t="shared" si="75"/>
        <v>kg</v>
      </c>
      <c r="J92" s="894">
        <f t="shared" si="76"/>
        <v>0</v>
      </c>
      <c r="K92" s="894">
        <f t="shared" si="77"/>
        <v>0</v>
      </c>
      <c r="L92" s="899" t="str">
        <f t="shared" si="78"/>
        <v>kg</v>
      </c>
      <c r="M92" s="894">
        <f t="shared" si="79"/>
        <v>0</v>
      </c>
      <c r="N92" s="894">
        <f t="shared" si="80"/>
        <v>0</v>
      </c>
      <c r="O92" s="899">
        <f t="shared" si="81"/>
        <v>0</v>
      </c>
      <c r="P92" s="894">
        <f t="shared" si="82"/>
        <v>0</v>
      </c>
      <c r="Q92" s="894">
        <f t="shared" si="83"/>
        <v>0</v>
      </c>
      <c r="R92" s="899">
        <f t="shared" si="84"/>
        <v>0</v>
      </c>
      <c r="S92" s="894">
        <f t="shared" si="85"/>
        <v>0</v>
      </c>
      <c r="T92" s="887">
        <f t="shared" si="86"/>
        <v>0</v>
      </c>
      <c r="U92" s="888">
        <f t="shared" si="87"/>
        <v>0</v>
      </c>
      <c r="V92" s="894">
        <f t="shared" si="88"/>
        <v>0</v>
      </c>
      <c r="W92" s="887">
        <f t="shared" si="89"/>
        <v>0</v>
      </c>
      <c r="X92" s="888">
        <f t="shared" si="90"/>
        <v>0</v>
      </c>
      <c r="Z92" s="374" t="b">
        <f t="shared" si="92"/>
        <v>1</v>
      </c>
      <c r="AA92" s="374" t="b">
        <f t="shared" si="93"/>
        <v>1</v>
      </c>
      <c r="AB92" s="374" t="b">
        <f t="shared" si="94"/>
        <v>1</v>
      </c>
      <c r="AC92" s="374" t="b">
        <f t="shared" si="95"/>
        <v>1</v>
      </c>
      <c r="AD92" s="374" t="b">
        <f t="shared" si="96"/>
        <v>1</v>
      </c>
      <c r="AE92" s="374" t="b">
        <f t="shared" si="97"/>
        <v>1</v>
      </c>
      <c r="AF92" s="374" t="b">
        <f t="shared" si="98"/>
        <v>1</v>
      </c>
      <c r="AG92" s="374" t="b">
        <f t="shared" si="99"/>
        <v>1</v>
      </c>
      <c r="AH92" s="374" t="b">
        <f t="shared" si="100"/>
        <v>1</v>
      </c>
      <c r="AI92" s="374" t="b">
        <f t="shared" si="101"/>
        <v>1</v>
      </c>
      <c r="AJ92" s="374" t="b">
        <f t="shared" si="102"/>
        <v>1</v>
      </c>
      <c r="AK92" s="374" t="b">
        <f t="shared" si="103"/>
        <v>1</v>
      </c>
      <c r="AL92" s="921" t="str">
        <f t="shared" si="104"/>
        <v/>
      </c>
      <c r="AM92" s="922" t="str">
        <f t="shared" si="105"/>
        <v/>
      </c>
      <c r="AN92" s="922" t="str">
        <f t="shared" si="106"/>
        <v/>
      </c>
      <c r="AO92" s="922" t="str">
        <f t="shared" si="107"/>
        <v/>
      </c>
      <c r="AP92" s="922" t="str">
        <f t="shared" si="108"/>
        <v/>
      </c>
      <c r="AQ92" s="922" t="str">
        <f t="shared" si="109"/>
        <v/>
      </c>
      <c r="AR92" s="922" t="str">
        <f t="shared" si="110"/>
        <v/>
      </c>
      <c r="AS92" s="922" t="str">
        <f t="shared" si="111"/>
        <v/>
      </c>
      <c r="AT92" s="922" t="str">
        <f t="shared" si="112"/>
        <v/>
      </c>
      <c r="AU92" s="922" t="str">
        <f t="shared" si="113"/>
        <v/>
      </c>
      <c r="AV92" s="922" t="str">
        <f t="shared" si="114"/>
        <v/>
      </c>
      <c r="AW92" s="926" t="str">
        <f t="shared" si="114"/>
        <v/>
      </c>
    </row>
    <row r="93" spans="1:49">
      <c r="A93" s="906" t="str">
        <f t="shared" si="91"/>
        <v>2022/12/03</v>
      </c>
      <c r="B93" s="373" t="s">
        <v>586</v>
      </c>
      <c r="C93" s="373" t="str">
        <f t="shared" si="115"/>
        <v>陽極處理槽  dương cực  H2SO4 (20)</v>
      </c>
      <c r="D93" s="373" t="str">
        <f t="shared" si="116"/>
        <v>DC-000A</v>
      </c>
      <c r="E93" s="373" t="str">
        <f t="shared" si="117"/>
        <v>g/L</v>
      </c>
      <c r="F93" s="373" t="str">
        <f t="shared" si="118"/>
        <v>120~150
(130±10)</v>
      </c>
      <c r="G93" s="894">
        <f t="shared" si="73"/>
        <v>146.25</v>
      </c>
      <c r="H93" s="894">
        <f t="shared" si="74"/>
        <v>0</v>
      </c>
      <c r="I93" s="899" t="str">
        <f t="shared" si="75"/>
        <v>kg</v>
      </c>
      <c r="J93" s="894">
        <f t="shared" si="76"/>
        <v>0</v>
      </c>
      <c r="K93" s="894">
        <f t="shared" si="77"/>
        <v>224.64</v>
      </c>
      <c r="L93" s="899" t="str">
        <f t="shared" si="78"/>
        <v>kg</v>
      </c>
      <c r="M93" s="894">
        <f t="shared" si="79"/>
        <v>0</v>
      </c>
      <c r="N93" s="894">
        <f t="shared" si="80"/>
        <v>0</v>
      </c>
      <c r="O93" s="899">
        <f t="shared" si="81"/>
        <v>0</v>
      </c>
      <c r="P93" s="894">
        <f t="shared" si="82"/>
        <v>0</v>
      </c>
      <c r="Q93" s="894">
        <f t="shared" si="83"/>
        <v>0</v>
      </c>
      <c r="R93" s="899">
        <f t="shared" si="84"/>
        <v>0</v>
      </c>
      <c r="S93" s="894">
        <f t="shared" si="85"/>
        <v>0</v>
      </c>
      <c r="T93" s="887">
        <f t="shared" si="86"/>
        <v>0</v>
      </c>
      <c r="U93" s="888">
        <f t="shared" si="87"/>
        <v>0</v>
      </c>
      <c r="V93" s="894">
        <f t="shared" si="88"/>
        <v>0</v>
      </c>
      <c r="W93" s="887">
        <f t="shared" si="89"/>
        <v>0</v>
      </c>
      <c r="X93" s="888">
        <f t="shared" si="90"/>
        <v>0</v>
      </c>
      <c r="Z93" s="374" t="b">
        <f t="shared" si="92"/>
        <v>1</v>
      </c>
      <c r="AA93" s="374" t="b">
        <f t="shared" si="93"/>
        <v>1</v>
      </c>
      <c r="AB93" s="374" t="b">
        <f t="shared" si="94"/>
        <v>1</v>
      </c>
      <c r="AC93" s="374" t="b">
        <f t="shared" si="95"/>
        <v>1</v>
      </c>
      <c r="AD93" s="374" t="b">
        <f t="shared" si="96"/>
        <v>1</v>
      </c>
      <c r="AE93" s="374" t="b">
        <f t="shared" si="97"/>
        <v>1</v>
      </c>
      <c r="AF93" s="374" t="b">
        <f t="shared" si="98"/>
        <v>1</v>
      </c>
      <c r="AG93" s="374" t="b">
        <f t="shared" si="99"/>
        <v>1</v>
      </c>
      <c r="AH93" s="374" t="b">
        <f t="shared" si="100"/>
        <v>1</v>
      </c>
      <c r="AI93" s="374" t="b">
        <f t="shared" si="101"/>
        <v>1</v>
      </c>
      <c r="AJ93" s="374" t="b">
        <f t="shared" si="102"/>
        <v>1</v>
      </c>
      <c r="AK93" s="374" t="b">
        <f t="shared" si="103"/>
        <v>1</v>
      </c>
      <c r="AL93" s="921" t="str">
        <f t="shared" si="104"/>
        <v/>
      </c>
      <c r="AM93" s="922" t="str">
        <f t="shared" si="105"/>
        <v/>
      </c>
      <c r="AN93" s="922" t="str">
        <f t="shared" si="106"/>
        <v/>
      </c>
      <c r="AO93" s="922" t="str">
        <f t="shared" si="107"/>
        <v/>
      </c>
      <c r="AP93" s="922" t="str">
        <f t="shared" si="108"/>
        <v/>
      </c>
      <c r="AQ93" s="922" t="str">
        <f t="shared" si="109"/>
        <v/>
      </c>
      <c r="AR93" s="922" t="str">
        <f t="shared" si="110"/>
        <v/>
      </c>
      <c r="AS93" s="922" t="str">
        <f t="shared" si="111"/>
        <v/>
      </c>
      <c r="AT93" s="922" t="str">
        <f t="shared" si="112"/>
        <v/>
      </c>
      <c r="AU93" s="922" t="str">
        <f t="shared" si="113"/>
        <v/>
      </c>
      <c r="AV93" s="922" t="str">
        <f t="shared" si="114"/>
        <v/>
      </c>
      <c r="AW93" s="926" t="str">
        <f t="shared" si="114"/>
        <v/>
      </c>
    </row>
    <row r="94" spans="1:49">
      <c r="A94" s="906" t="str">
        <f t="shared" si="91"/>
        <v>2022/12/03</v>
      </c>
      <c r="B94" s="373" t="s">
        <v>587</v>
      </c>
      <c r="C94" s="373" t="str">
        <f t="shared" si="115"/>
        <v>陽極處理槽 dương cực Al3+ (20)</v>
      </c>
      <c r="D94" s="373" t="str">
        <f t="shared" si="116"/>
        <v>DC-000A</v>
      </c>
      <c r="E94" s="373" t="str">
        <f t="shared" si="117"/>
        <v>g/L</v>
      </c>
      <c r="F94" s="373" t="str">
        <f t="shared" si="118"/>
        <v>1~5
(3±1.5)</v>
      </c>
      <c r="G94" s="894">
        <f t="shared" si="73"/>
        <v>4.5</v>
      </c>
      <c r="H94" s="894">
        <f t="shared" si="74"/>
        <v>0</v>
      </c>
      <c r="I94" s="899" t="str">
        <f t="shared" si="75"/>
        <v>kg</v>
      </c>
      <c r="J94" s="894">
        <f t="shared" si="76"/>
        <v>0</v>
      </c>
      <c r="K94" s="894">
        <f t="shared" si="77"/>
        <v>0</v>
      </c>
      <c r="L94" s="899" t="str">
        <f t="shared" si="78"/>
        <v>kg</v>
      </c>
      <c r="M94" s="894">
        <f t="shared" si="79"/>
        <v>0</v>
      </c>
      <c r="N94" s="894">
        <f t="shared" si="80"/>
        <v>0</v>
      </c>
      <c r="O94" s="899">
        <f t="shared" si="81"/>
        <v>0</v>
      </c>
      <c r="P94" s="894">
        <f t="shared" si="82"/>
        <v>0</v>
      </c>
      <c r="Q94" s="894">
        <f t="shared" si="83"/>
        <v>0</v>
      </c>
      <c r="R94" s="899">
        <f t="shared" si="84"/>
        <v>0</v>
      </c>
      <c r="S94" s="894">
        <f t="shared" si="85"/>
        <v>0</v>
      </c>
      <c r="T94" s="887">
        <f t="shared" si="86"/>
        <v>0</v>
      </c>
      <c r="U94" s="888">
        <f t="shared" si="87"/>
        <v>0</v>
      </c>
      <c r="V94" s="894">
        <f t="shared" si="88"/>
        <v>0</v>
      </c>
      <c r="W94" s="887">
        <f t="shared" si="89"/>
        <v>0</v>
      </c>
      <c r="X94" s="888">
        <f t="shared" si="90"/>
        <v>0</v>
      </c>
      <c r="Z94" s="374" t="b">
        <f t="shared" si="92"/>
        <v>1</v>
      </c>
      <c r="AA94" s="374" t="b">
        <f t="shared" si="93"/>
        <v>1</v>
      </c>
      <c r="AB94" s="374" t="b">
        <f t="shared" si="94"/>
        <v>1</v>
      </c>
      <c r="AC94" s="374" t="b">
        <f t="shared" si="95"/>
        <v>1</v>
      </c>
      <c r="AD94" s="374" t="b">
        <f t="shared" si="96"/>
        <v>1</v>
      </c>
      <c r="AE94" s="374" t="b">
        <f t="shared" si="97"/>
        <v>1</v>
      </c>
      <c r="AF94" s="374" t="b">
        <f t="shared" si="98"/>
        <v>1</v>
      </c>
      <c r="AG94" s="374" t="b">
        <f t="shared" si="99"/>
        <v>1</v>
      </c>
      <c r="AH94" s="374" t="b">
        <f t="shared" si="100"/>
        <v>1</v>
      </c>
      <c r="AI94" s="374" t="b">
        <f t="shared" si="101"/>
        <v>1</v>
      </c>
      <c r="AJ94" s="374" t="b">
        <f t="shared" si="102"/>
        <v>1</v>
      </c>
      <c r="AK94" s="374" t="b">
        <f t="shared" si="103"/>
        <v>1</v>
      </c>
      <c r="AL94" s="921" t="str">
        <f t="shared" si="104"/>
        <v/>
      </c>
      <c r="AM94" s="922" t="str">
        <f t="shared" si="105"/>
        <v/>
      </c>
      <c r="AN94" s="922" t="str">
        <f t="shared" si="106"/>
        <v/>
      </c>
      <c r="AO94" s="922" t="str">
        <f t="shared" si="107"/>
        <v/>
      </c>
      <c r="AP94" s="922" t="str">
        <f t="shared" si="108"/>
        <v/>
      </c>
      <c r="AQ94" s="922" t="str">
        <f t="shared" si="109"/>
        <v/>
      </c>
      <c r="AR94" s="922" t="str">
        <f t="shared" si="110"/>
        <v/>
      </c>
      <c r="AS94" s="922" t="str">
        <f t="shared" si="111"/>
        <v/>
      </c>
      <c r="AT94" s="922" t="str">
        <f t="shared" si="112"/>
        <v/>
      </c>
      <c r="AU94" s="922" t="str">
        <f t="shared" si="113"/>
        <v/>
      </c>
      <c r="AV94" s="922" t="str">
        <f t="shared" si="114"/>
        <v/>
      </c>
      <c r="AW94" s="926" t="str">
        <f t="shared" si="114"/>
        <v/>
      </c>
    </row>
    <row r="95" spans="1:49">
      <c r="A95" s="906" t="str">
        <f t="shared" si="91"/>
        <v>2022/12/03</v>
      </c>
      <c r="B95" s="373" t="s">
        <v>588</v>
      </c>
      <c r="C95" s="373" t="str">
        <f t="shared" si="115"/>
        <v>封孔 Đóng lỗ  (HK-101A1)</v>
      </c>
      <c r="D95" s="373" t="str">
        <f t="shared" si="116"/>
        <v>DC-000A</v>
      </c>
      <c r="E95" s="373" t="str">
        <f t="shared" si="117"/>
        <v>g/L</v>
      </c>
      <c r="F95" s="373" t="str">
        <f t="shared" si="118"/>
        <v>8~12
(10±1)</v>
      </c>
      <c r="G95" s="894">
        <f t="shared" si="73"/>
        <v>10.816000000000001</v>
      </c>
      <c r="H95" s="894">
        <f t="shared" si="74"/>
        <v>0</v>
      </c>
      <c r="I95" s="899" t="str">
        <f t="shared" si="75"/>
        <v>kg</v>
      </c>
      <c r="J95" s="894">
        <f t="shared" si="76"/>
        <v>0</v>
      </c>
      <c r="K95" s="894">
        <f t="shared" si="77"/>
        <v>17.28</v>
      </c>
      <c r="L95" s="899" t="str">
        <f t="shared" si="78"/>
        <v>kg</v>
      </c>
      <c r="M95" s="894">
        <f t="shared" si="79"/>
        <v>0</v>
      </c>
      <c r="N95" s="894" t="str">
        <f t="shared" si="80"/>
        <v>D:\2. Data hoa nghiem\1. PP HÓA NGHIỆM CÁC BỒN-XLBM\đóng lỗ-ML.pdf</v>
      </c>
      <c r="O95" s="899">
        <f t="shared" si="81"/>
        <v>0</v>
      </c>
      <c r="P95" s="894">
        <f t="shared" si="82"/>
        <v>0</v>
      </c>
      <c r="Q95" s="894">
        <f t="shared" si="83"/>
        <v>0</v>
      </c>
      <c r="R95" s="899">
        <f t="shared" si="84"/>
        <v>0</v>
      </c>
      <c r="S95" s="894">
        <f t="shared" si="85"/>
        <v>0</v>
      </c>
      <c r="T95" s="887">
        <f t="shared" si="86"/>
        <v>0</v>
      </c>
      <c r="U95" s="888">
        <f t="shared" si="87"/>
        <v>0</v>
      </c>
      <c r="V95" s="894">
        <f t="shared" si="88"/>
        <v>0</v>
      </c>
      <c r="W95" s="887">
        <f t="shared" si="89"/>
        <v>0</v>
      </c>
      <c r="X95" s="888">
        <f t="shared" si="90"/>
        <v>0</v>
      </c>
      <c r="Z95" s="374" t="b">
        <f t="shared" si="92"/>
        <v>1</v>
      </c>
      <c r="AA95" s="374" t="b">
        <f t="shared" si="93"/>
        <v>1</v>
      </c>
      <c r="AB95" s="374" t="b">
        <f t="shared" si="94"/>
        <v>1</v>
      </c>
      <c r="AC95" s="374" t="b">
        <f t="shared" si="95"/>
        <v>1</v>
      </c>
      <c r="AD95" s="374" t="b">
        <f t="shared" si="96"/>
        <v>1</v>
      </c>
      <c r="AE95" s="374" t="b">
        <f t="shared" si="97"/>
        <v>0</v>
      </c>
      <c r="AF95" s="374" t="b">
        <f t="shared" si="98"/>
        <v>1</v>
      </c>
      <c r="AG95" s="374" t="b">
        <f t="shared" si="99"/>
        <v>1</v>
      </c>
      <c r="AH95" s="374" t="b">
        <f t="shared" si="100"/>
        <v>1</v>
      </c>
      <c r="AI95" s="374" t="b">
        <f t="shared" si="101"/>
        <v>1</v>
      </c>
      <c r="AJ95" s="374" t="b">
        <f t="shared" si="102"/>
        <v>1</v>
      </c>
      <c r="AK95" s="374" t="b">
        <f t="shared" si="103"/>
        <v>1</v>
      </c>
      <c r="AL95" s="921" t="str">
        <f t="shared" si="104"/>
        <v/>
      </c>
      <c r="AM95" s="922" t="str">
        <f t="shared" si="105"/>
        <v/>
      </c>
      <c r="AN95" s="922" t="str">
        <f t="shared" si="106"/>
        <v/>
      </c>
      <c r="AO95" s="922" t="str">
        <f t="shared" si="107"/>
        <v/>
      </c>
      <c r="AP95" s="922" t="str">
        <f t="shared" si="108"/>
        <v/>
      </c>
      <c r="AQ95" s="922">
        <f t="shared" si="109"/>
        <v>1</v>
      </c>
      <c r="AR95" s="922" t="str">
        <f t="shared" si="110"/>
        <v/>
      </c>
      <c r="AS95" s="922" t="str">
        <f t="shared" si="111"/>
        <v/>
      </c>
      <c r="AT95" s="922" t="str">
        <f t="shared" si="112"/>
        <v/>
      </c>
      <c r="AU95" s="922" t="str">
        <f t="shared" si="113"/>
        <v/>
      </c>
      <c r="AV95" s="922" t="str">
        <f t="shared" si="114"/>
        <v/>
      </c>
      <c r="AW95" s="926" t="str">
        <f t="shared" si="114"/>
        <v/>
      </c>
    </row>
    <row r="96" spans="1:49">
      <c r="A96" s="906" t="str">
        <f t="shared" si="91"/>
        <v>2022/12/03</v>
      </c>
      <c r="B96" s="373" t="s">
        <v>591</v>
      </c>
      <c r="C96" s="373" t="str">
        <f t="shared" si="115"/>
        <v>pH</v>
      </c>
      <c r="D96" s="373" t="str">
        <f t="shared" si="116"/>
        <v>DC-000A</v>
      </c>
      <c r="E96" s="373" t="str">
        <f t="shared" si="117"/>
        <v>pH</v>
      </c>
      <c r="F96" s="373" t="str">
        <f t="shared" si="118"/>
        <v>6~8
(7±0.5)</v>
      </c>
      <c r="G96" s="894">
        <f t="shared" si="73"/>
        <v>7</v>
      </c>
      <c r="H96" s="894">
        <f t="shared" si="74"/>
        <v>0</v>
      </c>
      <c r="I96" s="899">
        <f t="shared" si="75"/>
        <v>0</v>
      </c>
      <c r="J96" s="894">
        <f t="shared" si="76"/>
        <v>0</v>
      </c>
      <c r="K96" s="894">
        <f t="shared" si="77"/>
        <v>0</v>
      </c>
      <c r="L96" s="899">
        <f t="shared" si="78"/>
        <v>0</v>
      </c>
      <c r="M96" s="894">
        <f t="shared" si="79"/>
        <v>0</v>
      </c>
      <c r="N96" s="894">
        <f t="shared" si="80"/>
        <v>0</v>
      </c>
      <c r="O96" s="899">
        <f t="shared" si="81"/>
        <v>0</v>
      </c>
      <c r="P96" s="894">
        <f t="shared" si="82"/>
        <v>0</v>
      </c>
      <c r="Q96" s="894">
        <f t="shared" si="83"/>
        <v>0</v>
      </c>
      <c r="R96" s="899">
        <f t="shared" si="84"/>
        <v>0</v>
      </c>
      <c r="S96" s="894">
        <f t="shared" si="85"/>
        <v>0</v>
      </c>
      <c r="T96" s="887">
        <f t="shared" si="86"/>
        <v>0</v>
      </c>
      <c r="U96" s="888">
        <f t="shared" si="87"/>
        <v>0</v>
      </c>
      <c r="V96" s="894">
        <f t="shared" si="88"/>
        <v>0</v>
      </c>
      <c r="W96" s="887">
        <f t="shared" si="89"/>
        <v>0</v>
      </c>
      <c r="X96" s="888">
        <f t="shared" si="90"/>
        <v>0</v>
      </c>
      <c r="Z96" s="374" t="b">
        <f t="shared" si="92"/>
        <v>1</v>
      </c>
      <c r="AA96" s="374" t="b">
        <f t="shared" si="93"/>
        <v>1</v>
      </c>
      <c r="AB96" s="374" t="b">
        <f t="shared" si="94"/>
        <v>1</v>
      </c>
      <c r="AC96" s="374" t="b">
        <f t="shared" si="95"/>
        <v>1</v>
      </c>
      <c r="AD96" s="374" t="b">
        <f t="shared" si="96"/>
        <v>1</v>
      </c>
      <c r="AE96" s="374" t="b">
        <f t="shared" si="97"/>
        <v>1</v>
      </c>
      <c r="AF96" s="374" t="b">
        <f t="shared" si="98"/>
        <v>1</v>
      </c>
      <c r="AG96" s="374" t="b">
        <f t="shared" si="99"/>
        <v>1</v>
      </c>
      <c r="AH96" s="374" t="b">
        <f t="shared" si="100"/>
        <v>1</v>
      </c>
      <c r="AI96" s="374" t="b">
        <f t="shared" si="101"/>
        <v>1</v>
      </c>
      <c r="AJ96" s="374" t="b">
        <f t="shared" si="102"/>
        <v>1</v>
      </c>
      <c r="AK96" s="374" t="b">
        <f t="shared" si="103"/>
        <v>1</v>
      </c>
      <c r="AL96" s="921" t="str">
        <f t="shared" si="104"/>
        <v/>
      </c>
      <c r="AM96" s="922" t="str">
        <f t="shared" si="105"/>
        <v/>
      </c>
      <c r="AN96" s="922" t="str">
        <f t="shared" si="106"/>
        <v/>
      </c>
      <c r="AO96" s="922" t="str">
        <f t="shared" si="107"/>
        <v/>
      </c>
      <c r="AP96" s="922" t="str">
        <f t="shared" si="108"/>
        <v/>
      </c>
      <c r="AQ96" s="922" t="str">
        <f t="shared" si="109"/>
        <v/>
      </c>
      <c r="AR96" s="922" t="str">
        <f t="shared" si="110"/>
        <v/>
      </c>
      <c r="AS96" s="922" t="str">
        <f t="shared" si="111"/>
        <v/>
      </c>
      <c r="AT96" s="922" t="str">
        <f t="shared" si="112"/>
        <v/>
      </c>
      <c r="AU96" s="922" t="str">
        <f t="shared" si="113"/>
        <v/>
      </c>
      <c r="AV96" s="922" t="str">
        <f t="shared" si="114"/>
        <v/>
      </c>
      <c r="AW96" s="926" t="str">
        <f t="shared" si="114"/>
        <v/>
      </c>
    </row>
    <row r="97" spans="1:49">
      <c r="A97" s="906" t="str">
        <f t="shared" si="91"/>
        <v>2022/12/03</v>
      </c>
      <c r="B97" s="373" t="s">
        <v>593</v>
      </c>
      <c r="C97" s="373" t="str">
        <f t="shared" si="115"/>
        <v xml:space="preserve"> 染色Màu - Black-05</v>
      </c>
      <c r="D97" s="373" t="str">
        <f t="shared" si="116"/>
        <v>DC-000A</v>
      </c>
      <c r="E97" s="373" t="str">
        <f t="shared" si="117"/>
        <v>pH</v>
      </c>
      <c r="F97" s="373" t="str">
        <f t="shared" si="118"/>
        <v>5.4~5.8
(5.6±0.1)</v>
      </c>
      <c r="G97" s="894">
        <f t="shared" si="73"/>
        <v>0</v>
      </c>
      <c r="H97" s="894">
        <f t="shared" si="74"/>
        <v>0</v>
      </c>
      <c r="I97" s="899">
        <f t="shared" si="75"/>
        <v>0</v>
      </c>
      <c r="J97" s="894">
        <f t="shared" si="76"/>
        <v>0</v>
      </c>
      <c r="K97" s="894">
        <f t="shared" si="77"/>
        <v>0</v>
      </c>
      <c r="L97" s="899">
        <f t="shared" si="78"/>
        <v>0</v>
      </c>
      <c r="M97" s="894">
        <f t="shared" si="79"/>
        <v>0</v>
      </c>
      <c r="N97" s="894">
        <f t="shared" si="80"/>
        <v>0</v>
      </c>
      <c r="O97" s="899">
        <f t="shared" si="81"/>
        <v>0</v>
      </c>
      <c r="P97" s="894">
        <f t="shared" si="82"/>
        <v>0</v>
      </c>
      <c r="Q97" s="894">
        <f t="shared" si="83"/>
        <v>0</v>
      </c>
      <c r="R97" s="899">
        <f t="shared" si="84"/>
        <v>0</v>
      </c>
      <c r="S97" s="894">
        <f t="shared" si="85"/>
        <v>0</v>
      </c>
      <c r="T97" s="887">
        <f t="shared" si="86"/>
        <v>0</v>
      </c>
      <c r="U97" s="888">
        <f t="shared" si="87"/>
        <v>0</v>
      </c>
      <c r="V97" s="894">
        <f t="shared" si="88"/>
        <v>0</v>
      </c>
      <c r="W97" s="887">
        <f t="shared" si="89"/>
        <v>0</v>
      </c>
      <c r="X97" s="888">
        <f t="shared" si="90"/>
        <v>0</v>
      </c>
      <c r="Z97" s="374" t="b">
        <f t="shared" si="92"/>
        <v>1</v>
      </c>
      <c r="AA97" s="374" t="b">
        <f t="shared" si="93"/>
        <v>1</v>
      </c>
      <c r="AB97" s="374" t="b">
        <f t="shared" si="94"/>
        <v>1</v>
      </c>
      <c r="AC97" s="374" t="b">
        <f t="shared" si="95"/>
        <v>1</v>
      </c>
      <c r="AD97" s="374" t="b">
        <f t="shared" si="96"/>
        <v>1</v>
      </c>
      <c r="AE97" s="374" t="b">
        <f t="shared" si="97"/>
        <v>1</v>
      </c>
      <c r="AF97" s="374" t="b">
        <f t="shared" si="98"/>
        <v>1</v>
      </c>
      <c r="AG97" s="374" t="b">
        <f t="shared" si="99"/>
        <v>1</v>
      </c>
      <c r="AH97" s="374" t="b">
        <f t="shared" si="100"/>
        <v>1</v>
      </c>
      <c r="AI97" s="374" t="b">
        <f t="shared" si="101"/>
        <v>1</v>
      </c>
      <c r="AJ97" s="374" t="b">
        <f t="shared" si="102"/>
        <v>1</v>
      </c>
      <c r="AK97" s="374" t="b">
        <f t="shared" si="103"/>
        <v>1</v>
      </c>
      <c r="AL97" s="921" t="str">
        <f t="shared" si="104"/>
        <v/>
      </c>
      <c r="AM97" s="922" t="str">
        <f t="shared" si="105"/>
        <v/>
      </c>
      <c r="AN97" s="922" t="str">
        <f t="shared" si="106"/>
        <v/>
      </c>
      <c r="AO97" s="922" t="str">
        <f t="shared" si="107"/>
        <v/>
      </c>
      <c r="AP97" s="922" t="str">
        <f t="shared" si="108"/>
        <v/>
      </c>
      <c r="AQ97" s="922" t="str">
        <f t="shared" si="109"/>
        <v/>
      </c>
      <c r="AR97" s="922" t="str">
        <f t="shared" si="110"/>
        <v/>
      </c>
      <c r="AS97" s="922" t="str">
        <f t="shared" si="111"/>
        <v/>
      </c>
      <c r="AT97" s="922" t="str">
        <f t="shared" si="112"/>
        <v/>
      </c>
      <c r="AU97" s="922" t="str">
        <f t="shared" si="113"/>
        <v/>
      </c>
      <c r="AV97" s="922" t="str">
        <f t="shared" si="114"/>
        <v/>
      </c>
      <c r="AW97" s="926" t="str">
        <f t="shared" si="114"/>
        <v/>
      </c>
    </row>
    <row r="98" spans="1:49">
      <c r="A98" s="906" t="str">
        <f t="shared" si="91"/>
        <v>2022/12/03</v>
      </c>
      <c r="B98" s="373" t="s">
        <v>596</v>
      </c>
      <c r="C98" s="373" t="str">
        <f t="shared" si="115"/>
        <v xml:space="preserve"> 染色Màu- Gey-07</v>
      </c>
      <c r="D98" s="373" t="str">
        <f t="shared" si="116"/>
        <v>DC-000A</v>
      </c>
      <c r="E98" s="373" t="str">
        <f t="shared" si="117"/>
        <v>pH</v>
      </c>
      <c r="F98" s="373" t="str">
        <f t="shared" si="118"/>
        <v>5.4~5.8</v>
      </c>
      <c r="G98" s="894">
        <f t="shared" si="73"/>
        <v>0</v>
      </c>
      <c r="H98" s="894">
        <f t="shared" si="74"/>
        <v>0</v>
      </c>
      <c r="I98" s="899">
        <f t="shared" si="75"/>
        <v>0</v>
      </c>
      <c r="J98" s="894">
        <f t="shared" si="76"/>
        <v>0</v>
      </c>
      <c r="K98" s="894">
        <f t="shared" si="77"/>
        <v>0</v>
      </c>
      <c r="L98" s="899">
        <f t="shared" si="78"/>
        <v>0</v>
      </c>
      <c r="M98" s="894">
        <f t="shared" si="79"/>
        <v>0</v>
      </c>
      <c r="N98" s="894">
        <f t="shared" si="80"/>
        <v>0</v>
      </c>
      <c r="O98" s="899">
        <f t="shared" si="81"/>
        <v>0</v>
      </c>
      <c r="P98" s="894">
        <f t="shared" si="82"/>
        <v>0</v>
      </c>
      <c r="Q98" s="894">
        <f t="shared" si="83"/>
        <v>0</v>
      </c>
      <c r="R98" s="899">
        <f t="shared" si="84"/>
        <v>0</v>
      </c>
      <c r="S98" s="894">
        <f t="shared" si="85"/>
        <v>0</v>
      </c>
      <c r="T98" s="887">
        <f t="shared" si="86"/>
        <v>0</v>
      </c>
      <c r="U98" s="888">
        <f t="shared" si="87"/>
        <v>0</v>
      </c>
      <c r="V98" s="894">
        <f t="shared" si="88"/>
        <v>0</v>
      </c>
      <c r="W98" s="887">
        <f t="shared" si="89"/>
        <v>0</v>
      </c>
      <c r="X98" s="888">
        <f t="shared" si="90"/>
        <v>0</v>
      </c>
      <c r="Z98" s="374" t="b">
        <f t="shared" si="92"/>
        <v>1</v>
      </c>
      <c r="AA98" s="374" t="b">
        <f t="shared" si="93"/>
        <v>1</v>
      </c>
      <c r="AB98" s="374" t="b">
        <f t="shared" si="94"/>
        <v>1</v>
      </c>
      <c r="AC98" s="374" t="b">
        <f t="shared" si="95"/>
        <v>1</v>
      </c>
      <c r="AD98" s="374" t="b">
        <f t="shared" si="96"/>
        <v>1</v>
      </c>
      <c r="AE98" s="374" t="b">
        <f t="shared" si="97"/>
        <v>1</v>
      </c>
      <c r="AF98" s="374" t="b">
        <f t="shared" si="98"/>
        <v>1</v>
      </c>
      <c r="AG98" s="374" t="b">
        <f t="shared" si="99"/>
        <v>1</v>
      </c>
      <c r="AH98" s="374" t="b">
        <f t="shared" si="100"/>
        <v>1</v>
      </c>
      <c r="AI98" s="374" t="b">
        <f t="shared" si="101"/>
        <v>1</v>
      </c>
      <c r="AJ98" s="374" t="b">
        <f t="shared" si="102"/>
        <v>1</v>
      </c>
      <c r="AK98" s="374" t="b">
        <f t="shared" si="103"/>
        <v>1</v>
      </c>
      <c r="AL98" s="921" t="str">
        <f t="shared" si="104"/>
        <v/>
      </c>
      <c r="AM98" s="922" t="str">
        <f t="shared" si="105"/>
        <v/>
      </c>
      <c r="AN98" s="922" t="str">
        <f t="shared" si="106"/>
        <v/>
      </c>
      <c r="AO98" s="922" t="str">
        <f t="shared" si="107"/>
        <v/>
      </c>
      <c r="AP98" s="922" t="str">
        <f t="shared" si="108"/>
        <v/>
      </c>
      <c r="AQ98" s="922" t="str">
        <f t="shared" si="109"/>
        <v/>
      </c>
      <c r="AR98" s="922" t="str">
        <f t="shared" si="110"/>
        <v/>
      </c>
      <c r="AS98" s="922" t="str">
        <f t="shared" si="111"/>
        <v/>
      </c>
      <c r="AT98" s="922" t="str">
        <f t="shared" si="112"/>
        <v/>
      </c>
      <c r="AU98" s="922" t="str">
        <f t="shared" si="113"/>
        <v/>
      </c>
      <c r="AV98" s="922" t="str">
        <f t="shared" si="114"/>
        <v/>
      </c>
      <c r="AW98" s="926" t="str">
        <f t="shared" si="114"/>
        <v/>
      </c>
    </row>
    <row r="99" spans="1:49">
      <c r="A99" s="906" t="str">
        <f t="shared" si="91"/>
        <v>2022/12/03</v>
      </c>
      <c r="B99" s="373" t="s">
        <v>599</v>
      </c>
      <c r="C99" s="373" t="str">
        <f t="shared" si="115"/>
        <v xml:space="preserve"> 染色Màu- Black-08</v>
      </c>
      <c r="D99" s="373" t="str">
        <f t="shared" si="116"/>
        <v>DC-000A</v>
      </c>
      <c r="E99" s="373" t="str">
        <f t="shared" si="117"/>
        <v>pH</v>
      </c>
      <c r="F99" s="373" t="str">
        <f t="shared" si="118"/>
        <v>5.4~5.8
(5.6±0.1)</v>
      </c>
      <c r="G99" s="894">
        <f t="shared" si="73"/>
        <v>5.62</v>
      </c>
      <c r="H99" s="894">
        <f t="shared" si="74"/>
        <v>0</v>
      </c>
      <c r="I99" s="899">
        <f t="shared" si="75"/>
        <v>0</v>
      </c>
      <c r="J99" s="894">
        <f t="shared" si="76"/>
        <v>0</v>
      </c>
      <c r="K99" s="894">
        <f t="shared" si="77"/>
        <v>0</v>
      </c>
      <c r="L99" s="899">
        <f t="shared" si="78"/>
        <v>0</v>
      </c>
      <c r="M99" s="894">
        <f t="shared" si="79"/>
        <v>0</v>
      </c>
      <c r="N99" s="894">
        <f t="shared" si="80"/>
        <v>0</v>
      </c>
      <c r="O99" s="899">
        <f t="shared" si="81"/>
        <v>0</v>
      </c>
      <c r="P99" s="894">
        <f t="shared" si="82"/>
        <v>0</v>
      </c>
      <c r="Q99" s="894">
        <f t="shared" si="83"/>
        <v>0</v>
      </c>
      <c r="R99" s="899">
        <f t="shared" si="84"/>
        <v>0</v>
      </c>
      <c r="S99" s="894">
        <f t="shared" si="85"/>
        <v>0</v>
      </c>
      <c r="T99" s="887">
        <f t="shared" si="86"/>
        <v>0</v>
      </c>
      <c r="U99" s="888">
        <f t="shared" si="87"/>
        <v>0</v>
      </c>
      <c r="V99" s="894">
        <f t="shared" si="88"/>
        <v>0</v>
      </c>
      <c r="W99" s="887">
        <f t="shared" si="89"/>
        <v>0</v>
      </c>
      <c r="X99" s="888">
        <f t="shared" si="90"/>
        <v>0</v>
      </c>
      <c r="Z99" s="374" t="b">
        <f t="shared" si="92"/>
        <v>1</v>
      </c>
      <c r="AA99" s="374" t="b">
        <f t="shared" si="93"/>
        <v>1</v>
      </c>
      <c r="AB99" s="374" t="b">
        <f t="shared" si="94"/>
        <v>1</v>
      </c>
      <c r="AC99" s="374" t="b">
        <f t="shared" si="95"/>
        <v>1</v>
      </c>
      <c r="AD99" s="374" t="b">
        <f t="shared" si="96"/>
        <v>1</v>
      </c>
      <c r="AE99" s="374" t="b">
        <f t="shared" si="97"/>
        <v>1</v>
      </c>
      <c r="AF99" s="374" t="b">
        <f t="shared" si="98"/>
        <v>1</v>
      </c>
      <c r="AG99" s="374" t="b">
        <f t="shared" si="99"/>
        <v>1</v>
      </c>
      <c r="AH99" s="374" t="b">
        <f t="shared" si="100"/>
        <v>1</v>
      </c>
      <c r="AI99" s="374" t="b">
        <f t="shared" si="101"/>
        <v>1</v>
      </c>
      <c r="AJ99" s="374" t="b">
        <f t="shared" si="102"/>
        <v>1</v>
      </c>
      <c r="AK99" s="374" t="b">
        <f t="shared" si="103"/>
        <v>1</v>
      </c>
      <c r="AL99" s="923" t="str">
        <f t="shared" si="104"/>
        <v/>
      </c>
      <c r="AM99" s="924" t="str">
        <f t="shared" si="105"/>
        <v/>
      </c>
      <c r="AN99" s="924" t="str">
        <f t="shared" si="106"/>
        <v/>
      </c>
      <c r="AO99" s="924" t="str">
        <f t="shared" si="107"/>
        <v/>
      </c>
      <c r="AP99" s="924" t="str">
        <f t="shared" si="108"/>
        <v/>
      </c>
      <c r="AQ99" s="924" t="str">
        <f t="shared" si="109"/>
        <v/>
      </c>
      <c r="AR99" s="924" t="str">
        <f t="shared" si="110"/>
        <v/>
      </c>
      <c r="AS99" s="924" t="str">
        <f t="shared" si="111"/>
        <v/>
      </c>
      <c r="AT99" s="924" t="str">
        <f t="shared" si="112"/>
        <v/>
      </c>
      <c r="AU99" s="924" t="str">
        <f t="shared" si="113"/>
        <v/>
      </c>
      <c r="AV99" s="924" t="str">
        <f t="shared" si="114"/>
        <v/>
      </c>
      <c r="AW99" s="927" t="str">
        <f t="shared" si="114"/>
        <v/>
      </c>
    </row>
  </sheetData>
  <phoneticPr fontId="6" type="noConversion"/>
  <pageMargins left="0.7" right="0.7" top="0.75" bottom="0.75"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70" customWidth="1"/>
    <col min="2" max="2" width="13" style="370" customWidth="1"/>
    <col min="3" max="3" width="37" style="370" customWidth="1"/>
    <col min="4" max="5" width="12.625" style="370" customWidth="1"/>
    <col min="6" max="6" width="19.125" style="370" customWidth="1"/>
    <col min="7" max="7" width="12.5" style="371" bestFit="1" customWidth="1"/>
    <col min="8" max="8" width="12.5" style="371" customWidth="1"/>
    <col min="9" max="9" width="13.375" style="371" bestFit="1" customWidth="1"/>
    <col min="10" max="10" width="13.375" style="371" customWidth="1"/>
    <col min="11" max="11" width="13.375" style="371" bestFit="1" customWidth="1"/>
    <col min="12" max="12" width="13.375" style="371" customWidth="1"/>
    <col min="13" max="13" width="15.125" style="371" customWidth="1"/>
    <col min="14" max="14" width="11.75" style="371" customWidth="1"/>
    <col min="15" max="15" width="10.125" style="371" bestFit="1" customWidth="1"/>
    <col min="16" max="16" width="10.125" style="371" customWidth="1"/>
    <col min="17" max="17" width="10.125" style="371" bestFit="1" customWidth="1"/>
    <col min="18" max="18" width="10.125" style="371" customWidth="1"/>
    <col min="19" max="19" width="9" style="367"/>
    <col min="20" max="31" width="0" style="895" hidden="1" customWidth="1"/>
    <col min="32" max="16384" width="9" style="367"/>
  </cols>
  <sheetData>
    <row r="1" spans="1:43" ht="71.45" customHeight="1">
      <c r="A1" s="885" t="s">
        <v>860</v>
      </c>
      <c r="B1" s="878"/>
      <c r="C1" s="878"/>
      <c r="D1" s="878"/>
      <c r="E1" s="878"/>
      <c r="F1" s="878"/>
      <c r="G1" s="878"/>
      <c r="H1" s="878"/>
      <c r="I1" s="878"/>
      <c r="J1" s="878"/>
      <c r="K1" s="878"/>
      <c r="L1" s="878"/>
      <c r="M1" s="878"/>
      <c r="N1" s="878"/>
      <c r="O1" s="878"/>
      <c r="P1" s="878"/>
      <c r="Q1" s="878"/>
      <c r="R1" s="879"/>
    </row>
    <row r="2" spans="1:43" s="882" customFormat="1">
      <c r="A2" s="881" t="s">
        <v>843</v>
      </c>
      <c r="B2" s="881" t="s">
        <v>844</v>
      </c>
      <c r="C2" s="881" t="s">
        <v>363</v>
      </c>
      <c r="D2" s="881" t="s">
        <v>364</v>
      </c>
      <c r="E2" s="881" t="s">
        <v>365</v>
      </c>
      <c r="F2" s="881" t="s">
        <v>366</v>
      </c>
      <c r="G2" s="881" t="s">
        <v>845</v>
      </c>
      <c r="H2" s="881" t="s">
        <v>846</v>
      </c>
      <c r="I2" s="881" t="s">
        <v>847</v>
      </c>
      <c r="J2" s="881" t="s">
        <v>848</v>
      </c>
      <c r="K2" s="881" t="s">
        <v>849</v>
      </c>
      <c r="L2" s="881" t="s">
        <v>850</v>
      </c>
      <c r="M2" s="881" t="s">
        <v>851</v>
      </c>
      <c r="N2" s="881" t="s">
        <v>852</v>
      </c>
      <c r="O2" s="881" t="s">
        <v>853</v>
      </c>
      <c r="P2" s="881" t="s">
        <v>854</v>
      </c>
      <c r="Q2" s="881" t="s">
        <v>855</v>
      </c>
      <c r="R2" s="881" t="s">
        <v>856</v>
      </c>
      <c r="T2" s="891">
        <v>1</v>
      </c>
      <c r="U2" s="891" t="s">
        <v>890</v>
      </c>
      <c r="V2" s="891">
        <v>2</v>
      </c>
      <c r="W2" s="891" t="s">
        <v>890</v>
      </c>
      <c r="X2" s="891">
        <v>3</v>
      </c>
      <c r="Y2" s="891" t="s">
        <v>890</v>
      </c>
      <c r="Z2" s="891">
        <v>4</v>
      </c>
      <c r="AA2" s="891" t="s">
        <v>890</v>
      </c>
      <c r="AB2" s="891">
        <v>5</v>
      </c>
      <c r="AC2" s="891" t="s">
        <v>890</v>
      </c>
      <c r="AD2" s="891">
        <v>6</v>
      </c>
      <c r="AE2" s="891" t="s">
        <v>890</v>
      </c>
      <c r="AF2" s="909">
        <v>1</v>
      </c>
      <c r="AG2" s="909" t="s">
        <v>890</v>
      </c>
      <c r="AH2" s="909">
        <v>2</v>
      </c>
      <c r="AI2" s="909" t="s">
        <v>890</v>
      </c>
      <c r="AJ2" s="909">
        <v>3</v>
      </c>
      <c r="AK2" s="909" t="s">
        <v>890</v>
      </c>
      <c r="AL2" s="909">
        <v>4</v>
      </c>
      <c r="AM2" s="909" t="s">
        <v>890</v>
      </c>
      <c r="AN2" s="909">
        <v>5</v>
      </c>
      <c r="AO2" s="909" t="s">
        <v>890</v>
      </c>
      <c r="AP2" s="909">
        <v>6</v>
      </c>
      <c r="AQ2" s="909" t="s">
        <v>890</v>
      </c>
    </row>
    <row r="3" spans="1:43" s="882" customFormat="1">
      <c r="A3" s="881" t="s">
        <v>843</v>
      </c>
      <c r="B3" s="883" t="s">
        <v>386</v>
      </c>
      <c r="C3" s="883" t="s">
        <v>857</v>
      </c>
      <c r="D3" s="883" t="s">
        <v>388</v>
      </c>
      <c r="E3" s="884" t="s">
        <v>389</v>
      </c>
      <c r="F3" s="884" t="s">
        <v>390</v>
      </c>
      <c r="G3" s="883" t="s">
        <v>858</v>
      </c>
      <c r="H3" s="883" t="s">
        <v>859</v>
      </c>
      <c r="I3" s="883" t="s">
        <v>858</v>
      </c>
      <c r="J3" s="883" t="s">
        <v>859</v>
      </c>
      <c r="K3" s="883" t="s">
        <v>858</v>
      </c>
      <c r="L3" s="883" t="s">
        <v>859</v>
      </c>
      <c r="M3" s="883" t="s">
        <v>858</v>
      </c>
      <c r="N3" s="883" t="s">
        <v>859</v>
      </c>
      <c r="O3" s="883" t="s">
        <v>858</v>
      </c>
      <c r="P3" s="883" t="s">
        <v>859</v>
      </c>
      <c r="Q3" s="883" t="s">
        <v>858</v>
      </c>
      <c r="R3" s="883" t="s">
        <v>859</v>
      </c>
      <c r="T3" s="372"/>
      <c r="U3" s="372"/>
      <c r="V3" s="372"/>
      <c r="W3" s="372"/>
      <c r="X3" s="372"/>
      <c r="Y3" s="372"/>
      <c r="Z3" s="372"/>
      <c r="AA3" s="372"/>
      <c r="AB3" s="372"/>
      <c r="AC3" s="372"/>
      <c r="AD3" s="372"/>
      <c r="AE3" s="372"/>
    </row>
    <row r="4" spans="1:43" s="374" customFormat="1">
      <c r="A4" s="906" t="str">
        <f>'IT.NONG DO'!A4</f>
        <v>2022/12/03</v>
      </c>
      <c r="B4" s="373" t="s">
        <v>291</v>
      </c>
      <c r="C4" s="373" t="str">
        <f t="shared" ref="C4:C27" si="0">IFERROR(VLOOKUP($B4,_XM_XT_THUCTE,3,0),"")</f>
        <v>Nhiệt  độ xà bông nóng (1)
 熱脫脂溫度(1)</v>
      </c>
      <c r="D4" s="373" t="str">
        <f t="shared" ref="D4:D27" si="1">IFERROR(VLOOKUP($B4,_XM_XT_THUCTE,2,0),"")</f>
        <v>XL-001E</v>
      </c>
      <c r="E4" s="373" t="str">
        <f t="shared" ref="E4:E27" si="2">IFERROR(VLOOKUP($B4,_XM_XT_THUCTE,4,0),"")</f>
        <v>0C</v>
      </c>
      <c r="F4" s="373" t="str">
        <f t="shared" ref="F4:F27" si="3">IFERROR(VLOOKUP($B4,_XM_XT_THUCTE,5,0),"")</f>
        <v>65~75ºC
(70±3OC)</v>
      </c>
      <c r="G4" s="888">
        <f>IFERROR(VLOOKUP($B4,_XM_XT_THUCTE,8,0),"")</f>
        <v>69</v>
      </c>
      <c r="H4" s="888">
        <f t="shared" ref="H4:H27" si="4">IFERROR(VLOOKUP($B4,_XM_XT_THUCTE,11,0),"")</f>
        <v>68</v>
      </c>
      <c r="I4" s="888">
        <f t="shared" ref="I4:I27" si="5">IFERROR(VLOOKUP($B4,_XM_XT_THUCTE,14,0),"")</f>
        <v>66</v>
      </c>
      <c r="J4" s="888">
        <f t="shared" ref="J4:J27" si="6">IFERROR(VLOOKUP($B4,_XM_XT_THUCTE,17,0),"")</f>
        <v>65</v>
      </c>
      <c r="K4" s="888">
        <f t="shared" ref="K4:K27" si="7">IFERROR(VLOOKUP($B4,_XM_XT_THUCTE,20,0),"")</f>
        <v>66</v>
      </c>
      <c r="L4" s="888">
        <f t="shared" ref="L4:L27" si="8">IFERROR(VLOOKUP($B4,_XM_XT_THUCTE,23,0),"")</f>
        <v>65</v>
      </c>
      <c r="M4" s="888">
        <f t="shared" ref="M4:M27" si="9">IFERROR(VLOOKUP($B4,_XM_XT_THUCTE,26,0),"")</f>
        <v>67</v>
      </c>
      <c r="N4" s="888">
        <f t="shared" ref="N4:N27" si="10">IFERROR(VLOOKUP($B4,_XM_XT_THUCTE,29,0),"")</f>
        <v>65</v>
      </c>
      <c r="O4" s="888">
        <f t="shared" ref="O4:O27" si="11">IFERROR(VLOOKUP($B4,_XM_XT_THUCTE,32,0),"")</f>
        <v>0</v>
      </c>
      <c r="P4" s="888">
        <f t="shared" ref="P4:P27" si="12">IFERROR(VLOOKUP($B4,_XM_XT_THUCTE,35,0),"")</f>
        <v>0</v>
      </c>
      <c r="Q4" s="888">
        <f t="shared" ref="Q4:Q27" si="13">IFERROR(VLOOKUP($B4,_XM_XT_THUCTE,38,0),"")</f>
        <v>68</v>
      </c>
      <c r="R4" s="888">
        <f t="shared" ref="R4:R27" si="14">IFERROR(VLOOKUP($B4,_XM_XT_THUCTE,41,0),"")</f>
        <v>66</v>
      </c>
      <c r="T4" s="895" t="b">
        <f>ISNUMBER(G4)</f>
        <v>1</v>
      </c>
      <c r="U4" s="895" t="b">
        <f t="shared" ref="U4:AE19" si="15">ISNUMBER(H4)</f>
        <v>1</v>
      </c>
      <c r="V4" s="895" t="b">
        <f t="shared" si="15"/>
        <v>1</v>
      </c>
      <c r="W4" s="895" t="b">
        <f t="shared" si="15"/>
        <v>1</v>
      </c>
      <c r="X4" s="895" t="b">
        <f t="shared" si="15"/>
        <v>1</v>
      </c>
      <c r="Y4" s="895" t="b">
        <f t="shared" si="15"/>
        <v>1</v>
      </c>
      <c r="Z4" s="895" t="b">
        <f t="shared" si="15"/>
        <v>1</v>
      </c>
      <c r="AA4" s="895" t="b">
        <f t="shared" si="15"/>
        <v>1</v>
      </c>
      <c r="AB4" s="895" t="b">
        <f t="shared" si="15"/>
        <v>1</v>
      </c>
      <c r="AC4" s="895" t="b">
        <f t="shared" si="15"/>
        <v>1</v>
      </c>
      <c r="AD4" s="895" t="b">
        <f t="shared" si="15"/>
        <v>1</v>
      </c>
      <c r="AE4" s="895" t="b">
        <f t="shared" si="15"/>
        <v>1</v>
      </c>
      <c r="AF4" s="910" t="str">
        <f>IF(T4=TRUE,"",1)</f>
        <v/>
      </c>
      <c r="AG4" s="911" t="str">
        <f t="shared" ref="AG4:AQ4" si="16">IF(U4=TRUE,"",1)</f>
        <v/>
      </c>
      <c r="AH4" s="911" t="str">
        <f t="shared" si="16"/>
        <v/>
      </c>
      <c r="AI4" s="911" t="str">
        <f t="shared" si="16"/>
        <v/>
      </c>
      <c r="AJ4" s="911" t="str">
        <f t="shared" si="16"/>
        <v/>
      </c>
      <c r="AK4" s="911" t="str">
        <f t="shared" si="16"/>
        <v/>
      </c>
      <c r="AL4" s="911" t="str">
        <f t="shared" si="16"/>
        <v/>
      </c>
      <c r="AM4" s="911" t="str">
        <f t="shared" si="16"/>
        <v/>
      </c>
      <c r="AN4" s="911" t="str">
        <f t="shared" si="16"/>
        <v/>
      </c>
      <c r="AO4" s="911" t="str">
        <f t="shared" si="16"/>
        <v/>
      </c>
      <c r="AP4" s="911" t="str">
        <f t="shared" si="16"/>
        <v/>
      </c>
      <c r="AQ4" s="912" t="str">
        <f t="shared" si="16"/>
        <v/>
      </c>
    </row>
    <row r="5" spans="1:43" s="374" customFormat="1">
      <c r="A5" s="906" t="str">
        <f>IF(B5="","",$A$4)</f>
        <v>2022/12/03</v>
      </c>
      <c r="B5" s="373" t="s">
        <v>292</v>
      </c>
      <c r="C5" s="373" t="str">
        <f t="shared" si="0"/>
        <v>Nhiệt  độ xà bông nóng (2)
 熱脫脂溫度(2)</v>
      </c>
      <c r="D5" s="373" t="str">
        <f t="shared" si="1"/>
        <v>XL-001E</v>
      </c>
      <c r="E5" s="373" t="str">
        <f t="shared" si="2"/>
        <v>0C</v>
      </c>
      <c r="F5" s="373" t="str">
        <f t="shared" si="3"/>
        <v>65~75ºC
(70±3OC)</v>
      </c>
      <c r="G5" s="888">
        <f t="shared" ref="G5:G27" si="17">IFERROR(VLOOKUP($B5,_XM_XT_THUCTE,8,0),"")</f>
        <v>71</v>
      </c>
      <c r="H5" s="888">
        <f t="shared" si="4"/>
        <v>70</v>
      </c>
      <c r="I5" s="888">
        <f t="shared" si="5"/>
        <v>71</v>
      </c>
      <c r="J5" s="888">
        <f t="shared" si="6"/>
        <v>70</v>
      </c>
      <c r="K5" s="888">
        <f t="shared" si="7"/>
        <v>71</v>
      </c>
      <c r="L5" s="888">
        <f t="shared" si="8"/>
        <v>70</v>
      </c>
      <c r="M5" s="888">
        <f t="shared" si="9"/>
        <v>70</v>
      </c>
      <c r="N5" s="888">
        <f t="shared" si="10"/>
        <v>69</v>
      </c>
      <c r="O5" s="888">
        <f t="shared" si="11"/>
        <v>0</v>
      </c>
      <c r="P5" s="888">
        <f t="shared" si="12"/>
        <v>0</v>
      </c>
      <c r="Q5" s="888">
        <f t="shared" si="13"/>
        <v>71</v>
      </c>
      <c r="R5" s="888">
        <f t="shared" si="14"/>
        <v>70</v>
      </c>
      <c r="T5" s="895" t="b">
        <f t="shared" ref="T5:AE39" si="18">ISNUMBER(G5)</f>
        <v>1</v>
      </c>
      <c r="U5" s="895" t="b">
        <f t="shared" si="15"/>
        <v>1</v>
      </c>
      <c r="V5" s="895" t="b">
        <f t="shared" si="15"/>
        <v>1</v>
      </c>
      <c r="W5" s="895" t="b">
        <f t="shared" si="15"/>
        <v>1</v>
      </c>
      <c r="X5" s="895" t="b">
        <f t="shared" si="15"/>
        <v>1</v>
      </c>
      <c r="Y5" s="895" t="b">
        <f t="shared" si="15"/>
        <v>1</v>
      </c>
      <c r="Z5" s="895" t="b">
        <f t="shared" si="15"/>
        <v>1</v>
      </c>
      <c r="AA5" s="895" t="b">
        <f t="shared" si="15"/>
        <v>1</v>
      </c>
      <c r="AB5" s="895" t="b">
        <f t="shared" si="15"/>
        <v>1</v>
      </c>
      <c r="AC5" s="895" t="b">
        <f t="shared" si="15"/>
        <v>1</v>
      </c>
      <c r="AD5" s="895" t="b">
        <f t="shared" si="15"/>
        <v>1</v>
      </c>
      <c r="AE5" s="895" t="b">
        <f t="shared" si="15"/>
        <v>1</v>
      </c>
      <c r="AF5" s="913" t="str">
        <f t="shared" ref="AF5:AF51" si="19">IF(T5=TRUE,"",1)</f>
        <v/>
      </c>
      <c r="AG5" s="914" t="str">
        <f t="shared" ref="AG5:AG51" si="20">IF(U5=TRUE,"",1)</f>
        <v/>
      </c>
      <c r="AH5" s="914" t="str">
        <f t="shared" ref="AH5:AH51" si="21">IF(V5=TRUE,"",1)</f>
        <v/>
      </c>
      <c r="AI5" s="914" t="str">
        <f t="shared" ref="AI5:AI51" si="22">IF(W5=TRUE,"",1)</f>
        <v/>
      </c>
      <c r="AJ5" s="914" t="str">
        <f t="shared" ref="AJ5:AJ51" si="23">IF(X5=TRUE,"",1)</f>
        <v/>
      </c>
      <c r="AK5" s="914" t="str">
        <f t="shared" ref="AK5:AK51" si="24">IF(Y5=TRUE,"",1)</f>
        <v/>
      </c>
      <c r="AL5" s="914" t="str">
        <f t="shared" ref="AL5:AL51" si="25">IF(Z5=TRUE,"",1)</f>
        <v/>
      </c>
      <c r="AM5" s="914" t="str">
        <f t="shared" ref="AM5:AM51" si="26">IF(AA5=TRUE,"",1)</f>
        <v/>
      </c>
      <c r="AN5" s="914" t="str">
        <f t="shared" ref="AN5:AN51" si="27">IF(AB5=TRUE,"",1)</f>
        <v/>
      </c>
      <c r="AO5" s="914" t="str">
        <f t="shared" ref="AO5:AO51" si="28">IF(AC5=TRUE,"",1)</f>
        <v/>
      </c>
      <c r="AP5" s="914" t="str">
        <f t="shared" ref="AP5:AP51" si="29">IF(AD5=TRUE,"",1)</f>
        <v/>
      </c>
      <c r="AQ5" s="915" t="str">
        <f t="shared" ref="AQ5:AQ51" si="30">IF(AE5=TRUE,"",1)</f>
        <v/>
      </c>
    </row>
    <row r="6" spans="1:43" s="374" customFormat="1">
      <c r="A6" s="906" t="str">
        <f t="shared" ref="A6:A40" si="31">IF(B6="","",$A$4)</f>
        <v>2022/12/03</v>
      </c>
      <c r="B6" s="373" t="s">
        <v>293</v>
      </c>
      <c r="C6" s="373" t="str">
        <f t="shared" si="0"/>
        <v>Nhiệt độ điện giải (1) 
電解1 溫度</v>
      </c>
      <c r="D6" s="373" t="str">
        <f t="shared" si="1"/>
        <v>XL-001E</v>
      </c>
      <c r="E6" s="373" t="str">
        <f t="shared" si="2"/>
        <v>0C</v>
      </c>
      <c r="F6" s="373" t="str">
        <f t="shared" si="3"/>
        <v>50~60ºC
(55±3OC)</v>
      </c>
      <c r="G6" s="888">
        <f t="shared" si="17"/>
        <v>58</v>
      </c>
      <c r="H6" s="888">
        <f t="shared" si="4"/>
        <v>57</v>
      </c>
      <c r="I6" s="888">
        <f t="shared" si="5"/>
        <v>58</v>
      </c>
      <c r="J6" s="888">
        <f t="shared" si="6"/>
        <v>57</v>
      </c>
      <c r="K6" s="888">
        <f t="shared" si="7"/>
        <v>58</v>
      </c>
      <c r="L6" s="888">
        <f t="shared" si="8"/>
        <v>60</v>
      </c>
      <c r="M6" s="888">
        <f t="shared" si="9"/>
        <v>63</v>
      </c>
      <c r="N6" s="888">
        <f t="shared" si="10"/>
        <v>62</v>
      </c>
      <c r="O6" s="888">
        <f t="shared" si="11"/>
        <v>0</v>
      </c>
      <c r="P6" s="888">
        <f t="shared" si="12"/>
        <v>0</v>
      </c>
      <c r="Q6" s="888">
        <f t="shared" si="13"/>
        <v>59</v>
      </c>
      <c r="R6" s="888">
        <f t="shared" si="14"/>
        <v>60</v>
      </c>
      <c r="T6" s="895" t="b">
        <f t="shared" si="18"/>
        <v>1</v>
      </c>
      <c r="U6" s="895" t="b">
        <f t="shared" si="15"/>
        <v>1</v>
      </c>
      <c r="V6" s="895" t="b">
        <f t="shared" si="15"/>
        <v>1</v>
      </c>
      <c r="W6" s="895" t="b">
        <f t="shared" si="15"/>
        <v>1</v>
      </c>
      <c r="X6" s="895" t="b">
        <f t="shared" si="15"/>
        <v>1</v>
      </c>
      <c r="Y6" s="895" t="b">
        <f t="shared" si="15"/>
        <v>1</v>
      </c>
      <c r="Z6" s="895" t="b">
        <f t="shared" si="15"/>
        <v>1</v>
      </c>
      <c r="AA6" s="895" t="b">
        <f t="shared" si="15"/>
        <v>1</v>
      </c>
      <c r="AB6" s="895" t="b">
        <f t="shared" si="15"/>
        <v>1</v>
      </c>
      <c r="AC6" s="895" t="b">
        <f t="shared" si="15"/>
        <v>1</v>
      </c>
      <c r="AD6" s="895" t="b">
        <f t="shared" si="15"/>
        <v>1</v>
      </c>
      <c r="AE6" s="895" t="b">
        <f t="shared" si="15"/>
        <v>1</v>
      </c>
      <c r="AF6" s="913" t="str">
        <f t="shared" si="19"/>
        <v/>
      </c>
      <c r="AG6" s="914" t="str">
        <f t="shared" si="20"/>
        <v/>
      </c>
      <c r="AH6" s="914" t="str">
        <f t="shared" si="21"/>
        <v/>
      </c>
      <c r="AI6" s="914" t="str">
        <f t="shared" si="22"/>
        <v/>
      </c>
      <c r="AJ6" s="914" t="str">
        <f t="shared" si="23"/>
        <v/>
      </c>
      <c r="AK6" s="914" t="str">
        <f t="shared" si="24"/>
        <v/>
      </c>
      <c r="AL6" s="914" t="str">
        <f t="shared" si="25"/>
        <v/>
      </c>
      <c r="AM6" s="914" t="str">
        <f t="shared" si="26"/>
        <v/>
      </c>
      <c r="AN6" s="914" t="str">
        <f t="shared" si="27"/>
        <v/>
      </c>
      <c r="AO6" s="914" t="str">
        <f t="shared" si="28"/>
        <v/>
      </c>
      <c r="AP6" s="914" t="str">
        <f t="shared" si="29"/>
        <v/>
      </c>
      <c r="AQ6" s="915" t="str">
        <f t="shared" si="30"/>
        <v/>
      </c>
    </row>
    <row r="7" spans="1:43" s="374" customFormat="1">
      <c r="A7" s="906" t="str">
        <f t="shared" si="31"/>
        <v>2022/12/03</v>
      </c>
      <c r="B7" s="373" t="s">
        <v>294</v>
      </c>
      <c r="C7" s="373" t="str">
        <f t="shared" si="0"/>
        <v>Nhiệt độ điện giải (2)
電解 2 溫度</v>
      </c>
      <c r="D7" s="373" t="str">
        <f t="shared" si="1"/>
        <v>XL-001E</v>
      </c>
      <c r="E7" s="373" t="str">
        <f t="shared" si="2"/>
        <v>0C</v>
      </c>
      <c r="F7" s="373" t="str">
        <f t="shared" si="3"/>
        <v>50~60ºC
(55±3OC)</v>
      </c>
      <c r="G7" s="888">
        <f t="shared" si="17"/>
        <v>55</v>
      </c>
      <c r="H7" s="888">
        <f t="shared" si="4"/>
        <v>54</v>
      </c>
      <c r="I7" s="888">
        <f t="shared" si="5"/>
        <v>56</v>
      </c>
      <c r="J7" s="888">
        <f t="shared" si="6"/>
        <v>55</v>
      </c>
      <c r="K7" s="888">
        <f t="shared" si="7"/>
        <v>56</v>
      </c>
      <c r="L7" s="888">
        <f t="shared" si="8"/>
        <v>54</v>
      </c>
      <c r="M7" s="888">
        <f t="shared" si="9"/>
        <v>55</v>
      </c>
      <c r="N7" s="888">
        <f t="shared" si="10"/>
        <v>54</v>
      </c>
      <c r="O7" s="888">
        <f t="shared" si="11"/>
        <v>0</v>
      </c>
      <c r="P7" s="888">
        <f t="shared" si="12"/>
        <v>0</v>
      </c>
      <c r="Q7" s="888">
        <f t="shared" si="13"/>
        <v>56</v>
      </c>
      <c r="R7" s="888">
        <f t="shared" si="14"/>
        <v>55</v>
      </c>
      <c r="T7" s="895" t="b">
        <f t="shared" si="18"/>
        <v>1</v>
      </c>
      <c r="U7" s="895" t="b">
        <f t="shared" si="15"/>
        <v>1</v>
      </c>
      <c r="V7" s="895" t="b">
        <f t="shared" si="15"/>
        <v>1</v>
      </c>
      <c r="W7" s="895" t="b">
        <f t="shared" si="15"/>
        <v>1</v>
      </c>
      <c r="X7" s="895" t="b">
        <f t="shared" si="15"/>
        <v>1</v>
      </c>
      <c r="Y7" s="895" t="b">
        <f t="shared" si="15"/>
        <v>1</v>
      </c>
      <c r="Z7" s="895" t="b">
        <f t="shared" si="15"/>
        <v>1</v>
      </c>
      <c r="AA7" s="895" t="b">
        <f t="shared" si="15"/>
        <v>1</v>
      </c>
      <c r="AB7" s="895" t="b">
        <f t="shared" si="15"/>
        <v>1</v>
      </c>
      <c r="AC7" s="895" t="b">
        <f t="shared" si="15"/>
        <v>1</v>
      </c>
      <c r="AD7" s="895" t="b">
        <f t="shared" si="15"/>
        <v>1</v>
      </c>
      <c r="AE7" s="895" t="b">
        <f t="shared" si="15"/>
        <v>1</v>
      </c>
      <c r="AF7" s="913" t="str">
        <f t="shared" si="19"/>
        <v/>
      </c>
      <c r="AG7" s="914" t="str">
        <f t="shared" si="20"/>
        <v/>
      </c>
      <c r="AH7" s="914" t="str">
        <f t="shared" si="21"/>
        <v/>
      </c>
      <c r="AI7" s="914" t="str">
        <f t="shared" si="22"/>
        <v/>
      </c>
      <c r="AJ7" s="914" t="str">
        <f t="shared" si="23"/>
        <v/>
      </c>
      <c r="AK7" s="914" t="str">
        <f t="shared" si="24"/>
        <v/>
      </c>
      <c r="AL7" s="914" t="str">
        <f t="shared" si="25"/>
        <v/>
      </c>
      <c r="AM7" s="914" t="str">
        <f t="shared" si="26"/>
        <v/>
      </c>
      <c r="AN7" s="914" t="str">
        <f t="shared" si="27"/>
        <v/>
      </c>
      <c r="AO7" s="914" t="str">
        <f t="shared" si="28"/>
        <v/>
      </c>
      <c r="AP7" s="914" t="str">
        <f t="shared" si="29"/>
        <v/>
      </c>
      <c r="AQ7" s="915" t="str">
        <f t="shared" si="30"/>
        <v/>
      </c>
    </row>
    <row r="8" spans="1:43" s="374" customFormat="1">
      <c r="A8" s="906" t="str">
        <f t="shared" si="31"/>
        <v>2022/12/03</v>
      </c>
      <c r="B8" s="373" t="s">
        <v>355</v>
      </c>
      <c r="C8" s="373" t="str">
        <f t="shared" si="0"/>
        <v>Nhiệt độ bồn xi
鍍鋅槽溫度</v>
      </c>
      <c r="D8" s="373" t="str">
        <f t="shared" si="1"/>
        <v>XL-001E</v>
      </c>
      <c r="E8" s="373" t="str">
        <f t="shared" si="2"/>
        <v>0C</v>
      </c>
      <c r="F8" s="373" t="str">
        <f t="shared" si="3"/>
        <v>20~30ºC
(25±3OC)</v>
      </c>
      <c r="G8" s="888">
        <f t="shared" si="17"/>
        <v>32</v>
      </c>
      <c r="H8" s="888">
        <f t="shared" si="4"/>
        <v>31</v>
      </c>
      <c r="I8" s="888">
        <f t="shared" si="5"/>
        <v>33</v>
      </c>
      <c r="J8" s="888">
        <f t="shared" si="6"/>
        <v>32</v>
      </c>
      <c r="K8" s="888">
        <f t="shared" si="7"/>
        <v>34</v>
      </c>
      <c r="L8" s="888">
        <f t="shared" si="8"/>
        <v>33</v>
      </c>
      <c r="M8" s="888">
        <f t="shared" si="9"/>
        <v>31</v>
      </c>
      <c r="N8" s="888">
        <f t="shared" si="10"/>
        <v>31</v>
      </c>
      <c r="O8" s="888">
        <f t="shared" si="11"/>
        <v>0</v>
      </c>
      <c r="P8" s="888">
        <f t="shared" si="12"/>
        <v>0</v>
      </c>
      <c r="Q8" s="888">
        <f t="shared" si="13"/>
        <v>30</v>
      </c>
      <c r="R8" s="888">
        <f t="shared" si="14"/>
        <v>30</v>
      </c>
      <c r="T8" s="895" t="b">
        <f t="shared" si="18"/>
        <v>1</v>
      </c>
      <c r="U8" s="895" t="b">
        <f t="shared" si="15"/>
        <v>1</v>
      </c>
      <c r="V8" s="895" t="b">
        <f t="shared" si="15"/>
        <v>1</v>
      </c>
      <c r="W8" s="895" t="b">
        <f t="shared" si="15"/>
        <v>1</v>
      </c>
      <c r="X8" s="895" t="b">
        <f t="shared" si="15"/>
        <v>1</v>
      </c>
      <c r="Y8" s="895" t="b">
        <f t="shared" si="15"/>
        <v>1</v>
      </c>
      <c r="Z8" s="895" t="b">
        <f t="shared" si="15"/>
        <v>1</v>
      </c>
      <c r="AA8" s="895" t="b">
        <f t="shared" si="15"/>
        <v>1</v>
      </c>
      <c r="AB8" s="895" t="b">
        <f t="shared" si="15"/>
        <v>1</v>
      </c>
      <c r="AC8" s="895" t="b">
        <f t="shared" si="15"/>
        <v>1</v>
      </c>
      <c r="AD8" s="895" t="b">
        <f t="shared" si="15"/>
        <v>1</v>
      </c>
      <c r="AE8" s="895" t="b">
        <f t="shared" si="15"/>
        <v>1</v>
      </c>
      <c r="AF8" s="913" t="str">
        <f t="shared" si="19"/>
        <v/>
      </c>
      <c r="AG8" s="914" t="str">
        <f t="shared" si="20"/>
        <v/>
      </c>
      <c r="AH8" s="914" t="str">
        <f t="shared" si="21"/>
        <v/>
      </c>
      <c r="AI8" s="914" t="str">
        <f t="shared" si="22"/>
        <v/>
      </c>
      <c r="AJ8" s="914" t="str">
        <f t="shared" si="23"/>
        <v/>
      </c>
      <c r="AK8" s="914" t="str">
        <f t="shared" si="24"/>
        <v/>
      </c>
      <c r="AL8" s="914" t="str">
        <f t="shared" si="25"/>
        <v/>
      </c>
      <c r="AM8" s="914" t="str">
        <f t="shared" si="26"/>
        <v/>
      </c>
      <c r="AN8" s="914" t="str">
        <f t="shared" si="27"/>
        <v/>
      </c>
      <c r="AO8" s="914" t="str">
        <f t="shared" si="28"/>
        <v/>
      </c>
      <c r="AP8" s="914" t="str">
        <f t="shared" si="29"/>
        <v/>
      </c>
      <c r="AQ8" s="915" t="str">
        <f t="shared" si="30"/>
        <v/>
      </c>
    </row>
    <row r="9" spans="1:43" s="374" customFormat="1">
      <c r="A9" s="906" t="str">
        <f t="shared" si="31"/>
        <v>2022/12/03</v>
      </c>
      <c r="B9" s="373" t="s">
        <v>295</v>
      </c>
      <c r="C9" s="373" t="str">
        <f t="shared" si="0"/>
        <v>Nhiệt độ bồn màu Cr2O3
三價鉻 溫度</v>
      </c>
      <c r="D9" s="373" t="str">
        <f t="shared" si="1"/>
        <v>XL-001E</v>
      </c>
      <c r="E9" s="373" t="str">
        <f t="shared" si="2"/>
        <v>0C</v>
      </c>
      <c r="F9" s="373" t="str">
        <f t="shared" si="3"/>
        <v>35-45ºC
(40±3OC)</v>
      </c>
      <c r="G9" s="888">
        <f t="shared" si="17"/>
        <v>42</v>
      </c>
      <c r="H9" s="888">
        <f t="shared" si="4"/>
        <v>41</v>
      </c>
      <c r="I9" s="888">
        <f t="shared" si="5"/>
        <v>42</v>
      </c>
      <c r="J9" s="888">
        <f t="shared" si="6"/>
        <v>41</v>
      </c>
      <c r="K9" s="888">
        <f t="shared" si="7"/>
        <v>42</v>
      </c>
      <c r="L9" s="888">
        <f t="shared" si="8"/>
        <v>41</v>
      </c>
      <c r="M9" s="888">
        <f t="shared" si="9"/>
        <v>41</v>
      </c>
      <c r="N9" s="888">
        <f t="shared" si="10"/>
        <v>42</v>
      </c>
      <c r="O9" s="888">
        <f t="shared" si="11"/>
        <v>0</v>
      </c>
      <c r="P9" s="888">
        <f t="shared" si="12"/>
        <v>0</v>
      </c>
      <c r="Q9" s="888">
        <f t="shared" si="13"/>
        <v>40</v>
      </c>
      <c r="R9" s="888">
        <f t="shared" si="14"/>
        <v>41</v>
      </c>
      <c r="T9" s="895" t="b">
        <f t="shared" si="18"/>
        <v>1</v>
      </c>
      <c r="U9" s="895" t="b">
        <f t="shared" si="15"/>
        <v>1</v>
      </c>
      <c r="V9" s="895" t="b">
        <f t="shared" si="15"/>
        <v>1</v>
      </c>
      <c r="W9" s="895" t="b">
        <f t="shared" si="15"/>
        <v>1</v>
      </c>
      <c r="X9" s="895" t="b">
        <f t="shared" si="15"/>
        <v>1</v>
      </c>
      <c r="Y9" s="895" t="b">
        <f t="shared" si="15"/>
        <v>1</v>
      </c>
      <c r="Z9" s="895" t="b">
        <f t="shared" si="15"/>
        <v>1</v>
      </c>
      <c r="AA9" s="895" t="b">
        <f t="shared" si="15"/>
        <v>1</v>
      </c>
      <c r="AB9" s="895" t="b">
        <f t="shared" si="15"/>
        <v>1</v>
      </c>
      <c r="AC9" s="895" t="b">
        <f t="shared" si="15"/>
        <v>1</v>
      </c>
      <c r="AD9" s="895" t="b">
        <f t="shared" si="15"/>
        <v>1</v>
      </c>
      <c r="AE9" s="895" t="b">
        <f t="shared" si="15"/>
        <v>1</v>
      </c>
      <c r="AF9" s="913" t="str">
        <f t="shared" si="19"/>
        <v/>
      </c>
      <c r="AG9" s="914" t="str">
        <f t="shared" si="20"/>
        <v/>
      </c>
      <c r="AH9" s="914" t="str">
        <f t="shared" si="21"/>
        <v/>
      </c>
      <c r="AI9" s="914" t="str">
        <f t="shared" si="22"/>
        <v/>
      </c>
      <c r="AJ9" s="914" t="str">
        <f t="shared" si="23"/>
        <v/>
      </c>
      <c r="AK9" s="914" t="str">
        <f t="shared" si="24"/>
        <v/>
      </c>
      <c r="AL9" s="914" t="str">
        <f t="shared" si="25"/>
        <v/>
      </c>
      <c r="AM9" s="914" t="str">
        <f t="shared" si="26"/>
        <v/>
      </c>
      <c r="AN9" s="914" t="str">
        <f t="shared" si="27"/>
        <v/>
      </c>
      <c r="AO9" s="914" t="str">
        <f t="shared" si="28"/>
        <v/>
      </c>
      <c r="AP9" s="914" t="str">
        <f t="shared" si="29"/>
        <v/>
      </c>
      <c r="AQ9" s="915" t="str">
        <f t="shared" si="30"/>
        <v/>
      </c>
    </row>
    <row r="10" spans="1:43" s="374" customFormat="1">
      <c r="A10" s="906" t="str">
        <f t="shared" si="31"/>
        <v>2022/12/03</v>
      </c>
      <c r="B10" s="373" t="s">
        <v>296</v>
      </c>
      <c r="C10" s="373" t="str">
        <f t="shared" si="0"/>
        <v xml:space="preserve">Nhiệt độ bồn nước nóng
熱水溫度 </v>
      </c>
      <c r="D10" s="373" t="str">
        <f t="shared" si="1"/>
        <v>XL-001E</v>
      </c>
      <c r="E10" s="373" t="str">
        <f t="shared" si="2"/>
        <v>0C</v>
      </c>
      <c r="F10" s="373" t="str">
        <f t="shared" si="3"/>
        <v>55~65ºC
(60±3OC)</v>
      </c>
      <c r="G10" s="888">
        <f t="shared" si="17"/>
        <v>57</v>
      </c>
      <c r="H10" s="888">
        <f t="shared" si="4"/>
        <v>56</v>
      </c>
      <c r="I10" s="888">
        <f t="shared" si="5"/>
        <v>58</v>
      </c>
      <c r="J10" s="888">
        <f t="shared" si="6"/>
        <v>57</v>
      </c>
      <c r="K10" s="888">
        <f t="shared" si="7"/>
        <v>58</v>
      </c>
      <c r="L10" s="888">
        <f t="shared" si="8"/>
        <v>57</v>
      </c>
      <c r="M10" s="888">
        <f t="shared" si="9"/>
        <v>58</v>
      </c>
      <c r="N10" s="888">
        <f t="shared" si="10"/>
        <v>57</v>
      </c>
      <c r="O10" s="888">
        <f t="shared" si="11"/>
        <v>0</v>
      </c>
      <c r="P10" s="888">
        <f t="shared" si="12"/>
        <v>0</v>
      </c>
      <c r="Q10" s="888">
        <f t="shared" si="13"/>
        <v>59</v>
      </c>
      <c r="R10" s="888">
        <f t="shared" si="14"/>
        <v>58</v>
      </c>
      <c r="T10" s="895" t="b">
        <f t="shared" si="18"/>
        <v>1</v>
      </c>
      <c r="U10" s="895" t="b">
        <f t="shared" si="15"/>
        <v>1</v>
      </c>
      <c r="V10" s="895" t="b">
        <f t="shared" si="15"/>
        <v>1</v>
      </c>
      <c r="W10" s="895" t="b">
        <f t="shared" si="15"/>
        <v>1</v>
      </c>
      <c r="X10" s="895" t="b">
        <f t="shared" si="15"/>
        <v>1</v>
      </c>
      <c r="Y10" s="895" t="b">
        <f t="shared" si="15"/>
        <v>1</v>
      </c>
      <c r="Z10" s="895" t="b">
        <f t="shared" si="15"/>
        <v>1</v>
      </c>
      <c r="AA10" s="895" t="b">
        <f t="shared" si="15"/>
        <v>1</v>
      </c>
      <c r="AB10" s="895" t="b">
        <f t="shared" si="15"/>
        <v>1</v>
      </c>
      <c r="AC10" s="895" t="b">
        <f t="shared" si="15"/>
        <v>1</v>
      </c>
      <c r="AD10" s="895" t="b">
        <f t="shared" si="15"/>
        <v>1</v>
      </c>
      <c r="AE10" s="895" t="b">
        <f t="shared" si="15"/>
        <v>1</v>
      </c>
      <c r="AF10" s="913" t="str">
        <f t="shared" si="19"/>
        <v/>
      </c>
      <c r="AG10" s="914" t="str">
        <f t="shared" si="20"/>
        <v/>
      </c>
      <c r="AH10" s="914" t="str">
        <f t="shared" si="21"/>
        <v/>
      </c>
      <c r="AI10" s="914" t="str">
        <f t="shared" si="22"/>
        <v/>
      </c>
      <c r="AJ10" s="914" t="str">
        <f t="shared" si="23"/>
        <v/>
      </c>
      <c r="AK10" s="914" t="str">
        <f t="shared" si="24"/>
        <v/>
      </c>
      <c r="AL10" s="914" t="str">
        <f t="shared" si="25"/>
        <v/>
      </c>
      <c r="AM10" s="914" t="str">
        <f t="shared" si="26"/>
        <v/>
      </c>
      <c r="AN10" s="914" t="str">
        <f t="shared" si="27"/>
        <v/>
      </c>
      <c r="AO10" s="914" t="str">
        <f t="shared" si="28"/>
        <v/>
      </c>
      <c r="AP10" s="914" t="str">
        <f t="shared" si="29"/>
        <v/>
      </c>
      <c r="AQ10" s="915" t="str">
        <f t="shared" si="30"/>
        <v/>
      </c>
    </row>
    <row r="11" spans="1:43" s="374" customFormat="1">
      <c r="A11" s="906" t="str">
        <f t="shared" si="31"/>
        <v>2022/12/03</v>
      </c>
      <c r="B11" s="373" t="s">
        <v>297</v>
      </c>
      <c r="C11" s="373" t="str">
        <f t="shared" si="0"/>
        <v>Sấy khô
烘乾</v>
      </c>
      <c r="D11" s="373" t="str">
        <f t="shared" si="1"/>
        <v>XL-001E</v>
      </c>
      <c r="E11" s="373" t="str">
        <f t="shared" si="2"/>
        <v>0C</v>
      </c>
      <c r="F11" s="373" t="str">
        <f t="shared" si="3"/>
        <v>65~75ºC
(70±3OC)</v>
      </c>
      <c r="G11" s="888">
        <f t="shared" si="17"/>
        <v>0</v>
      </c>
      <c r="H11" s="888">
        <f t="shared" si="4"/>
        <v>73</v>
      </c>
      <c r="I11" s="888">
        <f t="shared" si="5"/>
        <v>0</v>
      </c>
      <c r="J11" s="888">
        <f t="shared" si="6"/>
        <v>74</v>
      </c>
      <c r="K11" s="888">
        <f t="shared" si="7"/>
        <v>0</v>
      </c>
      <c r="L11" s="888">
        <f t="shared" si="8"/>
        <v>70</v>
      </c>
      <c r="M11" s="888">
        <f t="shared" si="9"/>
        <v>0</v>
      </c>
      <c r="N11" s="888">
        <f t="shared" si="10"/>
        <v>74</v>
      </c>
      <c r="O11" s="888">
        <f t="shared" si="11"/>
        <v>0</v>
      </c>
      <c r="P11" s="888">
        <f t="shared" si="12"/>
        <v>0</v>
      </c>
      <c r="Q11" s="888">
        <f t="shared" si="13"/>
        <v>0</v>
      </c>
      <c r="R11" s="888">
        <f t="shared" si="14"/>
        <v>73</v>
      </c>
      <c r="T11" s="895" t="b">
        <f t="shared" si="18"/>
        <v>1</v>
      </c>
      <c r="U11" s="895" t="b">
        <f t="shared" si="15"/>
        <v>1</v>
      </c>
      <c r="V11" s="895" t="b">
        <f t="shared" si="15"/>
        <v>1</v>
      </c>
      <c r="W11" s="895" t="b">
        <f t="shared" si="15"/>
        <v>1</v>
      </c>
      <c r="X11" s="895" t="b">
        <f t="shared" si="15"/>
        <v>1</v>
      </c>
      <c r="Y11" s="895" t="b">
        <f t="shared" si="15"/>
        <v>1</v>
      </c>
      <c r="Z11" s="895" t="b">
        <f t="shared" si="15"/>
        <v>1</v>
      </c>
      <c r="AA11" s="895" t="b">
        <f t="shared" si="15"/>
        <v>1</v>
      </c>
      <c r="AB11" s="895" t="b">
        <f t="shared" si="15"/>
        <v>1</v>
      </c>
      <c r="AC11" s="895" t="b">
        <f t="shared" si="15"/>
        <v>1</v>
      </c>
      <c r="AD11" s="895" t="b">
        <f t="shared" si="15"/>
        <v>1</v>
      </c>
      <c r="AE11" s="895" t="b">
        <f t="shared" si="15"/>
        <v>1</v>
      </c>
      <c r="AF11" s="913" t="str">
        <f t="shared" si="19"/>
        <v/>
      </c>
      <c r="AG11" s="914" t="str">
        <f t="shared" si="20"/>
        <v/>
      </c>
      <c r="AH11" s="914" t="str">
        <f t="shared" si="21"/>
        <v/>
      </c>
      <c r="AI11" s="914" t="str">
        <f t="shared" si="22"/>
        <v/>
      </c>
      <c r="AJ11" s="914" t="str">
        <f t="shared" si="23"/>
        <v/>
      </c>
      <c r="AK11" s="914" t="str">
        <f t="shared" si="24"/>
        <v/>
      </c>
      <c r="AL11" s="914" t="str">
        <f t="shared" si="25"/>
        <v/>
      </c>
      <c r="AM11" s="914" t="str">
        <f t="shared" si="26"/>
        <v/>
      </c>
      <c r="AN11" s="914" t="str">
        <f t="shared" si="27"/>
        <v/>
      </c>
      <c r="AO11" s="914" t="str">
        <f t="shared" si="28"/>
        <v/>
      </c>
      <c r="AP11" s="914" t="str">
        <f t="shared" si="29"/>
        <v/>
      </c>
      <c r="AQ11" s="915" t="str">
        <f t="shared" si="30"/>
        <v/>
      </c>
    </row>
    <row r="12" spans="1:43" s="374" customFormat="1">
      <c r="A12" s="906" t="str">
        <f t="shared" si="31"/>
        <v>2022/12/03</v>
      </c>
      <c r="B12" s="373" t="s">
        <v>314</v>
      </c>
      <c r="C12" s="373" t="str">
        <f t="shared" si="0"/>
        <v>Nhiệt  độ xà bông nóng (1)
 熱脫脂溫度(1)</v>
      </c>
      <c r="D12" s="373" t="str">
        <f t="shared" si="1"/>
        <v>XL-001F</v>
      </c>
      <c r="E12" s="373" t="str">
        <f t="shared" si="2"/>
        <v>0C</v>
      </c>
      <c r="F12" s="373" t="str">
        <f t="shared" si="3"/>
        <v>50~70ºC
(60±3OC)</v>
      </c>
      <c r="G12" s="888">
        <f t="shared" si="17"/>
        <v>63</v>
      </c>
      <c r="H12" s="888">
        <f t="shared" si="4"/>
        <v>64</v>
      </c>
      <c r="I12" s="888">
        <f t="shared" si="5"/>
        <v>64</v>
      </c>
      <c r="J12" s="888">
        <f t="shared" si="6"/>
        <v>65</v>
      </c>
      <c r="K12" s="888">
        <f t="shared" si="7"/>
        <v>64</v>
      </c>
      <c r="L12" s="888">
        <f t="shared" si="8"/>
        <v>66</v>
      </c>
      <c r="M12" s="888">
        <f t="shared" si="9"/>
        <v>67</v>
      </c>
      <c r="N12" s="888">
        <f t="shared" si="10"/>
        <v>65</v>
      </c>
      <c r="O12" s="888">
        <f t="shared" si="11"/>
        <v>0</v>
      </c>
      <c r="P12" s="888">
        <f t="shared" si="12"/>
        <v>0</v>
      </c>
      <c r="Q12" s="888">
        <f t="shared" si="13"/>
        <v>67</v>
      </c>
      <c r="R12" s="888">
        <f t="shared" si="14"/>
        <v>66</v>
      </c>
      <c r="T12" s="895" t="b">
        <f t="shared" si="18"/>
        <v>1</v>
      </c>
      <c r="U12" s="895" t="b">
        <f t="shared" si="15"/>
        <v>1</v>
      </c>
      <c r="V12" s="895" t="b">
        <f t="shared" si="15"/>
        <v>1</v>
      </c>
      <c r="W12" s="895" t="b">
        <f t="shared" si="15"/>
        <v>1</v>
      </c>
      <c r="X12" s="895" t="b">
        <f t="shared" si="15"/>
        <v>1</v>
      </c>
      <c r="Y12" s="895" t="b">
        <f t="shared" si="15"/>
        <v>1</v>
      </c>
      <c r="Z12" s="895" t="b">
        <f t="shared" si="15"/>
        <v>1</v>
      </c>
      <c r="AA12" s="895" t="b">
        <f t="shared" si="15"/>
        <v>1</v>
      </c>
      <c r="AB12" s="895" t="b">
        <f t="shared" si="15"/>
        <v>1</v>
      </c>
      <c r="AC12" s="895" t="b">
        <f t="shared" si="15"/>
        <v>1</v>
      </c>
      <c r="AD12" s="895" t="b">
        <f t="shared" si="15"/>
        <v>1</v>
      </c>
      <c r="AE12" s="895" t="b">
        <f t="shared" si="15"/>
        <v>1</v>
      </c>
      <c r="AF12" s="913" t="str">
        <f t="shared" si="19"/>
        <v/>
      </c>
      <c r="AG12" s="914" t="str">
        <f t="shared" si="20"/>
        <v/>
      </c>
      <c r="AH12" s="914" t="str">
        <f t="shared" si="21"/>
        <v/>
      </c>
      <c r="AI12" s="914" t="str">
        <f t="shared" si="22"/>
        <v/>
      </c>
      <c r="AJ12" s="914" t="str">
        <f t="shared" si="23"/>
        <v/>
      </c>
      <c r="AK12" s="914" t="str">
        <f t="shared" si="24"/>
        <v/>
      </c>
      <c r="AL12" s="914" t="str">
        <f t="shared" si="25"/>
        <v/>
      </c>
      <c r="AM12" s="914" t="str">
        <f t="shared" si="26"/>
        <v/>
      </c>
      <c r="AN12" s="914" t="str">
        <f t="shared" si="27"/>
        <v/>
      </c>
      <c r="AO12" s="914" t="str">
        <f t="shared" si="28"/>
        <v/>
      </c>
      <c r="AP12" s="914" t="str">
        <f t="shared" si="29"/>
        <v/>
      </c>
      <c r="AQ12" s="915" t="str">
        <f t="shared" si="30"/>
        <v/>
      </c>
    </row>
    <row r="13" spans="1:43" s="374" customFormat="1">
      <c r="A13" s="906" t="str">
        <f t="shared" si="31"/>
        <v>2022/12/03</v>
      </c>
      <c r="B13" s="373" t="s">
        <v>315</v>
      </c>
      <c r="C13" s="373" t="str">
        <f t="shared" si="0"/>
        <v>Nhiệt  độ xà bông nóng (2)
 熱脫脂溫度(2)</v>
      </c>
      <c r="D13" s="373" t="str">
        <f t="shared" si="1"/>
        <v>XL-001F</v>
      </c>
      <c r="E13" s="373" t="str">
        <f t="shared" si="2"/>
        <v>0C</v>
      </c>
      <c r="F13" s="373" t="str">
        <f t="shared" si="3"/>
        <v>50~70ºC
(60±3OC)</v>
      </c>
      <c r="G13" s="888">
        <f t="shared" si="17"/>
        <v>62</v>
      </c>
      <c r="H13" s="888">
        <f t="shared" si="4"/>
        <v>63</v>
      </c>
      <c r="I13" s="888">
        <f t="shared" si="5"/>
        <v>63</v>
      </c>
      <c r="J13" s="888">
        <f t="shared" si="6"/>
        <v>64</v>
      </c>
      <c r="K13" s="888">
        <f t="shared" si="7"/>
        <v>62</v>
      </c>
      <c r="L13" s="888">
        <f t="shared" si="8"/>
        <v>64</v>
      </c>
      <c r="M13" s="888">
        <f t="shared" si="9"/>
        <v>65</v>
      </c>
      <c r="N13" s="888">
        <f t="shared" si="10"/>
        <v>64</v>
      </c>
      <c r="O13" s="888">
        <f t="shared" si="11"/>
        <v>0</v>
      </c>
      <c r="P13" s="888">
        <f t="shared" si="12"/>
        <v>0</v>
      </c>
      <c r="Q13" s="888">
        <f t="shared" si="13"/>
        <v>66</v>
      </c>
      <c r="R13" s="888">
        <f t="shared" si="14"/>
        <v>65</v>
      </c>
      <c r="T13" s="895" t="b">
        <f t="shared" si="18"/>
        <v>1</v>
      </c>
      <c r="U13" s="895" t="b">
        <f t="shared" si="15"/>
        <v>1</v>
      </c>
      <c r="V13" s="895" t="b">
        <f t="shared" si="15"/>
        <v>1</v>
      </c>
      <c r="W13" s="895" t="b">
        <f t="shared" si="15"/>
        <v>1</v>
      </c>
      <c r="X13" s="895" t="b">
        <f t="shared" si="15"/>
        <v>1</v>
      </c>
      <c r="Y13" s="895" t="b">
        <f t="shared" si="15"/>
        <v>1</v>
      </c>
      <c r="Z13" s="895" t="b">
        <f t="shared" si="15"/>
        <v>1</v>
      </c>
      <c r="AA13" s="895" t="b">
        <f t="shared" si="15"/>
        <v>1</v>
      </c>
      <c r="AB13" s="895" t="b">
        <f t="shared" si="15"/>
        <v>1</v>
      </c>
      <c r="AC13" s="895" t="b">
        <f t="shared" si="15"/>
        <v>1</v>
      </c>
      <c r="AD13" s="895" t="b">
        <f t="shared" si="15"/>
        <v>1</v>
      </c>
      <c r="AE13" s="895" t="b">
        <f t="shared" si="15"/>
        <v>1</v>
      </c>
      <c r="AF13" s="913" t="str">
        <f t="shared" si="19"/>
        <v/>
      </c>
      <c r="AG13" s="914" t="str">
        <f t="shared" si="20"/>
        <v/>
      </c>
      <c r="AH13" s="914" t="str">
        <f t="shared" si="21"/>
        <v/>
      </c>
      <c r="AI13" s="914" t="str">
        <f t="shared" si="22"/>
        <v/>
      </c>
      <c r="AJ13" s="914" t="str">
        <f t="shared" si="23"/>
        <v/>
      </c>
      <c r="AK13" s="914" t="str">
        <f t="shared" si="24"/>
        <v/>
      </c>
      <c r="AL13" s="914" t="str">
        <f t="shared" si="25"/>
        <v/>
      </c>
      <c r="AM13" s="914" t="str">
        <f t="shared" si="26"/>
        <v/>
      </c>
      <c r="AN13" s="914" t="str">
        <f t="shared" si="27"/>
        <v/>
      </c>
      <c r="AO13" s="914" t="str">
        <f t="shared" si="28"/>
        <v/>
      </c>
      <c r="AP13" s="914" t="str">
        <f t="shared" si="29"/>
        <v/>
      </c>
      <c r="AQ13" s="915" t="str">
        <f t="shared" si="30"/>
        <v/>
      </c>
    </row>
    <row r="14" spans="1:43" s="374" customFormat="1">
      <c r="A14" s="906" t="str">
        <f t="shared" si="31"/>
        <v>2022/12/03</v>
      </c>
      <c r="B14" s="373" t="s">
        <v>316</v>
      </c>
      <c r="C14" s="373" t="str">
        <f t="shared" si="0"/>
        <v>Nhiệt độ điện giải (1) 
電解1 溫度</v>
      </c>
      <c r="D14" s="373" t="str">
        <f t="shared" si="1"/>
        <v>XL-001F</v>
      </c>
      <c r="E14" s="373" t="str">
        <f t="shared" si="2"/>
        <v>0C</v>
      </c>
      <c r="F14" s="373" t="str">
        <f t="shared" si="3"/>
        <v>50~70ºC
(60±3OC)</v>
      </c>
      <c r="G14" s="888">
        <f t="shared" si="17"/>
        <v>55</v>
      </c>
      <c r="H14" s="888">
        <f t="shared" si="4"/>
        <v>54</v>
      </c>
      <c r="I14" s="888">
        <f t="shared" si="5"/>
        <v>60</v>
      </c>
      <c r="J14" s="888">
        <f t="shared" si="6"/>
        <v>61</v>
      </c>
      <c r="K14" s="888">
        <f t="shared" si="7"/>
        <v>60</v>
      </c>
      <c r="L14" s="888">
        <f t="shared" si="8"/>
        <v>59</v>
      </c>
      <c r="M14" s="888">
        <f t="shared" si="9"/>
        <v>61</v>
      </c>
      <c r="N14" s="888">
        <f t="shared" si="10"/>
        <v>60</v>
      </c>
      <c r="O14" s="888">
        <f t="shared" si="11"/>
        <v>0</v>
      </c>
      <c r="P14" s="888">
        <f t="shared" si="12"/>
        <v>0</v>
      </c>
      <c r="Q14" s="888">
        <f t="shared" si="13"/>
        <v>59</v>
      </c>
      <c r="R14" s="888">
        <f t="shared" si="14"/>
        <v>58</v>
      </c>
      <c r="T14" s="895" t="b">
        <f t="shared" si="18"/>
        <v>1</v>
      </c>
      <c r="U14" s="895" t="b">
        <f t="shared" si="15"/>
        <v>1</v>
      </c>
      <c r="V14" s="895" t="b">
        <f t="shared" si="15"/>
        <v>1</v>
      </c>
      <c r="W14" s="895" t="b">
        <f t="shared" si="15"/>
        <v>1</v>
      </c>
      <c r="X14" s="895" t="b">
        <f t="shared" si="15"/>
        <v>1</v>
      </c>
      <c r="Y14" s="895" t="b">
        <f t="shared" si="15"/>
        <v>1</v>
      </c>
      <c r="Z14" s="895" t="b">
        <f t="shared" si="15"/>
        <v>1</v>
      </c>
      <c r="AA14" s="895" t="b">
        <f t="shared" si="15"/>
        <v>1</v>
      </c>
      <c r="AB14" s="895" t="b">
        <f t="shared" si="15"/>
        <v>1</v>
      </c>
      <c r="AC14" s="895" t="b">
        <f t="shared" si="15"/>
        <v>1</v>
      </c>
      <c r="AD14" s="895" t="b">
        <f t="shared" si="15"/>
        <v>1</v>
      </c>
      <c r="AE14" s="895" t="b">
        <f t="shared" si="15"/>
        <v>1</v>
      </c>
      <c r="AF14" s="913" t="str">
        <f t="shared" si="19"/>
        <v/>
      </c>
      <c r="AG14" s="914" t="str">
        <f t="shared" si="20"/>
        <v/>
      </c>
      <c r="AH14" s="914" t="str">
        <f t="shared" si="21"/>
        <v/>
      </c>
      <c r="AI14" s="914" t="str">
        <f t="shared" si="22"/>
        <v/>
      </c>
      <c r="AJ14" s="914" t="str">
        <f t="shared" si="23"/>
        <v/>
      </c>
      <c r="AK14" s="914" t="str">
        <f t="shared" si="24"/>
        <v/>
      </c>
      <c r="AL14" s="914" t="str">
        <f t="shared" si="25"/>
        <v/>
      </c>
      <c r="AM14" s="914" t="str">
        <f t="shared" si="26"/>
        <v/>
      </c>
      <c r="AN14" s="914" t="str">
        <f t="shared" si="27"/>
        <v/>
      </c>
      <c r="AO14" s="914" t="str">
        <f t="shared" si="28"/>
        <v/>
      </c>
      <c r="AP14" s="914" t="str">
        <f t="shared" si="29"/>
        <v/>
      </c>
      <c r="AQ14" s="915" t="str">
        <f t="shared" si="30"/>
        <v/>
      </c>
    </row>
    <row r="15" spans="1:43" s="374" customFormat="1">
      <c r="A15" s="906" t="str">
        <f t="shared" si="31"/>
        <v>2022/12/03</v>
      </c>
      <c r="B15" s="373" t="s">
        <v>317</v>
      </c>
      <c r="C15" s="373" t="str">
        <f t="shared" si="0"/>
        <v>Nhiệt độ điện giải (2)
電解 2 溫度</v>
      </c>
      <c r="D15" s="373" t="str">
        <f t="shared" si="1"/>
        <v>XL-001F</v>
      </c>
      <c r="E15" s="373" t="str">
        <f t="shared" si="2"/>
        <v>0C</v>
      </c>
      <c r="F15" s="373" t="str">
        <f t="shared" si="3"/>
        <v>50~70ºC
(60±3OC)</v>
      </c>
      <c r="G15" s="888">
        <f t="shared" si="17"/>
        <v>54</v>
      </c>
      <c r="H15" s="888">
        <f t="shared" si="4"/>
        <v>53</v>
      </c>
      <c r="I15" s="888">
        <f t="shared" si="5"/>
        <v>51</v>
      </c>
      <c r="J15" s="888">
        <f t="shared" si="6"/>
        <v>50</v>
      </c>
      <c r="K15" s="888">
        <f t="shared" si="7"/>
        <v>51</v>
      </c>
      <c r="L15" s="888">
        <f t="shared" si="8"/>
        <v>50</v>
      </c>
      <c r="M15" s="888">
        <f t="shared" si="9"/>
        <v>52</v>
      </c>
      <c r="N15" s="888">
        <f t="shared" si="10"/>
        <v>50</v>
      </c>
      <c r="O15" s="888">
        <f t="shared" si="11"/>
        <v>0</v>
      </c>
      <c r="P15" s="888">
        <f t="shared" si="12"/>
        <v>0</v>
      </c>
      <c r="Q15" s="888">
        <f t="shared" si="13"/>
        <v>54</v>
      </c>
      <c r="R15" s="888">
        <f t="shared" si="14"/>
        <v>52</v>
      </c>
      <c r="T15" s="895" t="b">
        <f t="shared" si="18"/>
        <v>1</v>
      </c>
      <c r="U15" s="895" t="b">
        <f t="shared" si="15"/>
        <v>1</v>
      </c>
      <c r="V15" s="895" t="b">
        <f t="shared" si="15"/>
        <v>1</v>
      </c>
      <c r="W15" s="895" t="b">
        <f t="shared" si="15"/>
        <v>1</v>
      </c>
      <c r="X15" s="895" t="b">
        <f t="shared" si="15"/>
        <v>1</v>
      </c>
      <c r="Y15" s="895" t="b">
        <f t="shared" si="15"/>
        <v>1</v>
      </c>
      <c r="Z15" s="895" t="b">
        <f t="shared" si="15"/>
        <v>1</v>
      </c>
      <c r="AA15" s="895" t="b">
        <f t="shared" si="15"/>
        <v>1</v>
      </c>
      <c r="AB15" s="895" t="b">
        <f t="shared" si="15"/>
        <v>1</v>
      </c>
      <c r="AC15" s="895" t="b">
        <f t="shared" si="15"/>
        <v>1</v>
      </c>
      <c r="AD15" s="895" t="b">
        <f t="shared" si="15"/>
        <v>1</v>
      </c>
      <c r="AE15" s="895" t="b">
        <f t="shared" si="15"/>
        <v>1</v>
      </c>
      <c r="AF15" s="913" t="str">
        <f t="shared" si="19"/>
        <v/>
      </c>
      <c r="AG15" s="914" t="str">
        <f t="shared" si="20"/>
        <v/>
      </c>
      <c r="AH15" s="914" t="str">
        <f t="shared" si="21"/>
        <v/>
      </c>
      <c r="AI15" s="914" t="str">
        <f t="shared" si="22"/>
        <v/>
      </c>
      <c r="AJ15" s="914" t="str">
        <f t="shared" si="23"/>
        <v/>
      </c>
      <c r="AK15" s="914" t="str">
        <f t="shared" si="24"/>
        <v/>
      </c>
      <c r="AL15" s="914" t="str">
        <f t="shared" si="25"/>
        <v/>
      </c>
      <c r="AM15" s="914" t="str">
        <f t="shared" si="26"/>
        <v/>
      </c>
      <c r="AN15" s="914" t="str">
        <f t="shared" si="27"/>
        <v/>
      </c>
      <c r="AO15" s="914" t="str">
        <f t="shared" si="28"/>
        <v/>
      </c>
      <c r="AP15" s="914" t="str">
        <f t="shared" si="29"/>
        <v/>
      </c>
      <c r="AQ15" s="915" t="str">
        <f t="shared" si="30"/>
        <v/>
      </c>
    </row>
    <row r="16" spans="1:43" s="374" customFormat="1">
      <c r="A16" s="906" t="str">
        <f t="shared" si="31"/>
        <v>2022/12/03</v>
      </c>
      <c r="B16" s="373" t="s">
        <v>356</v>
      </c>
      <c r="C16" s="373" t="str">
        <f t="shared" si="0"/>
        <v>Nhiệt độ bồn xi
鍍鋅槽溫度</v>
      </c>
      <c r="D16" s="373" t="str">
        <f t="shared" si="1"/>
        <v>XL-001F</v>
      </c>
      <c r="E16" s="373" t="str">
        <f t="shared" si="2"/>
        <v>0C</v>
      </c>
      <c r="F16" s="373" t="str">
        <f t="shared" si="3"/>
        <v>22~30ºC
(24±1OC)</v>
      </c>
      <c r="G16" s="888">
        <f t="shared" si="17"/>
        <v>26</v>
      </c>
      <c r="H16" s="888">
        <f t="shared" si="4"/>
        <v>25</v>
      </c>
      <c r="I16" s="888">
        <f t="shared" si="5"/>
        <v>28</v>
      </c>
      <c r="J16" s="888">
        <f t="shared" si="6"/>
        <v>27</v>
      </c>
      <c r="K16" s="888">
        <f t="shared" si="7"/>
        <v>28</v>
      </c>
      <c r="L16" s="888">
        <f t="shared" si="8"/>
        <v>27</v>
      </c>
      <c r="M16" s="888">
        <f t="shared" si="9"/>
        <v>27</v>
      </c>
      <c r="N16" s="888">
        <f t="shared" si="10"/>
        <v>27</v>
      </c>
      <c r="O16" s="888">
        <f t="shared" si="11"/>
        <v>0</v>
      </c>
      <c r="P16" s="888">
        <f t="shared" si="12"/>
        <v>0</v>
      </c>
      <c r="Q16" s="888">
        <f t="shared" si="13"/>
        <v>27</v>
      </c>
      <c r="R16" s="888">
        <f t="shared" si="14"/>
        <v>26</v>
      </c>
      <c r="T16" s="895" t="b">
        <f t="shared" si="18"/>
        <v>1</v>
      </c>
      <c r="U16" s="895" t="b">
        <f t="shared" si="15"/>
        <v>1</v>
      </c>
      <c r="V16" s="895" t="b">
        <f t="shared" si="15"/>
        <v>1</v>
      </c>
      <c r="W16" s="895" t="b">
        <f t="shared" si="15"/>
        <v>1</v>
      </c>
      <c r="X16" s="895" t="b">
        <f t="shared" si="15"/>
        <v>1</v>
      </c>
      <c r="Y16" s="895" t="b">
        <f t="shared" si="15"/>
        <v>1</v>
      </c>
      <c r="Z16" s="895" t="b">
        <f t="shared" si="15"/>
        <v>1</v>
      </c>
      <c r="AA16" s="895" t="b">
        <f t="shared" si="15"/>
        <v>1</v>
      </c>
      <c r="AB16" s="895" t="b">
        <f t="shared" si="15"/>
        <v>1</v>
      </c>
      <c r="AC16" s="895" t="b">
        <f t="shared" si="15"/>
        <v>1</v>
      </c>
      <c r="AD16" s="895" t="b">
        <f t="shared" si="15"/>
        <v>1</v>
      </c>
      <c r="AE16" s="895" t="b">
        <f t="shared" si="15"/>
        <v>1</v>
      </c>
      <c r="AF16" s="913" t="str">
        <f t="shared" si="19"/>
        <v/>
      </c>
      <c r="AG16" s="914" t="str">
        <f t="shared" si="20"/>
        <v/>
      </c>
      <c r="AH16" s="914" t="str">
        <f t="shared" si="21"/>
        <v/>
      </c>
      <c r="AI16" s="914" t="str">
        <f t="shared" si="22"/>
        <v/>
      </c>
      <c r="AJ16" s="914" t="str">
        <f t="shared" si="23"/>
        <v/>
      </c>
      <c r="AK16" s="914" t="str">
        <f t="shared" si="24"/>
        <v/>
      </c>
      <c r="AL16" s="914" t="str">
        <f t="shared" si="25"/>
        <v/>
      </c>
      <c r="AM16" s="914" t="str">
        <f t="shared" si="26"/>
        <v/>
      </c>
      <c r="AN16" s="914" t="str">
        <f t="shared" si="27"/>
        <v/>
      </c>
      <c r="AO16" s="914" t="str">
        <f t="shared" si="28"/>
        <v/>
      </c>
      <c r="AP16" s="914" t="str">
        <f t="shared" si="29"/>
        <v/>
      </c>
      <c r="AQ16" s="915" t="str">
        <f t="shared" si="30"/>
        <v/>
      </c>
    </row>
    <row r="17" spans="1:43">
      <c r="A17" s="906" t="str">
        <f t="shared" si="31"/>
        <v>2022/12/03</v>
      </c>
      <c r="B17" s="373" t="s">
        <v>318</v>
      </c>
      <c r="C17" s="373" t="str">
        <f t="shared" si="0"/>
        <v>Nhiệt độ bồn màu Cr2O3
三價鉻 溫度</v>
      </c>
      <c r="D17" s="373" t="str">
        <f t="shared" si="1"/>
        <v>XL-001F</v>
      </c>
      <c r="E17" s="373" t="str">
        <f t="shared" si="2"/>
        <v>0C</v>
      </c>
      <c r="F17" s="373" t="str">
        <f t="shared" si="3"/>
        <v>30-38ºC
(34±2OC)</v>
      </c>
      <c r="G17" s="888">
        <f t="shared" si="17"/>
        <v>36</v>
      </c>
      <c r="H17" s="888">
        <f t="shared" si="4"/>
        <v>35</v>
      </c>
      <c r="I17" s="888">
        <f t="shared" si="5"/>
        <v>37</v>
      </c>
      <c r="J17" s="888">
        <f t="shared" si="6"/>
        <v>36</v>
      </c>
      <c r="K17" s="888">
        <f t="shared" si="7"/>
        <v>37</v>
      </c>
      <c r="L17" s="888">
        <f t="shared" si="8"/>
        <v>36</v>
      </c>
      <c r="M17" s="888">
        <f t="shared" si="9"/>
        <v>36</v>
      </c>
      <c r="N17" s="888">
        <f t="shared" si="10"/>
        <v>35</v>
      </c>
      <c r="O17" s="888">
        <f t="shared" si="11"/>
        <v>0</v>
      </c>
      <c r="P17" s="888">
        <f t="shared" si="12"/>
        <v>0</v>
      </c>
      <c r="Q17" s="888">
        <f t="shared" si="13"/>
        <v>36</v>
      </c>
      <c r="R17" s="888">
        <f t="shared" si="14"/>
        <v>35</v>
      </c>
      <c r="T17" s="895" t="b">
        <f t="shared" si="18"/>
        <v>1</v>
      </c>
      <c r="U17" s="895" t="b">
        <f t="shared" si="15"/>
        <v>1</v>
      </c>
      <c r="V17" s="895" t="b">
        <f t="shared" si="15"/>
        <v>1</v>
      </c>
      <c r="W17" s="895" t="b">
        <f t="shared" si="15"/>
        <v>1</v>
      </c>
      <c r="X17" s="895" t="b">
        <f t="shared" si="15"/>
        <v>1</v>
      </c>
      <c r="Y17" s="895" t="b">
        <f t="shared" si="15"/>
        <v>1</v>
      </c>
      <c r="Z17" s="895" t="b">
        <f t="shared" si="15"/>
        <v>1</v>
      </c>
      <c r="AA17" s="895" t="b">
        <f t="shared" si="15"/>
        <v>1</v>
      </c>
      <c r="AB17" s="895" t="b">
        <f t="shared" si="15"/>
        <v>1</v>
      </c>
      <c r="AC17" s="895" t="b">
        <f t="shared" si="15"/>
        <v>1</v>
      </c>
      <c r="AD17" s="895" t="b">
        <f t="shared" si="15"/>
        <v>1</v>
      </c>
      <c r="AE17" s="895" t="b">
        <f t="shared" si="15"/>
        <v>1</v>
      </c>
      <c r="AF17" s="913" t="str">
        <f t="shared" si="19"/>
        <v/>
      </c>
      <c r="AG17" s="914" t="str">
        <f t="shared" si="20"/>
        <v/>
      </c>
      <c r="AH17" s="914" t="str">
        <f t="shared" si="21"/>
        <v/>
      </c>
      <c r="AI17" s="914" t="str">
        <f t="shared" si="22"/>
        <v/>
      </c>
      <c r="AJ17" s="914" t="str">
        <f t="shared" si="23"/>
        <v/>
      </c>
      <c r="AK17" s="914" t="str">
        <f t="shared" si="24"/>
        <v/>
      </c>
      <c r="AL17" s="914" t="str">
        <f t="shared" si="25"/>
        <v/>
      </c>
      <c r="AM17" s="914" t="str">
        <f t="shared" si="26"/>
        <v/>
      </c>
      <c r="AN17" s="914" t="str">
        <f t="shared" si="27"/>
        <v/>
      </c>
      <c r="AO17" s="914" t="str">
        <f t="shared" si="28"/>
        <v/>
      </c>
      <c r="AP17" s="914" t="str">
        <f t="shared" si="29"/>
        <v/>
      </c>
      <c r="AQ17" s="915" t="str">
        <f t="shared" si="30"/>
        <v/>
      </c>
    </row>
    <row r="18" spans="1:43" s="374" customFormat="1">
      <c r="A18" s="906" t="str">
        <f t="shared" si="31"/>
        <v>2022/12/03</v>
      </c>
      <c r="B18" s="373" t="s">
        <v>319</v>
      </c>
      <c r="C18" s="373" t="str">
        <f t="shared" si="0"/>
        <v xml:space="preserve">Nhiệt độ bồn nước nóng
熱水溫度 </v>
      </c>
      <c r="D18" s="373" t="str">
        <f t="shared" si="1"/>
        <v>XL-001F</v>
      </c>
      <c r="E18" s="373" t="str">
        <f t="shared" si="2"/>
        <v>0C</v>
      </c>
      <c r="F18" s="373" t="str">
        <f t="shared" si="3"/>
        <v>55~65ºC
(60±3OC)</v>
      </c>
      <c r="G18" s="888">
        <f t="shared" si="17"/>
        <v>62</v>
      </c>
      <c r="H18" s="888">
        <f t="shared" si="4"/>
        <v>61</v>
      </c>
      <c r="I18" s="888">
        <f t="shared" si="5"/>
        <v>58</v>
      </c>
      <c r="J18" s="888">
        <f t="shared" si="6"/>
        <v>56</v>
      </c>
      <c r="K18" s="888">
        <f t="shared" si="7"/>
        <v>58</v>
      </c>
      <c r="L18" s="888">
        <f t="shared" si="8"/>
        <v>55</v>
      </c>
      <c r="M18" s="888">
        <f t="shared" si="9"/>
        <v>55</v>
      </c>
      <c r="N18" s="888">
        <f t="shared" si="10"/>
        <v>54</v>
      </c>
      <c r="O18" s="888">
        <f t="shared" si="11"/>
        <v>0</v>
      </c>
      <c r="P18" s="888">
        <f t="shared" si="12"/>
        <v>0</v>
      </c>
      <c r="Q18" s="888">
        <f t="shared" si="13"/>
        <v>57</v>
      </c>
      <c r="R18" s="888">
        <f t="shared" si="14"/>
        <v>56</v>
      </c>
      <c r="T18" s="895" t="b">
        <f t="shared" si="18"/>
        <v>1</v>
      </c>
      <c r="U18" s="895" t="b">
        <f t="shared" si="15"/>
        <v>1</v>
      </c>
      <c r="V18" s="895" t="b">
        <f t="shared" si="15"/>
        <v>1</v>
      </c>
      <c r="W18" s="895" t="b">
        <f t="shared" si="15"/>
        <v>1</v>
      </c>
      <c r="X18" s="895" t="b">
        <f t="shared" si="15"/>
        <v>1</v>
      </c>
      <c r="Y18" s="895" t="b">
        <f t="shared" si="15"/>
        <v>1</v>
      </c>
      <c r="Z18" s="895" t="b">
        <f t="shared" si="15"/>
        <v>1</v>
      </c>
      <c r="AA18" s="895" t="b">
        <f t="shared" si="15"/>
        <v>1</v>
      </c>
      <c r="AB18" s="895" t="b">
        <f t="shared" si="15"/>
        <v>1</v>
      </c>
      <c r="AC18" s="895" t="b">
        <f t="shared" si="15"/>
        <v>1</v>
      </c>
      <c r="AD18" s="895" t="b">
        <f t="shared" si="15"/>
        <v>1</v>
      </c>
      <c r="AE18" s="895" t="b">
        <f t="shared" si="15"/>
        <v>1</v>
      </c>
      <c r="AF18" s="913" t="str">
        <f t="shared" si="19"/>
        <v/>
      </c>
      <c r="AG18" s="914" t="str">
        <f t="shared" si="20"/>
        <v/>
      </c>
      <c r="AH18" s="914" t="str">
        <f t="shared" si="21"/>
        <v/>
      </c>
      <c r="AI18" s="914" t="str">
        <f t="shared" si="22"/>
        <v/>
      </c>
      <c r="AJ18" s="914" t="str">
        <f t="shared" si="23"/>
        <v/>
      </c>
      <c r="AK18" s="914" t="str">
        <f t="shared" si="24"/>
        <v/>
      </c>
      <c r="AL18" s="914" t="str">
        <f t="shared" si="25"/>
        <v/>
      </c>
      <c r="AM18" s="914" t="str">
        <f t="shared" si="26"/>
        <v/>
      </c>
      <c r="AN18" s="914" t="str">
        <f t="shared" si="27"/>
        <v/>
      </c>
      <c r="AO18" s="914" t="str">
        <f t="shared" si="28"/>
        <v/>
      </c>
      <c r="AP18" s="914" t="str">
        <f t="shared" si="29"/>
        <v/>
      </c>
      <c r="AQ18" s="915" t="str">
        <f t="shared" si="30"/>
        <v/>
      </c>
    </row>
    <row r="19" spans="1:43" s="374" customFormat="1">
      <c r="A19" s="906" t="str">
        <f t="shared" si="31"/>
        <v>2022/12/03</v>
      </c>
      <c r="B19" s="373" t="s">
        <v>320</v>
      </c>
      <c r="C19" s="373" t="str">
        <f t="shared" si="0"/>
        <v>Sấy khô
烘乾</v>
      </c>
      <c r="D19" s="373" t="str">
        <f t="shared" si="1"/>
        <v>XL-001F</v>
      </c>
      <c r="E19" s="373" t="str">
        <f t="shared" si="2"/>
        <v>0C</v>
      </c>
      <c r="F19" s="373" t="str">
        <f t="shared" si="3"/>
        <v>65~75ºC
(70±3OC)</v>
      </c>
      <c r="G19" s="888">
        <f t="shared" si="17"/>
        <v>0</v>
      </c>
      <c r="H19" s="888">
        <f t="shared" si="4"/>
        <v>73</v>
      </c>
      <c r="I19" s="888">
        <f t="shared" si="5"/>
        <v>0</v>
      </c>
      <c r="J19" s="888">
        <f t="shared" si="6"/>
        <v>71</v>
      </c>
      <c r="K19" s="888">
        <f t="shared" si="7"/>
        <v>0</v>
      </c>
      <c r="L19" s="888">
        <f t="shared" si="8"/>
        <v>71</v>
      </c>
      <c r="M19" s="888">
        <f t="shared" si="9"/>
        <v>0</v>
      </c>
      <c r="N19" s="888">
        <f t="shared" si="10"/>
        <v>73</v>
      </c>
      <c r="O19" s="888">
        <f t="shared" si="11"/>
        <v>0</v>
      </c>
      <c r="P19" s="888">
        <f t="shared" si="12"/>
        <v>0</v>
      </c>
      <c r="Q19" s="888">
        <f t="shared" si="13"/>
        <v>0</v>
      </c>
      <c r="R19" s="888">
        <f t="shared" si="14"/>
        <v>71</v>
      </c>
      <c r="T19" s="895" t="b">
        <f t="shared" si="18"/>
        <v>1</v>
      </c>
      <c r="U19" s="895" t="b">
        <f t="shared" si="15"/>
        <v>1</v>
      </c>
      <c r="V19" s="895" t="b">
        <f t="shared" si="15"/>
        <v>1</v>
      </c>
      <c r="W19" s="895" t="b">
        <f t="shared" si="15"/>
        <v>1</v>
      </c>
      <c r="X19" s="895" t="b">
        <f t="shared" si="15"/>
        <v>1</v>
      </c>
      <c r="Y19" s="895" t="b">
        <f t="shared" si="15"/>
        <v>1</v>
      </c>
      <c r="Z19" s="895" t="b">
        <f t="shared" si="15"/>
        <v>1</v>
      </c>
      <c r="AA19" s="895" t="b">
        <f t="shared" si="15"/>
        <v>1</v>
      </c>
      <c r="AB19" s="895" t="b">
        <f t="shared" si="15"/>
        <v>1</v>
      </c>
      <c r="AC19" s="895" t="b">
        <f t="shared" si="15"/>
        <v>1</v>
      </c>
      <c r="AD19" s="895" t="b">
        <f t="shared" si="15"/>
        <v>1</v>
      </c>
      <c r="AE19" s="895" t="b">
        <f t="shared" si="15"/>
        <v>1</v>
      </c>
      <c r="AF19" s="913" t="str">
        <f t="shared" si="19"/>
        <v/>
      </c>
      <c r="AG19" s="914" t="str">
        <f t="shared" si="20"/>
        <v/>
      </c>
      <c r="AH19" s="914" t="str">
        <f t="shared" si="21"/>
        <v/>
      </c>
      <c r="AI19" s="914" t="str">
        <f t="shared" si="22"/>
        <v/>
      </c>
      <c r="AJ19" s="914" t="str">
        <f t="shared" si="23"/>
        <v/>
      </c>
      <c r="AK19" s="914" t="str">
        <f t="shared" si="24"/>
        <v/>
      </c>
      <c r="AL19" s="914" t="str">
        <f t="shared" si="25"/>
        <v/>
      </c>
      <c r="AM19" s="914" t="str">
        <f t="shared" si="26"/>
        <v/>
      </c>
      <c r="AN19" s="914" t="str">
        <f t="shared" si="27"/>
        <v/>
      </c>
      <c r="AO19" s="914" t="str">
        <f t="shared" si="28"/>
        <v/>
      </c>
      <c r="AP19" s="914" t="str">
        <f t="shared" si="29"/>
        <v/>
      </c>
      <c r="AQ19" s="915" t="str">
        <f t="shared" si="30"/>
        <v/>
      </c>
    </row>
    <row r="20" spans="1:43" s="374" customFormat="1">
      <c r="A20" s="906" t="str">
        <f t="shared" si="31"/>
        <v>2022/12/03</v>
      </c>
      <c r="B20" s="373" t="s">
        <v>337</v>
      </c>
      <c r="C20" s="373" t="str">
        <f t="shared" si="0"/>
        <v>Nhiệt  độ xà bông nóng (1)
 熱脫脂溫度(1)</v>
      </c>
      <c r="D20" s="373" t="str">
        <f t="shared" si="1"/>
        <v>XT-000C</v>
      </c>
      <c r="E20" s="373" t="str">
        <f t="shared" si="2"/>
        <v>0C</v>
      </c>
      <c r="F20" s="373" t="str">
        <f t="shared" si="3"/>
        <v>65~75ºC
(70±3OC)</v>
      </c>
      <c r="G20" s="888">
        <f t="shared" si="17"/>
        <v>0</v>
      </c>
      <c r="H20" s="888">
        <f t="shared" si="4"/>
        <v>0</v>
      </c>
      <c r="I20" s="888">
        <f t="shared" si="5"/>
        <v>0</v>
      </c>
      <c r="J20" s="888">
        <f t="shared" si="6"/>
        <v>0</v>
      </c>
      <c r="K20" s="888">
        <f t="shared" si="7"/>
        <v>0</v>
      </c>
      <c r="L20" s="888">
        <f t="shared" si="8"/>
        <v>0</v>
      </c>
      <c r="M20" s="888">
        <f t="shared" si="9"/>
        <v>0</v>
      </c>
      <c r="N20" s="888">
        <f t="shared" si="10"/>
        <v>0</v>
      </c>
      <c r="O20" s="888">
        <f t="shared" si="11"/>
        <v>0</v>
      </c>
      <c r="P20" s="888">
        <f t="shared" si="12"/>
        <v>0</v>
      </c>
      <c r="Q20" s="888">
        <f t="shared" si="13"/>
        <v>0</v>
      </c>
      <c r="R20" s="888">
        <f t="shared" si="14"/>
        <v>0</v>
      </c>
      <c r="T20" s="895" t="b">
        <f t="shared" si="18"/>
        <v>1</v>
      </c>
      <c r="U20" s="895" t="b">
        <f t="shared" si="18"/>
        <v>1</v>
      </c>
      <c r="V20" s="895" t="b">
        <f t="shared" si="18"/>
        <v>1</v>
      </c>
      <c r="W20" s="895" t="b">
        <f t="shared" si="18"/>
        <v>1</v>
      </c>
      <c r="X20" s="895" t="b">
        <f t="shared" si="18"/>
        <v>1</v>
      </c>
      <c r="Y20" s="895" t="b">
        <f t="shared" si="18"/>
        <v>1</v>
      </c>
      <c r="Z20" s="895" t="b">
        <f t="shared" si="18"/>
        <v>1</v>
      </c>
      <c r="AA20" s="895" t="b">
        <f t="shared" si="18"/>
        <v>1</v>
      </c>
      <c r="AB20" s="895" t="b">
        <f t="shared" si="18"/>
        <v>1</v>
      </c>
      <c r="AC20" s="895" t="b">
        <f t="shared" si="18"/>
        <v>1</v>
      </c>
      <c r="AD20" s="895" t="b">
        <f t="shared" si="18"/>
        <v>1</v>
      </c>
      <c r="AE20" s="895" t="b">
        <f t="shared" si="18"/>
        <v>1</v>
      </c>
      <c r="AF20" s="913" t="str">
        <f t="shared" si="19"/>
        <v/>
      </c>
      <c r="AG20" s="914" t="str">
        <f t="shared" si="20"/>
        <v/>
      </c>
      <c r="AH20" s="914" t="str">
        <f t="shared" si="21"/>
        <v/>
      </c>
      <c r="AI20" s="914" t="str">
        <f t="shared" si="22"/>
        <v/>
      </c>
      <c r="AJ20" s="914" t="str">
        <f t="shared" si="23"/>
        <v/>
      </c>
      <c r="AK20" s="914" t="str">
        <f t="shared" si="24"/>
        <v/>
      </c>
      <c r="AL20" s="914" t="str">
        <f t="shared" si="25"/>
        <v/>
      </c>
      <c r="AM20" s="914" t="str">
        <f t="shared" si="26"/>
        <v/>
      </c>
      <c r="AN20" s="914" t="str">
        <f t="shared" si="27"/>
        <v/>
      </c>
      <c r="AO20" s="914" t="str">
        <f t="shared" si="28"/>
        <v/>
      </c>
      <c r="AP20" s="914" t="str">
        <f t="shared" si="29"/>
        <v/>
      </c>
      <c r="AQ20" s="915" t="str">
        <f t="shared" si="30"/>
        <v/>
      </c>
    </row>
    <row r="21" spans="1:43" s="374" customFormat="1">
      <c r="A21" s="906" t="str">
        <f t="shared" si="31"/>
        <v>2022/12/03</v>
      </c>
      <c r="B21" s="373" t="s">
        <v>338</v>
      </c>
      <c r="C21" s="373" t="str">
        <f t="shared" si="0"/>
        <v>Nhiệt  độ xà bông nóng (2)
 熱脫脂溫度(2)</v>
      </c>
      <c r="D21" s="373" t="str">
        <f t="shared" si="1"/>
        <v>XT-000C</v>
      </c>
      <c r="E21" s="373" t="str">
        <f t="shared" si="2"/>
        <v>0C</v>
      </c>
      <c r="F21" s="373" t="str">
        <f t="shared" si="3"/>
        <v>65~75ºC
(70±3OC)</v>
      </c>
      <c r="G21" s="888">
        <f t="shared" si="17"/>
        <v>0</v>
      </c>
      <c r="H21" s="888">
        <f t="shared" si="4"/>
        <v>0</v>
      </c>
      <c r="I21" s="888">
        <f t="shared" si="5"/>
        <v>0</v>
      </c>
      <c r="J21" s="888">
        <f t="shared" si="6"/>
        <v>0</v>
      </c>
      <c r="K21" s="888">
        <f t="shared" si="7"/>
        <v>0</v>
      </c>
      <c r="L21" s="888">
        <f t="shared" si="8"/>
        <v>0</v>
      </c>
      <c r="M21" s="888">
        <f t="shared" si="9"/>
        <v>0</v>
      </c>
      <c r="N21" s="888">
        <f t="shared" si="10"/>
        <v>0</v>
      </c>
      <c r="O21" s="888">
        <f t="shared" si="11"/>
        <v>0</v>
      </c>
      <c r="P21" s="888">
        <f t="shared" si="12"/>
        <v>0</v>
      </c>
      <c r="Q21" s="888">
        <f t="shared" si="13"/>
        <v>0</v>
      </c>
      <c r="R21" s="888">
        <f t="shared" si="14"/>
        <v>0</v>
      </c>
      <c r="T21" s="895" t="b">
        <f t="shared" si="18"/>
        <v>1</v>
      </c>
      <c r="U21" s="895" t="b">
        <f t="shared" si="18"/>
        <v>1</v>
      </c>
      <c r="V21" s="895" t="b">
        <f t="shared" si="18"/>
        <v>1</v>
      </c>
      <c r="W21" s="895" t="b">
        <f t="shared" si="18"/>
        <v>1</v>
      </c>
      <c r="X21" s="895" t="b">
        <f t="shared" si="18"/>
        <v>1</v>
      </c>
      <c r="Y21" s="895" t="b">
        <f t="shared" si="18"/>
        <v>1</v>
      </c>
      <c r="Z21" s="895" t="b">
        <f t="shared" si="18"/>
        <v>1</v>
      </c>
      <c r="AA21" s="895" t="b">
        <f t="shared" si="18"/>
        <v>1</v>
      </c>
      <c r="AB21" s="895" t="b">
        <f t="shared" si="18"/>
        <v>1</v>
      </c>
      <c r="AC21" s="895" t="b">
        <f t="shared" si="18"/>
        <v>1</v>
      </c>
      <c r="AD21" s="895" t="b">
        <f t="shared" si="18"/>
        <v>1</v>
      </c>
      <c r="AE21" s="895" t="b">
        <f t="shared" si="18"/>
        <v>1</v>
      </c>
      <c r="AF21" s="913" t="str">
        <f t="shared" si="19"/>
        <v/>
      </c>
      <c r="AG21" s="914" t="str">
        <f t="shared" si="20"/>
        <v/>
      </c>
      <c r="AH21" s="914" t="str">
        <f t="shared" si="21"/>
        <v/>
      </c>
      <c r="AI21" s="914" t="str">
        <f t="shared" si="22"/>
        <v/>
      </c>
      <c r="AJ21" s="914" t="str">
        <f t="shared" si="23"/>
        <v/>
      </c>
      <c r="AK21" s="914" t="str">
        <f t="shared" si="24"/>
        <v/>
      </c>
      <c r="AL21" s="914" t="str">
        <f t="shared" si="25"/>
        <v/>
      </c>
      <c r="AM21" s="914" t="str">
        <f t="shared" si="26"/>
        <v/>
      </c>
      <c r="AN21" s="914" t="str">
        <f t="shared" si="27"/>
        <v/>
      </c>
      <c r="AO21" s="914" t="str">
        <f t="shared" si="28"/>
        <v/>
      </c>
      <c r="AP21" s="914" t="str">
        <f t="shared" si="29"/>
        <v/>
      </c>
      <c r="AQ21" s="915" t="str">
        <f t="shared" si="30"/>
        <v/>
      </c>
    </row>
    <row r="22" spans="1:43" s="374" customFormat="1">
      <c r="A22" s="906" t="str">
        <f t="shared" si="31"/>
        <v>2022/12/03</v>
      </c>
      <c r="B22" s="373" t="s">
        <v>339</v>
      </c>
      <c r="C22" s="373" t="str">
        <f t="shared" si="0"/>
        <v>Nhiệt độ điện giải (1) 
電解1 溫度</v>
      </c>
      <c r="D22" s="373" t="str">
        <f t="shared" si="1"/>
        <v>XT-000C</v>
      </c>
      <c r="E22" s="373" t="str">
        <f t="shared" si="2"/>
        <v>0C</v>
      </c>
      <c r="F22" s="373" t="str">
        <f t="shared" si="3"/>
        <v>60~70ºC
(65±3OC)</v>
      </c>
      <c r="G22" s="888">
        <f t="shared" si="17"/>
        <v>0</v>
      </c>
      <c r="H22" s="888">
        <f t="shared" si="4"/>
        <v>0</v>
      </c>
      <c r="I22" s="888">
        <f t="shared" si="5"/>
        <v>0</v>
      </c>
      <c r="J22" s="888">
        <f t="shared" si="6"/>
        <v>0</v>
      </c>
      <c r="K22" s="888">
        <f t="shared" si="7"/>
        <v>0</v>
      </c>
      <c r="L22" s="888">
        <f t="shared" si="8"/>
        <v>0</v>
      </c>
      <c r="M22" s="888">
        <f t="shared" si="9"/>
        <v>0</v>
      </c>
      <c r="N22" s="888">
        <f t="shared" si="10"/>
        <v>0</v>
      </c>
      <c r="O22" s="888">
        <f t="shared" si="11"/>
        <v>0</v>
      </c>
      <c r="P22" s="888">
        <f t="shared" si="12"/>
        <v>0</v>
      </c>
      <c r="Q22" s="888">
        <f t="shared" si="13"/>
        <v>0</v>
      </c>
      <c r="R22" s="888">
        <f t="shared" si="14"/>
        <v>0</v>
      </c>
      <c r="T22" s="895" t="b">
        <f t="shared" si="18"/>
        <v>1</v>
      </c>
      <c r="U22" s="895" t="b">
        <f t="shared" si="18"/>
        <v>1</v>
      </c>
      <c r="V22" s="895" t="b">
        <f t="shared" si="18"/>
        <v>1</v>
      </c>
      <c r="W22" s="895" t="b">
        <f t="shared" si="18"/>
        <v>1</v>
      </c>
      <c r="X22" s="895" t="b">
        <f t="shared" si="18"/>
        <v>1</v>
      </c>
      <c r="Y22" s="895" t="b">
        <f t="shared" si="18"/>
        <v>1</v>
      </c>
      <c r="Z22" s="895" t="b">
        <f t="shared" si="18"/>
        <v>1</v>
      </c>
      <c r="AA22" s="895" t="b">
        <f t="shared" si="18"/>
        <v>1</v>
      </c>
      <c r="AB22" s="895" t="b">
        <f t="shared" si="18"/>
        <v>1</v>
      </c>
      <c r="AC22" s="895" t="b">
        <f t="shared" si="18"/>
        <v>1</v>
      </c>
      <c r="AD22" s="895" t="b">
        <f t="shared" si="18"/>
        <v>1</v>
      </c>
      <c r="AE22" s="895" t="b">
        <f t="shared" si="18"/>
        <v>1</v>
      </c>
      <c r="AF22" s="913" t="str">
        <f t="shared" si="19"/>
        <v/>
      </c>
      <c r="AG22" s="914" t="str">
        <f t="shared" si="20"/>
        <v/>
      </c>
      <c r="AH22" s="914" t="str">
        <f t="shared" si="21"/>
        <v/>
      </c>
      <c r="AI22" s="914" t="str">
        <f t="shared" si="22"/>
        <v/>
      </c>
      <c r="AJ22" s="914" t="str">
        <f t="shared" si="23"/>
        <v/>
      </c>
      <c r="AK22" s="914" t="str">
        <f t="shared" si="24"/>
        <v/>
      </c>
      <c r="AL22" s="914" t="str">
        <f t="shared" si="25"/>
        <v/>
      </c>
      <c r="AM22" s="914" t="str">
        <f t="shared" si="26"/>
        <v/>
      </c>
      <c r="AN22" s="914" t="str">
        <f t="shared" si="27"/>
        <v/>
      </c>
      <c r="AO22" s="914" t="str">
        <f t="shared" si="28"/>
        <v/>
      </c>
      <c r="AP22" s="914" t="str">
        <f t="shared" si="29"/>
        <v/>
      </c>
      <c r="AQ22" s="915" t="str">
        <f t="shared" si="30"/>
        <v/>
      </c>
    </row>
    <row r="23" spans="1:43" s="374" customFormat="1">
      <c r="A23" s="906" t="str">
        <f t="shared" si="31"/>
        <v>2022/12/03</v>
      </c>
      <c r="B23" s="373" t="s">
        <v>340</v>
      </c>
      <c r="C23" s="373" t="str">
        <f t="shared" si="0"/>
        <v>Nhiệt độ điện giải (2)
電解 2 溫度</v>
      </c>
      <c r="D23" s="373" t="str">
        <f t="shared" si="1"/>
        <v>XT-000C</v>
      </c>
      <c r="E23" s="373" t="str">
        <f t="shared" si="2"/>
        <v>0C</v>
      </c>
      <c r="F23" s="373" t="str">
        <f t="shared" si="3"/>
        <v>60~70ºC
(65±3OC)</v>
      </c>
      <c r="G23" s="888">
        <f t="shared" si="17"/>
        <v>0</v>
      </c>
      <c r="H23" s="888">
        <f t="shared" si="4"/>
        <v>0</v>
      </c>
      <c r="I23" s="888">
        <f t="shared" si="5"/>
        <v>0</v>
      </c>
      <c r="J23" s="888">
        <f t="shared" si="6"/>
        <v>0</v>
      </c>
      <c r="K23" s="888">
        <f t="shared" si="7"/>
        <v>0</v>
      </c>
      <c r="L23" s="888">
        <f t="shared" si="8"/>
        <v>0</v>
      </c>
      <c r="M23" s="888">
        <f t="shared" si="9"/>
        <v>0</v>
      </c>
      <c r="N23" s="888">
        <f t="shared" si="10"/>
        <v>0</v>
      </c>
      <c r="O23" s="888">
        <f t="shared" si="11"/>
        <v>0</v>
      </c>
      <c r="P23" s="888">
        <f t="shared" si="12"/>
        <v>0</v>
      </c>
      <c r="Q23" s="888">
        <f t="shared" si="13"/>
        <v>0</v>
      </c>
      <c r="R23" s="888">
        <f t="shared" si="14"/>
        <v>0</v>
      </c>
      <c r="T23" s="895" t="b">
        <f t="shared" si="18"/>
        <v>1</v>
      </c>
      <c r="U23" s="895" t="b">
        <f t="shared" si="18"/>
        <v>1</v>
      </c>
      <c r="V23" s="895" t="b">
        <f t="shared" si="18"/>
        <v>1</v>
      </c>
      <c r="W23" s="895" t="b">
        <f t="shared" si="18"/>
        <v>1</v>
      </c>
      <c r="X23" s="895" t="b">
        <f t="shared" si="18"/>
        <v>1</v>
      </c>
      <c r="Y23" s="895" t="b">
        <f t="shared" si="18"/>
        <v>1</v>
      </c>
      <c r="Z23" s="895" t="b">
        <f t="shared" si="18"/>
        <v>1</v>
      </c>
      <c r="AA23" s="895" t="b">
        <f t="shared" si="18"/>
        <v>1</v>
      </c>
      <c r="AB23" s="895" t="b">
        <f t="shared" si="18"/>
        <v>1</v>
      </c>
      <c r="AC23" s="895" t="b">
        <f t="shared" si="18"/>
        <v>1</v>
      </c>
      <c r="AD23" s="895" t="b">
        <f t="shared" si="18"/>
        <v>1</v>
      </c>
      <c r="AE23" s="895" t="b">
        <f t="shared" si="18"/>
        <v>1</v>
      </c>
      <c r="AF23" s="913" t="str">
        <f t="shared" si="19"/>
        <v/>
      </c>
      <c r="AG23" s="914" t="str">
        <f t="shared" si="20"/>
        <v/>
      </c>
      <c r="AH23" s="914" t="str">
        <f t="shared" si="21"/>
        <v/>
      </c>
      <c r="AI23" s="914" t="str">
        <f t="shared" si="22"/>
        <v/>
      </c>
      <c r="AJ23" s="914" t="str">
        <f t="shared" si="23"/>
        <v/>
      </c>
      <c r="AK23" s="914" t="str">
        <f t="shared" si="24"/>
        <v/>
      </c>
      <c r="AL23" s="914" t="str">
        <f t="shared" si="25"/>
        <v/>
      </c>
      <c r="AM23" s="914" t="str">
        <f t="shared" si="26"/>
        <v/>
      </c>
      <c r="AN23" s="914" t="str">
        <f t="shared" si="27"/>
        <v/>
      </c>
      <c r="AO23" s="914" t="str">
        <f t="shared" si="28"/>
        <v/>
      </c>
      <c r="AP23" s="914" t="str">
        <f t="shared" si="29"/>
        <v/>
      </c>
      <c r="AQ23" s="915" t="str">
        <f t="shared" si="30"/>
        <v/>
      </c>
    </row>
    <row r="24" spans="1:43" s="374" customFormat="1">
      <c r="A24" s="906" t="str">
        <f t="shared" si="31"/>
        <v>2022/12/03</v>
      </c>
      <c r="B24" s="373" t="s">
        <v>354</v>
      </c>
      <c r="C24" s="373" t="str">
        <f t="shared" si="0"/>
        <v>Nhiệt độ bồn xi
鍍鋅槽溫度</v>
      </c>
      <c r="D24" s="373" t="str">
        <f t="shared" si="1"/>
        <v>XT-000C</v>
      </c>
      <c r="E24" s="373" t="str">
        <f t="shared" si="2"/>
        <v>0C</v>
      </c>
      <c r="F24" s="373" t="str">
        <f t="shared" si="3"/>
        <v>24~26ºC
(25OC)</v>
      </c>
      <c r="G24" s="888">
        <f t="shared" si="17"/>
        <v>0</v>
      </c>
      <c r="H24" s="888">
        <f t="shared" si="4"/>
        <v>0</v>
      </c>
      <c r="I24" s="888">
        <f t="shared" si="5"/>
        <v>0</v>
      </c>
      <c r="J24" s="888">
        <f t="shared" si="6"/>
        <v>0</v>
      </c>
      <c r="K24" s="888">
        <f t="shared" si="7"/>
        <v>0</v>
      </c>
      <c r="L24" s="888">
        <f t="shared" si="8"/>
        <v>0</v>
      </c>
      <c r="M24" s="888">
        <f t="shared" si="9"/>
        <v>0</v>
      </c>
      <c r="N24" s="888">
        <f t="shared" si="10"/>
        <v>0</v>
      </c>
      <c r="O24" s="888">
        <f t="shared" si="11"/>
        <v>0</v>
      </c>
      <c r="P24" s="888">
        <f t="shared" si="12"/>
        <v>0</v>
      </c>
      <c r="Q24" s="888">
        <f t="shared" si="13"/>
        <v>0</v>
      </c>
      <c r="R24" s="888">
        <f t="shared" si="14"/>
        <v>0</v>
      </c>
      <c r="T24" s="895" t="b">
        <f t="shared" si="18"/>
        <v>1</v>
      </c>
      <c r="U24" s="895" t="b">
        <f t="shared" si="18"/>
        <v>1</v>
      </c>
      <c r="V24" s="895" t="b">
        <f t="shared" si="18"/>
        <v>1</v>
      </c>
      <c r="W24" s="895" t="b">
        <f t="shared" si="18"/>
        <v>1</v>
      </c>
      <c r="X24" s="895" t="b">
        <f t="shared" si="18"/>
        <v>1</v>
      </c>
      <c r="Y24" s="895" t="b">
        <f t="shared" si="18"/>
        <v>1</v>
      </c>
      <c r="Z24" s="895" t="b">
        <f t="shared" si="18"/>
        <v>1</v>
      </c>
      <c r="AA24" s="895" t="b">
        <f t="shared" si="18"/>
        <v>1</v>
      </c>
      <c r="AB24" s="895" t="b">
        <f t="shared" si="18"/>
        <v>1</v>
      </c>
      <c r="AC24" s="895" t="b">
        <f t="shared" si="18"/>
        <v>1</v>
      </c>
      <c r="AD24" s="895" t="b">
        <f t="shared" si="18"/>
        <v>1</v>
      </c>
      <c r="AE24" s="895" t="b">
        <f t="shared" si="18"/>
        <v>1</v>
      </c>
      <c r="AF24" s="913" t="str">
        <f t="shared" si="19"/>
        <v/>
      </c>
      <c r="AG24" s="914" t="str">
        <f t="shared" si="20"/>
        <v/>
      </c>
      <c r="AH24" s="914" t="str">
        <f t="shared" si="21"/>
        <v/>
      </c>
      <c r="AI24" s="914" t="str">
        <f t="shared" si="22"/>
        <v/>
      </c>
      <c r="AJ24" s="914" t="str">
        <f t="shared" si="23"/>
        <v/>
      </c>
      <c r="AK24" s="914" t="str">
        <f t="shared" si="24"/>
        <v/>
      </c>
      <c r="AL24" s="914" t="str">
        <f t="shared" si="25"/>
        <v/>
      </c>
      <c r="AM24" s="914" t="str">
        <f t="shared" si="26"/>
        <v/>
      </c>
      <c r="AN24" s="914" t="str">
        <f t="shared" si="27"/>
        <v/>
      </c>
      <c r="AO24" s="914" t="str">
        <f t="shared" si="28"/>
        <v/>
      </c>
      <c r="AP24" s="914" t="str">
        <f t="shared" si="29"/>
        <v/>
      </c>
      <c r="AQ24" s="915" t="str">
        <f t="shared" si="30"/>
        <v/>
      </c>
    </row>
    <row r="25" spans="1:43" s="374" customFormat="1">
      <c r="A25" s="906" t="str">
        <f t="shared" si="31"/>
        <v>2022/12/03</v>
      </c>
      <c r="B25" s="373" t="s">
        <v>341</v>
      </c>
      <c r="C25" s="373" t="str">
        <f t="shared" si="0"/>
        <v>Nhiệt độ bồn màu Cr2O3 (I)
三價鉻 溫度  HALO</v>
      </c>
      <c r="D25" s="373" t="str">
        <f t="shared" si="1"/>
        <v>XT-000C</v>
      </c>
      <c r="E25" s="373" t="str">
        <f t="shared" si="2"/>
        <v>0C</v>
      </c>
      <c r="F25" s="373" t="str">
        <f t="shared" si="3"/>
        <v>34~36ºC
(35±1OC)</v>
      </c>
      <c r="G25" s="888">
        <f t="shared" si="17"/>
        <v>0</v>
      </c>
      <c r="H25" s="888">
        <f t="shared" si="4"/>
        <v>0</v>
      </c>
      <c r="I25" s="888">
        <f t="shared" si="5"/>
        <v>0</v>
      </c>
      <c r="J25" s="888">
        <f t="shared" si="6"/>
        <v>0</v>
      </c>
      <c r="K25" s="888">
        <f t="shared" si="7"/>
        <v>0</v>
      </c>
      <c r="L25" s="888">
        <f t="shared" si="8"/>
        <v>0</v>
      </c>
      <c r="M25" s="888">
        <f t="shared" si="9"/>
        <v>0</v>
      </c>
      <c r="N25" s="888">
        <f t="shared" si="10"/>
        <v>0</v>
      </c>
      <c r="O25" s="888">
        <f t="shared" si="11"/>
        <v>0</v>
      </c>
      <c r="P25" s="888">
        <f t="shared" si="12"/>
        <v>0</v>
      </c>
      <c r="Q25" s="888">
        <f t="shared" si="13"/>
        <v>0</v>
      </c>
      <c r="R25" s="888">
        <f t="shared" si="14"/>
        <v>0</v>
      </c>
      <c r="T25" s="895" t="b">
        <f t="shared" si="18"/>
        <v>1</v>
      </c>
      <c r="U25" s="895" t="b">
        <f t="shared" si="18"/>
        <v>1</v>
      </c>
      <c r="V25" s="895" t="b">
        <f t="shared" si="18"/>
        <v>1</v>
      </c>
      <c r="W25" s="895" t="b">
        <f t="shared" si="18"/>
        <v>1</v>
      </c>
      <c r="X25" s="895" t="b">
        <f t="shared" si="18"/>
        <v>1</v>
      </c>
      <c r="Y25" s="895" t="b">
        <f t="shared" si="18"/>
        <v>1</v>
      </c>
      <c r="Z25" s="895" t="b">
        <f t="shared" si="18"/>
        <v>1</v>
      </c>
      <c r="AA25" s="895" t="b">
        <f t="shared" si="18"/>
        <v>1</v>
      </c>
      <c r="AB25" s="895" t="b">
        <f t="shared" si="18"/>
        <v>1</v>
      </c>
      <c r="AC25" s="895" t="b">
        <f t="shared" si="18"/>
        <v>1</v>
      </c>
      <c r="AD25" s="895" t="b">
        <f t="shared" si="18"/>
        <v>1</v>
      </c>
      <c r="AE25" s="895" t="b">
        <f t="shared" si="18"/>
        <v>1</v>
      </c>
      <c r="AF25" s="913" t="str">
        <f t="shared" si="19"/>
        <v/>
      </c>
      <c r="AG25" s="914" t="str">
        <f t="shared" si="20"/>
        <v/>
      </c>
      <c r="AH25" s="914" t="str">
        <f t="shared" si="21"/>
        <v/>
      </c>
      <c r="AI25" s="914" t="str">
        <f t="shared" si="22"/>
        <v/>
      </c>
      <c r="AJ25" s="914" t="str">
        <f t="shared" si="23"/>
        <v/>
      </c>
      <c r="AK25" s="914" t="str">
        <f t="shared" si="24"/>
        <v/>
      </c>
      <c r="AL25" s="914" t="str">
        <f t="shared" si="25"/>
        <v/>
      </c>
      <c r="AM25" s="914" t="str">
        <f t="shared" si="26"/>
        <v/>
      </c>
      <c r="AN25" s="914" t="str">
        <f t="shared" si="27"/>
        <v/>
      </c>
      <c r="AO25" s="914" t="str">
        <f t="shared" si="28"/>
        <v/>
      </c>
      <c r="AP25" s="914" t="str">
        <f t="shared" si="29"/>
        <v/>
      </c>
      <c r="AQ25" s="915" t="str">
        <f t="shared" si="30"/>
        <v/>
      </c>
    </row>
    <row r="26" spans="1:43" s="374" customFormat="1">
      <c r="A26" s="906" t="str">
        <f t="shared" si="31"/>
        <v>2022/12/03</v>
      </c>
      <c r="B26" s="373" t="s">
        <v>342</v>
      </c>
      <c r="C26" s="373" t="str">
        <f t="shared" si="0"/>
        <v xml:space="preserve">Nhiệt độ bồn nước nóng
熱水溫度 </v>
      </c>
      <c r="D26" s="373" t="str">
        <f t="shared" si="1"/>
        <v>XT-000C</v>
      </c>
      <c r="E26" s="373" t="str">
        <f t="shared" si="2"/>
        <v>0C</v>
      </c>
      <c r="F26" s="373" t="str">
        <f t="shared" si="3"/>
        <v>55~65ºC
(60±3OC)</v>
      </c>
      <c r="G26" s="888">
        <f t="shared" si="17"/>
        <v>0</v>
      </c>
      <c r="H26" s="888">
        <f t="shared" si="4"/>
        <v>0</v>
      </c>
      <c r="I26" s="888">
        <f t="shared" si="5"/>
        <v>0</v>
      </c>
      <c r="J26" s="888">
        <f t="shared" si="6"/>
        <v>0</v>
      </c>
      <c r="K26" s="888">
        <f t="shared" si="7"/>
        <v>0</v>
      </c>
      <c r="L26" s="888">
        <f t="shared" si="8"/>
        <v>0</v>
      </c>
      <c r="M26" s="888">
        <f t="shared" si="9"/>
        <v>0</v>
      </c>
      <c r="N26" s="888">
        <f t="shared" si="10"/>
        <v>0</v>
      </c>
      <c r="O26" s="888">
        <f t="shared" si="11"/>
        <v>0</v>
      </c>
      <c r="P26" s="888">
        <f t="shared" si="12"/>
        <v>0</v>
      </c>
      <c r="Q26" s="888">
        <f t="shared" si="13"/>
        <v>0</v>
      </c>
      <c r="R26" s="888">
        <f t="shared" si="14"/>
        <v>0</v>
      </c>
      <c r="T26" s="895" t="b">
        <f t="shared" si="18"/>
        <v>1</v>
      </c>
      <c r="U26" s="895" t="b">
        <f t="shared" si="18"/>
        <v>1</v>
      </c>
      <c r="V26" s="895" t="b">
        <f t="shared" si="18"/>
        <v>1</v>
      </c>
      <c r="W26" s="895" t="b">
        <f t="shared" si="18"/>
        <v>1</v>
      </c>
      <c r="X26" s="895" t="b">
        <f t="shared" si="18"/>
        <v>1</v>
      </c>
      <c r="Y26" s="895" t="b">
        <f t="shared" si="18"/>
        <v>1</v>
      </c>
      <c r="Z26" s="895" t="b">
        <f t="shared" si="18"/>
        <v>1</v>
      </c>
      <c r="AA26" s="895" t="b">
        <f t="shared" si="18"/>
        <v>1</v>
      </c>
      <c r="AB26" s="895" t="b">
        <f t="shared" si="18"/>
        <v>1</v>
      </c>
      <c r="AC26" s="895" t="b">
        <f t="shared" si="18"/>
        <v>1</v>
      </c>
      <c r="AD26" s="895" t="b">
        <f t="shared" si="18"/>
        <v>1</v>
      </c>
      <c r="AE26" s="895" t="b">
        <f t="shared" si="18"/>
        <v>1</v>
      </c>
      <c r="AF26" s="913" t="str">
        <f t="shared" si="19"/>
        <v/>
      </c>
      <c r="AG26" s="914" t="str">
        <f t="shared" si="20"/>
        <v/>
      </c>
      <c r="AH26" s="914" t="str">
        <f t="shared" si="21"/>
        <v/>
      </c>
      <c r="AI26" s="914" t="str">
        <f t="shared" si="22"/>
        <v/>
      </c>
      <c r="AJ26" s="914" t="str">
        <f t="shared" si="23"/>
        <v/>
      </c>
      <c r="AK26" s="914" t="str">
        <f t="shared" si="24"/>
        <v/>
      </c>
      <c r="AL26" s="914" t="str">
        <f t="shared" si="25"/>
        <v/>
      </c>
      <c r="AM26" s="914" t="str">
        <f t="shared" si="26"/>
        <v/>
      </c>
      <c r="AN26" s="914" t="str">
        <f t="shared" si="27"/>
        <v/>
      </c>
      <c r="AO26" s="914" t="str">
        <f t="shared" si="28"/>
        <v/>
      </c>
      <c r="AP26" s="914" t="str">
        <f t="shared" si="29"/>
        <v/>
      </c>
      <c r="AQ26" s="915" t="str">
        <f t="shared" si="30"/>
        <v/>
      </c>
    </row>
    <row r="27" spans="1:43" s="374" customFormat="1">
      <c r="A27" s="906" t="str">
        <f t="shared" si="31"/>
        <v>2022/12/03</v>
      </c>
      <c r="B27" s="373" t="s">
        <v>343</v>
      </c>
      <c r="C27" s="373" t="str">
        <f t="shared" si="0"/>
        <v>Sấy khô
烘乾</v>
      </c>
      <c r="D27" s="373" t="str">
        <f t="shared" si="1"/>
        <v>XT-000C</v>
      </c>
      <c r="E27" s="373" t="str">
        <f t="shared" si="2"/>
        <v>0C</v>
      </c>
      <c r="F27" s="373" t="str">
        <f t="shared" si="3"/>
        <v>65~75ºC
(70±3OC)</v>
      </c>
      <c r="G27" s="888" t="str">
        <f t="shared" si="17"/>
        <v>\</v>
      </c>
      <c r="H27" s="888">
        <f t="shared" si="4"/>
        <v>0</v>
      </c>
      <c r="I27" s="888" t="str">
        <f t="shared" si="5"/>
        <v>\</v>
      </c>
      <c r="J27" s="888">
        <f t="shared" si="6"/>
        <v>0</v>
      </c>
      <c r="K27" s="888" t="str">
        <f t="shared" si="7"/>
        <v>\</v>
      </c>
      <c r="L27" s="888">
        <f t="shared" si="8"/>
        <v>0</v>
      </c>
      <c r="M27" s="888" t="str">
        <f t="shared" si="9"/>
        <v>\</v>
      </c>
      <c r="N27" s="888">
        <f t="shared" si="10"/>
        <v>0</v>
      </c>
      <c r="O27" s="888" t="str">
        <f t="shared" si="11"/>
        <v>\</v>
      </c>
      <c r="P27" s="888">
        <f t="shared" si="12"/>
        <v>0</v>
      </c>
      <c r="Q27" s="888" t="str">
        <f t="shared" si="13"/>
        <v>\</v>
      </c>
      <c r="R27" s="888">
        <f t="shared" si="14"/>
        <v>0</v>
      </c>
      <c r="T27" s="895" t="b">
        <f t="shared" si="18"/>
        <v>0</v>
      </c>
      <c r="U27" s="895" t="b">
        <f t="shared" si="18"/>
        <v>1</v>
      </c>
      <c r="V27" s="895" t="b">
        <f t="shared" si="18"/>
        <v>0</v>
      </c>
      <c r="W27" s="895" t="b">
        <f t="shared" si="18"/>
        <v>1</v>
      </c>
      <c r="X27" s="895" t="b">
        <f t="shared" si="18"/>
        <v>0</v>
      </c>
      <c r="Y27" s="895" t="b">
        <f t="shared" si="18"/>
        <v>1</v>
      </c>
      <c r="Z27" s="895" t="b">
        <f t="shared" si="18"/>
        <v>0</v>
      </c>
      <c r="AA27" s="895" t="b">
        <f t="shared" si="18"/>
        <v>1</v>
      </c>
      <c r="AB27" s="895" t="b">
        <f t="shared" si="18"/>
        <v>0</v>
      </c>
      <c r="AC27" s="895" t="b">
        <f t="shared" si="18"/>
        <v>1</v>
      </c>
      <c r="AD27" s="895" t="b">
        <f t="shared" si="18"/>
        <v>0</v>
      </c>
      <c r="AE27" s="895" t="b">
        <f t="shared" si="18"/>
        <v>1</v>
      </c>
      <c r="AF27" s="913">
        <f t="shared" si="19"/>
        <v>1</v>
      </c>
      <c r="AG27" s="914" t="str">
        <f t="shared" si="20"/>
        <v/>
      </c>
      <c r="AH27" s="914">
        <f t="shared" si="21"/>
        <v>1</v>
      </c>
      <c r="AI27" s="914" t="str">
        <f t="shared" si="22"/>
        <v/>
      </c>
      <c r="AJ27" s="914">
        <f t="shared" si="23"/>
        <v>1</v>
      </c>
      <c r="AK27" s="914" t="str">
        <f t="shared" si="24"/>
        <v/>
      </c>
      <c r="AL27" s="914">
        <f t="shared" si="25"/>
        <v>1</v>
      </c>
      <c r="AM27" s="914" t="str">
        <f t="shared" si="26"/>
        <v/>
      </c>
      <c r="AN27" s="914">
        <f t="shared" si="27"/>
        <v>1</v>
      </c>
      <c r="AO27" s="914" t="str">
        <f t="shared" si="28"/>
        <v/>
      </c>
      <c r="AP27" s="914">
        <f t="shared" si="29"/>
        <v>1</v>
      </c>
      <c r="AQ27" s="915" t="str">
        <f t="shared" si="30"/>
        <v/>
      </c>
    </row>
    <row r="28" spans="1:43" s="886" customFormat="1">
      <c r="A28" s="906" t="str">
        <f t="shared" si="31"/>
        <v>2022/12/03</v>
      </c>
      <c r="B28" s="855" t="s">
        <v>488</v>
      </c>
      <c r="C28" s="855" t="str">
        <f t="shared" ref="C28:C51" si="32">IFERROR(VLOOKUP($B28,RLMLXD,2,0),"")</f>
        <v>Muối axit Phosphoric (1)
磷酸鹽</v>
      </c>
      <c r="D28" s="855" t="str">
        <f t="shared" ref="D28:D51" si="33">IFERROR(VLOOKUP($B28,RLMLXD,43,0),"")</f>
        <v>CR-000E</v>
      </c>
      <c r="E28" s="855" t="str">
        <f t="shared" ref="E28:E51" si="34">IFERROR(VLOOKUP($B28,RLMLXD,4,0),"")</f>
        <v>0C</v>
      </c>
      <c r="F28" s="855" t="str">
        <f t="shared" ref="F28:F51" si="35">IFERROR(VLOOKUP($B28,RLMLXD,5,0),"")</f>
        <v>65~85OC</v>
      </c>
      <c r="G28" s="890">
        <f t="shared" ref="G28:G51" si="36">IFERROR(VLOOKUP($B28,RLMLXD,8,0),"")</f>
        <v>0</v>
      </c>
      <c r="H28" s="890">
        <f t="shared" ref="H28:H51" si="37">IFERROR(VLOOKUP($B28,RLMLXD,11,0),"")</f>
        <v>0</v>
      </c>
      <c r="I28" s="890">
        <f t="shared" ref="I28:I51" si="38">IFERROR(VLOOKUP($B28,RLMLXD,14,0),"")</f>
        <v>0</v>
      </c>
      <c r="J28" s="890">
        <f t="shared" ref="J28:J51" si="39">IFERROR(VLOOKUP($B28,RLMLXD,17,0),"")</f>
        <v>0</v>
      </c>
      <c r="K28" s="890">
        <f t="shared" ref="K28:K51" si="40">IFERROR(VLOOKUP($B28,RLMLXD,20,0),"")</f>
        <v>0</v>
      </c>
      <c r="L28" s="890">
        <f t="shared" ref="L28:L51" si="41">IFERROR(VLOOKUP($B28,RLMLXD,23,0),"")</f>
        <v>0</v>
      </c>
      <c r="M28" s="890">
        <f t="shared" ref="M28:M51" si="42">IFERROR(VLOOKUP($B28,RLMLXD,26,0),"")</f>
        <v>0</v>
      </c>
      <c r="N28" s="890">
        <f t="shared" ref="N28:N51" si="43">IFERROR(VLOOKUP($B28,RLMLXD,29,0),"")</f>
        <v>0</v>
      </c>
      <c r="O28" s="890">
        <f t="shared" ref="O28:O51" si="44">IFERROR(VLOOKUP($B28,RLMLXD,32,0),"")</f>
        <v>0</v>
      </c>
      <c r="P28" s="890">
        <f t="shared" ref="P28:P51" si="45">IFERROR(VLOOKUP($B28,RLMLXD,35,0),"")</f>
        <v>0</v>
      </c>
      <c r="Q28" s="890">
        <f t="shared" ref="Q28:Q51" si="46">IFERROR(VLOOKUP($B28,RLMLXD,38,0),"")</f>
        <v>0</v>
      </c>
      <c r="R28" s="890">
        <f t="shared" ref="R28:R51" si="47">IFERROR(VLOOKUP($B28,RLMLXD,41,0),"")</f>
        <v>0</v>
      </c>
      <c r="T28" s="895" t="b">
        <f t="shared" si="18"/>
        <v>1</v>
      </c>
      <c r="U28" s="895" t="b">
        <f t="shared" si="18"/>
        <v>1</v>
      </c>
      <c r="V28" s="895" t="b">
        <f t="shared" si="18"/>
        <v>1</v>
      </c>
      <c r="W28" s="895" t="b">
        <f t="shared" si="18"/>
        <v>1</v>
      </c>
      <c r="X28" s="895" t="b">
        <f t="shared" si="18"/>
        <v>1</v>
      </c>
      <c r="Y28" s="895" t="b">
        <f t="shared" si="18"/>
        <v>1</v>
      </c>
      <c r="Z28" s="895" t="b">
        <f t="shared" si="18"/>
        <v>1</v>
      </c>
      <c r="AA28" s="895" t="b">
        <f t="shared" si="18"/>
        <v>1</v>
      </c>
      <c r="AB28" s="895" t="b">
        <f t="shared" si="18"/>
        <v>1</v>
      </c>
      <c r="AC28" s="895" t="b">
        <f t="shared" si="18"/>
        <v>1</v>
      </c>
      <c r="AD28" s="895" t="b">
        <f t="shared" si="18"/>
        <v>1</v>
      </c>
      <c r="AE28" s="895" t="b">
        <f t="shared" si="18"/>
        <v>1</v>
      </c>
      <c r="AF28" s="913" t="str">
        <f t="shared" si="19"/>
        <v/>
      </c>
      <c r="AG28" s="914" t="str">
        <f t="shared" si="20"/>
        <v/>
      </c>
      <c r="AH28" s="914" t="str">
        <f t="shared" si="21"/>
        <v/>
      </c>
      <c r="AI28" s="914" t="str">
        <f t="shared" si="22"/>
        <v/>
      </c>
      <c r="AJ28" s="914" t="str">
        <f t="shared" si="23"/>
        <v/>
      </c>
      <c r="AK28" s="914" t="str">
        <f t="shared" si="24"/>
        <v/>
      </c>
      <c r="AL28" s="914" t="str">
        <f t="shared" si="25"/>
        <v/>
      </c>
      <c r="AM28" s="914" t="str">
        <f t="shared" si="26"/>
        <v/>
      </c>
      <c r="AN28" s="914" t="str">
        <f t="shared" si="27"/>
        <v/>
      </c>
      <c r="AO28" s="914" t="str">
        <f t="shared" si="28"/>
        <v/>
      </c>
      <c r="AP28" s="914" t="str">
        <f t="shared" si="29"/>
        <v/>
      </c>
      <c r="AQ28" s="915" t="str">
        <f t="shared" si="30"/>
        <v/>
      </c>
    </row>
    <row r="29" spans="1:43">
      <c r="A29" s="906" t="str">
        <f t="shared" si="31"/>
        <v>2022/12/03</v>
      </c>
      <c r="B29" s="373" t="s">
        <v>490</v>
      </c>
      <c r="C29" s="373" t="str">
        <f t="shared" si="32"/>
        <v>Muối axit Phosphoric (2)
磷酸鹽</v>
      </c>
      <c r="D29" s="373" t="str">
        <f t="shared" si="33"/>
        <v>CR-000E</v>
      </c>
      <c r="E29" s="373" t="str">
        <f t="shared" si="34"/>
        <v>0C</v>
      </c>
      <c r="F29" s="373" t="str">
        <f t="shared" si="35"/>
        <v>65~85OC</v>
      </c>
      <c r="G29" s="888">
        <f t="shared" si="36"/>
        <v>0</v>
      </c>
      <c r="H29" s="888">
        <f t="shared" si="37"/>
        <v>0</v>
      </c>
      <c r="I29" s="888">
        <f t="shared" si="38"/>
        <v>0</v>
      </c>
      <c r="J29" s="888">
        <f t="shared" si="39"/>
        <v>0</v>
      </c>
      <c r="K29" s="888">
        <f t="shared" si="40"/>
        <v>0</v>
      </c>
      <c r="L29" s="888">
        <f t="shared" si="41"/>
        <v>0</v>
      </c>
      <c r="M29" s="888">
        <f t="shared" si="42"/>
        <v>0</v>
      </c>
      <c r="N29" s="888">
        <f t="shared" si="43"/>
        <v>0</v>
      </c>
      <c r="O29" s="888">
        <f t="shared" si="44"/>
        <v>0</v>
      </c>
      <c r="P29" s="888">
        <f t="shared" si="45"/>
        <v>0</v>
      </c>
      <c r="Q29" s="888">
        <f t="shared" si="46"/>
        <v>0</v>
      </c>
      <c r="R29" s="888">
        <f t="shared" si="47"/>
        <v>0</v>
      </c>
      <c r="T29" s="895" t="b">
        <f t="shared" si="18"/>
        <v>1</v>
      </c>
      <c r="U29" s="895" t="b">
        <f t="shared" si="18"/>
        <v>1</v>
      </c>
      <c r="V29" s="895" t="b">
        <f t="shared" si="18"/>
        <v>1</v>
      </c>
      <c r="W29" s="895" t="b">
        <f t="shared" si="18"/>
        <v>1</v>
      </c>
      <c r="X29" s="895" t="b">
        <f t="shared" si="18"/>
        <v>1</v>
      </c>
      <c r="Y29" s="895" t="b">
        <f t="shared" si="18"/>
        <v>1</v>
      </c>
      <c r="Z29" s="895" t="b">
        <f t="shared" si="18"/>
        <v>1</v>
      </c>
      <c r="AA29" s="895" t="b">
        <f t="shared" si="18"/>
        <v>1</v>
      </c>
      <c r="AB29" s="895" t="b">
        <f t="shared" si="18"/>
        <v>1</v>
      </c>
      <c r="AC29" s="895" t="b">
        <f t="shared" si="18"/>
        <v>1</v>
      </c>
      <c r="AD29" s="895" t="b">
        <f t="shared" si="18"/>
        <v>1</v>
      </c>
      <c r="AE29" s="895" t="b">
        <f t="shared" si="18"/>
        <v>1</v>
      </c>
      <c r="AF29" s="913" t="str">
        <f t="shared" si="19"/>
        <v/>
      </c>
      <c r="AG29" s="914" t="str">
        <f t="shared" si="20"/>
        <v/>
      </c>
      <c r="AH29" s="914" t="str">
        <f t="shared" si="21"/>
        <v/>
      </c>
      <c r="AI29" s="914" t="str">
        <f t="shared" si="22"/>
        <v/>
      </c>
      <c r="AJ29" s="914" t="str">
        <f t="shared" si="23"/>
        <v/>
      </c>
      <c r="AK29" s="914" t="str">
        <f t="shared" si="24"/>
        <v/>
      </c>
      <c r="AL29" s="914" t="str">
        <f t="shared" si="25"/>
        <v/>
      </c>
      <c r="AM29" s="914" t="str">
        <f t="shared" si="26"/>
        <v/>
      </c>
      <c r="AN29" s="914" t="str">
        <f t="shared" si="27"/>
        <v/>
      </c>
      <c r="AO29" s="914" t="str">
        <f t="shared" si="28"/>
        <v/>
      </c>
      <c r="AP29" s="914" t="str">
        <f t="shared" si="29"/>
        <v/>
      </c>
      <c r="AQ29" s="915" t="str">
        <f t="shared" si="30"/>
        <v/>
      </c>
    </row>
    <row r="30" spans="1:43">
      <c r="A30" s="906" t="str">
        <f t="shared" si="31"/>
        <v>2022/12/03</v>
      </c>
      <c r="B30" s="373" t="s">
        <v>492</v>
      </c>
      <c r="C30" s="373" t="str">
        <f t="shared" si="32"/>
        <v>Xà bông bôi trơn
潤滑皂</v>
      </c>
      <c r="D30" s="373" t="str">
        <f t="shared" si="33"/>
        <v>CR-000E</v>
      </c>
      <c r="E30" s="373" t="str">
        <f t="shared" si="34"/>
        <v>0C</v>
      </c>
      <c r="F30" s="373" t="str">
        <f t="shared" si="35"/>
        <v>80~90OC</v>
      </c>
      <c r="G30" s="888">
        <f t="shared" si="36"/>
        <v>0</v>
      </c>
      <c r="H30" s="888">
        <f t="shared" si="37"/>
        <v>0</v>
      </c>
      <c r="I30" s="888">
        <f t="shared" si="38"/>
        <v>0</v>
      </c>
      <c r="J30" s="888">
        <f t="shared" si="39"/>
        <v>0</v>
      </c>
      <c r="K30" s="888">
        <f t="shared" si="40"/>
        <v>0</v>
      </c>
      <c r="L30" s="888">
        <f t="shared" si="41"/>
        <v>0</v>
      </c>
      <c r="M30" s="888">
        <f t="shared" si="42"/>
        <v>0</v>
      </c>
      <c r="N30" s="888">
        <f t="shared" si="43"/>
        <v>0</v>
      </c>
      <c r="O30" s="888">
        <f t="shared" si="44"/>
        <v>0</v>
      </c>
      <c r="P30" s="888">
        <f t="shared" si="45"/>
        <v>0</v>
      </c>
      <c r="Q30" s="888">
        <f t="shared" si="46"/>
        <v>0</v>
      </c>
      <c r="R30" s="888">
        <f t="shared" si="47"/>
        <v>0</v>
      </c>
      <c r="T30" s="895" t="b">
        <f t="shared" si="18"/>
        <v>1</v>
      </c>
      <c r="U30" s="895" t="b">
        <f t="shared" si="18"/>
        <v>1</v>
      </c>
      <c r="V30" s="895" t="b">
        <f t="shared" si="18"/>
        <v>1</v>
      </c>
      <c r="W30" s="895" t="b">
        <f t="shared" si="18"/>
        <v>1</v>
      </c>
      <c r="X30" s="895" t="b">
        <f t="shared" si="18"/>
        <v>1</v>
      </c>
      <c r="Y30" s="895" t="b">
        <f t="shared" si="18"/>
        <v>1</v>
      </c>
      <c r="Z30" s="895" t="b">
        <f t="shared" si="18"/>
        <v>1</v>
      </c>
      <c r="AA30" s="895" t="b">
        <f t="shared" si="18"/>
        <v>1</v>
      </c>
      <c r="AB30" s="895" t="b">
        <f t="shared" si="18"/>
        <v>1</v>
      </c>
      <c r="AC30" s="895" t="b">
        <f t="shared" si="18"/>
        <v>1</v>
      </c>
      <c r="AD30" s="895" t="b">
        <f t="shared" si="18"/>
        <v>1</v>
      </c>
      <c r="AE30" s="895" t="b">
        <f t="shared" si="18"/>
        <v>1</v>
      </c>
      <c r="AF30" s="913" t="str">
        <f t="shared" si="19"/>
        <v/>
      </c>
      <c r="AG30" s="914" t="str">
        <f t="shared" si="20"/>
        <v/>
      </c>
      <c r="AH30" s="914" t="str">
        <f t="shared" si="21"/>
        <v/>
      </c>
      <c r="AI30" s="914" t="str">
        <f t="shared" si="22"/>
        <v/>
      </c>
      <c r="AJ30" s="914" t="str">
        <f t="shared" si="23"/>
        <v/>
      </c>
      <c r="AK30" s="914" t="str">
        <f t="shared" si="24"/>
        <v/>
      </c>
      <c r="AL30" s="914" t="str">
        <f t="shared" si="25"/>
        <v/>
      </c>
      <c r="AM30" s="914" t="str">
        <f t="shared" si="26"/>
        <v/>
      </c>
      <c r="AN30" s="914" t="str">
        <f t="shared" si="27"/>
        <v/>
      </c>
      <c r="AO30" s="914" t="str">
        <f t="shared" si="28"/>
        <v/>
      </c>
      <c r="AP30" s="914" t="str">
        <f t="shared" si="29"/>
        <v/>
      </c>
      <c r="AQ30" s="915" t="str">
        <f t="shared" si="30"/>
        <v/>
      </c>
    </row>
    <row r="31" spans="1:43">
      <c r="A31" s="906" t="str">
        <f t="shared" si="31"/>
        <v>2022/12/03</v>
      </c>
      <c r="B31" s="373" t="s">
        <v>497</v>
      </c>
      <c r="C31" s="373" t="str">
        <f t="shared" si="32"/>
        <v/>
      </c>
      <c r="D31" s="373" t="str">
        <f t="shared" si="33"/>
        <v/>
      </c>
      <c r="E31" s="373" t="str">
        <f t="shared" si="34"/>
        <v/>
      </c>
      <c r="F31" s="373" t="str">
        <f t="shared" si="35"/>
        <v/>
      </c>
      <c r="G31" s="888" t="str">
        <f t="shared" si="36"/>
        <v/>
      </c>
      <c r="H31" s="888" t="str">
        <f t="shared" si="37"/>
        <v/>
      </c>
      <c r="I31" s="888" t="str">
        <f t="shared" si="38"/>
        <v/>
      </c>
      <c r="J31" s="888" t="str">
        <f t="shared" si="39"/>
        <v/>
      </c>
      <c r="K31" s="888" t="str">
        <f t="shared" si="40"/>
        <v/>
      </c>
      <c r="L31" s="888" t="str">
        <f t="shared" si="41"/>
        <v/>
      </c>
      <c r="M31" s="888" t="str">
        <f t="shared" si="42"/>
        <v/>
      </c>
      <c r="N31" s="888" t="str">
        <f t="shared" si="43"/>
        <v/>
      </c>
      <c r="O31" s="888" t="str">
        <f t="shared" si="44"/>
        <v/>
      </c>
      <c r="P31" s="888" t="str">
        <f t="shared" si="45"/>
        <v/>
      </c>
      <c r="Q31" s="888" t="str">
        <f t="shared" si="46"/>
        <v/>
      </c>
      <c r="R31" s="888" t="str">
        <f t="shared" si="47"/>
        <v/>
      </c>
      <c r="T31" s="895" t="b">
        <f t="shared" si="18"/>
        <v>0</v>
      </c>
      <c r="U31" s="895" t="b">
        <f t="shared" si="18"/>
        <v>0</v>
      </c>
      <c r="V31" s="895" t="b">
        <f t="shared" si="18"/>
        <v>0</v>
      </c>
      <c r="W31" s="895" t="b">
        <f t="shared" si="18"/>
        <v>0</v>
      </c>
      <c r="X31" s="895" t="b">
        <f t="shared" si="18"/>
        <v>0</v>
      </c>
      <c r="Y31" s="895" t="b">
        <f t="shared" si="18"/>
        <v>0</v>
      </c>
      <c r="Z31" s="895" t="b">
        <f t="shared" si="18"/>
        <v>0</v>
      </c>
      <c r="AA31" s="895" t="b">
        <f t="shared" si="18"/>
        <v>0</v>
      </c>
      <c r="AB31" s="895" t="b">
        <f t="shared" si="18"/>
        <v>0</v>
      </c>
      <c r="AC31" s="895" t="b">
        <f t="shared" si="18"/>
        <v>0</v>
      </c>
      <c r="AD31" s="895" t="b">
        <f t="shared" si="18"/>
        <v>0</v>
      </c>
      <c r="AE31" s="895" t="b">
        <f t="shared" si="18"/>
        <v>0</v>
      </c>
      <c r="AF31" s="913">
        <f t="shared" si="19"/>
        <v>1</v>
      </c>
      <c r="AG31" s="914">
        <f t="shared" si="20"/>
        <v>1</v>
      </c>
      <c r="AH31" s="914">
        <f t="shared" si="21"/>
        <v>1</v>
      </c>
      <c r="AI31" s="914">
        <f t="shared" si="22"/>
        <v>1</v>
      </c>
      <c r="AJ31" s="914">
        <f t="shared" si="23"/>
        <v>1</v>
      </c>
      <c r="AK31" s="914">
        <f t="shared" si="24"/>
        <v>1</v>
      </c>
      <c r="AL31" s="914">
        <f t="shared" si="25"/>
        <v>1</v>
      </c>
      <c r="AM31" s="914">
        <f t="shared" si="26"/>
        <v>1</v>
      </c>
      <c r="AN31" s="914">
        <f t="shared" si="27"/>
        <v>1</v>
      </c>
      <c r="AO31" s="914">
        <f t="shared" si="28"/>
        <v>1</v>
      </c>
      <c r="AP31" s="914">
        <f t="shared" si="29"/>
        <v>1</v>
      </c>
      <c r="AQ31" s="915">
        <f t="shared" si="30"/>
        <v>1</v>
      </c>
    </row>
    <row r="32" spans="1:43">
      <c r="A32" s="906" t="str">
        <f t="shared" si="31"/>
        <v>2022/12/03</v>
      </c>
      <c r="B32" s="373" t="s">
        <v>499</v>
      </c>
      <c r="C32" s="373" t="str">
        <f t="shared" si="32"/>
        <v/>
      </c>
      <c r="D32" s="373" t="str">
        <f t="shared" si="33"/>
        <v/>
      </c>
      <c r="E32" s="373" t="str">
        <f t="shared" si="34"/>
        <v/>
      </c>
      <c r="F32" s="373" t="str">
        <f t="shared" si="35"/>
        <v/>
      </c>
      <c r="G32" s="888" t="str">
        <f t="shared" si="36"/>
        <v/>
      </c>
      <c r="H32" s="888" t="str">
        <f t="shared" si="37"/>
        <v/>
      </c>
      <c r="I32" s="888" t="str">
        <f t="shared" si="38"/>
        <v/>
      </c>
      <c r="J32" s="888" t="str">
        <f t="shared" si="39"/>
        <v/>
      </c>
      <c r="K32" s="888" t="str">
        <f t="shared" si="40"/>
        <v/>
      </c>
      <c r="L32" s="888" t="str">
        <f t="shared" si="41"/>
        <v/>
      </c>
      <c r="M32" s="888" t="str">
        <f t="shared" si="42"/>
        <v/>
      </c>
      <c r="N32" s="888" t="str">
        <f t="shared" si="43"/>
        <v/>
      </c>
      <c r="O32" s="888" t="str">
        <f t="shared" si="44"/>
        <v/>
      </c>
      <c r="P32" s="888" t="str">
        <f t="shared" si="45"/>
        <v/>
      </c>
      <c r="Q32" s="888" t="str">
        <f t="shared" si="46"/>
        <v/>
      </c>
      <c r="R32" s="888" t="str">
        <f t="shared" si="47"/>
        <v/>
      </c>
      <c r="T32" s="895" t="b">
        <f t="shared" si="18"/>
        <v>0</v>
      </c>
      <c r="U32" s="895" t="b">
        <f t="shared" si="18"/>
        <v>0</v>
      </c>
      <c r="V32" s="895" t="b">
        <f t="shared" si="18"/>
        <v>0</v>
      </c>
      <c r="W32" s="895" t="b">
        <f t="shared" si="18"/>
        <v>0</v>
      </c>
      <c r="X32" s="895" t="b">
        <f t="shared" si="18"/>
        <v>0</v>
      </c>
      <c r="Y32" s="895" t="b">
        <f t="shared" si="18"/>
        <v>0</v>
      </c>
      <c r="Z32" s="895" t="b">
        <f t="shared" si="18"/>
        <v>0</v>
      </c>
      <c r="AA32" s="895" t="b">
        <f t="shared" si="18"/>
        <v>0</v>
      </c>
      <c r="AB32" s="895" t="b">
        <f t="shared" si="18"/>
        <v>0</v>
      </c>
      <c r="AC32" s="895" t="b">
        <f t="shared" si="18"/>
        <v>0</v>
      </c>
      <c r="AD32" s="895" t="b">
        <f t="shared" si="18"/>
        <v>0</v>
      </c>
      <c r="AE32" s="895" t="b">
        <f t="shared" si="18"/>
        <v>0</v>
      </c>
      <c r="AF32" s="913">
        <f t="shared" si="19"/>
        <v>1</v>
      </c>
      <c r="AG32" s="914">
        <f t="shared" si="20"/>
        <v>1</v>
      </c>
      <c r="AH32" s="914">
        <f t="shared" si="21"/>
        <v>1</v>
      </c>
      <c r="AI32" s="914">
        <f t="shared" si="22"/>
        <v>1</v>
      </c>
      <c r="AJ32" s="914">
        <f t="shared" si="23"/>
        <v>1</v>
      </c>
      <c r="AK32" s="914">
        <f t="shared" si="24"/>
        <v>1</v>
      </c>
      <c r="AL32" s="914">
        <f t="shared" si="25"/>
        <v>1</v>
      </c>
      <c r="AM32" s="914">
        <f t="shared" si="26"/>
        <v>1</v>
      </c>
      <c r="AN32" s="914">
        <f t="shared" si="27"/>
        <v>1</v>
      </c>
      <c r="AO32" s="914">
        <f t="shared" si="28"/>
        <v>1</v>
      </c>
      <c r="AP32" s="914">
        <f t="shared" si="29"/>
        <v>1</v>
      </c>
      <c r="AQ32" s="915">
        <f t="shared" si="30"/>
        <v>1</v>
      </c>
    </row>
    <row r="33" spans="1:43">
      <c r="A33" s="906" t="str">
        <f t="shared" si="31"/>
        <v>2022/12/03</v>
      </c>
      <c r="B33" s="373" t="s">
        <v>512</v>
      </c>
      <c r="C33" s="373" t="str">
        <f t="shared" si="32"/>
        <v/>
      </c>
      <c r="D33" s="373" t="str">
        <f t="shared" si="33"/>
        <v/>
      </c>
      <c r="E33" s="373" t="str">
        <f t="shared" si="34"/>
        <v/>
      </c>
      <c r="F33" s="373" t="str">
        <f t="shared" si="35"/>
        <v/>
      </c>
      <c r="G33" s="888" t="str">
        <f t="shared" si="36"/>
        <v/>
      </c>
      <c r="H33" s="888" t="str">
        <f t="shared" si="37"/>
        <v/>
      </c>
      <c r="I33" s="888" t="str">
        <f t="shared" si="38"/>
        <v/>
      </c>
      <c r="J33" s="888" t="str">
        <f t="shared" si="39"/>
        <v/>
      </c>
      <c r="K33" s="888" t="str">
        <f t="shared" si="40"/>
        <v/>
      </c>
      <c r="L33" s="888" t="str">
        <f t="shared" si="41"/>
        <v/>
      </c>
      <c r="M33" s="888" t="str">
        <f t="shared" si="42"/>
        <v/>
      </c>
      <c r="N33" s="888" t="str">
        <f t="shared" si="43"/>
        <v/>
      </c>
      <c r="O33" s="888" t="str">
        <f t="shared" si="44"/>
        <v/>
      </c>
      <c r="P33" s="888" t="str">
        <f t="shared" si="45"/>
        <v/>
      </c>
      <c r="Q33" s="888" t="str">
        <f t="shared" si="46"/>
        <v/>
      </c>
      <c r="R33" s="888" t="str">
        <f t="shared" si="47"/>
        <v/>
      </c>
      <c r="T33" s="895" t="b">
        <f t="shared" si="18"/>
        <v>0</v>
      </c>
      <c r="U33" s="895" t="b">
        <f t="shared" si="18"/>
        <v>0</v>
      </c>
      <c r="V33" s="895" t="b">
        <f t="shared" si="18"/>
        <v>0</v>
      </c>
      <c r="W33" s="895" t="b">
        <f t="shared" si="18"/>
        <v>0</v>
      </c>
      <c r="X33" s="895" t="b">
        <f t="shared" si="18"/>
        <v>0</v>
      </c>
      <c r="Y33" s="895" t="b">
        <f t="shared" si="18"/>
        <v>0</v>
      </c>
      <c r="Z33" s="895" t="b">
        <f t="shared" si="18"/>
        <v>0</v>
      </c>
      <c r="AA33" s="895" t="b">
        <f t="shared" si="18"/>
        <v>0</v>
      </c>
      <c r="AB33" s="895" t="b">
        <f t="shared" si="18"/>
        <v>0</v>
      </c>
      <c r="AC33" s="895" t="b">
        <f t="shared" si="18"/>
        <v>0</v>
      </c>
      <c r="AD33" s="895" t="b">
        <f t="shared" si="18"/>
        <v>0</v>
      </c>
      <c r="AE33" s="895" t="b">
        <f t="shared" si="18"/>
        <v>0</v>
      </c>
      <c r="AF33" s="913">
        <f t="shared" si="19"/>
        <v>1</v>
      </c>
      <c r="AG33" s="914">
        <f t="shared" si="20"/>
        <v>1</v>
      </c>
      <c r="AH33" s="914">
        <f t="shared" si="21"/>
        <v>1</v>
      </c>
      <c r="AI33" s="914">
        <f t="shared" si="22"/>
        <v>1</v>
      </c>
      <c r="AJ33" s="914">
        <f t="shared" si="23"/>
        <v>1</v>
      </c>
      <c r="AK33" s="914">
        <f t="shared" si="24"/>
        <v>1</v>
      </c>
      <c r="AL33" s="914">
        <f t="shared" si="25"/>
        <v>1</v>
      </c>
      <c r="AM33" s="914">
        <f t="shared" si="26"/>
        <v>1</v>
      </c>
      <c r="AN33" s="914">
        <f t="shared" si="27"/>
        <v>1</v>
      </c>
      <c r="AO33" s="914">
        <f t="shared" si="28"/>
        <v>1</v>
      </c>
      <c r="AP33" s="914">
        <f t="shared" si="29"/>
        <v>1</v>
      </c>
      <c r="AQ33" s="915">
        <f t="shared" si="30"/>
        <v>1</v>
      </c>
    </row>
    <row r="34" spans="1:43">
      <c r="A34" s="906" t="str">
        <f t="shared" si="31"/>
        <v>2022/12/03</v>
      </c>
      <c r="B34" s="373" t="s">
        <v>513</v>
      </c>
      <c r="C34" s="373" t="str">
        <f t="shared" si="32"/>
        <v/>
      </c>
      <c r="D34" s="373" t="str">
        <f t="shared" si="33"/>
        <v/>
      </c>
      <c r="E34" s="373" t="str">
        <f t="shared" si="34"/>
        <v/>
      </c>
      <c r="F34" s="373" t="str">
        <f t="shared" si="35"/>
        <v/>
      </c>
      <c r="G34" s="888" t="str">
        <f t="shared" si="36"/>
        <v/>
      </c>
      <c r="H34" s="888" t="str">
        <f t="shared" si="37"/>
        <v/>
      </c>
      <c r="I34" s="888" t="str">
        <f t="shared" si="38"/>
        <v/>
      </c>
      <c r="J34" s="888" t="str">
        <f t="shared" si="39"/>
        <v/>
      </c>
      <c r="K34" s="888" t="str">
        <f t="shared" si="40"/>
        <v/>
      </c>
      <c r="L34" s="888" t="str">
        <f t="shared" si="41"/>
        <v/>
      </c>
      <c r="M34" s="888" t="str">
        <f t="shared" si="42"/>
        <v/>
      </c>
      <c r="N34" s="888" t="str">
        <f t="shared" si="43"/>
        <v/>
      </c>
      <c r="O34" s="888" t="str">
        <f t="shared" si="44"/>
        <v/>
      </c>
      <c r="P34" s="888" t="str">
        <f t="shared" si="45"/>
        <v/>
      </c>
      <c r="Q34" s="888" t="str">
        <f t="shared" si="46"/>
        <v/>
      </c>
      <c r="R34" s="888" t="str">
        <f t="shared" si="47"/>
        <v/>
      </c>
      <c r="T34" s="895" t="b">
        <f t="shared" si="18"/>
        <v>0</v>
      </c>
      <c r="U34" s="895" t="b">
        <f t="shared" si="18"/>
        <v>0</v>
      </c>
      <c r="V34" s="895" t="b">
        <f t="shared" si="18"/>
        <v>0</v>
      </c>
      <c r="W34" s="895" t="b">
        <f t="shared" si="18"/>
        <v>0</v>
      </c>
      <c r="X34" s="895" t="b">
        <f t="shared" si="18"/>
        <v>0</v>
      </c>
      <c r="Y34" s="895" t="b">
        <f t="shared" si="18"/>
        <v>0</v>
      </c>
      <c r="Z34" s="895" t="b">
        <f t="shared" si="18"/>
        <v>0</v>
      </c>
      <c r="AA34" s="895" t="b">
        <f t="shared" si="18"/>
        <v>0</v>
      </c>
      <c r="AB34" s="895" t="b">
        <f t="shared" si="18"/>
        <v>0</v>
      </c>
      <c r="AC34" s="895" t="b">
        <f t="shared" si="18"/>
        <v>0</v>
      </c>
      <c r="AD34" s="895" t="b">
        <f t="shared" si="18"/>
        <v>0</v>
      </c>
      <c r="AE34" s="895" t="b">
        <f t="shared" si="18"/>
        <v>0</v>
      </c>
      <c r="AF34" s="913">
        <f t="shared" si="19"/>
        <v>1</v>
      </c>
      <c r="AG34" s="914">
        <f t="shared" si="20"/>
        <v>1</v>
      </c>
      <c r="AH34" s="914">
        <f t="shared" si="21"/>
        <v>1</v>
      </c>
      <c r="AI34" s="914">
        <f t="shared" si="22"/>
        <v>1</v>
      </c>
      <c r="AJ34" s="914">
        <f t="shared" si="23"/>
        <v>1</v>
      </c>
      <c r="AK34" s="914">
        <f t="shared" si="24"/>
        <v>1</v>
      </c>
      <c r="AL34" s="914">
        <f t="shared" si="25"/>
        <v>1</v>
      </c>
      <c r="AM34" s="914">
        <f t="shared" si="26"/>
        <v>1</v>
      </c>
      <c r="AN34" s="914">
        <f t="shared" si="27"/>
        <v>1</v>
      </c>
      <c r="AO34" s="914">
        <f t="shared" si="28"/>
        <v>1</v>
      </c>
      <c r="AP34" s="914">
        <f t="shared" si="29"/>
        <v>1</v>
      </c>
      <c r="AQ34" s="915">
        <f t="shared" si="30"/>
        <v>1</v>
      </c>
    </row>
    <row r="35" spans="1:43">
      <c r="A35" s="906" t="str">
        <f t="shared" si="31"/>
        <v>2022/12/03</v>
      </c>
      <c r="B35" s="373" t="s">
        <v>514</v>
      </c>
      <c r="C35" s="373" t="str">
        <f t="shared" si="32"/>
        <v/>
      </c>
      <c r="D35" s="373" t="str">
        <f t="shared" si="33"/>
        <v/>
      </c>
      <c r="E35" s="373" t="str">
        <f t="shared" si="34"/>
        <v/>
      </c>
      <c r="F35" s="373" t="str">
        <f t="shared" si="35"/>
        <v/>
      </c>
      <c r="G35" s="888" t="str">
        <f t="shared" si="36"/>
        <v/>
      </c>
      <c r="H35" s="888" t="str">
        <f t="shared" si="37"/>
        <v/>
      </c>
      <c r="I35" s="888" t="str">
        <f t="shared" si="38"/>
        <v/>
      </c>
      <c r="J35" s="888" t="str">
        <f t="shared" si="39"/>
        <v/>
      </c>
      <c r="K35" s="888" t="str">
        <f t="shared" si="40"/>
        <v/>
      </c>
      <c r="L35" s="888" t="str">
        <f t="shared" si="41"/>
        <v/>
      </c>
      <c r="M35" s="888" t="str">
        <f t="shared" si="42"/>
        <v/>
      </c>
      <c r="N35" s="888" t="str">
        <f t="shared" si="43"/>
        <v/>
      </c>
      <c r="O35" s="888" t="str">
        <f t="shared" si="44"/>
        <v/>
      </c>
      <c r="P35" s="888" t="str">
        <f t="shared" si="45"/>
        <v/>
      </c>
      <c r="Q35" s="888" t="str">
        <f t="shared" si="46"/>
        <v/>
      </c>
      <c r="R35" s="888" t="str">
        <f t="shared" si="47"/>
        <v/>
      </c>
      <c r="T35" s="895" t="b">
        <f t="shared" si="18"/>
        <v>0</v>
      </c>
      <c r="U35" s="895" t="b">
        <f t="shared" si="18"/>
        <v>0</v>
      </c>
      <c r="V35" s="895" t="b">
        <f t="shared" si="18"/>
        <v>0</v>
      </c>
      <c r="W35" s="895" t="b">
        <f t="shared" si="18"/>
        <v>0</v>
      </c>
      <c r="X35" s="895" t="b">
        <f t="shared" si="18"/>
        <v>0</v>
      </c>
      <c r="Y35" s="895" t="b">
        <f t="shared" si="18"/>
        <v>0</v>
      </c>
      <c r="Z35" s="895" t="b">
        <f t="shared" si="18"/>
        <v>0</v>
      </c>
      <c r="AA35" s="895" t="b">
        <f t="shared" si="18"/>
        <v>0</v>
      </c>
      <c r="AB35" s="895" t="b">
        <f t="shared" si="18"/>
        <v>0</v>
      </c>
      <c r="AC35" s="895" t="b">
        <f t="shared" si="18"/>
        <v>0</v>
      </c>
      <c r="AD35" s="895" t="b">
        <f t="shared" si="18"/>
        <v>0</v>
      </c>
      <c r="AE35" s="895" t="b">
        <f t="shared" si="18"/>
        <v>0</v>
      </c>
      <c r="AF35" s="913">
        <f t="shared" si="19"/>
        <v>1</v>
      </c>
      <c r="AG35" s="914">
        <f t="shared" si="20"/>
        <v>1</v>
      </c>
      <c r="AH35" s="914">
        <f t="shared" si="21"/>
        <v>1</v>
      </c>
      <c r="AI35" s="914">
        <f t="shared" si="22"/>
        <v>1</v>
      </c>
      <c r="AJ35" s="914">
        <f t="shared" si="23"/>
        <v>1</v>
      </c>
      <c r="AK35" s="914">
        <f t="shared" si="24"/>
        <v>1</v>
      </c>
      <c r="AL35" s="914">
        <f t="shared" si="25"/>
        <v>1</v>
      </c>
      <c r="AM35" s="914">
        <f t="shared" si="26"/>
        <v>1</v>
      </c>
      <c r="AN35" s="914">
        <f t="shared" si="27"/>
        <v>1</v>
      </c>
      <c r="AO35" s="914">
        <f t="shared" si="28"/>
        <v>1</v>
      </c>
      <c r="AP35" s="914">
        <f t="shared" si="29"/>
        <v>1</v>
      </c>
      <c r="AQ35" s="915">
        <f t="shared" si="30"/>
        <v>1</v>
      </c>
    </row>
    <row r="36" spans="1:43">
      <c r="A36" s="906" t="str">
        <f t="shared" si="31"/>
        <v>2022/12/03</v>
      </c>
      <c r="B36" s="373" t="s">
        <v>550</v>
      </c>
      <c r="C36" s="373" t="str">
        <f t="shared" si="32"/>
        <v>Xà bông 1
預脫脂</v>
      </c>
      <c r="D36" s="373" t="str">
        <f t="shared" si="33"/>
        <v>XD-000A</v>
      </c>
      <c r="E36" s="373" t="str">
        <f t="shared" si="34"/>
        <v>0C</v>
      </c>
      <c r="F36" s="373" t="str">
        <f t="shared" si="35"/>
        <v>51~59OC
(55OC)</v>
      </c>
      <c r="G36" s="888">
        <f t="shared" si="36"/>
        <v>48</v>
      </c>
      <c r="H36" s="888">
        <f t="shared" si="37"/>
        <v>48</v>
      </c>
      <c r="I36" s="888">
        <f t="shared" si="38"/>
        <v>0</v>
      </c>
      <c r="J36" s="888">
        <f t="shared" si="39"/>
        <v>0</v>
      </c>
      <c r="K36" s="888">
        <f t="shared" si="40"/>
        <v>0</v>
      </c>
      <c r="L36" s="888">
        <f t="shared" si="41"/>
        <v>0</v>
      </c>
      <c r="M36" s="888">
        <f t="shared" si="42"/>
        <v>0</v>
      </c>
      <c r="N36" s="888">
        <f t="shared" si="43"/>
        <v>0</v>
      </c>
      <c r="O36" s="888">
        <f t="shared" si="44"/>
        <v>0</v>
      </c>
      <c r="P36" s="888">
        <f t="shared" si="45"/>
        <v>0</v>
      </c>
      <c r="Q36" s="888">
        <f t="shared" si="46"/>
        <v>0</v>
      </c>
      <c r="R36" s="888">
        <f t="shared" si="47"/>
        <v>0</v>
      </c>
      <c r="T36" s="895" t="b">
        <f t="shared" si="18"/>
        <v>1</v>
      </c>
      <c r="U36" s="895" t="b">
        <f t="shared" si="18"/>
        <v>1</v>
      </c>
      <c r="V36" s="895" t="b">
        <f t="shared" si="18"/>
        <v>1</v>
      </c>
      <c r="W36" s="895" t="b">
        <f t="shared" si="18"/>
        <v>1</v>
      </c>
      <c r="X36" s="895" t="b">
        <f t="shared" si="18"/>
        <v>1</v>
      </c>
      <c r="Y36" s="895" t="b">
        <f t="shared" si="18"/>
        <v>1</v>
      </c>
      <c r="Z36" s="895" t="b">
        <f t="shared" si="18"/>
        <v>1</v>
      </c>
      <c r="AA36" s="895" t="b">
        <f t="shared" si="18"/>
        <v>1</v>
      </c>
      <c r="AB36" s="895" t="b">
        <f t="shared" si="18"/>
        <v>1</v>
      </c>
      <c r="AC36" s="895" t="b">
        <f t="shared" si="18"/>
        <v>1</v>
      </c>
      <c r="AD36" s="895" t="b">
        <f t="shared" si="18"/>
        <v>1</v>
      </c>
      <c r="AE36" s="895" t="b">
        <f t="shared" si="18"/>
        <v>1</v>
      </c>
      <c r="AF36" s="913" t="str">
        <f t="shared" si="19"/>
        <v/>
      </c>
      <c r="AG36" s="914" t="str">
        <f t="shared" si="20"/>
        <v/>
      </c>
      <c r="AH36" s="914" t="str">
        <f t="shared" si="21"/>
        <v/>
      </c>
      <c r="AI36" s="914" t="str">
        <f t="shared" si="22"/>
        <v/>
      </c>
      <c r="AJ36" s="914" t="str">
        <f t="shared" si="23"/>
        <v/>
      </c>
      <c r="AK36" s="914" t="str">
        <f t="shared" si="24"/>
        <v/>
      </c>
      <c r="AL36" s="914" t="str">
        <f t="shared" si="25"/>
        <v/>
      </c>
      <c r="AM36" s="914" t="str">
        <f t="shared" si="26"/>
        <v/>
      </c>
      <c r="AN36" s="914" t="str">
        <f t="shared" si="27"/>
        <v/>
      </c>
      <c r="AO36" s="914" t="str">
        <f t="shared" si="28"/>
        <v/>
      </c>
      <c r="AP36" s="914" t="str">
        <f t="shared" si="29"/>
        <v/>
      </c>
      <c r="AQ36" s="915" t="str">
        <f t="shared" si="30"/>
        <v/>
      </c>
    </row>
    <row r="37" spans="1:43">
      <c r="A37" s="906" t="str">
        <f t="shared" si="31"/>
        <v>2022/12/03</v>
      </c>
      <c r="B37" s="373" t="s">
        <v>552</v>
      </c>
      <c r="C37" s="373" t="str">
        <f t="shared" si="32"/>
        <v>Xà bông 2
主脫脂</v>
      </c>
      <c r="D37" s="373" t="str">
        <f t="shared" si="33"/>
        <v>XD-000A</v>
      </c>
      <c r="E37" s="373" t="str">
        <f t="shared" si="34"/>
        <v>0C</v>
      </c>
      <c r="F37" s="373" t="str">
        <f t="shared" si="35"/>
        <v>51~59OC
(55OC)</v>
      </c>
      <c r="G37" s="888">
        <f t="shared" si="36"/>
        <v>48</v>
      </c>
      <c r="H37" s="888">
        <f t="shared" si="37"/>
        <v>48</v>
      </c>
      <c r="I37" s="888">
        <f t="shared" si="38"/>
        <v>0</v>
      </c>
      <c r="J37" s="888">
        <f t="shared" si="39"/>
        <v>0</v>
      </c>
      <c r="K37" s="888">
        <f t="shared" si="40"/>
        <v>0</v>
      </c>
      <c r="L37" s="888">
        <f t="shared" si="41"/>
        <v>0</v>
      </c>
      <c r="M37" s="888">
        <f t="shared" si="42"/>
        <v>0</v>
      </c>
      <c r="N37" s="888">
        <f t="shared" si="43"/>
        <v>0</v>
      </c>
      <c r="O37" s="888">
        <f t="shared" si="44"/>
        <v>0</v>
      </c>
      <c r="P37" s="888">
        <f t="shared" si="45"/>
        <v>0</v>
      </c>
      <c r="Q37" s="888">
        <f t="shared" si="46"/>
        <v>0</v>
      </c>
      <c r="R37" s="888">
        <f t="shared" si="47"/>
        <v>0</v>
      </c>
      <c r="T37" s="895" t="b">
        <f t="shared" si="18"/>
        <v>1</v>
      </c>
      <c r="U37" s="895" t="b">
        <f t="shared" si="18"/>
        <v>1</v>
      </c>
      <c r="V37" s="895" t="b">
        <f t="shared" si="18"/>
        <v>1</v>
      </c>
      <c r="W37" s="895" t="b">
        <f t="shared" si="18"/>
        <v>1</v>
      </c>
      <c r="X37" s="895" t="b">
        <f t="shared" si="18"/>
        <v>1</v>
      </c>
      <c r="Y37" s="895" t="b">
        <f t="shared" si="18"/>
        <v>1</v>
      </c>
      <c r="Z37" s="895" t="b">
        <f t="shared" si="18"/>
        <v>1</v>
      </c>
      <c r="AA37" s="895" t="b">
        <f t="shared" si="18"/>
        <v>1</v>
      </c>
      <c r="AB37" s="895" t="b">
        <f t="shared" si="18"/>
        <v>1</v>
      </c>
      <c r="AC37" s="895" t="b">
        <f t="shared" si="18"/>
        <v>1</v>
      </c>
      <c r="AD37" s="895" t="b">
        <f t="shared" si="18"/>
        <v>1</v>
      </c>
      <c r="AE37" s="895" t="b">
        <f t="shared" si="18"/>
        <v>1</v>
      </c>
      <c r="AF37" s="913" t="str">
        <f t="shared" si="19"/>
        <v/>
      </c>
      <c r="AG37" s="914" t="str">
        <f t="shared" si="20"/>
        <v/>
      </c>
      <c r="AH37" s="914" t="str">
        <f t="shared" si="21"/>
        <v/>
      </c>
      <c r="AI37" s="914" t="str">
        <f t="shared" si="22"/>
        <v/>
      </c>
      <c r="AJ37" s="914" t="str">
        <f t="shared" si="23"/>
        <v/>
      </c>
      <c r="AK37" s="914" t="str">
        <f t="shared" si="24"/>
        <v/>
      </c>
      <c r="AL37" s="914" t="str">
        <f t="shared" si="25"/>
        <v/>
      </c>
      <c r="AM37" s="914" t="str">
        <f t="shared" si="26"/>
        <v/>
      </c>
      <c r="AN37" s="914" t="str">
        <f t="shared" si="27"/>
        <v/>
      </c>
      <c r="AO37" s="914" t="str">
        <f t="shared" si="28"/>
        <v/>
      </c>
      <c r="AP37" s="914" t="str">
        <f t="shared" si="29"/>
        <v/>
      </c>
      <c r="AQ37" s="915" t="str">
        <f t="shared" si="30"/>
        <v/>
      </c>
    </row>
    <row r="38" spans="1:43">
      <c r="A38" s="906" t="str">
        <f t="shared" si="31"/>
        <v>2022/12/03</v>
      </c>
      <c r="B38" s="373" t="s">
        <v>553</v>
      </c>
      <c r="C38" s="373" t="str">
        <f t="shared" si="32"/>
        <v xml:space="preserve">Xà bông siêu âm
超音波脫脂
</v>
      </c>
      <c r="D38" s="373" t="str">
        <f t="shared" si="33"/>
        <v>XD-000A</v>
      </c>
      <c r="E38" s="373" t="str">
        <f t="shared" si="34"/>
        <v>0C</v>
      </c>
      <c r="F38" s="373" t="str">
        <f t="shared" si="35"/>
        <v>51~59OC
(55OC)</v>
      </c>
      <c r="G38" s="888">
        <f t="shared" si="36"/>
        <v>46</v>
      </c>
      <c r="H38" s="888">
        <f t="shared" si="37"/>
        <v>45</v>
      </c>
      <c r="I38" s="888">
        <f t="shared" si="38"/>
        <v>0</v>
      </c>
      <c r="J38" s="888">
        <f t="shared" si="39"/>
        <v>0</v>
      </c>
      <c r="K38" s="888">
        <f t="shared" si="40"/>
        <v>0</v>
      </c>
      <c r="L38" s="888">
        <f t="shared" si="41"/>
        <v>0</v>
      </c>
      <c r="M38" s="888">
        <f t="shared" si="42"/>
        <v>0</v>
      </c>
      <c r="N38" s="888">
        <f t="shared" si="43"/>
        <v>0</v>
      </c>
      <c r="O38" s="888">
        <f t="shared" si="44"/>
        <v>0</v>
      </c>
      <c r="P38" s="888">
        <f t="shared" si="45"/>
        <v>0</v>
      </c>
      <c r="Q38" s="888">
        <f t="shared" si="46"/>
        <v>0</v>
      </c>
      <c r="R38" s="888">
        <f t="shared" si="47"/>
        <v>0</v>
      </c>
      <c r="T38" s="895" t="b">
        <f t="shared" si="18"/>
        <v>1</v>
      </c>
      <c r="U38" s="895" t="b">
        <f t="shared" si="18"/>
        <v>1</v>
      </c>
      <c r="V38" s="895" t="b">
        <f t="shared" si="18"/>
        <v>1</v>
      </c>
      <c r="W38" s="895" t="b">
        <f t="shared" si="18"/>
        <v>1</v>
      </c>
      <c r="X38" s="895" t="b">
        <f t="shared" si="18"/>
        <v>1</v>
      </c>
      <c r="Y38" s="895" t="b">
        <f t="shared" si="18"/>
        <v>1</v>
      </c>
      <c r="Z38" s="895" t="b">
        <f t="shared" si="18"/>
        <v>1</v>
      </c>
      <c r="AA38" s="895" t="b">
        <f t="shared" si="18"/>
        <v>1</v>
      </c>
      <c r="AB38" s="895" t="b">
        <f t="shared" si="18"/>
        <v>1</v>
      </c>
      <c r="AC38" s="895" t="b">
        <f t="shared" si="18"/>
        <v>1</v>
      </c>
      <c r="AD38" s="895" t="b">
        <f t="shared" si="18"/>
        <v>1</v>
      </c>
      <c r="AE38" s="895" t="b">
        <f t="shared" si="18"/>
        <v>1</v>
      </c>
      <c r="AF38" s="913" t="str">
        <f t="shared" si="19"/>
        <v/>
      </c>
      <c r="AG38" s="914" t="str">
        <f t="shared" si="20"/>
        <v/>
      </c>
      <c r="AH38" s="914" t="str">
        <f t="shared" si="21"/>
        <v/>
      </c>
      <c r="AI38" s="914" t="str">
        <f t="shared" si="22"/>
        <v/>
      </c>
      <c r="AJ38" s="914" t="str">
        <f t="shared" si="23"/>
        <v/>
      </c>
      <c r="AK38" s="914" t="str">
        <f t="shared" si="24"/>
        <v/>
      </c>
      <c r="AL38" s="914" t="str">
        <f t="shared" si="25"/>
        <v/>
      </c>
      <c r="AM38" s="914" t="str">
        <f t="shared" si="26"/>
        <v/>
      </c>
      <c r="AN38" s="914" t="str">
        <f t="shared" si="27"/>
        <v/>
      </c>
      <c r="AO38" s="914" t="str">
        <f t="shared" si="28"/>
        <v/>
      </c>
      <c r="AP38" s="914" t="str">
        <f t="shared" si="29"/>
        <v/>
      </c>
      <c r="AQ38" s="915" t="str">
        <f t="shared" si="30"/>
        <v/>
      </c>
    </row>
    <row r="39" spans="1:43">
      <c r="A39" s="906" t="str">
        <f t="shared" si="31"/>
        <v>2022/12/03</v>
      </c>
      <c r="B39" s="373" t="s">
        <v>554</v>
      </c>
      <c r="C39" s="373" t="str">
        <f t="shared" si="32"/>
        <v>phosphat    
磷化處理</v>
      </c>
      <c r="D39" s="373" t="str">
        <f t="shared" si="33"/>
        <v>XD-000A</v>
      </c>
      <c r="E39" s="373" t="str">
        <f t="shared" si="34"/>
        <v>0C</v>
      </c>
      <c r="F39" s="373" t="str">
        <f t="shared" si="35"/>
        <v>30~40OC
(35OC)</v>
      </c>
      <c r="G39" s="888">
        <f t="shared" si="36"/>
        <v>36</v>
      </c>
      <c r="H39" s="888">
        <f t="shared" si="37"/>
        <v>29</v>
      </c>
      <c r="I39" s="888">
        <f t="shared" si="38"/>
        <v>0</v>
      </c>
      <c r="J39" s="888">
        <f t="shared" si="39"/>
        <v>0</v>
      </c>
      <c r="K39" s="888">
        <f t="shared" si="40"/>
        <v>0</v>
      </c>
      <c r="L39" s="888">
        <f t="shared" si="41"/>
        <v>0</v>
      </c>
      <c r="M39" s="888">
        <f t="shared" si="42"/>
        <v>0</v>
      </c>
      <c r="N39" s="888">
        <f t="shared" si="43"/>
        <v>0</v>
      </c>
      <c r="O39" s="888">
        <f t="shared" si="44"/>
        <v>0</v>
      </c>
      <c r="P39" s="888">
        <f t="shared" si="45"/>
        <v>0</v>
      </c>
      <c r="Q39" s="888">
        <f t="shared" si="46"/>
        <v>0</v>
      </c>
      <c r="R39" s="888">
        <f t="shared" si="47"/>
        <v>0</v>
      </c>
      <c r="T39" s="895" t="b">
        <f t="shared" si="18"/>
        <v>1</v>
      </c>
      <c r="U39" s="895" t="b">
        <f t="shared" si="18"/>
        <v>1</v>
      </c>
      <c r="V39" s="895" t="b">
        <f t="shared" si="18"/>
        <v>1</v>
      </c>
      <c r="W39" s="895" t="b">
        <f t="shared" si="18"/>
        <v>1</v>
      </c>
      <c r="X39" s="895" t="b">
        <f t="shared" si="18"/>
        <v>1</v>
      </c>
      <c r="Y39" s="895" t="b">
        <f t="shared" si="18"/>
        <v>1</v>
      </c>
      <c r="Z39" s="895" t="b">
        <f t="shared" si="18"/>
        <v>1</v>
      </c>
      <c r="AA39" s="895" t="b">
        <f t="shared" si="18"/>
        <v>1</v>
      </c>
      <c r="AB39" s="895" t="b">
        <f t="shared" si="18"/>
        <v>1</v>
      </c>
      <c r="AC39" s="895" t="b">
        <f t="shared" si="18"/>
        <v>1</v>
      </c>
      <c r="AD39" s="895" t="b">
        <f t="shared" si="18"/>
        <v>1</v>
      </c>
      <c r="AE39" s="895" t="b">
        <f t="shared" si="18"/>
        <v>1</v>
      </c>
      <c r="AF39" s="913" t="str">
        <f t="shared" si="19"/>
        <v/>
      </c>
      <c r="AG39" s="914" t="str">
        <f t="shared" si="20"/>
        <v/>
      </c>
      <c r="AH39" s="914" t="str">
        <f t="shared" si="21"/>
        <v/>
      </c>
      <c r="AI39" s="914" t="str">
        <f t="shared" si="22"/>
        <v/>
      </c>
      <c r="AJ39" s="914" t="str">
        <f t="shared" si="23"/>
        <v/>
      </c>
      <c r="AK39" s="914" t="str">
        <f t="shared" si="24"/>
        <v/>
      </c>
      <c r="AL39" s="914" t="str">
        <f t="shared" si="25"/>
        <v/>
      </c>
      <c r="AM39" s="914" t="str">
        <f t="shared" si="26"/>
        <v/>
      </c>
      <c r="AN39" s="914" t="str">
        <f t="shared" si="27"/>
        <v/>
      </c>
      <c r="AO39" s="914" t="str">
        <f t="shared" si="28"/>
        <v/>
      </c>
      <c r="AP39" s="914" t="str">
        <f t="shared" si="29"/>
        <v/>
      </c>
      <c r="AQ39" s="915" t="str">
        <f t="shared" si="30"/>
        <v/>
      </c>
    </row>
    <row r="40" spans="1:43">
      <c r="A40" s="906" t="str">
        <f t="shared" si="31"/>
        <v>2022/12/03</v>
      </c>
      <c r="B40" s="373" t="s">
        <v>557</v>
      </c>
      <c r="C40" s="373" t="str">
        <f t="shared" si="32"/>
        <v>ED電泳 
ED Bồn sơn tĩnh điện  1</v>
      </c>
      <c r="D40" s="373" t="str">
        <f t="shared" si="33"/>
        <v>XD-000A</v>
      </c>
      <c r="E40" s="373" t="str">
        <f t="shared" si="34"/>
        <v>0C</v>
      </c>
      <c r="F40" s="373" t="str">
        <f t="shared" si="35"/>
        <v>26~32OC
(29OC)</v>
      </c>
      <c r="G40" s="888">
        <f t="shared" si="36"/>
        <v>31</v>
      </c>
      <c r="H40" s="888">
        <f t="shared" si="37"/>
        <v>28</v>
      </c>
      <c r="I40" s="888">
        <f t="shared" si="38"/>
        <v>0</v>
      </c>
      <c r="J40" s="888">
        <f t="shared" si="39"/>
        <v>0</v>
      </c>
      <c r="K40" s="888">
        <f t="shared" si="40"/>
        <v>0</v>
      </c>
      <c r="L40" s="888">
        <f t="shared" si="41"/>
        <v>0</v>
      </c>
      <c r="M40" s="888">
        <f t="shared" si="42"/>
        <v>0</v>
      </c>
      <c r="N40" s="888">
        <f t="shared" si="43"/>
        <v>0</v>
      </c>
      <c r="O40" s="888">
        <f t="shared" si="44"/>
        <v>0</v>
      </c>
      <c r="P40" s="888">
        <f t="shared" si="45"/>
        <v>0</v>
      </c>
      <c r="Q40" s="888">
        <f t="shared" si="46"/>
        <v>0</v>
      </c>
      <c r="R40" s="888">
        <f t="shared" si="47"/>
        <v>0</v>
      </c>
      <c r="T40" s="895" t="b">
        <f t="shared" ref="T40:AE51" si="48">ISNUMBER(G40)</f>
        <v>1</v>
      </c>
      <c r="U40" s="895" t="b">
        <f t="shared" si="48"/>
        <v>1</v>
      </c>
      <c r="V40" s="895" t="b">
        <f t="shared" si="48"/>
        <v>1</v>
      </c>
      <c r="W40" s="895" t="b">
        <f t="shared" si="48"/>
        <v>1</v>
      </c>
      <c r="X40" s="895" t="b">
        <f t="shared" si="48"/>
        <v>1</v>
      </c>
      <c r="Y40" s="895" t="b">
        <f t="shared" si="48"/>
        <v>1</v>
      </c>
      <c r="Z40" s="895" t="b">
        <f t="shared" si="48"/>
        <v>1</v>
      </c>
      <c r="AA40" s="895" t="b">
        <f t="shared" si="48"/>
        <v>1</v>
      </c>
      <c r="AB40" s="895" t="b">
        <f t="shared" si="48"/>
        <v>1</v>
      </c>
      <c r="AC40" s="895" t="b">
        <f t="shared" si="48"/>
        <v>1</v>
      </c>
      <c r="AD40" s="895" t="b">
        <f t="shared" si="48"/>
        <v>1</v>
      </c>
      <c r="AE40" s="895" t="b">
        <f t="shared" si="48"/>
        <v>1</v>
      </c>
      <c r="AF40" s="913" t="str">
        <f t="shared" si="19"/>
        <v/>
      </c>
      <c r="AG40" s="914" t="str">
        <f t="shared" si="20"/>
        <v/>
      </c>
      <c r="AH40" s="914" t="str">
        <f t="shared" si="21"/>
        <v/>
      </c>
      <c r="AI40" s="914" t="str">
        <f t="shared" si="22"/>
        <v/>
      </c>
      <c r="AJ40" s="914" t="str">
        <f t="shared" si="23"/>
        <v/>
      </c>
      <c r="AK40" s="914" t="str">
        <f t="shared" si="24"/>
        <v/>
      </c>
      <c r="AL40" s="914" t="str">
        <f t="shared" si="25"/>
        <v/>
      </c>
      <c r="AM40" s="914" t="str">
        <f t="shared" si="26"/>
        <v/>
      </c>
      <c r="AN40" s="914" t="str">
        <f t="shared" si="27"/>
        <v/>
      </c>
      <c r="AO40" s="914" t="str">
        <f t="shared" si="28"/>
        <v/>
      </c>
      <c r="AP40" s="914" t="str">
        <f t="shared" si="29"/>
        <v/>
      </c>
      <c r="AQ40" s="915" t="str">
        <f t="shared" si="30"/>
        <v/>
      </c>
    </row>
    <row r="41" spans="1:43">
      <c r="A41" s="906" t="str">
        <f t="shared" ref="A41:A51" si="49">IF(B41="","",$A$4)</f>
        <v>2022/12/03</v>
      </c>
      <c r="B41" s="373" t="s">
        <v>562</v>
      </c>
      <c r="C41" s="373" t="str">
        <f t="shared" si="32"/>
        <v xml:space="preserve">sấy khô  烘乾 </v>
      </c>
      <c r="D41" s="373" t="str">
        <f t="shared" si="33"/>
        <v>XD-000A</v>
      </c>
      <c r="E41" s="373" t="str">
        <f t="shared" si="34"/>
        <v>0C</v>
      </c>
      <c r="F41" s="373" t="str">
        <f t="shared" si="35"/>
        <v>170~220℃ 
(195OC)</v>
      </c>
      <c r="G41" s="888">
        <f t="shared" si="36"/>
        <v>0</v>
      </c>
      <c r="H41" s="888">
        <f t="shared" si="37"/>
        <v>30</v>
      </c>
      <c r="I41" s="888">
        <f t="shared" si="38"/>
        <v>0</v>
      </c>
      <c r="J41" s="888">
        <f t="shared" si="39"/>
        <v>0</v>
      </c>
      <c r="K41" s="888">
        <f t="shared" si="40"/>
        <v>0</v>
      </c>
      <c r="L41" s="888">
        <f t="shared" si="41"/>
        <v>0</v>
      </c>
      <c r="M41" s="888">
        <f t="shared" si="42"/>
        <v>0</v>
      </c>
      <c r="N41" s="888">
        <f t="shared" si="43"/>
        <v>0</v>
      </c>
      <c r="O41" s="888">
        <f t="shared" si="44"/>
        <v>0</v>
      </c>
      <c r="P41" s="888">
        <f t="shared" si="45"/>
        <v>0</v>
      </c>
      <c r="Q41" s="888">
        <f t="shared" si="46"/>
        <v>0</v>
      </c>
      <c r="R41" s="888">
        <f t="shared" si="47"/>
        <v>0</v>
      </c>
      <c r="T41" s="895" t="b">
        <f t="shared" si="48"/>
        <v>1</v>
      </c>
      <c r="U41" s="895" t="b">
        <f t="shared" si="48"/>
        <v>1</v>
      </c>
      <c r="V41" s="895" t="b">
        <f t="shared" si="48"/>
        <v>1</v>
      </c>
      <c r="W41" s="895" t="b">
        <f t="shared" si="48"/>
        <v>1</v>
      </c>
      <c r="X41" s="895" t="b">
        <f t="shared" si="48"/>
        <v>1</v>
      </c>
      <c r="Y41" s="895" t="b">
        <f t="shared" si="48"/>
        <v>1</v>
      </c>
      <c r="Z41" s="895" t="b">
        <f t="shared" si="48"/>
        <v>1</v>
      </c>
      <c r="AA41" s="895" t="b">
        <f t="shared" si="48"/>
        <v>1</v>
      </c>
      <c r="AB41" s="895" t="b">
        <f t="shared" si="48"/>
        <v>1</v>
      </c>
      <c r="AC41" s="895" t="b">
        <f t="shared" si="48"/>
        <v>1</v>
      </c>
      <c r="AD41" s="895" t="b">
        <f t="shared" si="48"/>
        <v>1</v>
      </c>
      <c r="AE41" s="895" t="b">
        <f t="shared" si="48"/>
        <v>1</v>
      </c>
      <c r="AF41" s="913" t="str">
        <f t="shared" si="19"/>
        <v/>
      </c>
      <c r="AG41" s="914" t="str">
        <f t="shared" si="20"/>
        <v/>
      </c>
      <c r="AH41" s="914" t="str">
        <f t="shared" si="21"/>
        <v/>
      </c>
      <c r="AI41" s="914" t="str">
        <f t="shared" si="22"/>
        <v/>
      </c>
      <c r="AJ41" s="914" t="str">
        <f t="shared" si="23"/>
        <v/>
      </c>
      <c r="AK41" s="914" t="str">
        <f t="shared" si="24"/>
        <v/>
      </c>
      <c r="AL41" s="914" t="str">
        <f t="shared" si="25"/>
        <v/>
      </c>
      <c r="AM41" s="914" t="str">
        <f t="shared" si="26"/>
        <v/>
      </c>
      <c r="AN41" s="914" t="str">
        <f t="shared" si="27"/>
        <v/>
      </c>
      <c r="AO41" s="914" t="str">
        <f t="shared" si="28"/>
        <v/>
      </c>
      <c r="AP41" s="914" t="str">
        <f t="shared" si="29"/>
        <v/>
      </c>
      <c r="AQ41" s="915" t="str">
        <f t="shared" si="30"/>
        <v/>
      </c>
    </row>
    <row r="42" spans="1:43">
      <c r="A42" s="906" t="str">
        <f t="shared" si="49"/>
        <v>2022/12/03</v>
      </c>
      <c r="B42" s="373" t="s">
        <v>601</v>
      </c>
      <c r="C42" s="373" t="str">
        <f t="shared" si="32"/>
        <v>熱脫脂 Xà bông 1</v>
      </c>
      <c r="D42" s="373" t="str">
        <f t="shared" si="33"/>
        <v>DC-000A</v>
      </c>
      <c r="E42" s="373" t="str">
        <f t="shared" si="34"/>
        <v>0C</v>
      </c>
      <c r="F42" s="373" t="str">
        <f t="shared" si="35"/>
        <v>45~65ºC
(55±8oC)</v>
      </c>
      <c r="G42" s="888">
        <f t="shared" si="36"/>
        <v>66</v>
      </c>
      <c r="H42" s="888">
        <f t="shared" si="37"/>
        <v>61</v>
      </c>
      <c r="I42" s="888">
        <f t="shared" si="38"/>
        <v>0</v>
      </c>
      <c r="J42" s="888">
        <f t="shared" si="39"/>
        <v>0</v>
      </c>
      <c r="K42" s="888">
        <f t="shared" si="40"/>
        <v>0</v>
      </c>
      <c r="L42" s="888">
        <f t="shared" si="41"/>
        <v>0</v>
      </c>
      <c r="M42" s="888">
        <f t="shared" si="42"/>
        <v>0</v>
      </c>
      <c r="N42" s="888">
        <f t="shared" si="43"/>
        <v>0</v>
      </c>
      <c r="O42" s="888">
        <f t="shared" si="44"/>
        <v>0</v>
      </c>
      <c r="P42" s="888">
        <f t="shared" si="45"/>
        <v>0</v>
      </c>
      <c r="Q42" s="888">
        <f t="shared" si="46"/>
        <v>0</v>
      </c>
      <c r="R42" s="888">
        <f t="shared" si="47"/>
        <v>0</v>
      </c>
      <c r="T42" s="895" t="b">
        <f t="shared" si="48"/>
        <v>1</v>
      </c>
      <c r="U42" s="895" t="b">
        <f t="shared" si="48"/>
        <v>1</v>
      </c>
      <c r="V42" s="895" t="b">
        <f t="shared" si="48"/>
        <v>1</v>
      </c>
      <c r="W42" s="895" t="b">
        <f t="shared" si="48"/>
        <v>1</v>
      </c>
      <c r="X42" s="895" t="b">
        <f t="shared" si="48"/>
        <v>1</v>
      </c>
      <c r="Y42" s="895" t="b">
        <f t="shared" si="48"/>
        <v>1</v>
      </c>
      <c r="Z42" s="895" t="b">
        <f t="shared" si="48"/>
        <v>1</v>
      </c>
      <c r="AA42" s="895" t="b">
        <f t="shared" si="48"/>
        <v>1</v>
      </c>
      <c r="AB42" s="895" t="b">
        <f t="shared" si="48"/>
        <v>1</v>
      </c>
      <c r="AC42" s="895" t="b">
        <f t="shared" si="48"/>
        <v>1</v>
      </c>
      <c r="AD42" s="895" t="b">
        <f t="shared" si="48"/>
        <v>1</v>
      </c>
      <c r="AE42" s="895" t="b">
        <f t="shared" si="48"/>
        <v>1</v>
      </c>
      <c r="AF42" s="913" t="str">
        <f t="shared" si="19"/>
        <v/>
      </c>
      <c r="AG42" s="914" t="str">
        <f t="shared" si="20"/>
        <v/>
      </c>
      <c r="AH42" s="914" t="str">
        <f t="shared" si="21"/>
        <v/>
      </c>
      <c r="AI42" s="914" t="str">
        <f t="shared" si="22"/>
        <v/>
      </c>
      <c r="AJ42" s="914" t="str">
        <f t="shared" si="23"/>
        <v/>
      </c>
      <c r="AK42" s="914" t="str">
        <f t="shared" si="24"/>
        <v/>
      </c>
      <c r="AL42" s="914" t="str">
        <f t="shared" si="25"/>
        <v/>
      </c>
      <c r="AM42" s="914" t="str">
        <f t="shared" si="26"/>
        <v/>
      </c>
      <c r="AN42" s="914" t="str">
        <f t="shared" si="27"/>
        <v/>
      </c>
      <c r="AO42" s="914" t="str">
        <f t="shared" si="28"/>
        <v/>
      </c>
      <c r="AP42" s="914" t="str">
        <f t="shared" si="29"/>
        <v/>
      </c>
      <c r="AQ42" s="915" t="str">
        <f t="shared" si="30"/>
        <v/>
      </c>
    </row>
    <row r="43" spans="1:43">
      <c r="A43" s="906" t="str">
        <f t="shared" si="49"/>
        <v>2022/12/03</v>
      </c>
      <c r="B43" s="373" t="s">
        <v>602</v>
      </c>
      <c r="C43" s="373" t="str">
        <f t="shared" si="32"/>
        <v>熱脫脂Xà bôngg 2</v>
      </c>
      <c r="D43" s="373" t="str">
        <f t="shared" si="33"/>
        <v>DC-000A</v>
      </c>
      <c r="E43" s="373" t="str">
        <f t="shared" si="34"/>
        <v>0C</v>
      </c>
      <c r="F43" s="373" t="str">
        <f t="shared" si="35"/>
        <v>45~65ºC
(55±8oC)</v>
      </c>
      <c r="G43" s="888">
        <f t="shared" si="36"/>
        <v>67</v>
      </c>
      <c r="H43" s="888">
        <f t="shared" si="37"/>
        <v>61</v>
      </c>
      <c r="I43" s="888">
        <f t="shared" si="38"/>
        <v>0</v>
      </c>
      <c r="J43" s="888">
        <f t="shared" si="39"/>
        <v>0</v>
      </c>
      <c r="K43" s="888">
        <f t="shared" si="40"/>
        <v>0</v>
      </c>
      <c r="L43" s="888">
        <f t="shared" si="41"/>
        <v>0</v>
      </c>
      <c r="M43" s="888">
        <f t="shared" si="42"/>
        <v>0</v>
      </c>
      <c r="N43" s="888">
        <f t="shared" si="43"/>
        <v>0</v>
      </c>
      <c r="O43" s="888">
        <f t="shared" si="44"/>
        <v>0</v>
      </c>
      <c r="P43" s="888">
        <f t="shared" si="45"/>
        <v>0</v>
      </c>
      <c r="Q43" s="888">
        <f t="shared" si="46"/>
        <v>0</v>
      </c>
      <c r="R43" s="888">
        <f t="shared" si="47"/>
        <v>0</v>
      </c>
      <c r="T43" s="895" t="b">
        <f t="shared" si="48"/>
        <v>1</v>
      </c>
      <c r="U43" s="895" t="b">
        <f t="shared" si="48"/>
        <v>1</v>
      </c>
      <c r="V43" s="895" t="b">
        <f t="shared" si="48"/>
        <v>1</v>
      </c>
      <c r="W43" s="895" t="b">
        <f t="shared" si="48"/>
        <v>1</v>
      </c>
      <c r="X43" s="895" t="b">
        <f t="shared" si="48"/>
        <v>1</v>
      </c>
      <c r="Y43" s="895" t="b">
        <f t="shared" si="48"/>
        <v>1</v>
      </c>
      <c r="Z43" s="895" t="b">
        <f t="shared" si="48"/>
        <v>1</v>
      </c>
      <c r="AA43" s="895" t="b">
        <f t="shared" si="48"/>
        <v>1</v>
      </c>
      <c r="AB43" s="895" t="b">
        <f t="shared" si="48"/>
        <v>1</v>
      </c>
      <c r="AC43" s="895" t="b">
        <f t="shared" si="48"/>
        <v>1</v>
      </c>
      <c r="AD43" s="895" t="b">
        <f t="shared" si="48"/>
        <v>1</v>
      </c>
      <c r="AE43" s="895" t="b">
        <f t="shared" si="48"/>
        <v>1</v>
      </c>
      <c r="AF43" s="913" t="str">
        <f t="shared" si="19"/>
        <v/>
      </c>
      <c r="AG43" s="914" t="str">
        <f t="shared" si="20"/>
        <v/>
      </c>
      <c r="AH43" s="914" t="str">
        <f t="shared" si="21"/>
        <v/>
      </c>
      <c r="AI43" s="914" t="str">
        <f t="shared" si="22"/>
        <v/>
      </c>
      <c r="AJ43" s="914" t="str">
        <f t="shared" si="23"/>
        <v/>
      </c>
      <c r="AK43" s="914" t="str">
        <f t="shared" si="24"/>
        <v/>
      </c>
      <c r="AL43" s="914" t="str">
        <f t="shared" si="25"/>
        <v/>
      </c>
      <c r="AM43" s="914" t="str">
        <f t="shared" si="26"/>
        <v/>
      </c>
      <c r="AN43" s="914" t="str">
        <f t="shared" si="27"/>
        <v/>
      </c>
      <c r="AO43" s="914" t="str">
        <f t="shared" si="28"/>
        <v/>
      </c>
      <c r="AP43" s="914" t="str">
        <f t="shared" si="29"/>
        <v/>
      </c>
      <c r="AQ43" s="915" t="str">
        <f t="shared" si="30"/>
        <v/>
      </c>
    </row>
    <row r="44" spans="1:43">
      <c r="A44" s="906" t="str">
        <f t="shared" si="49"/>
        <v>2022/12/03</v>
      </c>
      <c r="B44" s="373" t="s">
        <v>603</v>
      </c>
      <c r="C44" s="373" t="str">
        <f t="shared" si="32"/>
        <v>陽極處理槽 dương cực Al3+ (18)</v>
      </c>
      <c r="D44" s="373" t="str">
        <f t="shared" si="33"/>
        <v>DC-000A</v>
      </c>
      <c r="E44" s="373" t="str">
        <f t="shared" si="34"/>
        <v>0C</v>
      </c>
      <c r="F44" s="373" t="str">
        <f t="shared" si="35"/>
        <v>18~25ºC
(22±2oC)</v>
      </c>
      <c r="G44" s="888">
        <f t="shared" si="36"/>
        <v>22</v>
      </c>
      <c r="H44" s="888">
        <f t="shared" si="37"/>
        <v>21</v>
      </c>
      <c r="I44" s="888">
        <f t="shared" si="38"/>
        <v>0</v>
      </c>
      <c r="J44" s="888">
        <f t="shared" si="39"/>
        <v>0</v>
      </c>
      <c r="K44" s="888">
        <f t="shared" si="40"/>
        <v>0</v>
      </c>
      <c r="L44" s="888">
        <f t="shared" si="41"/>
        <v>0</v>
      </c>
      <c r="M44" s="888">
        <f t="shared" si="42"/>
        <v>0</v>
      </c>
      <c r="N44" s="888">
        <f t="shared" si="43"/>
        <v>0</v>
      </c>
      <c r="O44" s="888">
        <f t="shared" si="44"/>
        <v>0</v>
      </c>
      <c r="P44" s="888">
        <f t="shared" si="45"/>
        <v>0</v>
      </c>
      <c r="Q44" s="888">
        <f t="shared" si="46"/>
        <v>0</v>
      </c>
      <c r="R44" s="888">
        <f t="shared" si="47"/>
        <v>0</v>
      </c>
      <c r="T44" s="895" t="b">
        <f t="shared" si="48"/>
        <v>1</v>
      </c>
      <c r="U44" s="895" t="b">
        <f t="shared" si="48"/>
        <v>1</v>
      </c>
      <c r="V44" s="895" t="b">
        <f t="shared" si="48"/>
        <v>1</v>
      </c>
      <c r="W44" s="895" t="b">
        <f t="shared" si="48"/>
        <v>1</v>
      </c>
      <c r="X44" s="895" t="b">
        <f t="shared" si="48"/>
        <v>1</v>
      </c>
      <c r="Y44" s="895" t="b">
        <f t="shared" si="48"/>
        <v>1</v>
      </c>
      <c r="Z44" s="895" t="b">
        <f t="shared" si="48"/>
        <v>1</v>
      </c>
      <c r="AA44" s="895" t="b">
        <f t="shared" si="48"/>
        <v>1</v>
      </c>
      <c r="AB44" s="895" t="b">
        <f t="shared" si="48"/>
        <v>1</v>
      </c>
      <c r="AC44" s="895" t="b">
        <f t="shared" si="48"/>
        <v>1</v>
      </c>
      <c r="AD44" s="895" t="b">
        <f t="shared" si="48"/>
        <v>1</v>
      </c>
      <c r="AE44" s="895" t="b">
        <f t="shared" si="48"/>
        <v>1</v>
      </c>
      <c r="AF44" s="913" t="str">
        <f t="shared" si="19"/>
        <v/>
      </c>
      <c r="AG44" s="914" t="str">
        <f t="shared" si="20"/>
        <v/>
      </c>
      <c r="AH44" s="914" t="str">
        <f t="shared" si="21"/>
        <v/>
      </c>
      <c r="AI44" s="914" t="str">
        <f t="shared" si="22"/>
        <v/>
      </c>
      <c r="AJ44" s="914" t="str">
        <f t="shared" si="23"/>
        <v/>
      </c>
      <c r="AK44" s="914" t="str">
        <f t="shared" si="24"/>
        <v/>
      </c>
      <c r="AL44" s="914" t="str">
        <f t="shared" si="25"/>
        <v/>
      </c>
      <c r="AM44" s="914" t="str">
        <f t="shared" si="26"/>
        <v/>
      </c>
      <c r="AN44" s="914" t="str">
        <f t="shared" si="27"/>
        <v/>
      </c>
      <c r="AO44" s="914" t="str">
        <f t="shared" si="28"/>
        <v/>
      </c>
      <c r="AP44" s="914" t="str">
        <f t="shared" si="29"/>
        <v/>
      </c>
      <c r="AQ44" s="915" t="str">
        <f t="shared" si="30"/>
        <v/>
      </c>
    </row>
    <row r="45" spans="1:43">
      <c r="A45" s="906" t="str">
        <f t="shared" si="49"/>
        <v>2022/12/03</v>
      </c>
      <c r="B45" s="373" t="s">
        <v>604</v>
      </c>
      <c r="C45" s="373" t="str">
        <f t="shared" si="32"/>
        <v>陽極處理槽 dương cực Al3+ (19)</v>
      </c>
      <c r="D45" s="373" t="str">
        <f t="shared" si="33"/>
        <v>DC-000A</v>
      </c>
      <c r="E45" s="373" t="str">
        <f t="shared" si="34"/>
        <v>0C</v>
      </c>
      <c r="F45" s="373" t="str">
        <f t="shared" si="35"/>
        <v>18~25ºC
(22±2oC)</v>
      </c>
      <c r="G45" s="888">
        <f t="shared" si="36"/>
        <v>19</v>
      </c>
      <c r="H45" s="888">
        <f t="shared" si="37"/>
        <v>17</v>
      </c>
      <c r="I45" s="888">
        <f t="shared" si="38"/>
        <v>0</v>
      </c>
      <c r="J45" s="888">
        <f t="shared" si="39"/>
        <v>0</v>
      </c>
      <c r="K45" s="888">
        <f t="shared" si="40"/>
        <v>0</v>
      </c>
      <c r="L45" s="888">
        <f t="shared" si="41"/>
        <v>0</v>
      </c>
      <c r="M45" s="888">
        <f t="shared" si="42"/>
        <v>0</v>
      </c>
      <c r="N45" s="888">
        <f t="shared" si="43"/>
        <v>0</v>
      </c>
      <c r="O45" s="888">
        <f t="shared" si="44"/>
        <v>0</v>
      </c>
      <c r="P45" s="888">
        <f t="shared" si="45"/>
        <v>0</v>
      </c>
      <c r="Q45" s="888">
        <f t="shared" si="46"/>
        <v>0</v>
      </c>
      <c r="R45" s="888">
        <f t="shared" si="47"/>
        <v>0</v>
      </c>
      <c r="T45" s="895" t="b">
        <f t="shared" si="48"/>
        <v>1</v>
      </c>
      <c r="U45" s="895" t="b">
        <f t="shared" si="48"/>
        <v>1</v>
      </c>
      <c r="V45" s="895" t="b">
        <f t="shared" si="48"/>
        <v>1</v>
      </c>
      <c r="W45" s="895" t="b">
        <f t="shared" si="48"/>
        <v>1</v>
      </c>
      <c r="X45" s="895" t="b">
        <f t="shared" si="48"/>
        <v>1</v>
      </c>
      <c r="Y45" s="895" t="b">
        <f t="shared" si="48"/>
        <v>1</v>
      </c>
      <c r="Z45" s="895" t="b">
        <f t="shared" si="48"/>
        <v>1</v>
      </c>
      <c r="AA45" s="895" t="b">
        <f t="shared" si="48"/>
        <v>1</v>
      </c>
      <c r="AB45" s="895" t="b">
        <f t="shared" si="48"/>
        <v>1</v>
      </c>
      <c r="AC45" s="895" t="b">
        <f t="shared" si="48"/>
        <v>1</v>
      </c>
      <c r="AD45" s="895" t="b">
        <f t="shared" si="48"/>
        <v>1</v>
      </c>
      <c r="AE45" s="895" t="b">
        <f t="shared" si="48"/>
        <v>1</v>
      </c>
      <c r="AF45" s="913" t="str">
        <f t="shared" si="19"/>
        <v/>
      </c>
      <c r="AG45" s="914" t="str">
        <f t="shared" si="20"/>
        <v/>
      </c>
      <c r="AH45" s="914" t="str">
        <f t="shared" si="21"/>
        <v/>
      </c>
      <c r="AI45" s="914" t="str">
        <f t="shared" si="22"/>
        <v/>
      </c>
      <c r="AJ45" s="914" t="str">
        <f t="shared" si="23"/>
        <v/>
      </c>
      <c r="AK45" s="914" t="str">
        <f t="shared" si="24"/>
        <v/>
      </c>
      <c r="AL45" s="914" t="str">
        <f t="shared" si="25"/>
        <v/>
      </c>
      <c r="AM45" s="914" t="str">
        <f t="shared" si="26"/>
        <v/>
      </c>
      <c r="AN45" s="914" t="str">
        <f t="shared" si="27"/>
        <v/>
      </c>
      <c r="AO45" s="914" t="str">
        <f t="shared" si="28"/>
        <v/>
      </c>
      <c r="AP45" s="914" t="str">
        <f t="shared" si="29"/>
        <v/>
      </c>
      <c r="AQ45" s="915" t="str">
        <f t="shared" si="30"/>
        <v/>
      </c>
    </row>
    <row r="46" spans="1:43">
      <c r="A46" s="906" t="str">
        <f t="shared" si="49"/>
        <v>2022/12/03</v>
      </c>
      <c r="B46" s="373" t="s">
        <v>605</v>
      </c>
      <c r="C46" s="373" t="str">
        <f t="shared" si="32"/>
        <v>陽極處理槽 dương cực Al3+ (20)</v>
      </c>
      <c r="D46" s="373" t="str">
        <f t="shared" si="33"/>
        <v>DC-000A</v>
      </c>
      <c r="E46" s="373" t="str">
        <f t="shared" si="34"/>
        <v>0C</v>
      </c>
      <c r="F46" s="373" t="str">
        <f t="shared" si="35"/>
        <v>18~25ºC
(22±2oC)</v>
      </c>
      <c r="G46" s="888">
        <f t="shared" si="36"/>
        <v>21</v>
      </c>
      <c r="H46" s="888">
        <f t="shared" si="37"/>
        <v>19</v>
      </c>
      <c r="I46" s="888">
        <f t="shared" si="38"/>
        <v>0</v>
      </c>
      <c r="J46" s="888">
        <f t="shared" si="39"/>
        <v>0</v>
      </c>
      <c r="K46" s="888">
        <f t="shared" si="40"/>
        <v>0</v>
      </c>
      <c r="L46" s="888">
        <f t="shared" si="41"/>
        <v>0</v>
      </c>
      <c r="M46" s="888">
        <f t="shared" si="42"/>
        <v>0</v>
      </c>
      <c r="N46" s="888">
        <f t="shared" si="43"/>
        <v>0</v>
      </c>
      <c r="O46" s="888">
        <f t="shared" si="44"/>
        <v>0</v>
      </c>
      <c r="P46" s="888">
        <f t="shared" si="45"/>
        <v>0</v>
      </c>
      <c r="Q46" s="888">
        <f t="shared" si="46"/>
        <v>0</v>
      </c>
      <c r="R46" s="888">
        <f t="shared" si="47"/>
        <v>0</v>
      </c>
      <c r="T46" s="895" t="b">
        <f t="shared" si="48"/>
        <v>1</v>
      </c>
      <c r="U46" s="895" t="b">
        <f t="shared" si="48"/>
        <v>1</v>
      </c>
      <c r="V46" s="895" t="b">
        <f t="shared" si="48"/>
        <v>1</v>
      </c>
      <c r="W46" s="895" t="b">
        <f t="shared" si="48"/>
        <v>1</v>
      </c>
      <c r="X46" s="895" t="b">
        <f t="shared" si="48"/>
        <v>1</v>
      </c>
      <c r="Y46" s="895" t="b">
        <f t="shared" si="48"/>
        <v>1</v>
      </c>
      <c r="Z46" s="895" t="b">
        <f t="shared" si="48"/>
        <v>1</v>
      </c>
      <c r="AA46" s="895" t="b">
        <f t="shared" si="48"/>
        <v>1</v>
      </c>
      <c r="AB46" s="895" t="b">
        <f t="shared" si="48"/>
        <v>1</v>
      </c>
      <c r="AC46" s="895" t="b">
        <f t="shared" si="48"/>
        <v>1</v>
      </c>
      <c r="AD46" s="895" t="b">
        <f t="shared" si="48"/>
        <v>1</v>
      </c>
      <c r="AE46" s="895" t="b">
        <f t="shared" si="48"/>
        <v>1</v>
      </c>
      <c r="AF46" s="913" t="str">
        <f t="shared" si="19"/>
        <v/>
      </c>
      <c r="AG46" s="914" t="str">
        <f t="shared" si="20"/>
        <v/>
      </c>
      <c r="AH46" s="914" t="str">
        <f t="shared" si="21"/>
        <v/>
      </c>
      <c r="AI46" s="914" t="str">
        <f t="shared" si="22"/>
        <v/>
      </c>
      <c r="AJ46" s="914" t="str">
        <f t="shared" si="23"/>
        <v/>
      </c>
      <c r="AK46" s="914" t="str">
        <f t="shared" si="24"/>
        <v/>
      </c>
      <c r="AL46" s="914" t="str">
        <f t="shared" si="25"/>
        <v/>
      </c>
      <c r="AM46" s="914" t="str">
        <f t="shared" si="26"/>
        <v/>
      </c>
      <c r="AN46" s="914" t="str">
        <f t="shared" si="27"/>
        <v/>
      </c>
      <c r="AO46" s="914" t="str">
        <f t="shared" si="28"/>
        <v/>
      </c>
      <c r="AP46" s="914" t="str">
        <f t="shared" si="29"/>
        <v/>
      </c>
      <c r="AQ46" s="915" t="str">
        <f t="shared" si="30"/>
        <v/>
      </c>
    </row>
    <row r="47" spans="1:43">
      <c r="A47" s="906" t="str">
        <f t="shared" si="49"/>
        <v>2022/12/03</v>
      </c>
      <c r="B47" s="373" t="s">
        <v>606</v>
      </c>
      <c r="C47" s="373" t="str">
        <f t="shared" si="32"/>
        <v>封孔 Đóng lỗ  (HK-101A1)</v>
      </c>
      <c r="D47" s="373" t="str">
        <f t="shared" si="33"/>
        <v>DC-000A</v>
      </c>
      <c r="E47" s="373" t="str">
        <f t="shared" si="34"/>
        <v>0C</v>
      </c>
      <c r="F47" s="373" t="str">
        <f t="shared" si="35"/>
        <v>30~60ºC
(45±5oC)</v>
      </c>
      <c r="G47" s="888">
        <f t="shared" si="36"/>
        <v>39</v>
      </c>
      <c r="H47" s="888">
        <f t="shared" si="37"/>
        <v>37</v>
      </c>
      <c r="I47" s="888">
        <f t="shared" si="38"/>
        <v>0</v>
      </c>
      <c r="J47" s="888">
        <f t="shared" si="39"/>
        <v>0</v>
      </c>
      <c r="K47" s="888">
        <f t="shared" si="40"/>
        <v>0</v>
      </c>
      <c r="L47" s="888">
        <f t="shared" si="41"/>
        <v>0</v>
      </c>
      <c r="M47" s="888">
        <f t="shared" si="42"/>
        <v>0</v>
      </c>
      <c r="N47" s="888">
        <f t="shared" si="43"/>
        <v>0</v>
      </c>
      <c r="O47" s="888">
        <f t="shared" si="44"/>
        <v>0</v>
      </c>
      <c r="P47" s="888">
        <f t="shared" si="45"/>
        <v>0</v>
      </c>
      <c r="Q47" s="888">
        <f t="shared" si="46"/>
        <v>0</v>
      </c>
      <c r="R47" s="888">
        <f t="shared" si="47"/>
        <v>0</v>
      </c>
      <c r="T47" s="895" t="b">
        <f t="shared" si="48"/>
        <v>1</v>
      </c>
      <c r="U47" s="895" t="b">
        <f t="shared" si="48"/>
        <v>1</v>
      </c>
      <c r="V47" s="895" t="b">
        <f t="shared" si="48"/>
        <v>1</v>
      </c>
      <c r="W47" s="895" t="b">
        <f t="shared" si="48"/>
        <v>1</v>
      </c>
      <c r="X47" s="895" t="b">
        <f t="shared" si="48"/>
        <v>1</v>
      </c>
      <c r="Y47" s="895" t="b">
        <f t="shared" si="48"/>
        <v>1</v>
      </c>
      <c r="Z47" s="895" t="b">
        <f t="shared" si="48"/>
        <v>1</v>
      </c>
      <c r="AA47" s="895" t="b">
        <f t="shared" si="48"/>
        <v>1</v>
      </c>
      <c r="AB47" s="895" t="b">
        <f t="shared" si="48"/>
        <v>1</v>
      </c>
      <c r="AC47" s="895" t="b">
        <f t="shared" si="48"/>
        <v>1</v>
      </c>
      <c r="AD47" s="895" t="b">
        <f t="shared" si="48"/>
        <v>1</v>
      </c>
      <c r="AE47" s="895" t="b">
        <f t="shared" si="48"/>
        <v>1</v>
      </c>
      <c r="AF47" s="913" t="str">
        <f t="shared" si="19"/>
        <v/>
      </c>
      <c r="AG47" s="914" t="str">
        <f t="shared" si="20"/>
        <v/>
      </c>
      <c r="AH47" s="914" t="str">
        <f t="shared" si="21"/>
        <v/>
      </c>
      <c r="AI47" s="914" t="str">
        <f t="shared" si="22"/>
        <v/>
      </c>
      <c r="AJ47" s="914" t="str">
        <f t="shared" si="23"/>
        <v/>
      </c>
      <c r="AK47" s="914" t="str">
        <f t="shared" si="24"/>
        <v/>
      </c>
      <c r="AL47" s="914" t="str">
        <f t="shared" si="25"/>
        <v/>
      </c>
      <c r="AM47" s="914" t="str">
        <f t="shared" si="26"/>
        <v/>
      </c>
      <c r="AN47" s="914" t="str">
        <f t="shared" si="27"/>
        <v/>
      </c>
      <c r="AO47" s="914" t="str">
        <f t="shared" si="28"/>
        <v/>
      </c>
      <c r="AP47" s="914" t="str">
        <f t="shared" si="29"/>
        <v/>
      </c>
      <c r="AQ47" s="915" t="str">
        <f t="shared" si="30"/>
        <v/>
      </c>
    </row>
    <row r="48" spans="1:43">
      <c r="A48" s="906" t="str">
        <f t="shared" si="49"/>
        <v>2022/12/03</v>
      </c>
      <c r="B48" s="373" t="s">
        <v>608</v>
      </c>
      <c r="C48" s="373" t="str">
        <f t="shared" si="32"/>
        <v xml:space="preserve"> 染色Màu - Black-05</v>
      </c>
      <c r="D48" s="373" t="str">
        <f t="shared" si="33"/>
        <v>DC-000A</v>
      </c>
      <c r="E48" s="373" t="str">
        <f t="shared" si="34"/>
        <v>0C</v>
      </c>
      <c r="F48" s="373" t="str">
        <f t="shared" si="35"/>
        <v>42~47ºC
(44±2oC)</v>
      </c>
      <c r="G48" s="888">
        <f t="shared" si="36"/>
        <v>0</v>
      </c>
      <c r="H48" s="888">
        <f t="shared" si="37"/>
        <v>0</v>
      </c>
      <c r="I48" s="888">
        <f t="shared" si="38"/>
        <v>0</v>
      </c>
      <c r="J48" s="888">
        <f t="shared" si="39"/>
        <v>0</v>
      </c>
      <c r="K48" s="888">
        <f t="shared" si="40"/>
        <v>0</v>
      </c>
      <c r="L48" s="888">
        <f t="shared" si="41"/>
        <v>0</v>
      </c>
      <c r="M48" s="888">
        <f t="shared" si="42"/>
        <v>0</v>
      </c>
      <c r="N48" s="888">
        <f t="shared" si="43"/>
        <v>0</v>
      </c>
      <c r="O48" s="888">
        <f t="shared" si="44"/>
        <v>0</v>
      </c>
      <c r="P48" s="888">
        <f t="shared" si="45"/>
        <v>0</v>
      </c>
      <c r="Q48" s="888">
        <f t="shared" si="46"/>
        <v>0</v>
      </c>
      <c r="R48" s="888">
        <f t="shared" si="47"/>
        <v>0</v>
      </c>
      <c r="T48" s="895" t="b">
        <f t="shared" si="48"/>
        <v>1</v>
      </c>
      <c r="U48" s="895" t="b">
        <f t="shared" si="48"/>
        <v>1</v>
      </c>
      <c r="V48" s="895" t="b">
        <f t="shared" si="48"/>
        <v>1</v>
      </c>
      <c r="W48" s="895" t="b">
        <f t="shared" si="48"/>
        <v>1</v>
      </c>
      <c r="X48" s="895" t="b">
        <f t="shared" si="48"/>
        <v>1</v>
      </c>
      <c r="Y48" s="895" t="b">
        <f t="shared" si="48"/>
        <v>1</v>
      </c>
      <c r="Z48" s="895" t="b">
        <f t="shared" si="48"/>
        <v>1</v>
      </c>
      <c r="AA48" s="895" t="b">
        <f t="shared" si="48"/>
        <v>1</v>
      </c>
      <c r="AB48" s="895" t="b">
        <f t="shared" si="48"/>
        <v>1</v>
      </c>
      <c r="AC48" s="895" t="b">
        <f t="shared" si="48"/>
        <v>1</v>
      </c>
      <c r="AD48" s="895" t="b">
        <f t="shared" si="48"/>
        <v>1</v>
      </c>
      <c r="AE48" s="895" t="b">
        <f t="shared" si="48"/>
        <v>1</v>
      </c>
      <c r="AF48" s="913" t="str">
        <f t="shared" si="19"/>
        <v/>
      </c>
      <c r="AG48" s="914" t="str">
        <f t="shared" si="20"/>
        <v/>
      </c>
      <c r="AH48" s="914" t="str">
        <f t="shared" si="21"/>
        <v/>
      </c>
      <c r="AI48" s="914" t="str">
        <f t="shared" si="22"/>
        <v/>
      </c>
      <c r="AJ48" s="914" t="str">
        <f t="shared" si="23"/>
        <v/>
      </c>
      <c r="AK48" s="914" t="str">
        <f t="shared" si="24"/>
        <v/>
      </c>
      <c r="AL48" s="914" t="str">
        <f t="shared" si="25"/>
        <v/>
      </c>
      <c r="AM48" s="914" t="str">
        <f t="shared" si="26"/>
        <v/>
      </c>
      <c r="AN48" s="914" t="str">
        <f t="shared" si="27"/>
        <v/>
      </c>
      <c r="AO48" s="914" t="str">
        <f t="shared" si="28"/>
        <v/>
      </c>
      <c r="AP48" s="914" t="str">
        <f t="shared" si="29"/>
        <v/>
      </c>
      <c r="AQ48" s="915" t="str">
        <f t="shared" si="30"/>
        <v/>
      </c>
    </row>
    <row r="49" spans="1:43">
      <c r="A49" s="906" t="str">
        <f t="shared" si="49"/>
        <v>2022/12/03</v>
      </c>
      <c r="B49" s="373" t="s">
        <v>609</v>
      </c>
      <c r="C49" s="373" t="str">
        <f t="shared" si="32"/>
        <v xml:space="preserve"> 染色Màu- Gey-07</v>
      </c>
      <c r="D49" s="373" t="str">
        <f t="shared" si="33"/>
        <v>DC-000A</v>
      </c>
      <c r="E49" s="373" t="str">
        <f t="shared" si="34"/>
        <v>0C</v>
      </c>
      <c r="F49" s="373" t="str">
        <f t="shared" si="35"/>
        <v>42~47ºC
(44±2oC)</v>
      </c>
      <c r="G49" s="888">
        <f t="shared" si="36"/>
        <v>0</v>
      </c>
      <c r="H49" s="888">
        <f t="shared" si="37"/>
        <v>0</v>
      </c>
      <c r="I49" s="888">
        <f t="shared" si="38"/>
        <v>0</v>
      </c>
      <c r="J49" s="888">
        <f t="shared" si="39"/>
        <v>0</v>
      </c>
      <c r="K49" s="888">
        <f t="shared" si="40"/>
        <v>0</v>
      </c>
      <c r="L49" s="888">
        <f t="shared" si="41"/>
        <v>0</v>
      </c>
      <c r="M49" s="888">
        <f t="shared" si="42"/>
        <v>0</v>
      </c>
      <c r="N49" s="888">
        <f t="shared" si="43"/>
        <v>0</v>
      </c>
      <c r="O49" s="888">
        <f t="shared" si="44"/>
        <v>0</v>
      </c>
      <c r="P49" s="888">
        <f t="shared" si="45"/>
        <v>0</v>
      </c>
      <c r="Q49" s="888">
        <f t="shared" si="46"/>
        <v>0</v>
      </c>
      <c r="R49" s="888">
        <f t="shared" si="47"/>
        <v>0</v>
      </c>
      <c r="T49" s="895" t="b">
        <f t="shared" si="48"/>
        <v>1</v>
      </c>
      <c r="U49" s="895" t="b">
        <f t="shared" si="48"/>
        <v>1</v>
      </c>
      <c r="V49" s="895" t="b">
        <f t="shared" si="48"/>
        <v>1</v>
      </c>
      <c r="W49" s="895" t="b">
        <f t="shared" si="48"/>
        <v>1</v>
      </c>
      <c r="X49" s="895" t="b">
        <f t="shared" si="48"/>
        <v>1</v>
      </c>
      <c r="Y49" s="895" t="b">
        <f t="shared" si="48"/>
        <v>1</v>
      </c>
      <c r="Z49" s="895" t="b">
        <f t="shared" si="48"/>
        <v>1</v>
      </c>
      <c r="AA49" s="895" t="b">
        <f t="shared" si="48"/>
        <v>1</v>
      </c>
      <c r="AB49" s="895" t="b">
        <f t="shared" si="48"/>
        <v>1</v>
      </c>
      <c r="AC49" s="895" t="b">
        <f t="shared" si="48"/>
        <v>1</v>
      </c>
      <c r="AD49" s="895" t="b">
        <f t="shared" si="48"/>
        <v>1</v>
      </c>
      <c r="AE49" s="895" t="b">
        <f t="shared" si="48"/>
        <v>1</v>
      </c>
      <c r="AF49" s="913" t="str">
        <f t="shared" si="19"/>
        <v/>
      </c>
      <c r="AG49" s="914" t="str">
        <f t="shared" si="20"/>
        <v/>
      </c>
      <c r="AH49" s="914" t="str">
        <f t="shared" si="21"/>
        <v/>
      </c>
      <c r="AI49" s="914" t="str">
        <f t="shared" si="22"/>
        <v/>
      </c>
      <c r="AJ49" s="914" t="str">
        <f t="shared" si="23"/>
        <v/>
      </c>
      <c r="AK49" s="914" t="str">
        <f t="shared" si="24"/>
        <v/>
      </c>
      <c r="AL49" s="914" t="str">
        <f t="shared" si="25"/>
        <v/>
      </c>
      <c r="AM49" s="914" t="str">
        <f t="shared" si="26"/>
        <v/>
      </c>
      <c r="AN49" s="914" t="str">
        <f t="shared" si="27"/>
        <v/>
      </c>
      <c r="AO49" s="914" t="str">
        <f t="shared" si="28"/>
        <v/>
      </c>
      <c r="AP49" s="914" t="str">
        <f t="shared" si="29"/>
        <v/>
      </c>
      <c r="AQ49" s="915" t="str">
        <f t="shared" si="30"/>
        <v/>
      </c>
    </row>
    <row r="50" spans="1:43">
      <c r="A50" s="906" t="str">
        <f t="shared" si="49"/>
        <v>2022/12/03</v>
      </c>
      <c r="B50" s="373" t="s">
        <v>610</v>
      </c>
      <c r="C50" s="373" t="str">
        <f t="shared" si="32"/>
        <v xml:space="preserve"> 染色Màu- Black-08</v>
      </c>
      <c r="D50" s="373" t="str">
        <f t="shared" si="33"/>
        <v>DC-000A</v>
      </c>
      <c r="E50" s="373" t="str">
        <f t="shared" si="34"/>
        <v>0C</v>
      </c>
      <c r="F50" s="373" t="str">
        <f t="shared" si="35"/>
        <v>55~65ºC
(60±3oC)</v>
      </c>
      <c r="G50" s="888">
        <f t="shared" si="36"/>
        <v>64</v>
      </c>
      <c r="H50" s="888">
        <f t="shared" si="37"/>
        <v>61</v>
      </c>
      <c r="I50" s="888">
        <f t="shared" si="38"/>
        <v>0</v>
      </c>
      <c r="J50" s="888">
        <f t="shared" si="39"/>
        <v>0</v>
      </c>
      <c r="K50" s="888">
        <f t="shared" si="40"/>
        <v>0</v>
      </c>
      <c r="L50" s="888">
        <f t="shared" si="41"/>
        <v>0</v>
      </c>
      <c r="M50" s="888">
        <f t="shared" si="42"/>
        <v>0</v>
      </c>
      <c r="N50" s="888">
        <f t="shared" si="43"/>
        <v>0</v>
      </c>
      <c r="O50" s="888">
        <f t="shared" si="44"/>
        <v>0</v>
      </c>
      <c r="P50" s="888">
        <f t="shared" si="45"/>
        <v>0</v>
      </c>
      <c r="Q50" s="888">
        <f t="shared" si="46"/>
        <v>0</v>
      </c>
      <c r="R50" s="888">
        <f t="shared" si="47"/>
        <v>0</v>
      </c>
      <c r="T50" s="895" t="b">
        <f t="shared" si="48"/>
        <v>1</v>
      </c>
      <c r="U50" s="895" t="b">
        <f t="shared" si="48"/>
        <v>1</v>
      </c>
      <c r="V50" s="895" t="b">
        <f t="shared" si="48"/>
        <v>1</v>
      </c>
      <c r="W50" s="895" t="b">
        <f t="shared" si="48"/>
        <v>1</v>
      </c>
      <c r="X50" s="895" t="b">
        <f t="shared" si="48"/>
        <v>1</v>
      </c>
      <c r="Y50" s="895" t="b">
        <f t="shared" si="48"/>
        <v>1</v>
      </c>
      <c r="Z50" s="895" t="b">
        <f t="shared" si="48"/>
        <v>1</v>
      </c>
      <c r="AA50" s="895" t="b">
        <f t="shared" si="48"/>
        <v>1</v>
      </c>
      <c r="AB50" s="895" t="b">
        <f t="shared" si="48"/>
        <v>1</v>
      </c>
      <c r="AC50" s="895" t="b">
        <f t="shared" si="48"/>
        <v>1</v>
      </c>
      <c r="AD50" s="895" t="b">
        <f t="shared" si="48"/>
        <v>1</v>
      </c>
      <c r="AE50" s="895" t="b">
        <f t="shared" si="48"/>
        <v>1</v>
      </c>
      <c r="AF50" s="913" t="str">
        <f t="shared" si="19"/>
        <v/>
      </c>
      <c r="AG50" s="914" t="str">
        <f t="shared" si="20"/>
        <v/>
      </c>
      <c r="AH50" s="914" t="str">
        <f t="shared" si="21"/>
        <v/>
      </c>
      <c r="AI50" s="914" t="str">
        <f t="shared" si="22"/>
        <v/>
      </c>
      <c r="AJ50" s="914" t="str">
        <f t="shared" si="23"/>
        <v/>
      </c>
      <c r="AK50" s="914" t="str">
        <f t="shared" si="24"/>
        <v/>
      </c>
      <c r="AL50" s="914" t="str">
        <f t="shared" si="25"/>
        <v/>
      </c>
      <c r="AM50" s="914" t="str">
        <f t="shared" si="26"/>
        <v/>
      </c>
      <c r="AN50" s="914" t="str">
        <f t="shared" si="27"/>
        <v/>
      </c>
      <c r="AO50" s="914" t="str">
        <f t="shared" si="28"/>
        <v/>
      </c>
      <c r="AP50" s="914" t="str">
        <f t="shared" si="29"/>
        <v/>
      </c>
      <c r="AQ50" s="915" t="str">
        <f t="shared" si="30"/>
        <v/>
      </c>
    </row>
    <row r="51" spans="1:43">
      <c r="A51" s="906" t="str">
        <f t="shared" si="49"/>
        <v>2022/12/03</v>
      </c>
      <c r="B51" s="373" t="s">
        <v>611</v>
      </c>
      <c r="C51" s="373" t="str">
        <f t="shared" si="32"/>
        <v>烘乾 Sấy khô</v>
      </c>
      <c r="D51" s="373" t="str">
        <f t="shared" si="33"/>
        <v>DC-000A</v>
      </c>
      <c r="E51" s="373" t="str">
        <f t="shared" si="34"/>
        <v>0C</v>
      </c>
      <c r="F51" s="373" t="str">
        <f t="shared" si="35"/>
        <v>100~110ºC
(100±5oC)</v>
      </c>
      <c r="G51" s="888" t="str">
        <f t="shared" si="36"/>
        <v>\</v>
      </c>
      <c r="H51" s="888">
        <f t="shared" si="37"/>
        <v>116</v>
      </c>
      <c r="I51" s="888" t="str">
        <f t="shared" si="38"/>
        <v>\</v>
      </c>
      <c r="J51" s="888">
        <f t="shared" si="39"/>
        <v>0</v>
      </c>
      <c r="K51" s="888">
        <f t="shared" si="40"/>
        <v>0</v>
      </c>
      <c r="L51" s="888">
        <f t="shared" si="41"/>
        <v>0</v>
      </c>
      <c r="M51" s="888">
        <f t="shared" si="42"/>
        <v>0</v>
      </c>
      <c r="N51" s="888">
        <f t="shared" si="43"/>
        <v>0</v>
      </c>
      <c r="O51" s="888">
        <f t="shared" si="44"/>
        <v>0</v>
      </c>
      <c r="P51" s="888">
        <f t="shared" si="45"/>
        <v>0</v>
      </c>
      <c r="Q51" s="888">
        <f t="shared" si="46"/>
        <v>0</v>
      </c>
      <c r="R51" s="888">
        <f t="shared" si="47"/>
        <v>0</v>
      </c>
      <c r="T51" s="895" t="b">
        <f t="shared" si="48"/>
        <v>0</v>
      </c>
      <c r="U51" s="895" t="b">
        <f t="shared" si="48"/>
        <v>1</v>
      </c>
      <c r="V51" s="895" t="b">
        <f t="shared" si="48"/>
        <v>0</v>
      </c>
      <c r="W51" s="895" t="b">
        <f t="shared" si="48"/>
        <v>1</v>
      </c>
      <c r="X51" s="895" t="b">
        <f t="shared" si="48"/>
        <v>1</v>
      </c>
      <c r="Y51" s="895" t="b">
        <f t="shared" si="48"/>
        <v>1</v>
      </c>
      <c r="Z51" s="895" t="b">
        <f t="shared" si="48"/>
        <v>1</v>
      </c>
      <c r="AA51" s="895" t="b">
        <f t="shared" si="48"/>
        <v>1</v>
      </c>
      <c r="AB51" s="895" t="b">
        <f t="shared" si="48"/>
        <v>1</v>
      </c>
      <c r="AC51" s="895" t="b">
        <f t="shared" si="48"/>
        <v>1</v>
      </c>
      <c r="AD51" s="895" t="b">
        <f t="shared" si="48"/>
        <v>1</v>
      </c>
      <c r="AE51" s="895" t="b">
        <f t="shared" si="48"/>
        <v>1</v>
      </c>
      <c r="AF51" s="916">
        <f t="shared" si="19"/>
        <v>1</v>
      </c>
      <c r="AG51" s="917" t="str">
        <f t="shared" si="20"/>
        <v/>
      </c>
      <c r="AH51" s="917">
        <f t="shared" si="21"/>
        <v>1</v>
      </c>
      <c r="AI51" s="917" t="str">
        <f t="shared" si="22"/>
        <v/>
      </c>
      <c r="AJ51" s="917" t="str">
        <f t="shared" si="23"/>
        <v/>
      </c>
      <c r="AK51" s="917" t="str">
        <f t="shared" si="24"/>
        <v/>
      </c>
      <c r="AL51" s="917" t="str">
        <f t="shared" si="25"/>
        <v/>
      </c>
      <c r="AM51" s="917" t="str">
        <f t="shared" si="26"/>
        <v/>
      </c>
      <c r="AN51" s="917" t="str">
        <f t="shared" si="27"/>
        <v/>
      </c>
      <c r="AO51" s="917" t="str">
        <f t="shared" si="28"/>
        <v/>
      </c>
      <c r="AP51" s="917" t="str">
        <f t="shared" si="29"/>
        <v/>
      </c>
      <c r="AQ51" s="918" t="str">
        <f t="shared" si="30"/>
        <v/>
      </c>
    </row>
  </sheetData>
  <phoneticPr fontId="6"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22</vt:i4>
      </vt:variant>
    </vt:vector>
  </HeadingPairs>
  <TitlesOfParts>
    <vt:vector size="68" baseType="lpstr">
      <vt:lpstr>PT TAP CHAT</vt:lpstr>
      <vt:lpstr>KT DAU</vt:lpstr>
      <vt:lpstr>MENU</vt:lpstr>
      <vt:lpstr>1</vt:lpstr>
      <vt:lpstr>2</vt:lpstr>
      <vt:lpstr>3</vt:lpstr>
      <vt:lpstr>4</vt:lpstr>
      <vt:lpstr>5</vt:lpstr>
      <vt:lpstr>6</vt:lpstr>
      <vt:lpstr>7</vt:lpstr>
      <vt:lpstr>8</vt:lpstr>
      <vt:lpstr>XM.HN</vt:lpstr>
      <vt:lpstr>XM.FILE GOC</vt:lpstr>
      <vt:lpstr>1. XL-1E kh</vt:lpstr>
      <vt:lpstr>2. XL-1F kh</vt:lpstr>
      <vt:lpstr>3.XT-C kh</vt:lpstr>
      <vt:lpstr>4.ZN-NI kh</vt:lpstr>
      <vt:lpstr>1. XL-1E TT</vt:lpstr>
      <vt:lpstr>2. XL-1F TT </vt:lpstr>
      <vt:lpstr>3.XT-C TT</vt:lpstr>
      <vt:lpstr>4.ZN-NI tt</vt:lpstr>
      <vt:lpstr>XM.GUI MAIL</vt:lpstr>
      <vt:lpstr>XM.chart</vt:lpstr>
      <vt:lpstr>XM.chart 1</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_XM_XT_THUCTE</vt:lpstr>
      <vt:lpstr>'1. XL-1E kh'!Print_Area</vt:lpstr>
      <vt:lpstr>'1. XL-1E TT'!Print_Area</vt:lpstr>
      <vt:lpstr>'1.xi den'!Print_Area</vt:lpstr>
      <vt:lpstr>'1.xi den TT'!Print_Area</vt:lpstr>
      <vt:lpstr>'2. XL-1F kh'!Print_Area</vt:lpstr>
      <vt:lpstr>'2. XL-1F TT '!Print_Area</vt:lpstr>
      <vt:lpstr>'2.RL E'!Print_Area</vt:lpstr>
      <vt:lpstr>'2.RL E tt'!Print_Area</vt:lpstr>
      <vt:lpstr>'3.RL G'!Print_Area</vt:lpstr>
      <vt:lpstr>'3.RL G tt'!Print_Area</vt:lpstr>
      <vt:lpstr>'3.XT-C kh'!Print_Area</vt:lpstr>
      <vt:lpstr>'3.XT-C TT'!Print_Area</vt:lpstr>
      <vt:lpstr>'4.RL F'!Print_Area</vt:lpstr>
      <vt:lpstr>'4.RL F tt'!Print_Area</vt:lpstr>
      <vt:lpstr>'4.ZN-NI kh'!Print_Area</vt:lpstr>
      <vt:lpstr>'4.ZN-NI tt'!Print_Area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SALES</cp:lastModifiedBy>
  <cp:lastPrinted>2022-12-03T13:44:20Z</cp:lastPrinted>
  <dcterms:created xsi:type="dcterms:W3CDTF">2008-06-29T07:33:16Z</dcterms:created>
  <dcterms:modified xsi:type="dcterms:W3CDTF">2022-12-03T13:44:32Z</dcterms:modified>
</cp:coreProperties>
</file>