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695"/>
  </bookViews>
  <sheets>
    <sheet name="2018 REPORT" sheetId="8" r:id="rId1"/>
    <sheet name="GENERAL CASH BL" sheetId="4" r:id="rId2"/>
    <sheet name="HCM OFFICE CASH" sheetId="1" r:id="rId3"/>
    <sheet name="YOUJIN HP H2" sheetId="2" r:id="rId4"/>
    <sheet name="KUALA " sheetId="7" r:id="rId5"/>
    <sheet name="MRO" sheetId="11" r:id="rId6"/>
    <sheet name="DAWON H1" sheetId="12" r:id="rId7"/>
    <sheet name="AEON MALL II" sheetId="3" r:id="rId8"/>
    <sheet name="YOUJIN INNOTEK" sheetId="6" r:id="rId9"/>
    <sheet name="DOMITORY" sheetId="5" r:id="rId10"/>
    <sheet name="MR.SHIN" sheetId="9" r:id="rId11"/>
  </sheets>
  <definedNames>
    <definedName name="_xlnm._FilterDatabase" localSheetId="0" hidden="1">'2018 REPORT'!$B$3:$H$95</definedName>
    <definedName name="_xlnm._FilterDatabase" localSheetId="1" hidden="1">'GENERAL CASH BL'!$A$8:$I$1139</definedName>
    <definedName name="_xlnm._FilterDatabase" localSheetId="2" hidden="1">'HCM OFFICE CASH'!$A$5:$IP$154</definedName>
    <definedName name="_xlnm._FilterDatabase" localSheetId="10" hidden="1">MR.SHIN!$A$5:$H$23</definedName>
    <definedName name="_xlnm._FilterDatabase" localSheetId="5" hidden="1">MRO!$A$4:$H$34</definedName>
    <definedName name="_xlnm.Print_Area" localSheetId="6">'DAWON H1'!$A$1:$H$78</definedName>
    <definedName name="_xlnm.Print_Area" localSheetId="5">MRO!$A$1:$H$45</definedName>
  </definedNames>
  <calcPr calcId="144525"/>
</workbook>
</file>

<file path=xl/calcChain.xml><?xml version="1.0" encoding="utf-8"?>
<calcChain xmlns="http://schemas.openxmlformats.org/spreadsheetml/2006/main">
  <c r="J181" i="8" l="1"/>
  <c r="I181" i="8"/>
  <c r="H181" i="8"/>
  <c r="G181" i="8"/>
  <c r="E181" i="8"/>
  <c r="C181" i="8"/>
  <c r="G1395" i="4"/>
  <c r="F1395" i="4"/>
  <c r="E1395" i="4"/>
  <c r="D1395" i="4"/>
  <c r="C1394" i="4"/>
  <c r="H1394" i="4" s="1"/>
  <c r="C1393" i="4"/>
  <c r="H1393" i="4" s="1"/>
  <c r="C1392" i="4"/>
  <c r="H1392" i="4" s="1"/>
  <c r="C1391" i="4"/>
  <c r="H1391" i="4" s="1"/>
  <c r="C1390" i="4"/>
  <c r="H1390" i="4" s="1"/>
  <c r="C1389" i="4"/>
  <c r="H1389" i="4" s="1"/>
  <c r="H1395" i="4" s="1"/>
  <c r="C1395" i="4" l="1"/>
  <c r="H180" i="8"/>
  <c r="G180" i="8"/>
  <c r="E180" i="8"/>
  <c r="C180" i="8"/>
  <c r="G1388" i="4"/>
  <c r="F1388" i="4"/>
  <c r="E1388" i="4"/>
  <c r="D1388" i="4"/>
  <c r="H1387" i="4"/>
  <c r="J180" i="8" s="1"/>
  <c r="C1387" i="4"/>
  <c r="C1386" i="4"/>
  <c r="H1386" i="4" s="1"/>
  <c r="I180" i="8" s="1"/>
  <c r="H1385" i="4"/>
  <c r="C1385" i="4"/>
  <c r="C1384" i="4"/>
  <c r="H1384" i="4" s="1"/>
  <c r="H1383" i="4"/>
  <c r="C1383" i="4"/>
  <c r="C1382" i="4"/>
  <c r="H1382" i="4" s="1"/>
  <c r="H1388" i="4" l="1"/>
  <c r="C1388" i="4"/>
  <c r="J179" i="8"/>
  <c r="J178" i="8"/>
  <c r="I179" i="8"/>
  <c r="I178" i="8"/>
  <c r="H179" i="8"/>
  <c r="H178" i="8"/>
  <c r="G179" i="8"/>
  <c r="G178" i="8"/>
  <c r="E179" i="8"/>
  <c r="E178" i="8"/>
  <c r="C179" i="8"/>
  <c r="C178" i="8"/>
  <c r="G1381" i="4"/>
  <c r="F1381" i="4"/>
  <c r="E1381" i="4"/>
  <c r="D1381" i="4"/>
  <c r="H1380" i="4"/>
  <c r="C1380" i="4"/>
  <c r="C1379" i="4"/>
  <c r="H1379" i="4" s="1"/>
  <c r="H1378" i="4"/>
  <c r="C1378" i="4"/>
  <c r="C1377" i="4"/>
  <c r="H1377" i="4" s="1"/>
  <c r="H1376" i="4"/>
  <c r="C1376" i="4"/>
  <c r="C1375" i="4"/>
  <c r="H1375" i="4" s="1"/>
  <c r="G1374" i="4"/>
  <c r="F1374" i="4"/>
  <c r="E1374" i="4"/>
  <c r="D1374" i="4"/>
  <c r="C1373" i="4"/>
  <c r="H1373" i="4" s="1"/>
  <c r="C1372" i="4"/>
  <c r="H1372" i="4" s="1"/>
  <c r="C1371" i="4"/>
  <c r="H1371" i="4" s="1"/>
  <c r="C1370" i="4"/>
  <c r="H1370" i="4" s="1"/>
  <c r="C1369" i="4"/>
  <c r="H1369" i="4" s="1"/>
  <c r="C1368" i="4"/>
  <c r="H1368" i="4" s="1"/>
  <c r="H1381" i="4" l="1"/>
  <c r="C1381" i="4"/>
  <c r="H1374" i="4"/>
  <c r="C1374" i="4"/>
  <c r="J177" i="8"/>
  <c r="J176" i="8"/>
  <c r="J175" i="8"/>
  <c r="J174" i="8"/>
  <c r="J173" i="8"/>
  <c r="I177" i="8"/>
  <c r="I176" i="8"/>
  <c r="I175" i="8"/>
  <c r="I174" i="8"/>
  <c r="I173" i="8"/>
  <c r="H177" i="8"/>
  <c r="H176" i="8"/>
  <c r="H175" i="8"/>
  <c r="H174" i="8"/>
  <c r="H173" i="8"/>
  <c r="G177" i="8"/>
  <c r="G176" i="8"/>
  <c r="G175" i="8"/>
  <c r="G174" i="8"/>
  <c r="G173" i="8"/>
  <c r="E177" i="8"/>
  <c r="E176" i="8"/>
  <c r="C1359" i="4"/>
  <c r="C1358" i="4"/>
  <c r="C1357" i="4"/>
  <c r="C1356" i="4"/>
  <c r="C1355" i="4"/>
  <c r="C1354" i="4"/>
  <c r="G169" i="7"/>
  <c r="G1367" i="4"/>
  <c r="F1367" i="4"/>
  <c r="E1367" i="4"/>
  <c r="D1367" i="4"/>
  <c r="G1360" i="4"/>
  <c r="F1360" i="4"/>
  <c r="E1360" i="4"/>
  <c r="D1360" i="4"/>
  <c r="G1353" i="4"/>
  <c r="F1353" i="4"/>
  <c r="E1353" i="4"/>
  <c r="D1353" i="4"/>
  <c r="G1346" i="4"/>
  <c r="F1346" i="4"/>
  <c r="E1346" i="4"/>
  <c r="D1346" i="4"/>
  <c r="G1339" i="4"/>
  <c r="F1339" i="4"/>
  <c r="E1339" i="4"/>
  <c r="D1339" i="4"/>
  <c r="F149" i="1" l="1"/>
  <c r="G148" i="1" l="1"/>
  <c r="F148" i="1"/>
  <c r="G166" i="7"/>
  <c r="F166" i="7"/>
  <c r="G1332" i="4"/>
  <c r="F1332" i="4"/>
  <c r="E1332" i="4"/>
  <c r="D1332" i="4"/>
  <c r="K178" i="8" l="1"/>
  <c r="K179" i="8"/>
  <c r="K180" i="8"/>
  <c r="K181" i="8"/>
  <c r="K182" i="8"/>
  <c r="K183" i="8"/>
  <c r="K184" i="8"/>
  <c r="K185" i="8"/>
  <c r="K186" i="8"/>
  <c r="K187" i="8"/>
  <c r="G1325" i="4"/>
  <c r="F1325" i="4"/>
  <c r="E1325" i="4"/>
  <c r="D1325" i="4"/>
  <c r="G1318" i="4"/>
  <c r="F1318" i="4"/>
  <c r="E1318" i="4"/>
  <c r="D1318" i="4"/>
  <c r="G1311" i="4"/>
  <c r="F1311" i="4"/>
  <c r="E1311" i="4"/>
  <c r="D1311" i="4"/>
  <c r="H66" i="12"/>
  <c r="G1304" i="4" l="1"/>
  <c r="F1304" i="4"/>
  <c r="E1304" i="4"/>
  <c r="D1304" i="4"/>
  <c r="G1297" i="4"/>
  <c r="F1297" i="4"/>
  <c r="E1297" i="4"/>
  <c r="D1297" i="4"/>
  <c r="H50" i="12" l="1"/>
  <c r="J166" i="7" l="1"/>
  <c r="F1283" i="4" l="1"/>
  <c r="H236" i="11"/>
  <c r="L196" i="11"/>
  <c r="G1290" i="4"/>
  <c r="F1290" i="4"/>
  <c r="E1290" i="4"/>
  <c r="D1290" i="4"/>
  <c r="G1283" i="4"/>
  <c r="E1283" i="4"/>
  <c r="D1283" i="4"/>
  <c r="G1276" i="4"/>
  <c r="F1276" i="4"/>
  <c r="E1276" i="4"/>
  <c r="D1276" i="4"/>
  <c r="G1269" i="4"/>
  <c r="F1269" i="4"/>
  <c r="E1269" i="4"/>
  <c r="D1269" i="4"/>
  <c r="G1262" i="4"/>
  <c r="F1262" i="4"/>
  <c r="E1262" i="4"/>
  <c r="D1262" i="4"/>
  <c r="G1255" i="4"/>
  <c r="F1255" i="4"/>
  <c r="E1255" i="4"/>
  <c r="G1248" i="4"/>
  <c r="F1248" i="4"/>
  <c r="E1248" i="4"/>
  <c r="D1248" i="4"/>
  <c r="G1241" i="4"/>
  <c r="F1241" i="4"/>
  <c r="E1241" i="4"/>
  <c r="D1241" i="4"/>
  <c r="G1234" i="4"/>
  <c r="F1234" i="4"/>
  <c r="E1234" i="4"/>
  <c r="D1234" i="4"/>
  <c r="G1227" i="4"/>
  <c r="F1227" i="4"/>
  <c r="E1227" i="4"/>
  <c r="D1227" i="4"/>
  <c r="G1220" i="4" l="1"/>
  <c r="F1220" i="4"/>
  <c r="E1220" i="4"/>
  <c r="D1220" i="4"/>
  <c r="G137" i="1" l="1"/>
  <c r="C245" i="4"/>
  <c r="C252" i="4" s="1"/>
  <c r="H186" i="11"/>
  <c r="G1211" i="4"/>
  <c r="F1211" i="4"/>
  <c r="E1211" i="4"/>
  <c r="D1211" i="4"/>
  <c r="G1202" i="4"/>
  <c r="F1202" i="4"/>
  <c r="E1202" i="4"/>
  <c r="D1202" i="4"/>
  <c r="G1193" i="4"/>
  <c r="F1193" i="4"/>
  <c r="E1193" i="4"/>
  <c r="D1193" i="4"/>
  <c r="G1184" i="4"/>
  <c r="F1184" i="4"/>
  <c r="E1184" i="4"/>
  <c r="D1184" i="4"/>
  <c r="I45" i="12"/>
  <c r="I46" i="12" s="1"/>
  <c r="I47" i="12" s="1"/>
  <c r="I48" i="12" s="1"/>
  <c r="I49" i="12" s="1"/>
  <c r="F137" i="1"/>
  <c r="G1175" i="4"/>
  <c r="F1175" i="4"/>
  <c r="E1175" i="4"/>
  <c r="D1175" i="4"/>
  <c r="G1166" i="4"/>
  <c r="F1166" i="4"/>
  <c r="E1166" i="4"/>
  <c r="D1166" i="4"/>
  <c r="G1157" i="4"/>
  <c r="F1157" i="4"/>
  <c r="E1157" i="4"/>
  <c r="D1157" i="4"/>
  <c r="G1148" i="4"/>
  <c r="F1148" i="4"/>
  <c r="E1148" i="4"/>
  <c r="D1148" i="4"/>
  <c r="G1139" i="4"/>
  <c r="F1139" i="4"/>
  <c r="E1139" i="4"/>
  <c r="D1139" i="4"/>
  <c r="G1130" i="4"/>
  <c r="F1130" i="4"/>
  <c r="E1130" i="4"/>
  <c r="D1130" i="4"/>
  <c r="G1121" i="4"/>
  <c r="F1121" i="4"/>
  <c r="E1121" i="4"/>
  <c r="D1121" i="4"/>
  <c r="F146" i="7"/>
  <c r="G146" i="7"/>
  <c r="G1112" i="4"/>
  <c r="F1112" i="4"/>
  <c r="E1112" i="4"/>
  <c r="D1112" i="4"/>
  <c r="G141" i="7"/>
  <c r="G1103" i="4"/>
  <c r="F1103" i="4"/>
  <c r="E1103" i="4"/>
  <c r="D1103" i="4"/>
  <c r="G1094" i="4"/>
  <c r="F1094" i="4"/>
  <c r="E1094" i="4"/>
  <c r="D1094" i="4"/>
  <c r="G40" i="11"/>
  <c r="G41" i="11" s="1"/>
  <c r="H40" i="11"/>
  <c r="H112" i="11"/>
  <c r="G1085" i="4"/>
  <c r="F1085" i="4"/>
  <c r="E1085" i="4"/>
  <c r="D1085" i="4"/>
  <c r="G1076" i="4"/>
  <c r="F1076" i="4"/>
  <c r="E1076" i="4"/>
  <c r="D1076" i="4"/>
  <c r="G1067" i="4"/>
  <c r="F1067" i="4"/>
  <c r="E1067" i="4"/>
  <c r="D1067" i="4"/>
  <c r="G1058" i="4"/>
  <c r="F1058" i="4"/>
  <c r="E1058" i="4"/>
  <c r="D1058" i="4"/>
  <c r="G1049" i="4"/>
  <c r="F1049" i="4"/>
  <c r="E1049" i="4"/>
  <c r="D1049" i="4"/>
  <c r="G1040" i="4"/>
  <c r="F1040" i="4"/>
  <c r="E1040" i="4"/>
  <c r="D1040" i="4"/>
  <c r="G1031" i="4"/>
  <c r="F1031" i="4"/>
  <c r="E1031" i="4"/>
  <c r="D1031" i="4"/>
  <c r="G1022" i="4"/>
  <c r="F1022" i="4"/>
  <c r="E1022" i="4"/>
  <c r="D1022" i="4"/>
  <c r="G1013" i="4"/>
  <c r="F1013" i="4"/>
  <c r="E1013" i="4"/>
  <c r="D1013" i="4"/>
  <c r="G1004" i="4"/>
  <c r="F1004" i="4"/>
  <c r="E1004" i="4"/>
  <c r="D1004" i="4"/>
  <c r="G995" i="4"/>
  <c r="F995" i="4"/>
  <c r="E995" i="4"/>
  <c r="D995" i="4"/>
  <c r="D691" i="4"/>
  <c r="E691" i="4"/>
  <c r="F691" i="4"/>
  <c r="G691" i="4"/>
  <c r="D699" i="4"/>
  <c r="E699" i="4"/>
  <c r="F699" i="4"/>
  <c r="G699" i="4"/>
  <c r="D707" i="4"/>
  <c r="E707" i="4"/>
  <c r="F707" i="4"/>
  <c r="G707" i="4"/>
  <c r="D715" i="4"/>
  <c r="E715" i="4"/>
  <c r="F715" i="4"/>
  <c r="G715" i="4"/>
  <c r="D723" i="4"/>
  <c r="E723" i="4"/>
  <c r="F723" i="4"/>
  <c r="G723" i="4"/>
  <c r="D731" i="4"/>
  <c r="E731" i="4"/>
  <c r="F731" i="4"/>
  <c r="G731" i="4"/>
  <c r="D739" i="4"/>
  <c r="E739" i="4"/>
  <c r="F739" i="4"/>
  <c r="G739" i="4"/>
  <c r="D747" i="4"/>
  <c r="E747" i="4"/>
  <c r="F747" i="4"/>
  <c r="G747" i="4"/>
  <c r="D755" i="4"/>
  <c r="E755" i="4"/>
  <c r="F755" i="4"/>
  <c r="G755" i="4"/>
  <c r="D763" i="4"/>
  <c r="E763" i="4"/>
  <c r="F763" i="4"/>
  <c r="G763" i="4"/>
  <c r="D771" i="4"/>
  <c r="E771" i="4"/>
  <c r="F771" i="4"/>
  <c r="G771" i="4"/>
  <c r="D779" i="4"/>
  <c r="E779" i="4"/>
  <c r="F779" i="4"/>
  <c r="G779" i="4"/>
  <c r="D788" i="4"/>
  <c r="E788" i="4"/>
  <c r="F788" i="4"/>
  <c r="G788" i="4"/>
  <c r="D797" i="4"/>
  <c r="E797" i="4"/>
  <c r="F797" i="4"/>
  <c r="G797" i="4"/>
  <c r="D806" i="4"/>
  <c r="E806" i="4"/>
  <c r="F806" i="4"/>
  <c r="G806" i="4"/>
  <c r="D815" i="4"/>
  <c r="E815" i="4"/>
  <c r="F815" i="4"/>
  <c r="G815" i="4"/>
  <c r="D824" i="4"/>
  <c r="E824" i="4"/>
  <c r="F824" i="4"/>
  <c r="G824" i="4"/>
  <c r="D833" i="4"/>
  <c r="E833" i="4"/>
  <c r="F833" i="4"/>
  <c r="G833" i="4"/>
  <c r="D842" i="4"/>
  <c r="E842" i="4"/>
  <c r="F842" i="4"/>
  <c r="G842" i="4"/>
  <c r="D851" i="4"/>
  <c r="E851" i="4"/>
  <c r="F851" i="4"/>
  <c r="G851" i="4"/>
  <c r="D860" i="4"/>
  <c r="E860" i="4"/>
  <c r="F860" i="4"/>
  <c r="G860" i="4"/>
  <c r="D869" i="4"/>
  <c r="E869" i="4"/>
  <c r="F869" i="4"/>
  <c r="G869" i="4"/>
  <c r="D878" i="4"/>
  <c r="E878" i="4"/>
  <c r="F878" i="4"/>
  <c r="G878" i="4"/>
  <c r="D887" i="4"/>
  <c r="E887" i="4"/>
  <c r="F887" i="4"/>
  <c r="G887" i="4"/>
  <c r="D896" i="4"/>
  <c r="E896" i="4"/>
  <c r="F896" i="4"/>
  <c r="G896" i="4"/>
  <c r="D905" i="4"/>
  <c r="E905" i="4"/>
  <c r="F905" i="4"/>
  <c r="G905" i="4"/>
  <c r="D941" i="4"/>
  <c r="E941" i="4"/>
  <c r="F941" i="4"/>
  <c r="G941" i="4"/>
  <c r="D932" i="4"/>
  <c r="E932" i="4"/>
  <c r="F932" i="4"/>
  <c r="G932" i="4"/>
  <c r="D923" i="4"/>
  <c r="E923" i="4"/>
  <c r="F923" i="4"/>
  <c r="G923" i="4"/>
  <c r="D914" i="4"/>
  <c r="E914" i="4"/>
  <c r="F914" i="4"/>
  <c r="G914" i="4"/>
  <c r="D986" i="4"/>
  <c r="E986" i="4"/>
  <c r="F986" i="4"/>
  <c r="G986" i="4"/>
  <c r="D977" i="4"/>
  <c r="E977" i="4"/>
  <c r="F977" i="4"/>
  <c r="G977" i="4"/>
  <c r="D968" i="4"/>
  <c r="E968" i="4"/>
  <c r="F968" i="4"/>
  <c r="G968" i="4"/>
  <c r="D950" i="4"/>
  <c r="E950" i="4"/>
  <c r="F950" i="4"/>
  <c r="G950" i="4"/>
  <c r="E959" i="4"/>
  <c r="F959" i="4"/>
  <c r="G959" i="4"/>
  <c r="D959" i="4"/>
  <c r="H931" i="4"/>
  <c r="H922" i="4"/>
  <c r="H895" i="4"/>
  <c r="J120" i="8" s="1"/>
  <c r="H886" i="4"/>
  <c r="J119" i="8" s="1"/>
  <c r="H877" i="4"/>
  <c r="J118" i="8" s="1"/>
  <c r="H868" i="4"/>
  <c r="J117" i="8" s="1"/>
  <c r="H805" i="4"/>
  <c r="J110" i="8" s="1"/>
  <c r="H814" i="4"/>
  <c r="J111" i="8" s="1"/>
  <c r="H823" i="4"/>
  <c r="J112" i="8" s="1"/>
  <c r="H859" i="4"/>
  <c r="H850" i="4"/>
  <c r="J115" i="8" s="1"/>
  <c r="H841" i="4"/>
  <c r="J114" i="8" s="1"/>
  <c r="H832" i="4"/>
  <c r="J113" i="8" s="1"/>
  <c r="H240" i="4"/>
  <c r="H241" i="4"/>
  <c r="H242" i="4"/>
  <c r="G34" i="8" s="1"/>
  <c r="H243" i="4"/>
  <c r="H34" i="8" s="1"/>
  <c r="H239" i="4"/>
  <c r="H238" i="4"/>
  <c r="C34" i="8" s="1"/>
  <c r="H106" i="2"/>
  <c r="J124" i="8"/>
  <c r="J123" i="8"/>
  <c r="J122" i="8"/>
  <c r="J121" i="8"/>
  <c r="J116" i="8"/>
  <c r="H216" i="2"/>
  <c r="H210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2" i="2"/>
  <c r="I213" i="2"/>
  <c r="I214" i="2"/>
  <c r="I215" i="2"/>
  <c r="G112" i="1"/>
  <c r="I169" i="7"/>
  <c r="G85" i="7"/>
  <c r="G112" i="7"/>
  <c r="J112" i="7"/>
  <c r="F77" i="7"/>
  <c r="G75" i="7"/>
  <c r="H895" i="3"/>
  <c r="E24" i="12"/>
  <c r="H940" i="4"/>
  <c r="C949" i="4" s="1"/>
  <c r="H796" i="4"/>
  <c r="J109" i="8" s="1"/>
  <c r="H787" i="4"/>
  <c r="J108" i="8" s="1"/>
  <c r="H26" i="12"/>
  <c r="G26" i="12"/>
  <c r="I6" i="12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L50" i="11"/>
  <c r="K110" i="11"/>
  <c r="G27" i="12"/>
  <c r="G50" i="12" s="1"/>
  <c r="G51" i="12" s="1"/>
  <c r="K38" i="11"/>
  <c r="H610" i="4"/>
  <c r="I86" i="8" s="1"/>
  <c r="H602" i="4"/>
  <c r="I85" i="8" s="1"/>
  <c r="H682" i="4"/>
  <c r="C690" i="4" s="1"/>
  <c r="H674" i="4"/>
  <c r="I94" i="8" s="1"/>
  <c r="H666" i="4"/>
  <c r="I93" i="8" s="1"/>
  <c r="H658" i="4"/>
  <c r="I92" i="8"/>
  <c r="H650" i="4"/>
  <c r="I91" i="8" s="1"/>
  <c r="H642" i="4"/>
  <c r="I90" i="8" s="1"/>
  <c r="H634" i="4"/>
  <c r="I89" i="8" s="1"/>
  <c r="H626" i="4"/>
  <c r="I88" i="8" s="1"/>
  <c r="H618" i="4"/>
  <c r="I87" i="8" s="1"/>
  <c r="H594" i="4"/>
  <c r="I84" i="8" s="1"/>
  <c r="D595" i="4"/>
  <c r="L11" i="11"/>
  <c r="G675" i="4"/>
  <c r="G101" i="1"/>
  <c r="G683" i="4"/>
  <c r="F683" i="4"/>
  <c r="E683" i="4"/>
  <c r="D683" i="4"/>
  <c r="F675" i="4"/>
  <c r="E675" i="4"/>
  <c r="D675" i="4"/>
  <c r="G667" i="4"/>
  <c r="F667" i="4"/>
  <c r="E667" i="4"/>
  <c r="D667" i="4"/>
  <c r="G659" i="4"/>
  <c r="F659" i="4"/>
  <c r="E659" i="4"/>
  <c r="D659" i="4"/>
  <c r="G651" i="4"/>
  <c r="F651" i="4"/>
  <c r="E651" i="4"/>
  <c r="D651" i="4"/>
  <c r="G643" i="4"/>
  <c r="F643" i="4"/>
  <c r="E643" i="4"/>
  <c r="D643" i="4"/>
  <c r="G635" i="4"/>
  <c r="F635" i="4"/>
  <c r="E635" i="4"/>
  <c r="D635" i="4"/>
  <c r="G627" i="4"/>
  <c r="F627" i="4"/>
  <c r="E627" i="4"/>
  <c r="D627" i="4"/>
  <c r="G619" i="4"/>
  <c r="F619" i="4"/>
  <c r="E619" i="4"/>
  <c r="D619" i="4"/>
  <c r="G611" i="4"/>
  <c r="F611" i="4"/>
  <c r="E611" i="4"/>
  <c r="D611" i="4"/>
  <c r="G603" i="4"/>
  <c r="F603" i="4"/>
  <c r="E603" i="4"/>
  <c r="D603" i="4"/>
  <c r="F20" i="9"/>
  <c r="E20" i="9"/>
  <c r="E21" i="9"/>
  <c r="H143" i="6"/>
  <c r="H142" i="6"/>
  <c r="H141" i="6"/>
  <c r="H136" i="6"/>
  <c r="H121" i="6"/>
  <c r="H120" i="6"/>
  <c r="H119" i="6"/>
  <c r="H102" i="6"/>
  <c r="G101" i="6"/>
  <c r="H100" i="6"/>
  <c r="H99" i="6"/>
  <c r="G98" i="6"/>
  <c r="H97" i="6"/>
  <c r="H96" i="6"/>
  <c r="H95" i="6"/>
  <c r="H94" i="6"/>
  <c r="H93" i="6"/>
  <c r="H92" i="6"/>
  <c r="G91" i="6"/>
  <c r="H90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G61" i="6"/>
  <c r="H60" i="6"/>
  <c r="H59" i="6"/>
  <c r="I58" i="6"/>
  <c r="H58" i="6"/>
  <c r="I57" i="6"/>
  <c r="H57" i="6"/>
  <c r="H56" i="6"/>
  <c r="I54" i="6"/>
  <c r="H53" i="6"/>
  <c r="H52" i="6"/>
  <c r="H51" i="6"/>
  <c r="H50" i="6"/>
  <c r="D50" i="6"/>
  <c r="H49" i="6"/>
  <c r="D49" i="6"/>
  <c r="H48" i="6"/>
  <c r="H47" i="6"/>
  <c r="H46" i="6"/>
  <c r="H45" i="6"/>
  <c r="H44" i="6"/>
  <c r="H43" i="6"/>
  <c r="H42" i="6"/>
  <c r="H41" i="6"/>
  <c r="H103" i="6"/>
  <c r="H36" i="6"/>
  <c r="H35" i="6"/>
  <c r="H34" i="6"/>
  <c r="H33" i="6"/>
  <c r="H32" i="6"/>
  <c r="H31" i="6"/>
  <c r="H30" i="6"/>
  <c r="H29" i="6"/>
  <c r="G28" i="6"/>
  <c r="H27" i="6"/>
  <c r="H26" i="6"/>
  <c r="H25" i="6"/>
  <c r="H24" i="6"/>
  <c r="H23" i="6"/>
  <c r="H22" i="6"/>
  <c r="H21" i="6"/>
  <c r="H20" i="6"/>
  <c r="H19" i="6"/>
  <c r="H18" i="6"/>
  <c r="G17" i="6"/>
  <c r="H16" i="6"/>
  <c r="H15" i="6"/>
  <c r="H14" i="6"/>
  <c r="H13" i="6"/>
  <c r="H12" i="6"/>
  <c r="G11" i="6"/>
  <c r="H10" i="6"/>
  <c r="H9" i="6"/>
  <c r="H8" i="6"/>
  <c r="H7" i="6"/>
  <c r="H6" i="6"/>
  <c r="H851" i="3"/>
  <c r="H750" i="3"/>
  <c r="H463" i="3"/>
  <c r="H215" i="3"/>
  <c r="G215" i="3"/>
  <c r="I3" i="3"/>
  <c r="J75" i="7"/>
  <c r="G43" i="7"/>
  <c r="J43" i="7"/>
  <c r="G17" i="7"/>
  <c r="J17" i="7"/>
  <c r="F17" i="7"/>
  <c r="I17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H110" i="2"/>
  <c r="H165" i="2"/>
  <c r="G44" i="2"/>
  <c r="H23" i="2"/>
  <c r="H44" i="2"/>
  <c r="G74" i="1"/>
  <c r="G52" i="1"/>
  <c r="E9" i="4"/>
  <c r="G21" i="1"/>
  <c r="F21" i="1"/>
  <c r="G595" i="4"/>
  <c r="F595" i="4"/>
  <c r="E595" i="4"/>
  <c r="G587" i="4"/>
  <c r="F587" i="4"/>
  <c r="E587" i="4"/>
  <c r="D587" i="4"/>
  <c r="G580" i="4"/>
  <c r="F580" i="4"/>
  <c r="E580" i="4"/>
  <c r="D580" i="4"/>
  <c r="G573" i="4"/>
  <c r="F573" i="4"/>
  <c r="E573" i="4"/>
  <c r="D573" i="4"/>
  <c r="G566" i="4"/>
  <c r="F566" i="4"/>
  <c r="E566" i="4"/>
  <c r="D566" i="4"/>
  <c r="G559" i="4"/>
  <c r="F559" i="4"/>
  <c r="E559" i="4"/>
  <c r="D559" i="4"/>
  <c r="G552" i="4"/>
  <c r="F552" i="4"/>
  <c r="E552" i="4"/>
  <c r="D552" i="4"/>
  <c r="G545" i="4"/>
  <c r="F545" i="4"/>
  <c r="E545" i="4"/>
  <c r="D545" i="4"/>
  <c r="G538" i="4"/>
  <c r="F538" i="4"/>
  <c r="E538" i="4"/>
  <c r="D538" i="4"/>
  <c r="G531" i="4"/>
  <c r="F531" i="4"/>
  <c r="E531" i="4"/>
  <c r="D531" i="4"/>
  <c r="G524" i="4"/>
  <c r="F524" i="4"/>
  <c r="E524" i="4"/>
  <c r="D524" i="4"/>
  <c r="F517" i="4"/>
  <c r="E517" i="4"/>
  <c r="D517" i="4"/>
  <c r="F510" i="4"/>
  <c r="E510" i="4"/>
  <c r="D510" i="4"/>
  <c r="F503" i="4"/>
  <c r="E503" i="4"/>
  <c r="D503" i="4"/>
  <c r="E496" i="4"/>
  <c r="D496" i="4"/>
  <c r="E489" i="4"/>
  <c r="D489" i="4"/>
  <c r="E482" i="4"/>
  <c r="D482" i="4"/>
  <c r="E475" i="4"/>
  <c r="D475" i="4"/>
  <c r="E468" i="4"/>
  <c r="D468" i="4"/>
  <c r="E461" i="4"/>
  <c r="D461" i="4"/>
  <c r="G460" i="4"/>
  <c r="G467" i="4" s="1"/>
  <c r="G474" i="4" s="1"/>
  <c r="G481" i="4" s="1"/>
  <c r="G488" i="4" s="1"/>
  <c r="G495" i="4" s="1"/>
  <c r="G502" i="4" s="1"/>
  <c r="F460" i="4"/>
  <c r="F461" i="4" s="1"/>
  <c r="G454" i="4"/>
  <c r="F454" i="4"/>
  <c r="E454" i="4"/>
  <c r="D454" i="4"/>
  <c r="G447" i="4"/>
  <c r="F447" i="4"/>
  <c r="E447" i="4"/>
  <c r="D447" i="4"/>
  <c r="G440" i="4"/>
  <c r="F440" i="4"/>
  <c r="E440" i="4"/>
  <c r="D440" i="4"/>
  <c r="G433" i="4"/>
  <c r="F433" i="4"/>
  <c r="E433" i="4"/>
  <c r="D433" i="4"/>
  <c r="G426" i="4"/>
  <c r="F426" i="4"/>
  <c r="E426" i="4"/>
  <c r="D426" i="4"/>
  <c r="G419" i="4"/>
  <c r="F419" i="4"/>
  <c r="E419" i="4"/>
  <c r="D419" i="4"/>
  <c r="G412" i="4"/>
  <c r="F412" i="4"/>
  <c r="E412" i="4"/>
  <c r="D412" i="4"/>
  <c r="G405" i="4"/>
  <c r="F405" i="4"/>
  <c r="E405" i="4"/>
  <c r="D405" i="4"/>
  <c r="G398" i="4"/>
  <c r="F398" i="4"/>
  <c r="E398" i="4"/>
  <c r="D398" i="4"/>
  <c r="G391" i="4"/>
  <c r="F391" i="4"/>
  <c r="E391" i="4"/>
  <c r="D391" i="4"/>
  <c r="G384" i="4"/>
  <c r="F384" i="4"/>
  <c r="E384" i="4"/>
  <c r="D384" i="4"/>
  <c r="G377" i="4"/>
  <c r="F377" i="4"/>
  <c r="E377" i="4"/>
  <c r="D377" i="4"/>
  <c r="G370" i="4"/>
  <c r="F370" i="4"/>
  <c r="E370" i="4"/>
  <c r="D370" i="4"/>
  <c r="G363" i="4"/>
  <c r="F363" i="4"/>
  <c r="E363" i="4"/>
  <c r="D363" i="4"/>
  <c r="G356" i="4"/>
  <c r="F356" i="4"/>
  <c r="E356" i="4"/>
  <c r="D356" i="4"/>
  <c r="G349" i="4"/>
  <c r="F349" i="4"/>
  <c r="E349" i="4"/>
  <c r="D349" i="4"/>
  <c r="G342" i="4"/>
  <c r="F342" i="4"/>
  <c r="E342" i="4"/>
  <c r="D342" i="4"/>
  <c r="G335" i="4"/>
  <c r="F335" i="4"/>
  <c r="E335" i="4"/>
  <c r="D335" i="4"/>
  <c r="G328" i="4"/>
  <c r="F328" i="4"/>
  <c r="E328" i="4"/>
  <c r="D328" i="4"/>
  <c r="G321" i="4"/>
  <c r="F321" i="4"/>
  <c r="E321" i="4"/>
  <c r="D321" i="4"/>
  <c r="G314" i="4"/>
  <c r="F314" i="4"/>
  <c r="E314" i="4"/>
  <c r="D314" i="4"/>
  <c r="G307" i="4"/>
  <c r="F307" i="4"/>
  <c r="E307" i="4"/>
  <c r="D307" i="4"/>
  <c r="G300" i="4"/>
  <c r="F300" i="4"/>
  <c r="E300" i="4"/>
  <c r="D300" i="4"/>
  <c r="G293" i="4"/>
  <c r="F293" i="4"/>
  <c r="E293" i="4"/>
  <c r="D293" i="4"/>
  <c r="G286" i="4"/>
  <c r="F286" i="4"/>
  <c r="E286" i="4"/>
  <c r="D286" i="4"/>
  <c r="G279" i="4"/>
  <c r="F279" i="4"/>
  <c r="E279" i="4"/>
  <c r="D279" i="4"/>
  <c r="G272" i="4"/>
  <c r="F272" i="4"/>
  <c r="E272" i="4"/>
  <c r="D272" i="4"/>
  <c r="G265" i="4"/>
  <c r="F265" i="4"/>
  <c r="E265" i="4"/>
  <c r="D265" i="4"/>
  <c r="G258" i="4"/>
  <c r="F258" i="4"/>
  <c r="E258" i="4"/>
  <c r="D258" i="4"/>
  <c r="C255" i="4"/>
  <c r="H255" i="4" s="1"/>
  <c r="F36" i="8" s="1"/>
  <c r="C253" i="4"/>
  <c r="C260" i="4" s="1"/>
  <c r="G251" i="4"/>
  <c r="F251" i="4"/>
  <c r="E251" i="4"/>
  <c r="D251" i="4"/>
  <c r="H248" i="4"/>
  <c r="F35" i="8" s="1"/>
  <c r="C246" i="4"/>
  <c r="H246" i="4" s="1"/>
  <c r="D35" i="8" s="1"/>
  <c r="I244" i="4"/>
  <c r="H244" i="4"/>
  <c r="G244" i="4"/>
  <c r="F244" i="4"/>
  <c r="E244" i="4"/>
  <c r="D244" i="4"/>
  <c r="C244" i="4"/>
  <c r="H237" i="4"/>
  <c r="G237" i="4"/>
  <c r="F237" i="4"/>
  <c r="E237" i="4"/>
  <c r="D237" i="4"/>
  <c r="C237" i="4"/>
  <c r="H230" i="4"/>
  <c r="G230" i="4"/>
  <c r="F230" i="4"/>
  <c r="E230" i="4"/>
  <c r="D230" i="4"/>
  <c r="C230" i="4"/>
  <c r="H223" i="4"/>
  <c r="G223" i="4"/>
  <c r="F223" i="4"/>
  <c r="E223" i="4"/>
  <c r="D223" i="4"/>
  <c r="C223" i="4"/>
  <c r="H216" i="4"/>
  <c r="G216" i="4"/>
  <c r="F216" i="4"/>
  <c r="E216" i="4"/>
  <c r="D216" i="4"/>
  <c r="C216" i="4"/>
  <c r="H209" i="4"/>
  <c r="G209" i="4"/>
  <c r="F209" i="4"/>
  <c r="E209" i="4"/>
  <c r="D209" i="4"/>
  <c r="C209" i="4"/>
  <c r="H202" i="4"/>
  <c r="G202" i="4"/>
  <c r="F202" i="4"/>
  <c r="E202" i="4"/>
  <c r="D202" i="4"/>
  <c r="C202" i="4"/>
  <c r="H195" i="4"/>
  <c r="G195" i="4"/>
  <c r="F195" i="4"/>
  <c r="E195" i="4"/>
  <c r="D195" i="4"/>
  <c r="C195" i="4"/>
  <c r="H188" i="4"/>
  <c r="G188" i="4"/>
  <c r="F188" i="4"/>
  <c r="E188" i="4"/>
  <c r="D188" i="4"/>
  <c r="C188" i="4"/>
  <c r="H181" i="4"/>
  <c r="G181" i="4"/>
  <c r="F181" i="4"/>
  <c r="E181" i="4"/>
  <c r="D181" i="4"/>
  <c r="C181" i="4"/>
  <c r="H174" i="4"/>
  <c r="G174" i="4"/>
  <c r="F174" i="4"/>
  <c r="E174" i="4"/>
  <c r="D174" i="4"/>
  <c r="C174" i="4"/>
  <c r="H167" i="4"/>
  <c r="G167" i="4"/>
  <c r="F167" i="4"/>
  <c r="E167" i="4"/>
  <c r="D167" i="4"/>
  <c r="C167" i="4"/>
  <c r="H160" i="4"/>
  <c r="G160" i="4"/>
  <c r="F160" i="4"/>
  <c r="E160" i="4"/>
  <c r="D160" i="4"/>
  <c r="C160" i="4"/>
  <c r="H153" i="4"/>
  <c r="G153" i="4"/>
  <c r="F153" i="4"/>
  <c r="E153" i="4"/>
  <c r="D153" i="4"/>
  <c r="C153" i="4"/>
  <c r="H146" i="4"/>
  <c r="G146" i="4"/>
  <c r="F146" i="4"/>
  <c r="E146" i="4"/>
  <c r="D146" i="4"/>
  <c r="C146" i="4"/>
  <c r="H139" i="4"/>
  <c r="G139" i="4"/>
  <c r="F139" i="4"/>
  <c r="E139" i="4"/>
  <c r="D139" i="4"/>
  <c r="C139" i="4"/>
  <c r="H132" i="4"/>
  <c r="G132" i="4"/>
  <c r="F132" i="4"/>
  <c r="E132" i="4"/>
  <c r="D132" i="4"/>
  <c r="C132" i="4"/>
  <c r="H125" i="4"/>
  <c r="G125" i="4"/>
  <c r="F125" i="4"/>
  <c r="E125" i="4"/>
  <c r="D125" i="4"/>
  <c r="C125" i="4"/>
  <c r="G119" i="4"/>
  <c r="F119" i="4"/>
  <c r="E119" i="4"/>
  <c r="D119" i="4"/>
  <c r="C119" i="4"/>
  <c r="G113" i="4"/>
  <c r="F113" i="4"/>
  <c r="E113" i="4"/>
  <c r="D113" i="4"/>
  <c r="C113" i="4"/>
  <c r="G107" i="4"/>
  <c r="F107" i="4"/>
  <c r="E107" i="4"/>
  <c r="D107" i="4"/>
  <c r="C107" i="4"/>
  <c r="G95" i="4"/>
  <c r="F95" i="4"/>
  <c r="E95" i="4"/>
  <c r="D95" i="4"/>
  <c r="C95" i="4"/>
  <c r="G89" i="4"/>
  <c r="F89" i="4"/>
  <c r="E89" i="4"/>
  <c r="D89" i="4"/>
  <c r="C89" i="4"/>
  <c r="D83" i="4"/>
  <c r="G80" i="4"/>
  <c r="G83" i="4" s="1"/>
  <c r="F80" i="4"/>
  <c r="F83" i="4" s="1"/>
  <c r="E80" i="4"/>
  <c r="E83" i="4" s="1"/>
  <c r="H74" i="4"/>
  <c r="H80" i="4" s="1"/>
  <c r="H70" i="4"/>
  <c r="H64" i="4"/>
  <c r="G63" i="4"/>
  <c r="G69" i="4" s="1"/>
  <c r="G75" i="4" s="1"/>
  <c r="G77" i="4" s="1"/>
  <c r="F63" i="4"/>
  <c r="F69" i="4" s="1"/>
  <c r="E63" i="4"/>
  <c r="E69" i="4" s="1"/>
  <c r="D63" i="4"/>
  <c r="D69" i="4" s="1"/>
  <c r="D75" i="4" s="1"/>
  <c r="D77" i="4" s="1"/>
  <c r="G62" i="4"/>
  <c r="G68" i="4" s="1"/>
  <c r="H68" i="4" s="1"/>
  <c r="F62" i="4"/>
  <c r="F61" i="4"/>
  <c r="F67" i="4" s="1"/>
  <c r="G60" i="4"/>
  <c r="G66" i="4" s="1"/>
  <c r="F60" i="4"/>
  <c r="F66" i="4" s="1"/>
  <c r="E60" i="4"/>
  <c r="E66" i="4"/>
  <c r="D60" i="4"/>
  <c r="D66" i="4" s="1"/>
  <c r="F59" i="4"/>
  <c r="H58" i="4"/>
  <c r="H57" i="4"/>
  <c r="C57" i="4"/>
  <c r="C63" i="4" s="1"/>
  <c r="C69" i="4" s="1"/>
  <c r="C75" i="4" s="1"/>
  <c r="H54" i="4"/>
  <c r="C54" i="4"/>
  <c r="C60" i="4" s="1"/>
  <c r="C66" i="4" s="1"/>
  <c r="F53" i="4"/>
  <c r="H52" i="4"/>
  <c r="E52" i="4"/>
  <c r="E58" i="4" s="1"/>
  <c r="E64" i="4" s="1"/>
  <c r="D52" i="4"/>
  <c r="D58" i="4" s="1"/>
  <c r="D64" i="4" s="1"/>
  <c r="D70" i="4" s="1"/>
  <c r="C52" i="4"/>
  <c r="C58" i="4" s="1"/>
  <c r="H51" i="4"/>
  <c r="C51" i="4"/>
  <c r="H50" i="4"/>
  <c r="C50" i="4"/>
  <c r="C56" i="4" s="1"/>
  <c r="E49" i="4"/>
  <c r="E55" i="4" s="1"/>
  <c r="E61" i="4" s="1"/>
  <c r="E67" i="4" s="1"/>
  <c r="D49" i="4"/>
  <c r="D55" i="4" s="1"/>
  <c r="D61" i="4" s="1"/>
  <c r="D67" i="4" s="1"/>
  <c r="C49" i="4"/>
  <c r="C55" i="4" s="1"/>
  <c r="H48" i="4"/>
  <c r="C48" i="4"/>
  <c r="G47" i="4"/>
  <c r="F47" i="4"/>
  <c r="E47" i="4"/>
  <c r="C47" i="4"/>
  <c r="D44" i="4"/>
  <c r="D47" i="4" s="1"/>
  <c r="H39" i="4"/>
  <c r="H37" i="4"/>
  <c r="F34" i="4"/>
  <c r="F40" i="4" s="1"/>
  <c r="E34" i="4"/>
  <c r="E40" i="4" s="1"/>
  <c r="D34" i="4"/>
  <c r="D40" i="4" s="1"/>
  <c r="C34" i="4"/>
  <c r="G33" i="4"/>
  <c r="F33" i="4"/>
  <c r="E33" i="4"/>
  <c r="D33" i="4"/>
  <c r="D32" i="4"/>
  <c r="D38" i="4" s="1"/>
  <c r="C32" i="4"/>
  <c r="C38" i="4" s="1"/>
  <c r="F31" i="4"/>
  <c r="C31" i="4"/>
  <c r="C37" i="4" s="1"/>
  <c r="E30" i="4"/>
  <c r="E36" i="4" s="1"/>
  <c r="D30" i="4"/>
  <c r="E28" i="4"/>
  <c r="D28" i="4"/>
  <c r="C27" i="4"/>
  <c r="C33" i="4" s="1"/>
  <c r="C39" i="4" s="1"/>
  <c r="D25" i="4"/>
  <c r="D31" i="4" s="1"/>
  <c r="D37" i="4" s="1"/>
  <c r="E24" i="4"/>
  <c r="D24" i="4"/>
  <c r="F22" i="4"/>
  <c r="E18" i="4"/>
  <c r="D18" i="4"/>
  <c r="E16" i="4"/>
  <c r="E22" i="4" s="1"/>
  <c r="D16" i="4"/>
  <c r="D22" i="4" s="1"/>
  <c r="C16" i="4"/>
  <c r="E13" i="4"/>
  <c r="C13" i="4"/>
  <c r="C18" i="4" s="1"/>
  <c r="C24" i="4" s="1"/>
  <c r="C29" i="4" s="1"/>
  <c r="C11" i="4"/>
  <c r="C15" i="4" s="1"/>
  <c r="D10" i="4"/>
  <c r="D14" i="4" s="1"/>
  <c r="D19" i="4" s="1"/>
  <c r="C10" i="4"/>
  <c r="G9" i="4"/>
  <c r="G12" i="4" s="1"/>
  <c r="D43" i="8"/>
  <c r="F34" i="8"/>
  <c r="E34" i="8"/>
  <c r="D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E10" i="8"/>
  <c r="K10" i="8"/>
  <c r="K9" i="8"/>
  <c r="E9" i="8"/>
  <c r="C8" i="8"/>
  <c r="C7" i="8"/>
  <c r="G6" i="8"/>
  <c r="C6" i="8"/>
  <c r="D6" i="8"/>
  <c r="D5" i="8"/>
  <c r="C5" i="8"/>
  <c r="K4" i="8"/>
  <c r="E5" i="8"/>
  <c r="G5" i="8"/>
  <c r="H160" i="6"/>
  <c r="G45" i="2"/>
  <c r="G106" i="2"/>
  <c r="G107" i="2"/>
  <c r="I470" i="3"/>
  <c r="J895" i="3"/>
  <c r="J17" i="3"/>
  <c r="J13" i="3"/>
  <c r="J9" i="3"/>
  <c r="I5" i="3"/>
  <c r="G216" i="3"/>
  <c r="F22" i="1"/>
  <c r="F52" i="1"/>
  <c r="K5" i="8"/>
  <c r="K6" i="8"/>
  <c r="E8" i="8"/>
  <c r="G8" i="8"/>
  <c r="D8" i="8"/>
  <c r="D7" i="8"/>
  <c r="H139" i="6"/>
  <c r="G39" i="6"/>
  <c r="G40" i="6"/>
  <c r="G103" i="6"/>
  <c r="G104" i="6"/>
  <c r="H39" i="6"/>
  <c r="J21" i="3"/>
  <c r="J25" i="3"/>
  <c r="J29" i="3"/>
  <c r="J33" i="3"/>
  <c r="J37" i="3"/>
  <c r="J41" i="3"/>
  <c r="J47" i="3"/>
  <c r="J55" i="3"/>
  <c r="J63" i="3"/>
  <c r="J71" i="3"/>
  <c r="J750" i="3"/>
  <c r="J8" i="3"/>
  <c r="J12" i="3"/>
  <c r="J16" i="3"/>
  <c r="J20" i="3"/>
  <c r="J24" i="3"/>
  <c r="J28" i="3"/>
  <c r="J32" i="3"/>
  <c r="J36" i="3"/>
  <c r="J40" i="3"/>
  <c r="J45" i="3"/>
  <c r="J53" i="3"/>
  <c r="J61" i="3"/>
  <c r="J69" i="3"/>
  <c r="J463" i="3"/>
  <c r="J7" i="3"/>
  <c r="J11" i="3"/>
  <c r="J15" i="3"/>
  <c r="J19" i="3"/>
  <c r="J23" i="3"/>
  <c r="J27" i="3"/>
  <c r="J31" i="3"/>
  <c r="J35" i="3"/>
  <c r="J39" i="3"/>
  <c r="J43" i="3"/>
  <c r="J51" i="3"/>
  <c r="J59" i="3"/>
  <c r="J67" i="3"/>
  <c r="J215" i="3"/>
  <c r="J6" i="3"/>
  <c r="J10" i="3"/>
  <c r="J14" i="3"/>
  <c r="J18" i="3"/>
  <c r="J22" i="3"/>
  <c r="J26" i="3"/>
  <c r="J30" i="3"/>
  <c r="J34" i="3"/>
  <c r="J38" i="3"/>
  <c r="J42" i="3"/>
  <c r="J49" i="3"/>
  <c r="J57" i="3"/>
  <c r="J65" i="3"/>
  <c r="G463" i="3"/>
  <c r="I216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190" i="3"/>
  <c r="J192" i="3"/>
  <c r="J194" i="3"/>
  <c r="J196" i="3"/>
  <c r="J198" i="3"/>
  <c r="J200" i="3"/>
  <c r="J202" i="3"/>
  <c r="J204" i="3"/>
  <c r="J206" i="3"/>
  <c r="J208" i="3"/>
  <c r="J210" i="3"/>
  <c r="J212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5" i="3"/>
  <c r="J327" i="3"/>
  <c r="J329" i="3"/>
  <c r="J331" i="3"/>
  <c r="J333" i="3"/>
  <c r="J335" i="3"/>
  <c r="J337" i="3"/>
  <c r="J339" i="3"/>
  <c r="J341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7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455" i="3"/>
  <c r="J457" i="3"/>
  <c r="J459" i="3"/>
  <c r="J461" i="3"/>
  <c r="J465" i="3"/>
  <c r="J467" i="3"/>
  <c r="J469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5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I325" i="3"/>
  <c r="I327" i="3"/>
  <c r="I329" i="3"/>
  <c r="I331" i="3"/>
  <c r="I333" i="3"/>
  <c r="I335" i="3"/>
  <c r="I337" i="3"/>
  <c r="I339" i="3"/>
  <c r="I341" i="3"/>
  <c r="I343" i="3"/>
  <c r="I345" i="3"/>
  <c r="I347" i="3"/>
  <c r="I349" i="3"/>
  <c r="I351" i="3"/>
  <c r="I353" i="3"/>
  <c r="I355" i="3"/>
  <c r="I357" i="3"/>
  <c r="I359" i="3"/>
  <c r="I361" i="3"/>
  <c r="I363" i="3"/>
  <c r="I365" i="3"/>
  <c r="I367" i="3"/>
  <c r="I369" i="3"/>
  <c r="I371" i="3"/>
  <c r="I373" i="3"/>
  <c r="I375" i="3"/>
  <c r="I377" i="3"/>
  <c r="I379" i="3"/>
  <c r="I381" i="3"/>
  <c r="I383" i="3"/>
  <c r="I385" i="3"/>
  <c r="I387" i="3"/>
  <c r="I389" i="3"/>
  <c r="I391" i="3"/>
  <c r="I393" i="3"/>
  <c r="I395" i="3"/>
  <c r="I397" i="3"/>
  <c r="I399" i="3"/>
  <c r="I401" i="3"/>
  <c r="I403" i="3"/>
  <c r="I405" i="3"/>
  <c r="I407" i="3"/>
  <c r="I409" i="3"/>
  <c r="I411" i="3"/>
  <c r="I413" i="3"/>
  <c r="I415" i="3"/>
  <c r="I417" i="3"/>
  <c r="I419" i="3"/>
  <c r="I421" i="3"/>
  <c r="I423" i="3"/>
  <c r="I425" i="3"/>
  <c r="I427" i="3"/>
  <c r="I429" i="3"/>
  <c r="I431" i="3"/>
  <c r="I433" i="3"/>
  <c r="I435" i="3"/>
  <c r="I437" i="3"/>
  <c r="I439" i="3"/>
  <c r="I441" i="3"/>
  <c r="I443" i="3"/>
  <c r="I445" i="3"/>
  <c r="I447" i="3"/>
  <c r="I449" i="3"/>
  <c r="I451" i="3"/>
  <c r="I453" i="3"/>
  <c r="I455" i="3"/>
  <c r="I457" i="3"/>
  <c r="I459" i="3"/>
  <c r="I461" i="3"/>
  <c r="J462" i="3"/>
  <c r="I465" i="3"/>
  <c r="I467" i="3"/>
  <c r="I469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E32" i="4"/>
  <c r="E38" i="4" s="1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6" i="3"/>
  <c r="J328" i="3"/>
  <c r="J330" i="3"/>
  <c r="J332" i="3"/>
  <c r="J334" i="3"/>
  <c r="J336" i="3"/>
  <c r="J338" i="3"/>
  <c r="J340" i="3"/>
  <c r="J342" i="3"/>
  <c r="J344" i="3"/>
  <c r="J346" i="3"/>
  <c r="J348" i="3"/>
  <c r="J350" i="3"/>
  <c r="J352" i="3"/>
  <c r="J354" i="3"/>
  <c r="J356" i="3"/>
  <c r="J358" i="3"/>
  <c r="J360" i="3"/>
  <c r="J362" i="3"/>
  <c r="J364" i="3"/>
  <c r="J366" i="3"/>
  <c r="J368" i="3"/>
  <c r="J370" i="3"/>
  <c r="J372" i="3"/>
  <c r="J374" i="3"/>
  <c r="J376" i="3"/>
  <c r="J378" i="3"/>
  <c r="J380" i="3"/>
  <c r="J382" i="3"/>
  <c r="J384" i="3"/>
  <c r="J386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454" i="3"/>
  <c r="J456" i="3"/>
  <c r="J458" i="3"/>
  <c r="J460" i="3"/>
  <c r="I462" i="3"/>
  <c r="J466" i="3"/>
  <c r="J468" i="3"/>
  <c r="J470" i="3"/>
  <c r="J851" i="3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59" i="3"/>
  <c r="I61" i="3"/>
  <c r="I63" i="3"/>
  <c r="I65" i="3"/>
  <c r="I67" i="3"/>
  <c r="I69" i="3"/>
  <c r="I71" i="3"/>
  <c r="I73" i="3"/>
  <c r="I75" i="3"/>
  <c r="I77" i="3"/>
  <c r="I79" i="3"/>
  <c r="I81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I111" i="3"/>
  <c r="I113" i="3"/>
  <c r="I115" i="3"/>
  <c r="I117" i="3"/>
  <c r="I119" i="3"/>
  <c r="I121" i="3"/>
  <c r="I123" i="3"/>
  <c r="I125" i="3"/>
  <c r="I127" i="3"/>
  <c r="I129" i="3"/>
  <c r="I131" i="3"/>
  <c r="I133" i="3"/>
  <c r="I135" i="3"/>
  <c r="I137" i="3"/>
  <c r="I139" i="3"/>
  <c r="I141" i="3"/>
  <c r="I143" i="3"/>
  <c r="I145" i="3"/>
  <c r="I147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3" i="3"/>
  <c r="I185" i="3"/>
  <c r="I187" i="3"/>
  <c r="I189" i="3"/>
  <c r="I191" i="3"/>
  <c r="I193" i="3"/>
  <c r="I195" i="3"/>
  <c r="I197" i="3"/>
  <c r="I199" i="3"/>
  <c r="I201" i="3"/>
  <c r="I203" i="3"/>
  <c r="I205" i="3"/>
  <c r="I207" i="3"/>
  <c r="I209" i="3"/>
  <c r="I211" i="3"/>
  <c r="I213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I326" i="3"/>
  <c r="I328" i="3"/>
  <c r="I330" i="3"/>
  <c r="I332" i="3"/>
  <c r="I334" i="3"/>
  <c r="I336" i="3"/>
  <c r="I338" i="3"/>
  <c r="I340" i="3"/>
  <c r="I342" i="3"/>
  <c r="I344" i="3"/>
  <c r="I346" i="3"/>
  <c r="I348" i="3"/>
  <c r="I350" i="3"/>
  <c r="I352" i="3"/>
  <c r="I354" i="3"/>
  <c r="I356" i="3"/>
  <c r="I358" i="3"/>
  <c r="I360" i="3"/>
  <c r="I362" i="3"/>
  <c r="I364" i="3"/>
  <c r="I366" i="3"/>
  <c r="I368" i="3"/>
  <c r="I370" i="3"/>
  <c r="I372" i="3"/>
  <c r="I374" i="3"/>
  <c r="I376" i="3"/>
  <c r="I378" i="3"/>
  <c r="I380" i="3"/>
  <c r="I382" i="3"/>
  <c r="I384" i="3"/>
  <c r="I386" i="3"/>
  <c r="I388" i="3"/>
  <c r="I390" i="3"/>
  <c r="I392" i="3"/>
  <c r="I394" i="3"/>
  <c r="I396" i="3"/>
  <c r="I398" i="3"/>
  <c r="I400" i="3"/>
  <c r="I402" i="3"/>
  <c r="I404" i="3"/>
  <c r="I406" i="3"/>
  <c r="I408" i="3"/>
  <c r="I410" i="3"/>
  <c r="I412" i="3"/>
  <c r="I414" i="3"/>
  <c r="I416" i="3"/>
  <c r="I418" i="3"/>
  <c r="I420" i="3"/>
  <c r="I422" i="3"/>
  <c r="I424" i="3"/>
  <c r="I426" i="3"/>
  <c r="I428" i="3"/>
  <c r="I430" i="3"/>
  <c r="I432" i="3"/>
  <c r="I434" i="3"/>
  <c r="I436" i="3"/>
  <c r="I438" i="3"/>
  <c r="I440" i="3"/>
  <c r="I442" i="3"/>
  <c r="I444" i="3"/>
  <c r="I446" i="3"/>
  <c r="I448" i="3"/>
  <c r="I450" i="3"/>
  <c r="I452" i="3"/>
  <c r="I454" i="3"/>
  <c r="I456" i="3"/>
  <c r="I458" i="3"/>
  <c r="I460" i="3"/>
  <c r="I466" i="3"/>
  <c r="I468" i="3"/>
  <c r="H89" i="4"/>
  <c r="H119" i="4"/>
  <c r="H63" i="4"/>
  <c r="F467" i="4"/>
  <c r="F18" i="7"/>
  <c r="E10" i="4"/>
  <c r="E14" i="4" s="1"/>
  <c r="E19" i="4" s="1"/>
  <c r="E25" i="4" s="1"/>
  <c r="G165" i="2"/>
  <c r="G166" i="2"/>
  <c r="G210" i="2"/>
  <c r="G211" i="2"/>
  <c r="G216" i="2"/>
  <c r="G217" i="2"/>
  <c r="H226" i="2"/>
  <c r="K104" i="2"/>
  <c r="K102" i="2"/>
  <c r="H62" i="4"/>
  <c r="H253" i="4"/>
  <c r="D36" i="8" s="1"/>
  <c r="D50" i="4"/>
  <c r="D56" i="4" s="1"/>
  <c r="E53" i="4"/>
  <c r="F53" i="1"/>
  <c r="D13" i="4"/>
  <c r="D9" i="4"/>
  <c r="K8" i="8"/>
  <c r="E7" i="8"/>
  <c r="G7" i="8"/>
  <c r="C249" i="4"/>
  <c r="H249" i="4" s="1"/>
  <c r="G35" i="8" s="1"/>
  <c r="G139" i="6"/>
  <c r="G140" i="6"/>
  <c r="G160" i="6"/>
  <c r="D11" i="4"/>
  <c r="D15" i="4"/>
  <c r="D20" i="4" s="1"/>
  <c r="G464" i="3"/>
  <c r="I463" i="3"/>
  <c r="E11" i="4"/>
  <c r="E15" i="4" s="1"/>
  <c r="E20" i="4" s="1"/>
  <c r="I18" i="7"/>
  <c r="C250" i="4"/>
  <c r="C257" i="4" s="1"/>
  <c r="H257" i="4" s="1"/>
  <c r="H36" i="8" s="1"/>
  <c r="F43" i="7"/>
  <c r="D64" i="8"/>
  <c r="F74" i="1"/>
  <c r="F75" i="1"/>
  <c r="F101" i="1"/>
  <c r="F102" i="1"/>
  <c r="F113" i="1"/>
  <c r="F112" i="1"/>
  <c r="K7" i="8"/>
  <c r="C256" i="4"/>
  <c r="C263" i="4" s="1"/>
  <c r="H263" i="4" s="1"/>
  <c r="G37" i="8" s="1"/>
  <c r="G161" i="6"/>
  <c r="H161" i="6"/>
  <c r="I464" i="3"/>
  <c r="C247" i="4"/>
  <c r="H247" i="4" s="1"/>
  <c r="E35" i="8" s="1"/>
  <c r="G750" i="3"/>
  <c r="I43" i="7"/>
  <c r="F44" i="7"/>
  <c r="F75" i="7"/>
  <c r="F76" i="7"/>
  <c r="G152" i="1"/>
  <c r="H245" i="4"/>
  <c r="C35" i="8" s="1"/>
  <c r="F112" i="7"/>
  <c r="F113" i="7"/>
  <c r="G166" i="6"/>
  <c r="G164" i="6"/>
  <c r="I750" i="3"/>
  <c r="G751" i="3"/>
  <c r="I44" i="7"/>
  <c r="I146" i="7"/>
  <c r="J113" i="7"/>
  <c r="G851" i="3"/>
  <c r="G852" i="3"/>
  <c r="I751" i="3"/>
  <c r="I76" i="7"/>
  <c r="I75" i="7"/>
  <c r="I852" i="3"/>
  <c r="G895" i="3"/>
  <c r="I113" i="7"/>
  <c r="H113" i="7"/>
  <c r="I851" i="3"/>
  <c r="J76" i="7"/>
  <c r="H896" i="3"/>
  <c r="J896" i="3"/>
  <c r="G896" i="3"/>
  <c r="I896" i="3"/>
  <c r="I895" i="3"/>
  <c r="H902" i="3"/>
  <c r="J852" i="3"/>
  <c r="H903" i="3"/>
  <c r="C607" i="4"/>
  <c r="C615" i="4" s="1"/>
  <c r="H599" i="4"/>
  <c r="F85" i="8" s="1"/>
  <c r="G66" i="12" l="1"/>
  <c r="I52" i="12"/>
  <c r="I53" i="12" s="1"/>
  <c r="G49" i="4"/>
  <c r="H49" i="4" s="1"/>
  <c r="C53" i="4"/>
  <c r="H607" i="4"/>
  <c r="F86" i="8" s="1"/>
  <c r="I95" i="8"/>
  <c r="C12" i="4"/>
  <c r="G28" i="4"/>
  <c r="G16" i="4"/>
  <c r="G22" i="4" s="1"/>
  <c r="H113" i="4"/>
  <c r="H107" i="4"/>
  <c r="H250" i="4"/>
  <c r="H35" i="8" s="1"/>
  <c r="K35" i="8" s="1"/>
  <c r="F147" i="7"/>
  <c r="I28" i="12"/>
  <c r="I29" i="12" s="1"/>
  <c r="I30" i="12" s="1"/>
  <c r="I31" i="12" s="1"/>
  <c r="I32" i="12" s="1"/>
  <c r="I33" i="12" s="1"/>
  <c r="C251" i="4"/>
  <c r="J147" i="7"/>
  <c r="J146" i="7"/>
  <c r="J125" i="8"/>
  <c r="G112" i="11"/>
  <c r="G113" i="11" s="1"/>
  <c r="K40" i="11"/>
  <c r="H949" i="4"/>
  <c r="J126" i="8" s="1"/>
  <c r="C958" i="4"/>
  <c r="C270" i="4"/>
  <c r="H270" i="4" s="1"/>
  <c r="G38" i="8" s="1"/>
  <c r="C14" i="4"/>
  <c r="C19" i="4" s="1"/>
  <c r="C23" i="4" s="1"/>
  <c r="H95" i="4"/>
  <c r="C254" i="4"/>
  <c r="H254" i="4" s="1"/>
  <c r="E36" i="8" s="1"/>
  <c r="D41" i="4"/>
  <c r="G34" i="4"/>
  <c r="G40" i="4" s="1"/>
  <c r="H40" i="4" s="1"/>
  <c r="F15" i="4"/>
  <c r="G15" i="4" s="1"/>
  <c r="G17" i="4" s="1"/>
  <c r="E65" i="4"/>
  <c r="C267" i="4"/>
  <c r="H260" i="4"/>
  <c r="D37" i="8" s="1"/>
  <c r="C698" i="4"/>
  <c r="H698" i="4" s="1"/>
  <c r="I97" i="8" s="1"/>
  <c r="H690" i="4"/>
  <c r="I96" i="8" s="1"/>
  <c r="D12" i="4"/>
  <c r="F38" i="4"/>
  <c r="E17" i="4"/>
  <c r="H47" i="4"/>
  <c r="D29" i="4"/>
  <c r="C40" i="4"/>
  <c r="C262" i="4"/>
  <c r="F32" i="4"/>
  <c r="H83" i="4"/>
  <c r="E12" i="4"/>
  <c r="F13" i="4"/>
  <c r="F18" i="4" s="1"/>
  <c r="D17" i="4"/>
  <c r="F138" i="1"/>
  <c r="G149" i="1" s="1"/>
  <c r="G154" i="1" s="1"/>
  <c r="F20" i="4"/>
  <c r="G20" i="4" s="1"/>
  <c r="G26" i="4" s="1"/>
  <c r="G32" i="4" s="1"/>
  <c r="E29" i="4"/>
  <c r="E31" i="4"/>
  <c r="E35" i="4" s="1"/>
  <c r="F24" i="4"/>
  <c r="F29" i="4" s="1"/>
  <c r="C30" i="4"/>
  <c r="E23" i="4"/>
  <c r="D35" i="4"/>
  <c r="E41" i="4"/>
  <c r="D23" i="4"/>
  <c r="C81" i="4"/>
  <c r="C83" i="4" s="1"/>
  <c r="C77" i="4"/>
  <c r="D59" i="4"/>
  <c r="D62" i="4"/>
  <c r="D68" i="4" s="1"/>
  <c r="D71" i="4" s="1"/>
  <c r="G55" i="4"/>
  <c r="C59" i="4"/>
  <c r="C61" i="4"/>
  <c r="E75" i="4"/>
  <c r="E77" i="4" s="1"/>
  <c r="E71" i="4"/>
  <c r="K34" i="8"/>
  <c r="F75" i="4"/>
  <c r="H69" i="4"/>
  <c r="F71" i="4"/>
  <c r="H66" i="4"/>
  <c r="D53" i="4"/>
  <c r="E59" i="4"/>
  <c r="H60" i="4"/>
  <c r="F65" i="4"/>
  <c r="C264" i="4"/>
  <c r="C277" i="4"/>
  <c r="H256" i="4"/>
  <c r="G36" i="8" s="1"/>
  <c r="C623" i="4"/>
  <c r="H615" i="4"/>
  <c r="F87" i="8" s="1"/>
  <c r="F474" i="4"/>
  <c r="F468" i="4"/>
  <c r="H252" i="4"/>
  <c r="C259" i="4"/>
  <c r="G151" i="1"/>
  <c r="F9" i="4" s="1"/>
  <c r="F12" i="4" s="1"/>
  <c r="H67" i="12" l="1"/>
  <c r="G67" i="12"/>
  <c r="C261" i="4"/>
  <c r="G53" i="4"/>
  <c r="H53" i="4" s="1"/>
  <c r="C258" i="4"/>
  <c r="D65" i="4"/>
  <c r="C17" i="4"/>
  <c r="H251" i="4"/>
  <c r="I147" i="7"/>
  <c r="F17" i="4"/>
  <c r="I35" i="12"/>
  <c r="I36" i="12" s="1"/>
  <c r="I37" i="12" s="1"/>
  <c r="I38" i="12" s="1"/>
  <c r="I39" i="12" s="1"/>
  <c r="I40" i="12" s="1"/>
  <c r="I41" i="12" s="1"/>
  <c r="I42" i="12" s="1"/>
  <c r="I34" i="12"/>
  <c r="C706" i="4"/>
  <c r="G186" i="11"/>
  <c r="K112" i="11"/>
  <c r="H958" i="4"/>
  <c r="J127" i="8" s="1"/>
  <c r="C967" i="4"/>
  <c r="C274" i="4"/>
  <c r="H267" i="4"/>
  <c r="D38" i="8" s="1"/>
  <c r="C269" i="4"/>
  <c r="H262" i="4"/>
  <c r="F37" i="8" s="1"/>
  <c r="G35" i="4"/>
  <c r="G38" i="4"/>
  <c r="C35" i="4"/>
  <c r="C36" i="4"/>
  <c r="C41" i="4" s="1"/>
  <c r="F30" i="4"/>
  <c r="F36" i="4" s="1"/>
  <c r="G24" i="4"/>
  <c r="G29" i="4" s="1"/>
  <c r="G59" i="4"/>
  <c r="H59" i="4" s="1"/>
  <c r="H55" i="4"/>
  <c r="G61" i="4"/>
  <c r="H75" i="4"/>
  <c r="F77" i="4"/>
  <c r="H77" i="4" s="1"/>
  <c r="C65" i="4"/>
  <c r="C67" i="4"/>
  <c r="C71" i="4" s="1"/>
  <c r="H277" i="4"/>
  <c r="G39" i="8" s="1"/>
  <c r="C284" i="4"/>
  <c r="C271" i="4"/>
  <c r="H264" i="4"/>
  <c r="H37" i="8" s="1"/>
  <c r="H261" i="4"/>
  <c r="E37" i="8" s="1"/>
  <c r="C268" i="4"/>
  <c r="F475" i="4"/>
  <c r="F481" i="4"/>
  <c r="C631" i="4"/>
  <c r="H623" i="4"/>
  <c r="F88" i="8" s="1"/>
  <c r="C714" i="4"/>
  <c r="H706" i="4"/>
  <c r="I98" i="8" s="1"/>
  <c r="C36" i="8"/>
  <c r="K36" i="8" s="1"/>
  <c r="H258" i="4"/>
  <c r="G18" i="4"/>
  <c r="G23" i="4" s="1"/>
  <c r="F23" i="4"/>
  <c r="C266" i="4"/>
  <c r="H259" i="4"/>
  <c r="C265" i="4"/>
  <c r="H76" i="12" l="1"/>
  <c r="H75" i="12"/>
  <c r="F167" i="7"/>
  <c r="I167" i="7" s="1"/>
  <c r="I166" i="7"/>
  <c r="G167" i="7"/>
  <c r="G187" i="11"/>
  <c r="K186" i="11" s="1"/>
  <c r="M186" i="11"/>
  <c r="K184" i="11"/>
  <c r="L122" i="11"/>
  <c r="C976" i="4"/>
  <c r="H967" i="4"/>
  <c r="J128" i="8" s="1"/>
  <c r="H269" i="4"/>
  <c r="F38" i="8" s="1"/>
  <c r="C276" i="4"/>
  <c r="C281" i="4"/>
  <c r="H274" i="4"/>
  <c r="D39" i="8" s="1"/>
  <c r="F35" i="4"/>
  <c r="G41" i="4"/>
  <c r="H38" i="4"/>
  <c r="H61" i="4"/>
  <c r="G67" i="4"/>
  <c r="G65" i="4"/>
  <c r="H65" i="4" s="1"/>
  <c r="C278" i="4"/>
  <c r="H271" i="4"/>
  <c r="H38" i="8" s="1"/>
  <c r="H268" i="4"/>
  <c r="E38" i="8" s="1"/>
  <c r="C275" i="4"/>
  <c r="H284" i="4"/>
  <c r="G40" i="8" s="1"/>
  <c r="C291" i="4"/>
  <c r="H631" i="4"/>
  <c r="F89" i="8" s="1"/>
  <c r="C639" i="4"/>
  <c r="F482" i="4"/>
  <c r="F488" i="4"/>
  <c r="C722" i="4"/>
  <c r="H714" i="4"/>
  <c r="I99" i="8" s="1"/>
  <c r="F41" i="4"/>
  <c r="H36" i="4"/>
  <c r="C37" i="8"/>
  <c r="K37" i="8" s="1"/>
  <c r="H265" i="4"/>
  <c r="C273" i="4"/>
  <c r="H266" i="4"/>
  <c r="C272" i="4"/>
  <c r="G170" i="7" l="1"/>
  <c r="J167" i="7"/>
  <c r="G236" i="11"/>
  <c r="G237" i="11" s="1"/>
  <c r="C985" i="4"/>
  <c r="H976" i="4"/>
  <c r="J129" i="8" s="1"/>
  <c r="H281" i="4"/>
  <c r="D40" i="8" s="1"/>
  <c r="C288" i="4"/>
  <c r="C283" i="4"/>
  <c r="H276" i="4"/>
  <c r="F39" i="8" s="1"/>
  <c r="G71" i="4"/>
  <c r="H71" i="4" s="1"/>
  <c r="H67" i="4"/>
  <c r="C298" i="4"/>
  <c r="H291" i="4"/>
  <c r="G41" i="8" s="1"/>
  <c r="C285" i="4"/>
  <c r="H278" i="4"/>
  <c r="H39" i="8" s="1"/>
  <c r="C282" i="4"/>
  <c r="H275" i="4"/>
  <c r="E39" i="8" s="1"/>
  <c r="F489" i="4"/>
  <c r="F495" i="4"/>
  <c r="F496" i="4" s="1"/>
  <c r="H639" i="4"/>
  <c r="F90" i="8" s="1"/>
  <c r="C647" i="4"/>
  <c r="H722" i="4"/>
  <c r="I100" i="8" s="1"/>
  <c r="C730" i="4"/>
  <c r="I41" i="4"/>
  <c r="H41" i="4"/>
  <c r="H272" i="4"/>
  <c r="C38" i="8"/>
  <c r="K38" i="8" s="1"/>
  <c r="H273" i="4"/>
  <c r="C280" i="4"/>
  <c r="C279" i="4"/>
  <c r="G168" i="7" l="1"/>
  <c r="I168" i="7" s="1"/>
  <c r="I170" i="7"/>
  <c r="H237" i="11"/>
  <c r="H985" i="4"/>
  <c r="J130" i="8" s="1"/>
  <c r="C994" i="4"/>
  <c r="C295" i="4"/>
  <c r="H288" i="4"/>
  <c r="D41" i="8" s="1"/>
  <c r="H283" i="4"/>
  <c r="F40" i="8" s="1"/>
  <c r="C290" i="4"/>
  <c r="C305" i="4"/>
  <c r="H298" i="4"/>
  <c r="G42" i="8" s="1"/>
  <c r="H282" i="4"/>
  <c r="E40" i="8" s="1"/>
  <c r="C289" i="4"/>
  <c r="H285" i="4"/>
  <c r="H40" i="8" s="1"/>
  <c r="C292" i="4"/>
  <c r="H647" i="4"/>
  <c r="F91" i="8" s="1"/>
  <c r="C655" i="4"/>
  <c r="C738" i="4"/>
  <c r="H730" i="4"/>
  <c r="I101" i="8" s="1"/>
  <c r="C287" i="4"/>
  <c r="C286" i="4"/>
  <c r="H280" i="4"/>
  <c r="C39" i="8"/>
  <c r="K39" i="8" s="1"/>
  <c r="H279" i="4"/>
  <c r="H243" i="11" l="1"/>
  <c r="H241" i="11"/>
  <c r="C1003" i="4"/>
  <c r="H994" i="4"/>
  <c r="J131" i="8" s="1"/>
  <c r="C297" i="4"/>
  <c r="H290" i="4"/>
  <c r="F41" i="8" s="1"/>
  <c r="C302" i="4"/>
  <c r="C309" i="4" s="1"/>
  <c r="H295" i="4"/>
  <c r="D42" i="8" s="1"/>
  <c r="C312" i="4"/>
  <c r="H305" i="4"/>
  <c r="G43" i="8" s="1"/>
  <c r="H289" i="4"/>
  <c r="E41" i="8" s="1"/>
  <c r="C296" i="4"/>
  <c r="C299" i="4"/>
  <c r="H292" i="4"/>
  <c r="H41" i="8" s="1"/>
  <c r="H655" i="4"/>
  <c r="F92" i="8" s="1"/>
  <c r="C663" i="4"/>
  <c r="C746" i="4"/>
  <c r="H738" i="4"/>
  <c r="I102" i="8" s="1"/>
  <c r="C294" i="4"/>
  <c r="C293" i="4"/>
  <c r="H287" i="4"/>
  <c r="H286" i="4"/>
  <c r="C40" i="8"/>
  <c r="K40" i="8" s="1"/>
  <c r="H1003" i="4" l="1"/>
  <c r="J132" i="8" s="1"/>
  <c r="C1012" i="4"/>
  <c r="C316" i="4"/>
  <c r="H309" i="4"/>
  <c r="D44" i="8" s="1"/>
  <c r="C304" i="4"/>
  <c r="H297" i="4"/>
  <c r="F42" i="8" s="1"/>
  <c r="H299" i="4"/>
  <c r="H42" i="8" s="1"/>
  <c r="C306" i="4"/>
  <c r="C319" i="4"/>
  <c r="H312" i="4"/>
  <c r="G44" i="8" s="1"/>
  <c r="C303" i="4"/>
  <c r="H296" i="4"/>
  <c r="E42" i="8" s="1"/>
  <c r="C671" i="4"/>
  <c r="H663" i="4"/>
  <c r="F93" i="8" s="1"/>
  <c r="C754" i="4"/>
  <c r="H746" i="4"/>
  <c r="I103" i="8" s="1"/>
  <c r="C300" i="4"/>
  <c r="C301" i="4"/>
  <c r="H294" i="4"/>
  <c r="H293" i="4"/>
  <c r="C41" i="8"/>
  <c r="K41" i="8" s="1"/>
  <c r="H1012" i="4" l="1"/>
  <c r="J133" i="8" s="1"/>
  <c r="C1021" i="4"/>
  <c r="C311" i="4"/>
  <c r="H304" i="4"/>
  <c r="F43" i="8" s="1"/>
  <c r="H316" i="4"/>
  <c r="D45" i="8" s="1"/>
  <c r="C323" i="4"/>
  <c r="C313" i="4"/>
  <c r="H306" i="4"/>
  <c r="H43" i="8" s="1"/>
  <c r="C326" i="4"/>
  <c r="H319" i="4"/>
  <c r="G45" i="8" s="1"/>
  <c r="C310" i="4"/>
  <c r="H303" i="4"/>
  <c r="E43" i="8" s="1"/>
  <c r="H671" i="4"/>
  <c r="F94" i="8" s="1"/>
  <c r="C679" i="4"/>
  <c r="H679" i="4" s="1"/>
  <c r="H754" i="4"/>
  <c r="I104" i="8" s="1"/>
  <c r="C762" i="4"/>
  <c r="H301" i="4"/>
  <c r="C308" i="4"/>
  <c r="C307" i="4"/>
  <c r="C42" i="8"/>
  <c r="K42" i="8" s="1"/>
  <c r="H300" i="4"/>
  <c r="C1030" i="4" l="1"/>
  <c r="H1021" i="4"/>
  <c r="J134" i="8" s="1"/>
  <c r="C330" i="4"/>
  <c r="H323" i="4"/>
  <c r="D46" i="8" s="1"/>
  <c r="H311" i="4"/>
  <c r="F44" i="8" s="1"/>
  <c r="C318" i="4"/>
  <c r="H313" i="4"/>
  <c r="H44" i="8" s="1"/>
  <c r="C320" i="4"/>
  <c r="H326" i="4"/>
  <c r="G46" i="8" s="1"/>
  <c r="C333" i="4"/>
  <c r="C317" i="4"/>
  <c r="H310" i="4"/>
  <c r="E44" i="8" s="1"/>
  <c r="C687" i="4"/>
  <c r="F95" i="8"/>
  <c r="C770" i="4"/>
  <c r="H762" i="4"/>
  <c r="I105" i="8" s="1"/>
  <c r="C314" i="4"/>
  <c r="H308" i="4"/>
  <c r="C315" i="4"/>
  <c r="H307" i="4"/>
  <c r="C43" i="8"/>
  <c r="K43" i="8" s="1"/>
  <c r="C1039" i="4" l="1"/>
  <c r="H1030" i="4"/>
  <c r="J135" i="8" s="1"/>
  <c r="C325" i="4"/>
  <c r="H318" i="4"/>
  <c r="F45" i="8" s="1"/>
  <c r="H330" i="4"/>
  <c r="D47" i="8" s="1"/>
  <c r="C337" i="4"/>
  <c r="C340" i="4"/>
  <c r="H333" i="4"/>
  <c r="G47" i="8" s="1"/>
  <c r="H320" i="4"/>
  <c r="H45" i="8" s="1"/>
  <c r="C327" i="4"/>
  <c r="C324" i="4"/>
  <c r="H317" i="4"/>
  <c r="E45" i="8" s="1"/>
  <c r="C695" i="4"/>
  <c r="H687" i="4"/>
  <c r="C778" i="4"/>
  <c r="H770" i="4"/>
  <c r="I106" i="8" s="1"/>
  <c r="C322" i="4"/>
  <c r="C321" i="4"/>
  <c r="H315" i="4"/>
  <c r="H314" i="4"/>
  <c r="C44" i="8"/>
  <c r="K44" i="8" s="1"/>
  <c r="C1048" i="4" l="1"/>
  <c r="H1039" i="4"/>
  <c r="J136" i="8" s="1"/>
  <c r="C344" i="4"/>
  <c r="H337" i="4"/>
  <c r="D48" i="8" s="1"/>
  <c r="H325" i="4"/>
  <c r="F46" i="8" s="1"/>
  <c r="C332" i="4"/>
  <c r="H327" i="4"/>
  <c r="H46" i="8" s="1"/>
  <c r="C334" i="4"/>
  <c r="H324" i="4"/>
  <c r="E46" i="8" s="1"/>
  <c r="C331" i="4"/>
  <c r="H340" i="4"/>
  <c r="G48" i="8" s="1"/>
  <c r="C347" i="4"/>
  <c r="H695" i="4"/>
  <c r="C703" i="4"/>
  <c r="C786" i="4"/>
  <c r="H778" i="4"/>
  <c r="I107" i="8" s="1"/>
  <c r="H322" i="4"/>
  <c r="C329" i="4"/>
  <c r="C328" i="4"/>
  <c r="H321" i="4"/>
  <c r="C45" i="8"/>
  <c r="K45" i="8" s="1"/>
  <c r="H1048" i="4" l="1"/>
  <c r="J137" i="8" s="1"/>
  <c r="C1057" i="4"/>
  <c r="H332" i="4"/>
  <c r="F47" i="8" s="1"/>
  <c r="C339" i="4"/>
  <c r="H344" i="4"/>
  <c r="D49" i="8" s="1"/>
  <c r="C351" i="4"/>
  <c r="C338" i="4"/>
  <c r="H331" i="4"/>
  <c r="E47" i="8" s="1"/>
  <c r="C354" i="4"/>
  <c r="H347" i="4"/>
  <c r="G49" i="8" s="1"/>
  <c r="H334" i="4"/>
  <c r="H47" i="8" s="1"/>
  <c r="C341" i="4"/>
  <c r="C711" i="4"/>
  <c r="H703" i="4"/>
  <c r="H786" i="4"/>
  <c r="I108" i="8" s="1"/>
  <c r="C795" i="4"/>
  <c r="H329" i="4"/>
  <c r="C336" i="4"/>
  <c r="C335" i="4"/>
  <c r="C46" i="8"/>
  <c r="K46" i="8" s="1"/>
  <c r="H328" i="4"/>
  <c r="C1066" i="4" l="1"/>
  <c r="H1057" i="4"/>
  <c r="J138" i="8" s="1"/>
  <c r="C358" i="4"/>
  <c r="H351" i="4"/>
  <c r="D50" i="8" s="1"/>
  <c r="C346" i="4"/>
  <c r="H339" i="4"/>
  <c r="F48" i="8" s="1"/>
  <c r="H341" i="4"/>
  <c r="H48" i="8" s="1"/>
  <c r="C348" i="4"/>
  <c r="H354" i="4"/>
  <c r="G50" i="8" s="1"/>
  <c r="C361" i="4"/>
  <c r="H338" i="4"/>
  <c r="E48" i="8" s="1"/>
  <c r="C345" i="4"/>
  <c r="H711" i="4"/>
  <c r="C719" i="4"/>
  <c r="C804" i="4"/>
  <c r="H795" i="4"/>
  <c r="I109" i="8" s="1"/>
  <c r="C342" i="4"/>
  <c r="H336" i="4"/>
  <c r="C343" i="4"/>
  <c r="H335" i="4"/>
  <c r="C47" i="8"/>
  <c r="K47" i="8" s="1"/>
  <c r="C1075" i="4" l="1"/>
  <c r="H1066" i="4"/>
  <c r="J139" i="8" s="1"/>
  <c r="C353" i="4"/>
  <c r="H346" i="4"/>
  <c r="F49" i="8" s="1"/>
  <c r="C365" i="4"/>
  <c r="H358" i="4"/>
  <c r="D51" i="8" s="1"/>
  <c r="C368" i="4"/>
  <c r="H361" i="4"/>
  <c r="G51" i="8" s="1"/>
  <c r="C352" i="4"/>
  <c r="H345" i="4"/>
  <c r="E49" i="8" s="1"/>
  <c r="C355" i="4"/>
  <c r="H348" i="4"/>
  <c r="H49" i="8" s="1"/>
  <c r="C727" i="4"/>
  <c r="H719" i="4"/>
  <c r="C813" i="4"/>
  <c r="H804" i="4"/>
  <c r="I110" i="8" s="1"/>
  <c r="C350" i="4"/>
  <c r="C349" i="4"/>
  <c r="H343" i="4"/>
  <c r="H342" i="4"/>
  <c r="C48" i="8"/>
  <c r="K48" i="8" s="1"/>
  <c r="H1075" i="4" l="1"/>
  <c r="J140" i="8" s="1"/>
  <c r="C1084" i="4"/>
  <c r="C372" i="4"/>
  <c r="H365" i="4"/>
  <c r="D52" i="8" s="1"/>
  <c r="H353" i="4"/>
  <c r="F50" i="8" s="1"/>
  <c r="C360" i="4"/>
  <c r="H355" i="4"/>
  <c r="H50" i="8" s="1"/>
  <c r="C362" i="4"/>
  <c r="H352" i="4"/>
  <c r="E50" i="8" s="1"/>
  <c r="C359" i="4"/>
  <c r="C375" i="4"/>
  <c r="H368" i="4"/>
  <c r="G52" i="8" s="1"/>
  <c r="H727" i="4"/>
  <c r="C735" i="4"/>
  <c r="H813" i="4"/>
  <c r="I111" i="8" s="1"/>
  <c r="C822" i="4"/>
  <c r="C49" i="8"/>
  <c r="K49" i="8" s="1"/>
  <c r="H349" i="4"/>
  <c r="C357" i="4"/>
  <c r="C356" i="4"/>
  <c r="H350" i="4"/>
  <c r="C1093" i="4" l="1"/>
  <c r="H1084" i="4"/>
  <c r="J141" i="8" s="1"/>
  <c r="H360" i="4"/>
  <c r="F51" i="8" s="1"/>
  <c r="C367" i="4"/>
  <c r="H372" i="4"/>
  <c r="D53" i="8" s="1"/>
  <c r="C379" i="4"/>
  <c r="H359" i="4"/>
  <c r="E51" i="8" s="1"/>
  <c r="C366" i="4"/>
  <c r="H362" i="4"/>
  <c r="H51" i="8" s="1"/>
  <c r="C369" i="4"/>
  <c r="C382" i="4"/>
  <c r="H375" i="4"/>
  <c r="G53" i="8" s="1"/>
  <c r="H735" i="4"/>
  <c r="C743" i="4"/>
  <c r="C831" i="4"/>
  <c r="H822" i="4"/>
  <c r="I112" i="8" s="1"/>
  <c r="C364" i="4"/>
  <c r="C363" i="4"/>
  <c r="H357" i="4"/>
  <c r="C50" i="8"/>
  <c r="K50" i="8" s="1"/>
  <c r="H356" i="4"/>
  <c r="H1093" i="4" l="1"/>
  <c r="J142" i="8" s="1"/>
  <c r="C1102" i="4"/>
  <c r="H379" i="4"/>
  <c r="D54" i="8" s="1"/>
  <c r="C386" i="4"/>
  <c r="H367" i="4"/>
  <c r="F52" i="8" s="1"/>
  <c r="C374" i="4"/>
  <c r="H369" i="4"/>
  <c r="H52" i="8" s="1"/>
  <c r="C376" i="4"/>
  <c r="C373" i="4"/>
  <c r="H366" i="4"/>
  <c r="E52" i="8" s="1"/>
  <c r="H382" i="4"/>
  <c r="G54" i="8" s="1"/>
  <c r="C389" i="4"/>
  <c r="C751" i="4"/>
  <c r="H743" i="4"/>
  <c r="C840" i="4"/>
  <c r="H831" i="4"/>
  <c r="I113" i="8" s="1"/>
  <c r="H363" i="4"/>
  <c r="C51" i="8"/>
  <c r="K51" i="8" s="1"/>
  <c r="C371" i="4"/>
  <c r="H364" i="4"/>
  <c r="C370" i="4"/>
  <c r="C1111" i="4" l="1"/>
  <c r="H1102" i="4"/>
  <c r="J143" i="8" s="1"/>
  <c r="C381" i="4"/>
  <c r="H374" i="4"/>
  <c r="F53" i="8" s="1"/>
  <c r="C393" i="4"/>
  <c r="H386" i="4"/>
  <c r="D55" i="8" s="1"/>
  <c r="H389" i="4"/>
  <c r="G55" i="8" s="1"/>
  <c r="C396" i="4"/>
  <c r="C383" i="4"/>
  <c r="H376" i="4"/>
  <c r="H53" i="8" s="1"/>
  <c r="C380" i="4"/>
  <c r="H373" i="4"/>
  <c r="E53" i="8" s="1"/>
  <c r="C759" i="4"/>
  <c r="H751" i="4"/>
  <c r="C849" i="4"/>
  <c r="H840" i="4"/>
  <c r="I114" i="8" s="1"/>
  <c r="C52" i="8"/>
  <c r="K52" i="8" s="1"/>
  <c r="H370" i="4"/>
  <c r="C378" i="4"/>
  <c r="H371" i="4"/>
  <c r="C377" i="4"/>
  <c r="H1111" i="4" l="1"/>
  <c r="J144" i="8" s="1"/>
  <c r="C1120" i="4"/>
  <c r="H393" i="4"/>
  <c r="D56" i="8" s="1"/>
  <c r="C400" i="4"/>
  <c r="C388" i="4"/>
  <c r="H381" i="4"/>
  <c r="F54" i="8" s="1"/>
  <c r="C390" i="4"/>
  <c r="H383" i="4"/>
  <c r="H54" i="8" s="1"/>
  <c r="C403" i="4"/>
  <c r="H396" i="4"/>
  <c r="G56" i="8" s="1"/>
  <c r="H380" i="4"/>
  <c r="E54" i="8" s="1"/>
  <c r="C387" i="4"/>
  <c r="H759" i="4"/>
  <c r="C767" i="4"/>
  <c r="C858" i="4"/>
  <c r="H849" i="4"/>
  <c r="I115" i="8" s="1"/>
  <c r="C385" i="4"/>
  <c r="H378" i="4"/>
  <c r="C384" i="4"/>
  <c r="C53" i="8"/>
  <c r="K53" i="8" s="1"/>
  <c r="H377" i="4"/>
  <c r="C1129" i="4" l="1"/>
  <c r="H1120" i="4"/>
  <c r="J145" i="8" s="1"/>
  <c r="H388" i="4"/>
  <c r="F55" i="8" s="1"/>
  <c r="C395" i="4"/>
  <c r="H400" i="4"/>
  <c r="D57" i="8" s="1"/>
  <c r="C407" i="4"/>
  <c r="C410" i="4"/>
  <c r="H403" i="4"/>
  <c r="G57" i="8" s="1"/>
  <c r="C397" i="4"/>
  <c r="H390" i="4"/>
  <c r="H55" i="8" s="1"/>
  <c r="C394" i="4"/>
  <c r="H387" i="4"/>
  <c r="E55" i="8" s="1"/>
  <c r="C775" i="4"/>
  <c r="H767" i="4"/>
  <c r="C867" i="4"/>
  <c r="H858" i="4"/>
  <c r="I116" i="8" s="1"/>
  <c r="C54" i="8"/>
  <c r="K54" i="8" s="1"/>
  <c r="H384" i="4"/>
  <c r="C392" i="4"/>
  <c r="C391" i="4"/>
  <c r="H385" i="4"/>
  <c r="C1138" i="4" l="1"/>
  <c r="H1129" i="4"/>
  <c r="J146" i="8" s="1"/>
  <c r="C414" i="4"/>
  <c r="H407" i="4"/>
  <c r="D58" i="8" s="1"/>
  <c r="C402" i="4"/>
  <c r="H395" i="4"/>
  <c r="F56" i="8" s="1"/>
  <c r="H397" i="4"/>
  <c r="H56" i="8" s="1"/>
  <c r="C404" i="4"/>
  <c r="C401" i="4"/>
  <c r="H394" i="4"/>
  <c r="E56" i="8" s="1"/>
  <c r="C417" i="4"/>
  <c r="H410" i="4"/>
  <c r="G58" i="8" s="1"/>
  <c r="H775" i="4"/>
  <c r="C783" i="4"/>
  <c r="C876" i="4"/>
  <c r="H867" i="4"/>
  <c r="I117" i="8" s="1"/>
  <c r="C399" i="4"/>
  <c r="H392" i="4"/>
  <c r="C398" i="4"/>
  <c r="H391" i="4"/>
  <c r="C55" i="8"/>
  <c r="K55" i="8" s="1"/>
  <c r="C1147" i="4" l="1"/>
  <c r="H1138" i="4"/>
  <c r="J147" i="8" s="1"/>
  <c r="H402" i="4"/>
  <c r="F57" i="8" s="1"/>
  <c r="C409" i="4"/>
  <c r="C421" i="4"/>
  <c r="H414" i="4"/>
  <c r="D59" i="8" s="1"/>
  <c r="H404" i="4"/>
  <c r="H57" i="8" s="1"/>
  <c r="C411" i="4"/>
  <c r="H401" i="4"/>
  <c r="E57" i="8" s="1"/>
  <c r="C408" i="4"/>
  <c r="C424" i="4"/>
  <c r="H417" i="4"/>
  <c r="G59" i="8" s="1"/>
  <c r="H783" i="4"/>
  <c r="C792" i="4"/>
  <c r="C885" i="4"/>
  <c r="H876" i="4"/>
  <c r="I118" i="8" s="1"/>
  <c r="H398" i="4"/>
  <c r="C56" i="8"/>
  <c r="K56" i="8" s="1"/>
  <c r="C406" i="4"/>
  <c r="C405" i="4"/>
  <c r="H399" i="4"/>
  <c r="C1156" i="4" l="1"/>
  <c r="H1147" i="4"/>
  <c r="J148" i="8" s="1"/>
  <c r="H421" i="4"/>
  <c r="D60" i="8" s="1"/>
  <c r="C428" i="4"/>
  <c r="C416" i="4"/>
  <c r="H409" i="4"/>
  <c r="F58" i="8" s="1"/>
  <c r="C415" i="4"/>
  <c r="H408" i="4"/>
  <c r="E58" i="8" s="1"/>
  <c r="H424" i="4"/>
  <c r="G60" i="8" s="1"/>
  <c r="C431" i="4"/>
  <c r="H411" i="4"/>
  <c r="H58" i="8" s="1"/>
  <c r="C418" i="4"/>
  <c r="C801" i="4"/>
  <c r="H792" i="4"/>
  <c r="H885" i="4"/>
  <c r="I119" i="8" s="1"/>
  <c r="C894" i="4"/>
  <c r="C413" i="4"/>
  <c r="H406" i="4"/>
  <c r="C412" i="4"/>
  <c r="C57" i="8"/>
  <c r="K57" i="8" s="1"/>
  <c r="H405" i="4"/>
  <c r="C1165" i="4" l="1"/>
  <c r="H1156" i="4"/>
  <c r="J149" i="8" s="1"/>
  <c r="H416" i="4"/>
  <c r="F59" i="8" s="1"/>
  <c r="C423" i="4"/>
  <c r="C435" i="4"/>
  <c r="H428" i="4"/>
  <c r="D61" i="8" s="1"/>
  <c r="H418" i="4"/>
  <c r="H59" i="8" s="1"/>
  <c r="C425" i="4"/>
  <c r="C438" i="4"/>
  <c r="H431" i="4"/>
  <c r="G61" i="8" s="1"/>
  <c r="H415" i="4"/>
  <c r="E59" i="8" s="1"/>
  <c r="C422" i="4"/>
  <c r="C810" i="4"/>
  <c r="H801" i="4"/>
  <c r="H894" i="4"/>
  <c r="I120" i="8" s="1"/>
  <c r="C903" i="4"/>
  <c r="H412" i="4"/>
  <c r="C58" i="8"/>
  <c r="K58" i="8" s="1"/>
  <c r="C420" i="4"/>
  <c r="C419" i="4"/>
  <c r="H413" i="4"/>
  <c r="H1165" i="4" l="1"/>
  <c r="J150" i="8" s="1"/>
  <c r="C1174" i="4"/>
  <c r="H435" i="4"/>
  <c r="D62" i="8" s="1"/>
  <c r="C442" i="4"/>
  <c r="C430" i="4"/>
  <c r="H423" i="4"/>
  <c r="F60" i="8" s="1"/>
  <c r="C445" i="4"/>
  <c r="H438" i="4"/>
  <c r="G62" i="8" s="1"/>
  <c r="H422" i="4"/>
  <c r="E60" i="8" s="1"/>
  <c r="C429" i="4"/>
  <c r="C432" i="4"/>
  <c r="H425" i="4"/>
  <c r="H60" i="8" s="1"/>
  <c r="C819" i="4"/>
  <c r="H810" i="4"/>
  <c r="C912" i="4"/>
  <c r="H903" i="4"/>
  <c r="I121" i="8" s="1"/>
  <c r="C427" i="4"/>
  <c r="H420" i="4"/>
  <c r="C426" i="4"/>
  <c r="H419" i="4"/>
  <c r="C59" i="8"/>
  <c r="K59" i="8" s="1"/>
  <c r="H1174" i="4" l="1"/>
  <c r="J151" i="8" s="1"/>
  <c r="C1183" i="4"/>
  <c r="H430" i="4"/>
  <c r="F61" i="8" s="1"/>
  <c r="C437" i="4"/>
  <c r="H442" i="4"/>
  <c r="D63" i="8" s="1"/>
  <c r="C449" i="4"/>
  <c r="H449" i="4" s="1"/>
  <c r="C456" i="4" s="1"/>
  <c r="C452" i="4"/>
  <c r="H452" i="4" s="1"/>
  <c r="H445" i="4"/>
  <c r="G63" i="8" s="1"/>
  <c r="C436" i="4"/>
  <c r="H429" i="4"/>
  <c r="E61" i="8" s="1"/>
  <c r="C439" i="4"/>
  <c r="H432" i="4"/>
  <c r="H61" i="8" s="1"/>
  <c r="C828" i="4"/>
  <c r="H819" i="4"/>
  <c r="C921" i="4"/>
  <c r="H912" i="4"/>
  <c r="I122" i="8" s="1"/>
  <c r="H426" i="4"/>
  <c r="C60" i="8"/>
  <c r="K60" i="8" s="1"/>
  <c r="C434" i="4"/>
  <c r="C433" i="4"/>
  <c r="H427" i="4"/>
  <c r="H1183" i="4" l="1"/>
  <c r="J152" i="8" s="1"/>
  <c r="C1192" i="4"/>
  <c r="C463" i="4"/>
  <c r="H456" i="4"/>
  <c r="D65" i="8" s="1"/>
  <c r="H437" i="4"/>
  <c r="F62" i="8" s="1"/>
  <c r="C444" i="4"/>
  <c r="C443" i="4"/>
  <c r="H436" i="4"/>
  <c r="E62" i="8" s="1"/>
  <c r="H439" i="4"/>
  <c r="H62" i="8" s="1"/>
  <c r="C446" i="4"/>
  <c r="C459" i="4"/>
  <c r="G64" i="8"/>
  <c r="H828" i="4"/>
  <c r="C837" i="4"/>
  <c r="C930" i="4"/>
  <c r="H921" i="4"/>
  <c r="I123" i="8" s="1"/>
  <c r="C441" i="4"/>
  <c r="H434" i="4"/>
  <c r="C440" i="4"/>
  <c r="C61" i="8"/>
  <c r="K61" i="8" s="1"/>
  <c r="H433" i="4"/>
  <c r="H1192" i="4" l="1"/>
  <c r="J153" i="8" s="1"/>
  <c r="C1201" i="4"/>
  <c r="H444" i="4"/>
  <c r="F63" i="8" s="1"/>
  <c r="C451" i="4"/>
  <c r="H451" i="4" s="1"/>
  <c r="H463" i="4"/>
  <c r="D66" i="8" s="1"/>
  <c r="C470" i="4"/>
  <c r="H446" i="4"/>
  <c r="H63" i="8" s="1"/>
  <c r="C453" i="4"/>
  <c r="H453" i="4" s="1"/>
  <c r="H443" i="4"/>
  <c r="E63" i="8" s="1"/>
  <c r="C450" i="4"/>
  <c r="H450" i="4" s="1"/>
  <c r="G459" i="4"/>
  <c r="G461" i="4" s="1"/>
  <c r="C466" i="4"/>
  <c r="H459" i="4"/>
  <c r="G65" i="8" s="1"/>
  <c r="C846" i="4"/>
  <c r="H837" i="4"/>
  <c r="H930" i="4"/>
  <c r="I124" i="8" s="1"/>
  <c r="C939" i="4"/>
  <c r="H939" i="4" s="1"/>
  <c r="H440" i="4"/>
  <c r="C62" i="8"/>
  <c r="K62" i="8" s="1"/>
  <c r="C448" i="4"/>
  <c r="C447" i="4"/>
  <c r="H441" i="4"/>
  <c r="H1201" i="4" l="1"/>
  <c r="J154" i="8" s="1"/>
  <c r="C1210" i="4"/>
  <c r="H470" i="4"/>
  <c r="D67" i="8" s="1"/>
  <c r="C477" i="4"/>
  <c r="C458" i="4"/>
  <c r="F64" i="8"/>
  <c r="C473" i="4"/>
  <c r="H466" i="4"/>
  <c r="G66" i="8" s="1"/>
  <c r="G466" i="4"/>
  <c r="G468" i="4" s="1"/>
  <c r="E64" i="8"/>
  <c r="C457" i="4"/>
  <c r="C460" i="4"/>
  <c r="H64" i="8"/>
  <c r="C855" i="4"/>
  <c r="H846" i="4"/>
  <c r="C948" i="4"/>
  <c r="I125" i="8"/>
  <c r="H448" i="4"/>
  <c r="C454" i="4"/>
  <c r="C63" i="8"/>
  <c r="K63" i="8" s="1"/>
  <c r="H447" i="4"/>
  <c r="H1210" i="4" l="1"/>
  <c r="J155" i="8" s="1"/>
  <c r="C1219" i="4"/>
  <c r="H458" i="4"/>
  <c r="F65" i="8" s="1"/>
  <c r="C465" i="4"/>
  <c r="H477" i="4"/>
  <c r="D68" i="8" s="1"/>
  <c r="C484" i="4"/>
  <c r="H460" i="4"/>
  <c r="H65" i="8" s="1"/>
  <c r="C467" i="4"/>
  <c r="H457" i="4"/>
  <c r="E65" i="8" s="1"/>
  <c r="C464" i="4"/>
  <c r="C480" i="4"/>
  <c r="H473" i="4"/>
  <c r="G67" i="8" s="1"/>
  <c r="G473" i="4"/>
  <c r="G475" i="4" s="1"/>
  <c r="C864" i="4"/>
  <c r="H855" i="4"/>
  <c r="H948" i="4"/>
  <c r="I126" i="8" s="1"/>
  <c r="C957" i="4"/>
  <c r="C455" i="4"/>
  <c r="I454" i="4"/>
  <c r="H454" i="4"/>
  <c r="C64" i="8"/>
  <c r="K64" i="8" s="1"/>
  <c r="H1219" i="4" l="1"/>
  <c r="J156" i="8" s="1"/>
  <c r="H484" i="4"/>
  <c r="D69" i="8" s="1"/>
  <c r="C491" i="4"/>
  <c r="H465" i="4"/>
  <c r="F66" i="8" s="1"/>
  <c r="C472" i="4"/>
  <c r="C471" i="4"/>
  <c r="H464" i="4"/>
  <c r="E66" i="8" s="1"/>
  <c r="H467" i="4"/>
  <c r="H66" i="8" s="1"/>
  <c r="C474" i="4"/>
  <c r="H480" i="4"/>
  <c r="G68" i="8" s="1"/>
  <c r="G480" i="4"/>
  <c r="G482" i="4" s="1"/>
  <c r="C487" i="4"/>
  <c r="C873" i="4"/>
  <c r="H864" i="4"/>
  <c r="C966" i="4"/>
  <c r="H957" i="4"/>
  <c r="I127" i="8" s="1"/>
  <c r="C462" i="4"/>
  <c r="H455" i="4"/>
  <c r="C461" i="4"/>
  <c r="C1226" i="4" l="1"/>
  <c r="H1226" i="4" s="1"/>
  <c r="J157" i="8" s="1"/>
  <c r="H472" i="4"/>
  <c r="F67" i="8" s="1"/>
  <c r="C479" i="4"/>
  <c r="H491" i="4"/>
  <c r="D70" i="8" s="1"/>
  <c r="C498" i="4"/>
  <c r="C494" i="4"/>
  <c r="G487" i="4"/>
  <c r="G489" i="4" s="1"/>
  <c r="H487" i="4"/>
  <c r="G69" i="8" s="1"/>
  <c r="C481" i="4"/>
  <c r="H474" i="4"/>
  <c r="H67" i="8" s="1"/>
  <c r="H471" i="4"/>
  <c r="E67" i="8" s="1"/>
  <c r="C478" i="4"/>
  <c r="C882" i="4"/>
  <c r="H873" i="4"/>
  <c r="C975" i="4"/>
  <c r="H966" i="4"/>
  <c r="I128" i="8" s="1"/>
  <c r="H461" i="4"/>
  <c r="C65" i="8"/>
  <c r="K65" i="8" s="1"/>
  <c r="C469" i="4"/>
  <c r="H462" i="4"/>
  <c r="C468" i="4"/>
  <c r="C1233" i="4" l="1"/>
  <c r="H1233" i="4" s="1"/>
  <c r="C505" i="4"/>
  <c r="H498" i="4"/>
  <c r="D71" i="8" s="1"/>
  <c r="H479" i="4"/>
  <c r="F68" i="8" s="1"/>
  <c r="C486" i="4"/>
  <c r="H481" i="4"/>
  <c r="H68" i="8" s="1"/>
  <c r="C488" i="4"/>
  <c r="H478" i="4"/>
  <c r="E68" i="8" s="1"/>
  <c r="C485" i="4"/>
  <c r="G494" i="4"/>
  <c r="G496" i="4" s="1"/>
  <c r="C501" i="4"/>
  <c r="H494" i="4"/>
  <c r="G70" i="8" s="1"/>
  <c r="H882" i="4"/>
  <c r="C891" i="4"/>
  <c r="C984" i="4"/>
  <c r="H975" i="4"/>
  <c r="I129" i="8" s="1"/>
  <c r="C476" i="4"/>
  <c r="C475" i="4"/>
  <c r="H469" i="4"/>
  <c r="H468" i="4"/>
  <c r="C66" i="8"/>
  <c r="K66" i="8" s="1"/>
  <c r="C1240" i="4" l="1"/>
  <c r="J158" i="8"/>
  <c r="H1240" i="4"/>
  <c r="J159" i="8" s="1"/>
  <c r="H486" i="4"/>
  <c r="F69" i="8" s="1"/>
  <c r="C493" i="4"/>
  <c r="C512" i="4"/>
  <c r="H505" i="4"/>
  <c r="D72" i="8" s="1"/>
  <c r="G501" i="4"/>
  <c r="G503" i="4" s="1"/>
  <c r="C508" i="4"/>
  <c r="H501" i="4"/>
  <c r="G71" i="8" s="1"/>
  <c r="C492" i="4"/>
  <c r="H485" i="4"/>
  <c r="E69" i="8" s="1"/>
  <c r="H488" i="4"/>
  <c r="H69" i="8" s="1"/>
  <c r="C495" i="4"/>
  <c r="C900" i="4"/>
  <c r="H891" i="4"/>
  <c r="H984" i="4"/>
  <c r="I130" i="8" s="1"/>
  <c r="C993" i="4"/>
  <c r="C67" i="8"/>
  <c r="K67" i="8" s="1"/>
  <c r="H475" i="4"/>
  <c r="C483" i="4"/>
  <c r="H476" i="4"/>
  <c r="C482" i="4"/>
  <c r="C1247" i="4" l="1"/>
  <c r="H1247" i="4" s="1"/>
  <c r="J160" i="8" s="1"/>
  <c r="C519" i="4"/>
  <c r="H512" i="4"/>
  <c r="D73" i="8" s="1"/>
  <c r="H493" i="4"/>
  <c r="F70" i="8" s="1"/>
  <c r="C500" i="4"/>
  <c r="C499" i="4"/>
  <c r="H492" i="4"/>
  <c r="E70" i="8" s="1"/>
  <c r="C515" i="4"/>
  <c r="G508" i="4"/>
  <c r="G510" i="4" s="1"/>
  <c r="H508" i="4"/>
  <c r="G72" i="8" s="1"/>
  <c r="C502" i="4"/>
  <c r="H495" i="4"/>
  <c r="H70" i="8" s="1"/>
  <c r="H900" i="4"/>
  <c r="C909" i="4"/>
  <c r="H993" i="4"/>
  <c r="I131" i="8" s="1"/>
  <c r="C1002" i="4"/>
  <c r="C490" i="4"/>
  <c r="H483" i="4"/>
  <c r="C489" i="4"/>
  <c r="H482" i="4"/>
  <c r="C68" i="8"/>
  <c r="K68" i="8" s="1"/>
  <c r="C1254" i="4" l="1"/>
  <c r="H1254" i="4" s="1"/>
  <c r="J161" i="8" s="1"/>
  <c r="C507" i="4"/>
  <c r="H500" i="4"/>
  <c r="F71" i="8" s="1"/>
  <c r="H519" i="4"/>
  <c r="D74" i="8" s="1"/>
  <c r="C526" i="4"/>
  <c r="C509" i="4"/>
  <c r="H502" i="4"/>
  <c r="H71" i="8" s="1"/>
  <c r="G515" i="4"/>
  <c r="G517" i="4" s="1"/>
  <c r="C522" i="4"/>
  <c r="H515" i="4"/>
  <c r="G73" i="8" s="1"/>
  <c r="C506" i="4"/>
  <c r="H499" i="4"/>
  <c r="E71" i="8" s="1"/>
  <c r="C918" i="4"/>
  <c r="H909" i="4"/>
  <c r="H1002" i="4"/>
  <c r="I132" i="8" s="1"/>
  <c r="C1011" i="4"/>
  <c r="H489" i="4"/>
  <c r="C69" i="8"/>
  <c r="K69" i="8" s="1"/>
  <c r="C497" i="4"/>
  <c r="C496" i="4"/>
  <c r="H490" i="4"/>
  <c r="C1261" i="4" l="1"/>
  <c r="H526" i="4"/>
  <c r="D75" i="8" s="1"/>
  <c r="C533" i="4"/>
  <c r="H507" i="4"/>
  <c r="F72" i="8" s="1"/>
  <c r="C514" i="4"/>
  <c r="C529" i="4"/>
  <c r="H522" i="4"/>
  <c r="G74" i="8" s="1"/>
  <c r="H506" i="4"/>
  <c r="E72" i="8" s="1"/>
  <c r="C513" i="4"/>
  <c r="H509" i="4"/>
  <c r="H72" i="8" s="1"/>
  <c r="C516" i="4"/>
  <c r="C927" i="4"/>
  <c r="H918" i="4"/>
  <c r="H1011" i="4"/>
  <c r="I133" i="8" s="1"/>
  <c r="C1020" i="4"/>
  <c r="C504" i="4"/>
  <c r="H497" i="4"/>
  <c r="C503" i="4"/>
  <c r="H496" i="4"/>
  <c r="C70" i="8"/>
  <c r="K70" i="8" s="1"/>
  <c r="H1261" i="4" l="1"/>
  <c r="J162" i="8" s="1"/>
  <c r="C1268" i="4"/>
  <c r="C1275" i="4" s="1"/>
  <c r="C1282" i="4" s="1"/>
  <c r="C1289" i="4" s="1"/>
  <c r="H1268" i="4"/>
  <c r="J163" i="8" s="1"/>
  <c r="C521" i="4"/>
  <c r="H514" i="4"/>
  <c r="F73" i="8" s="1"/>
  <c r="H533" i="4"/>
  <c r="D76" i="8" s="1"/>
  <c r="C540" i="4"/>
  <c r="C523" i="4"/>
  <c r="H516" i="4"/>
  <c r="H73" i="8" s="1"/>
  <c r="C520" i="4"/>
  <c r="H513" i="4"/>
  <c r="E73" i="8" s="1"/>
  <c r="H529" i="4"/>
  <c r="G75" i="8" s="1"/>
  <c r="C536" i="4"/>
  <c r="C936" i="4"/>
  <c r="H936" i="4" s="1"/>
  <c r="H927" i="4"/>
  <c r="C1029" i="4"/>
  <c r="H1020" i="4"/>
  <c r="I134" i="8" s="1"/>
  <c r="C71" i="8"/>
  <c r="K71" i="8" s="1"/>
  <c r="H503" i="4"/>
  <c r="C511" i="4"/>
  <c r="C510" i="4"/>
  <c r="H504" i="4"/>
  <c r="H1275" i="4" l="1"/>
  <c r="J164" i="8" s="1"/>
  <c r="C547" i="4"/>
  <c r="H540" i="4"/>
  <c r="D77" i="8" s="1"/>
  <c r="H521" i="4"/>
  <c r="F74" i="8" s="1"/>
  <c r="C528" i="4"/>
  <c r="H520" i="4"/>
  <c r="E74" i="8" s="1"/>
  <c r="C527" i="4"/>
  <c r="C543" i="4"/>
  <c r="H536" i="4"/>
  <c r="G76" i="8" s="1"/>
  <c r="C530" i="4"/>
  <c r="H523" i="4"/>
  <c r="H74" i="8" s="1"/>
  <c r="C945" i="4"/>
  <c r="F125" i="8"/>
  <c r="H1029" i="4"/>
  <c r="I135" i="8" s="1"/>
  <c r="C1038" i="4"/>
  <c r="C518" i="4"/>
  <c r="H511" i="4"/>
  <c r="C517" i="4"/>
  <c r="C72" i="8"/>
  <c r="K72" i="8" s="1"/>
  <c r="H510" i="4"/>
  <c r="H1282" i="4" l="1"/>
  <c r="J165" i="8" s="1"/>
  <c r="H528" i="4"/>
  <c r="F75" i="8" s="1"/>
  <c r="C535" i="4"/>
  <c r="H547" i="4"/>
  <c r="D78" i="8" s="1"/>
  <c r="C554" i="4"/>
  <c r="C534" i="4"/>
  <c r="H527" i="4"/>
  <c r="E75" i="8" s="1"/>
  <c r="C537" i="4"/>
  <c r="H530" i="4"/>
  <c r="H75" i="8" s="1"/>
  <c r="H543" i="4"/>
  <c r="G77" i="8" s="1"/>
  <c r="C550" i="4"/>
  <c r="C954" i="4"/>
  <c r="H945" i="4"/>
  <c r="F126" i="8" s="1"/>
  <c r="H1038" i="4"/>
  <c r="I136" i="8" s="1"/>
  <c r="C1047" i="4"/>
  <c r="C73" i="8"/>
  <c r="K73" i="8" s="1"/>
  <c r="H517" i="4"/>
  <c r="C525" i="4"/>
  <c r="H518" i="4"/>
  <c r="C524" i="4"/>
  <c r="H1289" i="4" l="1"/>
  <c r="J166" i="8" s="1"/>
  <c r="C1296" i="4"/>
  <c r="C561" i="4"/>
  <c r="H554" i="4"/>
  <c r="D79" i="8" s="1"/>
  <c r="C542" i="4"/>
  <c r="H535" i="4"/>
  <c r="F76" i="8" s="1"/>
  <c r="H550" i="4"/>
  <c r="G78" i="8" s="1"/>
  <c r="C557" i="4"/>
  <c r="C544" i="4"/>
  <c r="H537" i="4"/>
  <c r="H76" i="8" s="1"/>
  <c r="H534" i="4"/>
  <c r="E76" i="8" s="1"/>
  <c r="C541" i="4"/>
  <c r="C963" i="4"/>
  <c r="H954" i="4"/>
  <c r="F127" i="8" s="1"/>
  <c r="H1047" i="4"/>
  <c r="I137" i="8" s="1"/>
  <c r="C1056" i="4"/>
  <c r="H524" i="4"/>
  <c r="C74" i="8"/>
  <c r="K74" i="8" s="1"/>
  <c r="C532" i="4"/>
  <c r="C531" i="4"/>
  <c r="H525" i="4"/>
  <c r="C1303" i="4" l="1"/>
  <c r="C1310" i="4" s="1"/>
  <c r="H1296" i="4"/>
  <c r="J167" i="8" s="1"/>
  <c r="H542" i="4"/>
  <c r="F77" i="8" s="1"/>
  <c r="C549" i="4"/>
  <c r="C568" i="4"/>
  <c r="H561" i="4"/>
  <c r="D80" i="8" s="1"/>
  <c r="C564" i="4"/>
  <c r="H557" i="4"/>
  <c r="G79" i="8" s="1"/>
  <c r="C551" i="4"/>
  <c r="H544" i="4"/>
  <c r="H77" i="8" s="1"/>
  <c r="H541" i="4"/>
  <c r="E77" i="8" s="1"/>
  <c r="C548" i="4"/>
  <c r="C972" i="4"/>
  <c r="H963" i="4"/>
  <c r="F128" i="8" s="1"/>
  <c r="C1065" i="4"/>
  <c r="H1056" i="4"/>
  <c r="I138" i="8" s="1"/>
  <c r="C539" i="4"/>
  <c r="H532" i="4"/>
  <c r="C538" i="4"/>
  <c r="H531" i="4"/>
  <c r="C75" i="8"/>
  <c r="K75" i="8" s="1"/>
  <c r="H1310" i="4" l="1"/>
  <c r="C1317" i="4"/>
  <c r="H1303" i="4"/>
  <c r="J168" i="8" s="1"/>
  <c r="C575" i="4"/>
  <c r="H568" i="4"/>
  <c r="D81" i="8" s="1"/>
  <c r="C556" i="4"/>
  <c r="H549" i="4"/>
  <c r="F78" i="8" s="1"/>
  <c r="C555" i="4"/>
  <c r="H548" i="4"/>
  <c r="E78" i="8" s="1"/>
  <c r="H564" i="4"/>
  <c r="G80" i="8" s="1"/>
  <c r="C571" i="4"/>
  <c r="H551" i="4"/>
  <c r="H78" i="8" s="1"/>
  <c r="C558" i="4"/>
  <c r="C981" i="4"/>
  <c r="H972" i="4"/>
  <c r="F129" i="8" s="1"/>
  <c r="C1074" i="4"/>
  <c r="H1065" i="4"/>
  <c r="I139" i="8" s="1"/>
  <c r="C76" i="8"/>
  <c r="K76" i="8" s="1"/>
  <c r="H538" i="4"/>
  <c r="C546" i="4"/>
  <c r="H539" i="4"/>
  <c r="C545" i="4"/>
  <c r="J169" i="8" l="1"/>
  <c r="H1317" i="4"/>
  <c r="C1324" i="4"/>
  <c r="C1331" i="4" s="1"/>
  <c r="C563" i="4"/>
  <c r="H556" i="4"/>
  <c r="F79" i="8" s="1"/>
  <c r="H575" i="4"/>
  <c r="D82" i="8" s="1"/>
  <c r="C582" i="4"/>
  <c r="C565" i="4"/>
  <c r="H558" i="4"/>
  <c r="H79" i="8" s="1"/>
  <c r="C578" i="4"/>
  <c r="H571" i="4"/>
  <c r="G81" i="8" s="1"/>
  <c r="H555" i="4"/>
  <c r="E79" i="8" s="1"/>
  <c r="C562" i="4"/>
  <c r="H981" i="4"/>
  <c r="F130" i="8" s="1"/>
  <c r="C990" i="4"/>
  <c r="C1083" i="4"/>
  <c r="H1074" i="4"/>
  <c r="I140" i="8" s="1"/>
  <c r="C77" i="8"/>
  <c r="K77" i="8" s="1"/>
  <c r="H545" i="4"/>
  <c r="C553" i="4"/>
  <c r="H546" i="4"/>
  <c r="C552" i="4"/>
  <c r="H1331" i="4" l="1"/>
  <c r="J172" i="8" s="1"/>
  <c r="C1338" i="4"/>
  <c r="J170" i="8"/>
  <c r="H1324" i="4"/>
  <c r="H582" i="4"/>
  <c r="D83" i="8" s="1"/>
  <c r="C589" i="4"/>
  <c r="C570" i="4"/>
  <c r="H563" i="4"/>
  <c r="F80" i="8" s="1"/>
  <c r="H578" i="4"/>
  <c r="G82" i="8" s="1"/>
  <c r="C585" i="4"/>
  <c r="H562" i="4"/>
  <c r="E80" i="8" s="1"/>
  <c r="C569" i="4"/>
  <c r="C572" i="4"/>
  <c r="H565" i="4"/>
  <c r="H80" i="8" s="1"/>
  <c r="C999" i="4"/>
  <c r="H990" i="4"/>
  <c r="F131" i="8" s="1"/>
  <c r="H1083" i="4"/>
  <c r="I141" i="8" s="1"/>
  <c r="C1092" i="4"/>
  <c r="H552" i="4"/>
  <c r="C78" i="8"/>
  <c r="K78" i="8" s="1"/>
  <c r="C560" i="4"/>
  <c r="C559" i="4"/>
  <c r="H553" i="4"/>
  <c r="H1338" i="4" l="1"/>
  <c r="C1345" i="4"/>
  <c r="J171" i="8"/>
  <c r="H570" i="4"/>
  <c r="F81" i="8" s="1"/>
  <c r="C577" i="4"/>
  <c r="C597" i="4"/>
  <c r="H589" i="4"/>
  <c r="D84" i="8" s="1"/>
  <c r="H585" i="4"/>
  <c r="G83" i="8" s="1"/>
  <c r="C592" i="4"/>
  <c r="C576" i="4"/>
  <c r="H569" i="4"/>
  <c r="E81" i="8" s="1"/>
  <c r="H572" i="4"/>
  <c r="H81" i="8" s="1"/>
  <c r="C579" i="4"/>
  <c r="C1008" i="4"/>
  <c r="H999" i="4"/>
  <c r="F132" i="8" s="1"/>
  <c r="H1092" i="4"/>
  <c r="I142" i="8" s="1"/>
  <c r="C1101" i="4"/>
  <c r="C567" i="4"/>
  <c r="H560" i="4"/>
  <c r="C566" i="4"/>
  <c r="H559" i="4"/>
  <c r="C79" i="8"/>
  <c r="K79" i="8" s="1"/>
  <c r="C1352" i="4" l="1"/>
  <c r="H1345" i="4"/>
  <c r="C605" i="4"/>
  <c r="H597" i="4"/>
  <c r="D85" i="8" s="1"/>
  <c r="H577" i="4"/>
  <c r="F82" i="8" s="1"/>
  <c r="C584" i="4"/>
  <c r="H576" i="4"/>
  <c r="E82" i="8" s="1"/>
  <c r="C583" i="4"/>
  <c r="H592" i="4"/>
  <c r="G84" i="8" s="1"/>
  <c r="C600" i="4"/>
  <c r="C586" i="4"/>
  <c r="H579" i="4"/>
  <c r="H82" i="8" s="1"/>
  <c r="H1008" i="4"/>
  <c r="F133" i="8" s="1"/>
  <c r="C1017" i="4"/>
  <c r="C1110" i="4"/>
  <c r="H1101" i="4"/>
  <c r="I143" i="8" s="1"/>
  <c r="H566" i="4"/>
  <c r="C80" i="8"/>
  <c r="K80" i="8" s="1"/>
  <c r="C574" i="4"/>
  <c r="C573" i="4"/>
  <c r="H567" i="4"/>
  <c r="H1352" i="4" l="1"/>
  <c r="H584" i="4"/>
  <c r="F83" i="8" s="1"/>
  <c r="C591" i="4"/>
  <c r="H591" i="4" s="1"/>
  <c r="F84" i="8" s="1"/>
  <c r="H605" i="4"/>
  <c r="D86" i="8" s="1"/>
  <c r="C613" i="4"/>
  <c r="C590" i="4"/>
  <c r="H583" i="4"/>
  <c r="E83" i="8" s="1"/>
  <c r="H586" i="4"/>
  <c r="H83" i="8" s="1"/>
  <c r="C593" i="4"/>
  <c r="C608" i="4"/>
  <c r="H600" i="4"/>
  <c r="G85" i="8" s="1"/>
  <c r="H1017" i="4"/>
  <c r="F134" i="8" s="1"/>
  <c r="C1026" i="4"/>
  <c r="H1110" i="4"/>
  <c r="I144" i="8" s="1"/>
  <c r="C1119" i="4"/>
  <c r="C581" i="4"/>
  <c r="H574" i="4"/>
  <c r="C580" i="4"/>
  <c r="H573" i="4"/>
  <c r="C81" i="8"/>
  <c r="K81" i="8" s="1"/>
  <c r="C621" i="4" l="1"/>
  <c r="H613" i="4"/>
  <c r="D87" i="8" s="1"/>
  <c r="C601" i="4"/>
  <c r="H593" i="4"/>
  <c r="H84" i="8" s="1"/>
  <c r="C616" i="4"/>
  <c r="H608" i="4"/>
  <c r="G86" i="8" s="1"/>
  <c r="H590" i="4"/>
  <c r="E84" i="8" s="1"/>
  <c r="C598" i="4"/>
  <c r="C1035" i="4"/>
  <c r="H1026" i="4"/>
  <c r="F135" i="8" s="1"/>
  <c r="C1128" i="4"/>
  <c r="H1119" i="4"/>
  <c r="I145" i="8" s="1"/>
  <c r="H580" i="4"/>
  <c r="C82" i="8"/>
  <c r="K82" i="8" s="1"/>
  <c r="C588" i="4"/>
  <c r="H581" i="4"/>
  <c r="C587" i="4"/>
  <c r="C1366" i="4" l="1"/>
  <c r="H1366" i="4" s="1"/>
  <c r="H1359" i="4"/>
  <c r="C629" i="4"/>
  <c r="H621" i="4"/>
  <c r="D88" i="8" s="1"/>
  <c r="H598" i="4"/>
  <c r="E85" i="8" s="1"/>
  <c r="C606" i="4"/>
  <c r="C624" i="4"/>
  <c r="H616" i="4"/>
  <c r="G87" i="8" s="1"/>
  <c r="C609" i="4"/>
  <c r="H601" i="4"/>
  <c r="H85" i="8" s="1"/>
  <c r="C1044" i="4"/>
  <c r="H1035" i="4"/>
  <c r="F136" i="8" s="1"/>
  <c r="H1128" i="4"/>
  <c r="I146" i="8" s="1"/>
  <c r="C1137" i="4"/>
  <c r="H587" i="4"/>
  <c r="C83" i="8"/>
  <c r="K83" i="8" s="1"/>
  <c r="C596" i="4"/>
  <c r="H588" i="4"/>
  <c r="C595" i="4"/>
  <c r="H629" i="4" l="1"/>
  <c r="D89" i="8" s="1"/>
  <c r="C637" i="4"/>
  <c r="H609" i="4"/>
  <c r="H86" i="8" s="1"/>
  <c r="C617" i="4"/>
  <c r="H606" i="4"/>
  <c r="E86" i="8" s="1"/>
  <c r="C614" i="4"/>
  <c r="C632" i="4"/>
  <c r="H624" i="4"/>
  <c r="G88" i="8" s="1"/>
  <c r="H1044" i="4"/>
  <c r="F137" i="8" s="1"/>
  <c r="C1053" i="4"/>
  <c r="C1146" i="4"/>
  <c r="H1137" i="4"/>
  <c r="I147" i="8" s="1"/>
  <c r="H595" i="4"/>
  <c r="C84" i="8"/>
  <c r="K84" i="8" s="1"/>
  <c r="C604" i="4"/>
  <c r="C603" i="4"/>
  <c r="H596" i="4"/>
  <c r="C645" i="4" l="1"/>
  <c r="H637" i="4"/>
  <c r="D90" i="8" s="1"/>
  <c r="H632" i="4"/>
  <c r="G89" i="8" s="1"/>
  <c r="C640" i="4"/>
  <c r="H614" i="4"/>
  <c r="E87" i="8" s="1"/>
  <c r="C622" i="4"/>
  <c r="H617" i="4"/>
  <c r="H87" i="8" s="1"/>
  <c r="C625" i="4"/>
  <c r="C1062" i="4"/>
  <c r="H1053" i="4"/>
  <c r="F138" i="8" s="1"/>
  <c r="H1146" i="4"/>
  <c r="I148" i="8" s="1"/>
  <c r="C1155" i="4"/>
  <c r="C612" i="4"/>
  <c r="H604" i="4"/>
  <c r="C611" i="4"/>
  <c r="C85" i="8"/>
  <c r="K85" i="8" s="1"/>
  <c r="H603" i="4"/>
  <c r="C653" i="4" l="1"/>
  <c r="H645" i="4"/>
  <c r="D91" i="8" s="1"/>
  <c r="H625" i="4"/>
  <c r="H88" i="8" s="1"/>
  <c r="C633" i="4"/>
  <c r="H622" i="4"/>
  <c r="E88" i="8" s="1"/>
  <c r="C630" i="4"/>
  <c r="H640" i="4"/>
  <c r="G90" i="8" s="1"/>
  <c r="C648" i="4"/>
  <c r="H1062" i="4"/>
  <c r="F139" i="8" s="1"/>
  <c r="C1071" i="4"/>
  <c r="C1164" i="4"/>
  <c r="H1155" i="4"/>
  <c r="I149" i="8" s="1"/>
  <c r="H611" i="4"/>
  <c r="C86" i="8"/>
  <c r="K86" i="8" s="1"/>
  <c r="C620" i="4"/>
  <c r="C619" i="4"/>
  <c r="H612" i="4"/>
  <c r="H653" i="4" l="1"/>
  <c r="D92" i="8" s="1"/>
  <c r="C661" i="4"/>
  <c r="H648" i="4"/>
  <c r="G91" i="8" s="1"/>
  <c r="C656" i="4"/>
  <c r="H630" i="4"/>
  <c r="E89" i="8" s="1"/>
  <c r="C638" i="4"/>
  <c r="C641" i="4"/>
  <c r="H633" i="4"/>
  <c r="H89" i="8" s="1"/>
  <c r="C1080" i="4"/>
  <c r="H1071" i="4"/>
  <c r="F140" i="8" s="1"/>
  <c r="H1164" i="4"/>
  <c r="I150" i="8" s="1"/>
  <c r="C1173" i="4"/>
  <c r="C628" i="4"/>
  <c r="H620" i="4"/>
  <c r="C627" i="4"/>
  <c r="C87" i="8"/>
  <c r="K87" i="8" s="1"/>
  <c r="H619" i="4"/>
  <c r="H661" i="4" l="1"/>
  <c r="D93" i="8" s="1"/>
  <c r="C669" i="4"/>
  <c r="H638" i="4"/>
  <c r="E90" i="8" s="1"/>
  <c r="C646" i="4"/>
  <c r="C664" i="4"/>
  <c r="H656" i="4"/>
  <c r="G92" i="8" s="1"/>
  <c r="H641" i="4"/>
  <c r="H90" i="8" s="1"/>
  <c r="C649" i="4"/>
  <c r="H1080" i="4"/>
  <c r="F141" i="8" s="1"/>
  <c r="C1089" i="4"/>
  <c r="C1182" i="4"/>
  <c r="H1173" i="4"/>
  <c r="I151" i="8" s="1"/>
  <c r="C88" i="8"/>
  <c r="K88" i="8" s="1"/>
  <c r="H627" i="4"/>
  <c r="C636" i="4"/>
  <c r="H628" i="4"/>
  <c r="C635" i="4"/>
  <c r="C677" i="4" l="1"/>
  <c r="H677" i="4" s="1"/>
  <c r="H669" i="4"/>
  <c r="D94" i="8" s="1"/>
  <c r="C657" i="4"/>
  <c r="H649" i="4"/>
  <c r="H91" i="8" s="1"/>
  <c r="C654" i="4"/>
  <c r="H646" i="4"/>
  <c r="E91" i="8" s="1"/>
  <c r="H664" i="4"/>
  <c r="G93" i="8" s="1"/>
  <c r="C672" i="4"/>
  <c r="H1089" i="4"/>
  <c r="F142" i="8" s="1"/>
  <c r="C1098" i="4"/>
  <c r="H1182" i="4"/>
  <c r="I152" i="8" s="1"/>
  <c r="C1191" i="4"/>
  <c r="C644" i="4"/>
  <c r="C643" i="4"/>
  <c r="H636" i="4"/>
  <c r="C89" i="8"/>
  <c r="K89" i="8" s="1"/>
  <c r="H635" i="4"/>
  <c r="D95" i="8" l="1"/>
  <c r="C685" i="4"/>
  <c r="H672" i="4"/>
  <c r="G94" i="8" s="1"/>
  <c r="C680" i="4"/>
  <c r="H680" i="4" s="1"/>
  <c r="H654" i="4"/>
  <c r="E92" i="8" s="1"/>
  <c r="C662" i="4"/>
  <c r="H657" i="4"/>
  <c r="H92" i="8" s="1"/>
  <c r="C665" i="4"/>
  <c r="H1098" i="4"/>
  <c r="F143" i="8" s="1"/>
  <c r="C1107" i="4"/>
  <c r="H1191" i="4"/>
  <c r="I153" i="8" s="1"/>
  <c r="C1200" i="4"/>
  <c r="H643" i="4"/>
  <c r="C90" i="8"/>
  <c r="K90" i="8" s="1"/>
  <c r="C652" i="4"/>
  <c r="H644" i="4"/>
  <c r="C651" i="4"/>
  <c r="C693" i="4" l="1"/>
  <c r="H685" i="4"/>
  <c r="D96" i="8" s="1"/>
  <c r="C673" i="4"/>
  <c r="H665" i="4"/>
  <c r="H93" i="8" s="1"/>
  <c r="H662" i="4"/>
  <c r="E93" i="8" s="1"/>
  <c r="C670" i="4"/>
  <c r="G95" i="8"/>
  <c r="C688" i="4"/>
  <c r="H1107" i="4"/>
  <c r="F144" i="8" s="1"/>
  <c r="C1116" i="4"/>
  <c r="H1200" i="4"/>
  <c r="I154" i="8" s="1"/>
  <c r="C1209" i="4"/>
  <c r="C91" i="8"/>
  <c r="K91" i="8" s="1"/>
  <c r="H651" i="4"/>
  <c r="C660" i="4"/>
  <c r="C659" i="4"/>
  <c r="H652" i="4"/>
  <c r="H1209" i="4" l="1"/>
  <c r="I155" i="8" s="1"/>
  <c r="C1218" i="4"/>
  <c r="H693" i="4"/>
  <c r="D97" i="8" s="1"/>
  <c r="C701" i="4"/>
  <c r="C696" i="4"/>
  <c r="H688" i="4"/>
  <c r="G96" i="8" s="1"/>
  <c r="C678" i="4"/>
  <c r="H678" i="4" s="1"/>
  <c r="H670" i="4"/>
  <c r="E94" i="8" s="1"/>
  <c r="H673" i="4"/>
  <c r="H94" i="8" s="1"/>
  <c r="C681" i="4"/>
  <c r="H681" i="4" s="1"/>
  <c r="H1116" i="4"/>
  <c r="F145" i="8" s="1"/>
  <c r="C1125" i="4"/>
  <c r="C668" i="4"/>
  <c r="H660" i="4"/>
  <c r="C667" i="4"/>
  <c r="C92" i="8"/>
  <c r="K92" i="8" s="1"/>
  <c r="H659" i="4"/>
  <c r="C709" i="4" l="1"/>
  <c r="H701" i="4"/>
  <c r="D98" i="8" s="1"/>
  <c r="H1218" i="4"/>
  <c r="C689" i="4"/>
  <c r="H95" i="8"/>
  <c r="C686" i="4"/>
  <c r="E95" i="8"/>
  <c r="C704" i="4"/>
  <c r="H696" i="4"/>
  <c r="G97" i="8" s="1"/>
  <c r="C1134" i="4"/>
  <c r="H1125" i="4"/>
  <c r="F146" i="8" s="1"/>
  <c r="H667" i="4"/>
  <c r="C93" i="8"/>
  <c r="K93" i="8" s="1"/>
  <c r="C676" i="4"/>
  <c r="C675" i="4"/>
  <c r="H668" i="4"/>
  <c r="C1225" i="4" l="1"/>
  <c r="H1225" i="4" s="1"/>
  <c r="I156" i="8"/>
  <c r="C1232" i="4"/>
  <c r="H1232" i="4" s="1"/>
  <c r="I157" i="8"/>
  <c r="C717" i="4"/>
  <c r="H709" i="4"/>
  <c r="D99" i="8" s="1"/>
  <c r="C694" i="4"/>
  <c r="H686" i="4"/>
  <c r="E96" i="8" s="1"/>
  <c r="C712" i="4"/>
  <c r="H704" i="4"/>
  <c r="G98" i="8" s="1"/>
  <c r="H689" i="4"/>
  <c r="H96" i="8" s="1"/>
  <c r="C697" i="4"/>
  <c r="C1143" i="4"/>
  <c r="H1134" i="4"/>
  <c r="F147" i="8" s="1"/>
  <c r="H676" i="4"/>
  <c r="C683" i="4"/>
  <c r="H675" i="4"/>
  <c r="C94" i="8"/>
  <c r="K94" i="8" s="1"/>
  <c r="C1239" i="4" l="1"/>
  <c r="H1239" i="4" s="1"/>
  <c r="I158" i="8"/>
  <c r="H717" i="4"/>
  <c r="D100" i="8" s="1"/>
  <c r="C725" i="4"/>
  <c r="H697" i="4"/>
  <c r="H97" i="8" s="1"/>
  <c r="C705" i="4"/>
  <c r="C720" i="4"/>
  <c r="H712" i="4"/>
  <c r="G99" i="8" s="1"/>
  <c r="H694" i="4"/>
  <c r="E97" i="8" s="1"/>
  <c r="C702" i="4"/>
  <c r="C1152" i="4"/>
  <c r="H1143" i="4"/>
  <c r="F148" i="8" s="1"/>
  <c r="C684" i="4"/>
  <c r="H683" i="4"/>
  <c r="I683" i="4"/>
  <c r="C95" i="8"/>
  <c r="K95" i="8" s="1"/>
  <c r="C1246" i="4" l="1"/>
  <c r="H1246" i="4" s="1"/>
  <c r="I159" i="8"/>
  <c r="H725" i="4"/>
  <c r="D101" i="8" s="1"/>
  <c r="C733" i="4"/>
  <c r="C710" i="4"/>
  <c r="H702" i="4"/>
  <c r="E98" i="8" s="1"/>
  <c r="C713" i="4"/>
  <c r="H705" i="4"/>
  <c r="H98" i="8" s="1"/>
  <c r="H720" i="4"/>
  <c r="G100" i="8" s="1"/>
  <c r="C728" i="4"/>
  <c r="C1161" i="4"/>
  <c r="H1152" i="4"/>
  <c r="F149" i="8" s="1"/>
  <c r="C692" i="4"/>
  <c r="C691" i="4"/>
  <c r="H684" i="4"/>
  <c r="C1253" i="4" l="1"/>
  <c r="H1253" i="4" s="1"/>
  <c r="I160" i="8"/>
  <c r="H733" i="4"/>
  <c r="D102" i="8" s="1"/>
  <c r="C741" i="4"/>
  <c r="C736" i="4"/>
  <c r="H728" i="4"/>
  <c r="G101" i="8" s="1"/>
  <c r="C721" i="4"/>
  <c r="H713" i="4"/>
  <c r="H99" i="8" s="1"/>
  <c r="H710" i="4"/>
  <c r="E99" i="8" s="1"/>
  <c r="C718" i="4"/>
  <c r="H1161" i="4"/>
  <c r="F150" i="8" s="1"/>
  <c r="C1170" i="4"/>
  <c r="H691" i="4"/>
  <c r="C96" i="8"/>
  <c r="C700" i="4"/>
  <c r="H692" i="4"/>
  <c r="C699" i="4"/>
  <c r="C1260" i="4" l="1"/>
  <c r="H1260" i="4" s="1"/>
  <c r="I161" i="8"/>
  <c r="H741" i="4"/>
  <c r="D103" i="8" s="1"/>
  <c r="C749" i="4"/>
  <c r="H718" i="4"/>
  <c r="E100" i="8" s="1"/>
  <c r="C726" i="4"/>
  <c r="H721" i="4"/>
  <c r="H100" i="8" s="1"/>
  <c r="C729" i="4"/>
  <c r="H736" i="4"/>
  <c r="G102" i="8" s="1"/>
  <c r="C744" i="4"/>
  <c r="H1170" i="4"/>
  <c r="F151" i="8" s="1"/>
  <c r="C1179" i="4"/>
  <c r="C97" i="8"/>
  <c r="H699" i="4"/>
  <c r="C708" i="4"/>
  <c r="H700" i="4"/>
  <c r="C707" i="4"/>
  <c r="C1267" i="4" l="1"/>
  <c r="H1267" i="4" s="1"/>
  <c r="I162" i="8"/>
  <c r="H749" i="4"/>
  <c r="D104" i="8" s="1"/>
  <c r="C757" i="4"/>
  <c r="H744" i="4"/>
  <c r="G103" i="8" s="1"/>
  <c r="C752" i="4"/>
  <c r="C737" i="4"/>
  <c r="H729" i="4"/>
  <c r="H101" i="8" s="1"/>
  <c r="H726" i="4"/>
  <c r="E101" i="8" s="1"/>
  <c r="C734" i="4"/>
  <c r="H1179" i="4"/>
  <c r="F152" i="8" s="1"/>
  <c r="C1188" i="4"/>
  <c r="C98" i="8"/>
  <c r="H707" i="4"/>
  <c r="C716" i="4"/>
  <c r="C715" i="4"/>
  <c r="H708" i="4"/>
  <c r="C1274" i="4" l="1"/>
  <c r="H1274" i="4" s="1"/>
  <c r="I163" i="8"/>
  <c r="H757" i="4"/>
  <c r="D105" i="8" s="1"/>
  <c r="C765" i="4"/>
  <c r="C742" i="4"/>
  <c r="H734" i="4"/>
  <c r="H752" i="4"/>
  <c r="G104" i="8" s="1"/>
  <c r="C760" i="4"/>
  <c r="H737" i="4"/>
  <c r="H102" i="8" s="1"/>
  <c r="C745" i="4"/>
  <c r="H1188" i="4"/>
  <c r="F153" i="8" s="1"/>
  <c r="C1197" i="4"/>
  <c r="C724" i="4"/>
  <c r="H716" i="4"/>
  <c r="C723" i="4"/>
  <c r="H715" i="4"/>
  <c r="C99" i="8"/>
  <c r="C1281" i="4" l="1"/>
  <c r="I164" i="8"/>
  <c r="C773" i="4"/>
  <c r="H765" i="4"/>
  <c r="D106" i="8" s="1"/>
  <c r="H745" i="4"/>
  <c r="H103" i="8" s="1"/>
  <c r="C753" i="4"/>
  <c r="C768" i="4"/>
  <c r="H760" i="4"/>
  <c r="G105" i="8" s="1"/>
  <c r="E103" i="8"/>
  <c r="E102" i="8"/>
  <c r="H742" i="4"/>
  <c r="E104" i="8" s="1"/>
  <c r="C750" i="4"/>
  <c r="H1197" i="4"/>
  <c r="F154" i="8" s="1"/>
  <c r="C1206" i="4"/>
  <c r="C100" i="8"/>
  <c r="H723" i="4"/>
  <c r="C732" i="4"/>
  <c r="H724" i="4"/>
  <c r="C731" i="4"/>
  <c r="H1281" i="4" l="1"/>
  <c r="C1288" i="4"/>
  <c r="I165" i="8"/>
  <c r="H1206" i="4"/>
  <c r="F155" i="8" s="1"/>
  <c r="C1215" i="4"/>
  <c r="H773" i="4"/>
  <c r="D107" i="8" s="1"/>
  <c r="C781" i="4"/>
  <c r="C758" i="4"/>
  <c r="H750" i="4"/>
  <c r="C761" i="4"/>
  <c r="H753" i="4"/>
  <c r="H104" i="8" s="1"/>
  <c r="H768" i="4"/>
  <c r="G106" i="8" s="1"/>
  <c r="C776" i="4"/>
  <c r="C101" i="8"/>
  <c r="H731" i="4"/>
  <c r="C740" i="4"/>
  <c r="H732" i="4"/>
  <c r="C739" i="4"/>
  <c r="H1288" i="4" l="1"/>
  <c r="I166" i="8" s="1"/>
  <c r="C1295" i="4"/>
  <c r="C790" i="4"/>
  <c r="H781" i="4"/>
  <c r="D108" i="8" s="1"/>
  <c r="H1215" i="4"/>
  <c r="F156" i="8" s="1"/>
  <c r="C784" i="4"/>
  <c r="H776" i="4"/>
  <c r="G107" i="8" s="1"/>
  <c r="H758" i="4"/>
  <c r="E105" i="8" s="1"/>
  <c r="C766" i="4"/>
  <c r="C769" i="4"/>
  <c r="H761" i="4"/>
  <c r="H105" i="8" s="1"/>
  <c r="C748" i="4"/>
  <c r="H740" i="4"/>
  <c r="C747" i="4"/>
  <c r="C102" i="8"/>
  <c r="H739" i="4"/>
  <c r="C1302" i="4" l="1"/>
  <c r="H1295" i="4"/>
  <c r="I167" i="8" s="1"/>
  <c r="C799" i="4"/>
  <c r="H790" i="4"/>
  <c r="D109" i="8" s="1"/>
  <c r="C774" i="4"/>
  <c r="H766" i="4"/>
  <c r="E106" i="8" s="1"/>
  <c r="C777" i="4"/>
  <c r="H769" i="4"/>
  <c r="H106" i="8" s="1"/>
  <c r="H784" i="4"/>
  <c r="G108" i="8" s="1"/>
  <c r="C793" i="4"/>
  <c r="C103" i="8"/>
  <c r="H747" i="4"/>
  <c r="C756" i="4"/>
  <c r="C755" i="4"/>
  <c r="H748" i="4"/>
  <c r="C1309" i="4" l="1"/>
  <c r="H1302" i="4"/>
  <c r="I168" i="8" s="1"/>
  <c r="C808" i="4"/>
  <c r="H799" i="4"/>
  <c r="D110" i="8" s="1"/>
  <c r="H793" i="4"/>
  <c r="G109" i="8" s="1"/>
  <c r="C802" i="4"/>
  <c r="H777" i="4"/>
  <c r="H107" i="8" s="1"/>
  <c r="C785" i="4"/>
  <c r="C782" i="4"/>
  <c r="H774" i="4"/>
  <c r="E107" i="8" s="1"/>
  <c r="C764" i="4"/>
  <c r="C763" i="4"/>
  <c r="H756" i="4"/>
  <c r="C104" i="8"/>
  <c r="H755" i="4"/>
  <c r="C1316" i="4" l="1"/>
  <c r="H1309" i="4"/>
  <c r="I169" i="8" s="1"/>
  <c r="H808" i="4"/>
  <c r="D111" i="8" s="1"/>
  <c r="C817" i="4"/>
  <c r="H802" i="4"/>
  <c r="G110" i="8" s="1"/>
  <c r="C811" i="4"/>
  <c r="H782" i="4"/>
  <c r="E108" i="8" s="1"/>
  <c r="C791" i="4"/>
  <c r="H785" i="4"/>
  <c r="H108" i="8" s="1"/>
  <c r="C794" i="4"/>
  <c r="C105" i="8"/>
  <c r="H763" i="4"/>
  <c r="C772" i="4"/>
  <c r="C771" i="4"/>
  <c r="H764" i="4"/>
  <c r="H1316" i="4" l="1"/>
  <c r="I170" i="8" s="1"/>
  <c r="C1323" i="4"/>
  <c r="C826" i="4"/>
  <c r="H817" i="4"/>
  <c r="D112" i="8" s="1"/>
  <c r="H791" i="4"/>
  <c r="E109" i="8" s="1"/>
  <c r="C800" i="4"/>
  <c r="H794" i="4"/>
  <c r="H109" i="8" s="1"/>
  <c r="C803" i="4"/>
  <c r="C820" i="4"/>
  <c r="H811" i="4"/>
  <c r="G111" i="8" s="1"/>
  <c r="C780" i="4"/>
  <c r="C779" i="4"/>
  <c r="H772" i="4"/>
  <c r="H771" i="4"/>
  <c r="C106" i="8"/>
  <c r="H1323" i="4" l="1"/>
  <c r="I171" i="8" s="1"/>
  <c r="C1330" i="4"/>
  <c r="H826" i="4"/>
  <c r="D113" i="8" s="1"/>
  <c r="C835" i="4"/>
  <c r="H800" i="4"/>
  <c r="E110" i="8" s="1"/>
  <c r="C809" i="4"/>
  <c r="H820" i="4"/>
  <c r="G112" i="8" s="1"/>
  <c r="C829" i="4"/>
  <c r="C812" i="4"/>
  <c r="H803" i="4"/>
  <c r="H110" i="8" s="1"/>
  <c r="C107" i="8"/>
  <c r="H779" i="4"/>
  <c r="C789" i="4"/>
  <c r="H780" i="4"/>
  <c r="C788" i="4"/>
  <c r="H1330" i="4" l="1"/>
  <c r="I172" i="8" s="1"/>
  <c r="C1337" i="4"/>
  <c r="H835" i="4"/>
  <c r="D114" i="8" s="1"/>
  <c r="C844" i="4"/>
  <c r="H829" i="4"/>
  <c r="G113" i="8" s="1"/>
  <c r="C838" i="4"/>
  <c r="C818" i="4"/>
  <c r="H809" i="4"/>
  <c r="E111" i="8" s="1"/>
  <c r="C821" i="4"/>
  <c r="H812" i="4"/>
  <c r="H111" i="8" s="1"/>
  <c r="H788" i="4"/>
  <c r="C108" i="8"/>
  <c r="C798" i="4"/>
  <c r="H789" i="4"/>
  <c r="C797" i="4"/>
  <c r="H1337" i="4" l="1"/>
  <c r="C1344" i="4"/>
  <c r="C853" i="4"/>
  <c r="H844" i="4"/>
  <c r="D115" i="8" s="1"/>
  <c r="H838" i="4"/>
  <c r="G114" i="8" s="1"/>
  <c r="C847" i="4"/>
  <c r="C830" i="4"/>
  <c r="H821" i="4"/>
  <c r="H112" i="8" s="1"/>
  <c r="C827" i="4"/>
  <c r="H818" i="4"/>
  <c r="E112" i="8" s="1"/>
  <c r="H797" i="4"/>
  <c r="C109" i="8"/>
  <c r="C807" i="4"/>
  <c r="C806" i="4"/>
  <c r="H798" i="4"/>
  <c r="C1351" i="4" l="1"/>
  <c r="H1344" i="4"/>
  <c r="H853" i="4"/>
  <c r="D116" i="8" s="1"/>
  <c r="C862" i="4"/>
  <c r="C856" i="4"/>
  <c r="H847" i="4"/>
  <c r="G115" i="8" s="1"/>
  <c r="C836" i="4"/>
  <c r="H827" i="4"/>
  <c r="H830" i="4"/>
  <c r="H113" i="8" s="1"/>
  <c r="C839" i="4"/>
  <c r="C816" i="4"/>
  <c r="C815" i="4"/>
  <c r="H807" i="4"/>
  <c r="C110" i="8"/>
  <c r="H806" i="4"/>
  <c r="H1351" i="4" l="1"/>
  <c r="H862" i="4"/>
  <c r="D117" i="8" s="1"/>
  <c r="C871" i="4"/>
  <c r="C848" i="4"/>
  <c r="H839" i="4"/>
  <c r="H114" i="8" s="1"/>
  <c r="C845" i="4"/>
  <c r="H836" i="4"/>
  <c r="H856" i="4"/>
  <c r="G116" i="8" s="1"/>
  <c r="C865" i="4"/>
  <c r="H815" i="4"/>
  <c r="C111" i="8"/>
  <c r="C825" i="4"/>
  <c r="C824" i="4"/>
  <c r="H816" i="4"/>
  <c r="H871" i="4" l="1"/>
  <c r="D118" i="8" s="1"/>
  <c r="C880" i="4"/>
  <c r="C874" i="4"/>
  <c r="H865" i="4"/>
  <c r="G117" i="8" s="1"/>
  <c r="E114" i="8"/>
  <c r="E113" i="8"/>
  <c r="H845" i="4"/>
  <c r="E115" i="8" s="1"/>
  <c r="C854" i="4"/>
  <c r="C857" i="4"/>
  <c r="H848" i="4"/>
  <c r="H115" i="8" s="1"/>
  <c r="C834" i="4"/>
  <c r="H825" i="4"/>
  <c r="C833" i="4"/>
  <c r="C112" i="8"/>
  <c r="H824" i="4"/>
  <c r="H1358" i="4" l="1"/>
  <c r="C1365" i="4"/>
  <c r="H1365" i="4" s="1"/>
  <c r="H880" i="4"/>
  <c r="D119" i="8" s="1"/>
  <c r="C889" i="4"/>
  <c r="H854" i="4"/>
  <c r="E116" i="8" s="1"/>
  <c r="C863" i="4"/>
  <c r="C866" i="4"/>
  <c r="H857" i="4"/>
  <c r="H116" i="8" s="1"/>
  <c r="C883" i="4"/>
  <c r="H874" i="4"/>
  <c r="G118" i="8" s="1"/>
  <c r="C113" i="8"/>
  <c r="H833" i="4"/>
  <c r="C843" i="4"/>
  <c r="C842" i="4"/>
  <c r="H834" i="4"/>
  <c r="C898" i="4" l="1"/>
  <c r="H889" i="4"/>
  <c r="D120" i="8" s="1"/>
  <c r="C892" i="4"/>
  <c r="H883" i="4"/>
  <c r="G119" i="8" s="1"/>
  <c r="H863" i="4"/>
  <c r="E117" i="8" s="1"/>
  <c r="C872" i="4"/>
  <c r="C875" i="4"/>
  <c r="H866" i="4"/>
  <c r="H117" i="8" s="1"/>
  <c r="C852" i="4"/>
  <c r="H843" i="4"/>
  <c r="C851" i="4"/>
  <c r="H842" i="4"/>
  <c r="C114" i="8"/>
  <c r="H898" i="4" l="1"/>
  <c r="D121" i="8" s="1"/>
  <c r="C907" i="4"/>
  <c r="C884" i="4"/>
  <c r="H875" i="4"/>
  <c r="H118" i="8" s="1"/>
  <c r="C901" i="4"/>
  <c r="H892" i="4"/>
  <c r="G120" i="8" s="1"/>
  <c r="C881" i="4"/>
  <c r="H872" i="4"/>
  <c r="E118" i="8" s="1"/>
  <c r="H851" i="4"/>
  <c r="C115" i="8"/>
  <c r="C861" i="4"/>
  <c r="H852" i="4"/>
  <c r="C860" i="4"/>
  <c r="H907" i="4" l="1"/>
  <c r="D122" i="8" s="1"/>
  <c r="C916" i="4"/>
  <c r="H901" i="4"/>
  <c r="G121" i="8" s="1"/>
  <c r="C910" i="4"/>
  <c r="C890" i="4"/>
  <c r="H881" i="4"/>
  <c r="E119" i="8" s="1"/>
  <c r="C893" i="4"/>
  <c r="H884" i="4"/>
  <c r="H119" i="8" s="1"/>
  <c r="C116" i="8"/>
  <c r="H860" i="4"/>
  <c r="C870" i="4"/>
  <c r="C869" i="4"/>
  <c r="H861" i="4"/>
  <c r="H916" i="4" l="1"/>
  <c r="D123" i="8" s="1"/>
  <c r="C925" i="4"/>
  <c r="H910" i="4"/>
  <c r="G122" i="8" s="1"/>
  <c r="C919" i="4"/>
  <c r="H893" i="4"/>
  <c r="H120" i="8" s="1"/>
  <c r="C902" i="4"/>
  <c r="H890" i="4"/>
  <c r="E120" i="8" s="1"/>
  <c r="C899" i="4"/>
  <c r="C879" i="4"/>
  <c r="C878" i="4"/>
  <c r="H870" i="4"/>
  <c r="C117" i="8"/>
  <c r="H869" i="4"/>
  <c r="H925" i="4" l="1"/>
  <c r="D124" i="8" s="1"/>
  <c r="C934" i="4"/>
  <c r="H934" i="4" s="1"/>
  <c r="C908" i="4"/>
  <c r="H899" i="4"/>
  <c r="E121" i="8" s="1"/>
  <c r="H919" i="4"/>
  <c r="G123" i="8" s="1"/>
  <c r="C928" i="4"/>
  <c r="H902" i="4"/>
  <c r="H121" i="8" s="1"/>
  <c r="C911" i="4"/>
  <c r="C118" i="8"/>
  <c r="H878" i="4"/>
  <c r="C888" i="4"/>
  <c r="C887" i="4"/>
  <c r="H879" i="4"/>
  <c r="C943" i="4" l="1"/>
  <c r="D125" i="8"/>
  <c r="H928" i="4"/>
  <c r="G124" i="8" s="1"/>
  <c r="C937" i="4"/>
  <c r="H937" i="4" s="1"/>
  <c r="C920" i="4"/>
  <c r="H911" i="4"/>
  <c r="H122" i="8" s="1"/>
  <c r="C917" i="4"/>
  <c r="H908" i="4"/>
  <c r="E122" i="8" s="1"/>
  <c r="C897" i="4"/>
  <c r="C896" i="4"/>
  <c r="H888" i="4"/>
  <c r="H887" i="4"/>
  <c r="C119" i="8"/>
  <c r="C952" i="4" l="1"/>
  <c r="H943" i="4"/>
  <c r="D126" i="8" s="1"/>
  <c r="G125" i="8"/>
  <c r="C946" i="4"/>
  <c r="C926" i="4"/>
  <c r="H917" i="4"/>
  <c r="E123" i="8" s="1"/>
  <c r="C929" i="4"/>
  <c r="H920" i="4"/>
  <c r="H123" i="8" s="1"/>
  <c r="H896" i="4"/>
  <c r="C120" i="8"/>
  <c r="C906" i="4"/>
  <c r="C905" i="4"/>
  <c r="H897" i="4"/>
  <c r="C961" i="4" l="1"/>
  <c r="H952" i="4"/>
  <c r="D127" i="8" s="1"/>
  <c r="H946" i="4"/>
  <c r="G126" i="8" s="1"/>
  <c r="C955" i="4"/>
  <c r="C938" i="4"/>
  <c r="H938" i="4" s="1"/>
  <c r="H929" i="4"/>
  <c r="H124" i="8" s="1"/>
  <c r="C935" i="4"/>
  <c r="H935" i="4" s="1"/>
  <c r="H926" i="4"/>
  <c r="E124" i="8" s="1"/>
  <c r="C915" i="4"/>
  <c r="C914" i="4"/>
  <c r="H906" i="4"/>
  <c r="H905" i="4"/>
  <c r="C121" i="8"/>
  <c r="H961" i="4" l="1"/>
  <c r="D128" i="8" s="1"/>
  <c r="C970" i="4"/>
  <c r="H955" i="4"/>
  <c r="G127" i="8" s="1"/>
  <c r="C964" i="4"/>
  <c r="C947" i="4"/>
  <c r="H125" i="8"/>
  <c r="E125" i="8"/>
  <c r="C944" i="4"/>
  <c r="C122" i="8"/>
  <c r="H914" i="4"/>
  <c r="C924" i="4"/>
  <c r="C923" i="4"/>
  <c r="H915" i="4"/>
  <c r="C979" i="4" l="1"/>
  <c r="H970" i="4"/>
  <c r="D129" i="8" s="1"/>
  <c r="C953" i="4"/>
  <c r="H944" i="4"/>
  <c r="E126" i="8" s="1"/>
  <c r="C973" i="4"/>
  <c r="H964" i="4"/>
  <c r="G128" i="8" s="1"/>
  <c r="H947" i="4"/>
  <c r="H126" i="8" s="1"/>
  <c r="C956" i="4"/>
  <c r="C933" i="4"/>
  <c r="H924" i="4"/>
  <c r="C932" i="4"/>
  <c r="H923" i="4"/>
  <c r="C123" i="8"/>
  <c r="H979" i="4" l="1"/>
  <c r="D130" i="8" s="1"/>
  <c r="C988" i="4"/>
  <c r="H973" i="4"/>
  <c r="G129" i="8" s="1"/>
  <c r="C982" i="4"/>
  <c r="C965" i="4"/>
  <c r="H956" i="4"/>
  <c r="H127" i="8" s="1"/>
  <c r="C962" i="4"/>
  <c r="H953" i="4"/>
  <c r="E127" i="8" s="1"/>
  <c r="C124" i="8"/>
  <c r="H932" i="4"/>
  <c r="H933" i="4"/>
  <c r="C941" i="4"/>
  <c r="H988" i="4" l="1"/>
  <c r="D131" i="8" s="1"/>
  <c r="C997" i="4"/>
  <c r="C991" i="4"/>
  <c r="H982" i="4"/>
  <c r="G130" i="8" s="1"/>
  <c r="H962" i="4"/>
  <c r="E128" i="8" s="1"/>
  <c r="C971" i="4"/>
  <c r="H965" i="4"/>
  <c r="H128" i="8" s="1"/>
  <c r="C974" i="4"/>
  <c r="C942" i="4"/>
  <c r="H941" i="4"/>
  <c r="I941" i="4"/>
  <c r="C125" i="8"/>
  <c r="K125" i="8" s="1"/>
  <c r="H997" i="4" l="1"/>
  <c r="D132" i="8" s="1"/>
  <c r="C1006" i="4"/>
  <c r="C980" i="4"/>
  <c r="H971" i="4"/>
  <c r="E129" i="8" s="1"/>
  <c r="H974" i="4"/>
  <c r="H129" i="8" s="1"/>
  <c r="C983" i="4"/>
  <c r="C1000" i="4"/>
  <c r="H991" i="4"/>
  <c r="G131" i="8" s="1"/>
  <c r="C951" i="4"/>
  <c r="C950" i="4"/>
  <c r="H942" i="4"/>
  <c r="C1015" i="4" l="1"/>
  <c r="H1006" i="4"/>
  <c r="D133" i="8" s="1"/>
  <c r="C1009" i="4"/>
  <c r="H1000" i="4"/>
  <c r="G132" i="8" s="1"/>
  <c r="H983" i="4"/>
  <c r="H130" i="8" s="1"/>
  <c r="C992" i="4"/>
  <c r="C989" i="4"/>
  <c r="H980" i="4"/>
  <c r="E130" i="8" s="1"/>
  <c r="C126" i="8"/>
  <c r="K126" i="8" s="1"/>
  <c r="H950" i="4"/>
  <c r="C960" i="4"/>
  <c r="C959" i="4"/>
  <c r="H951" i="4"/>
  <c r="H1015" i="4" l="1"/>
  <c r="D134" i="8" s="1"/>
  <c r="C1024" i="4"/>
  <c r="H992" i="4"/>
  <c r="H131" i="8" s="1"/>
  <c r="C1001" i="4"/>
  <c r="H989" i="4"/>
  <c r="E131" i="8" s="1"/>
  <c r="C998" i="4"/>
  <c r="H1009" i="4"/>
  <c r="G133" i="8" s="1"/>
  <c r="C1018" i="4"/>
  <c r="C969" i="4"/>
  <c r="H960" i="4"/>
  <c r="C968" i="4"/>
  <c r="C127" i="8"/>
  <c r="K127" i="8" s="1"/>
  <c r="H959" i="4"/>
  <c r="C1033" i="4" l="1"/>
  <c r="H1024" i="4"/>
  <c r="D135" i="8" s="1"/>
  <c r="H998" i="4"/>
  <c r="E132" i="8" s="1"/>
  <c r="C1007" i="4"/>
  <c r="C1010" i="4"/>
  <c r="H1001" i="4"/>
  <c r="H132" i="8" s="1"/>
  <c r="C1027" i="4"/>
  <c r="H1018" i="4"/>
  <c r="G134" i="8" s="1"/>
  <c r="H968" i="4"/>
  <c r="C128" i="8"/>
  <c r="K128" i="8" s="1"/>
  <c r="C978" i="4"/>
  <c r="C977" i="4"/>
  <c r="H969" i="4"/>
  <c r="H1033" i="4" l="1"/>
  <c r="D136" i="8" s="1"/>
  <c r="C1042" i="4"/>
  <c r="C1016" i="4"/>
  <c r="H1007" i="4"/>
  <c r="E133" i="8" s="1"/>
  <c r="H1027" i="4"/>
  <c r="G135" i="8" s="1"/>
  <c r="C1036" i="4"/>
  <c r="H1010" i="4"/>
  <c r="H133" i="8" s="1"/>
  <c r="C1019" i="4"/>
  <c r="C987" i="4"/>
  <c r="C986" i="4"/>
  <c r="H978" i="4"/>
  <c r="H977" i="4"/>
  <c r="C129" i="8"/>
  <c r="K129" i="8" s="1"/>
  <c r="C1051" i="4" l="1"/>
  <c r="H1042" i="4"/>
  <c r="D137" i="8" s="1"/>
  <c r="C1028" i="4"/>
  <c r="H1019" i="4"/>
  <c r="H134" i="8" s="1"/>
  <c r="H1036" i="4"/>
  <c r="G136" i="8" s="1"/>
  <c r="C1045" i="4"/>
  <c r="C1025" i="4"/>
  <c r="H1016" i="4"/>
  <c r="E134" i="8" s="1"/>
  <c r="H986" i="4"/>
  <c r="C130" i="8"/>
  <c r="K130" i="8" s="1"/>
  <c r="C996" i="4"/>
  <c r="H987" i="4"/>
  <c r="C995" i="4"/>
  <c r="H1051" i="4" l="1"/>
  <c r="D138" i="8" s="1"/>
  <c r="C1060" i="4"/>
  <c r="H1045" i="4"/>
  <c r="G137" i="8" s="1"/>
  <c r="C1054" i="4"/>
  <c r="H1025" i="4"/>
  <c r="E135" i="8" s="1"/>
  <c r="C1034" i="4"/>
  <c r="C1037" i="4"/>
  <c r="H1028" i="4"/>
  <c r="H135" i="8" s="1"/>
  <c r="C131" i="8"/>
  <c r="K131" i="8" s="1"/>
  <c r="H995" i="4"/>
  <c r="C1005" i="4"/>
  <c r="H996" i="4"/>
  <c r="C1004" i="4"/>
  <c r="C1069" i="4" l="1"/>
  <c r="H1060" i="4"/>
  <c r="D139" i="8" s="1"/>
  <c r="H1034" i="4"/>
  <c r="E136" i="8" s="1"/>
  <c r="C1043" i="4"/>
  <c r="H1054" i="4"/>
  <c r="G138" i="8" s="1"/>
  <c r="C1063" i="4"/>
  <c r="C1046" i="4"/>
  <c r="H1037" i="4"/>
  <c r="H136" i="8" s="1"/>
  <c r="C1014" i="4"/>
  <c r="H1005" i="4"/>
  <c r="C1013" i="4"/>
  <c r="H1004" i="4"/>
  <c r="C132" i="8"/>
  <c r="K132" i="8" s="1"/>
  <c r="H1069" i="4" l="1"/>
  <c r="D140" i="8" s="1"/>
  <c r="C1078" i="4"/>
  <c r="C1072" i="4"/>
  <c r="H1063" i="4"/>
  <c r="G139" i="8" s="1"/>
  <c r="H1043" i="4"/>
  <c r="E137" i="8" s="1"/>
  <c r="C1052" i="4"/>
  <c r="H1046" i="4"/>
  <c r="H137" i="8" s="1"/>
  <c r="C1055" i="4"/>
  <c r="H1013" i="4"/>
  <c r="C133" i="8"/>
  <c r="K133" i="8" s="1"/>
  <c r="C1023" i="4"/>
  <c r="C1022" i="4"/>
  <c r="H1014" i="4"/>
  <c r="C1087" i="4" l="1"/>
  <c r="H1078" i="4"/>
  <c r="D141" i="8" s="1"/>
  <c r="C1081" i="4"/>
  <c r="H1072" i="4"/>
  <c r="G140" i="8" s="1"/>
  <c r="C1064" i="4"/>
  <c r="H1055" i="4"/>
  <c r="H138" i="8" s="1"/>
  <c r="H1052" i="4"/>
  <c r="E138" i="8" s="1"/>
  <c r="C1061" i="4"/>
  <c r="C1032" i="4"/>
  <c r="H1023" i="4"/>
  <c r="C1031" i="4"/>
  <c r="H1022" i="4"/>
  <c r="C134" i="8"/>
  <c r="K134" i="8" s="1"/>
  <c r="C1096" i="4" l="1"/>
  <c r="H1087" i="4"/>
  <c r="D142" i="8" s="1"/>
  <c r="C1073" i="4"/>
  <c r="H1064" i="4"/>
  <c r="H139" i="8" s="1"/>
  <c r="C1070" i="4"/>
  <c r="H1061" i="4"/>
  <c r="E139" i="8" s="1"/>
  <c r="H1081" i="4"/>
  <c r="G141" i="8" s="1"/>
  <c r="C1090" i="4"/>
  <c r="H1031" i="4"/>
  <c r="C135" i="8"/>
  <c r="K135" i="8" s="1"/>
  <c r="C1041" i="4"/>
  <c r="H1032" i="4"/>
  <c r="C1040" i="4"/>
  <c r="H1096" i="4" l="1"/>
  <c r="D143" i="8" s="1"/>
  <c r="C1105" i="4"/>
  <c r="H1090" i="4"/>
  <c r="G142" i="8" s="1"/>
  <c r="C1099" i="4"/>
  <c r="C1082" i="4"/>
  <c r="H1073" i="4"/>
  <c r="H140" i="8" s="1"/>
  <c r="H1070" i="4"/>
  <c r="E140" i="8" s="1"/>
  <c r="C1079" i="4"/>
  <c r="C136" i="8"/>
  <c r="K136" i="8" s="1"/>
  <c r="H1040" i="4"/>
  <c r="C1050" i="4"/>
  <c r="C1049" i="4"/>
  <c r="H1041" i="4"/>
  <c r="H1105" i="4" l="1"/>
  <c r="D144" i="8" s="1"/>
  <c r="C1114" i="4"/>
  <c r="C1088" i="4"/>
  <c r="H1079" i="4"/>
  <c r="E141" i="8" s="1"/>
  <c r="C1108" i="4"/>
  <c r="H1099" i="4"/>
  <c r="G143" i="8" s="1"/>
  <c r="H1082" i="4"/>
  <c r="H141" i="8" s="1"/>
  <c r="C1091" i="4"/>
  <c r="C1059" i="4"/>
  <c r="H1050" i="4"/>
  <c r="C1058" i="4"/>
  <c r="C137" i="8"/>
  <c r="K137" i="8" s="1"/>
  <c r="H1049" i="4"/>
  <c r="H1114" i="4" l="1"/>
  <c r="D145" i="8" s="1"/>
  <c r="C1123" i="4"/>
  <c r="C1100" i="4"/>
  <c r="H1091" i="4"/>
  <c r="H142" i="8" s="1"/>
  <c r="C1117" i="4"/>
  <c r="H1108" i="4"/>
  <c r="G144" i="8" s="1"/>
  <c r="H1088" i="4"/>
  <c r="E142" i="8" s="1"/>
  <c r="C1097" i="4"/>
  <c r="H1058" i="4"/>
  <c r="C138" i="8"/>
  <c r="K138" i="8" s="1"/>
  <c r="C1068" i="4"/>
  <c r="H1059" i="4"/>
  <c r="C1067" i="4"/>
  <c r="H1123" i="4" l="1"/>
  <c r="D146" i="8" s="1"/>
  <c r="C1132" i="4"/>
  <c r="C1106" i="4"/>
  <c r="H1097" i="4"/>
  <c r="E143" i="8" s="1"/>
  <c r="H1117" i="4"/>
  <c r="G145" i="8" s="1"/>
  <c r="C1126" i="4"/>
  <c r="H1100" i="4"/>
  <c r="H143" i="8" s="1"/>
  <c r="C1109" i="4"/>
  <c r="C1077" i="4"/>
  <c r="C1076" i="4"/>
  <c r="H1068" i="4"/>
  <c r="H1067" i="4"/>
  <c r="C139" i="8"/>
  <c r="K139" i="8" s="1"/>
  <c r="C1141" i="4" l="1"/>
  <c r="H1132" i="4"/>
  <c r="D147" i="8" s="1"/>
  <c r="C1118" i="4"/>
  <c r="H1109" i="4"/>
  <c r="H144" i="8" s="1"/>
  <c r="C1135" i="4"/>
  <c r="H1126" i="4"/>
  <c r="G146" i="8" s="1"/>
  <c r="C1115" i="4"/>
  <c r="H1106" i="4"/>
  <c r="E144" i="8" s="1"/>
  <c r="H1076" i="4"/>
  <c r="C140" i="8"/>
  <c r="K140" i="8" s="1"/>
  <c r="C1086" i="4"/>
  <c r="H1077" i="4"/>
  <c r="C1085" i="4"/>
  <c r="C1150" i="4" l="1"/>
  <c r="H1141" i="4"/>
  <c r="D148" i="8" s="1"/>
  <c r="C1124" i="4"/>
  <c r="H1115" i="4"/>
  <c r="E145" i="8" s="1"/>
  <c r="C1144" i="4"/>
  <c r="H1135" i="4"/>
  <c r="G147" i="8" s="1"/>
  <c r="H1118" i="4"/>
  <c r="H145" i="8" s="1"/>
  <c r="C1127" i="4"/>
  <c r="C1095" i="4"/>
  <c r="C1094" i="4"/>
  <c r="H1086" i="4"/>
  <c r="C141" i="8"/>
  <c r="K141" i="8" s="1"/>
  <c r="H1085" i="4"/>
  <c r="H1150" i="4" l="1"/>
  <c r="D149" i="8" s="1"/>
  <c r="C1159" i="4"/>
  <c r="H1127" i="4"/>
  <c r="H146" i="8" s="1"/>
  <c r="C1136" i="4"/>
  <c r="C1133" i="4"/>
  <c r="H1124" i="4"/>
  <c r="E146" i="8" s="1"/>
  <c r="H1144" i="4"/>
  <c r="G148" i="8" s="1"/>
  <c r="C1153" i="4"/>
  <c r="C142" i="8"/>
  <c r="K142" i="8" s="1"/>
  <c r="H1094" i="4"/>
  <c r="C1104" i="4"/>
  <c r="H1095" i="4"/>
  <c r="C1103" i="4"/>
  <c r="H1159" i="4" l="1"/>
  <c r="D150" i="8" s="1"/>
  <c r="C1168" i="4"/>
  <c r="C1145" i="4"/>
  <c r="H1136" i="4"/>
  <c r="H147" i="8" s="1"/>
  <c r="C1162" i="4"/>
  <c r="H1153" i="4"/>
  <c r="G149" i="8" s="1"/>
  <c r="C1142" i="4"/>
  <c r="H1133" i="4"/>
  <c r="E147" i="8" s="1"/>
  <c r="H1103" i="4"/>
  <c r="C143" i="8"/>
  <c r="K143" i="8" s="1"/>
  <c r="C1113" i="4"/>
  <c r="H1104" i="4"/>
  <c r="C1112" i="4"/>
  <c r="H1168" i="4" l="1"/>
  <c r="D151" i="8" s="1"/>
  <c r="C1177" i="4"/>
  <c r="C1154" i="4"/>
  <c r="H1145" i="4"/>
  <c r="H148" i="8" s="1"/>
  <c r="H1142" i="4"/>
  <c r="E148" i="8" s="1"/>
  <c r="C1151" i="4"/>
  <c r="C1171" i="4"/>
  <c r="H1162" i="4"/>
  <c r="G150" i="8" s="1"/>
  <c r="H1112" i="4"/>
  <c r="C144" i="8"/>
  <c r="K144" i="8" s="1"/>
  <c r="C1122" i="4"/>
  <c r="H1113" i="4"/>
  <c r="C1121" i="4"/>
  <c r="H1177" i="4" l="1"/>
  <c r="D152" i="8" s="1"/>
  <c r="C1186" i="4"/>
  <c r="H1171" i="4"/>
  <c r="G151" i="8" s="1"/>
  <c r="C1180" i="4"/>
  <c r="C1160" i="4"/>
  <c r="H1151" i="4"/>
  <c r="E149" i="8" s="1"/>
  <c r="C1163" i="4"/>
  <c r="H1154" i="4"/>
  <c r="H149" i="8" s="1"/>
  <c r="H1121" i="4"/>
  <c r="C145" i="8"/>
  <c r="K145" i="8" s="1"/>
  <c r="C1131" i="4"/>
  <c r="H1122" i="4"/>
  <c r="C1130" i="4"/>
  <c r="C1195" i="4" l="1"/>
  <c r="H1186" i="4"/>
  <c r="D153" i="8" s="1"/>
  <c r="C1189" i="4"/>
  <c r="H1180" i="4"/>
  <c r="G152" i="8" s="1"/>
  <c r="H1163" i="4"/>
  <c r="H150" i="8" s="1"/>
  <c r="C1172" i="4"/>
  <c r="H1160" i="4"/>
  <c r="E150" i="8" s="1"/>
  <c r="C1169" i="4"/>
  <c r="H1130" i="4"/>
  <c r="C146" i="8"/>
  <c r="K146" i="8" s="1"/>
  <c r="C1140" i="4"/>
  <c r="C1139" i="4"/>
  <c r="H1131" i="4"/>
  <c r="H1195" i="4" l="1"/>
  <c r="D154" i="8" s="1"/>
  <c r="C1204" i="4"/>
  <c r="H1172" i="4"/>
  <c r="H151" i="8" s="1"/>
  <c r="C1181" i="4"/>
  <c r="H1169" i="4"/>
  <c r="E151" i="8" s="1"/>
  <c r="C1178" i="4"/>
  <c r="H1189" i="4"/>
  <c r="G153" i="8" s="1"/>
  <c r="C1198" i="4"/>
  <c r="C1148" i="4"/>
  <c r="C1149" i="4"/>
  <c r="H1140" i="4"/>
  <c r="C147" i="8"/>
  <c r="K147" i="8" s="1"/>
  <c r="H1139" i="4"/>
  <c r="H1204" i="4" l="1"/>
  <c r="D155" i="8" s="1"/>
  <c r="C1213" i="4"/>
  <c r="H1213" i="4" s="1"/>
  <c r="D156" i="8" s="1"/>
  <c r="H1178" i="4"/>
  <c r="E152" i="8" s="1"/>
  <c r="C1187" i="4"/>
  <c r="H1181" i="4"/>
  <c r="H152" i="8" s="1"/>
  <c r="C1190" i="4"/>
  <c r="H1198" i="4"/>
  <c r="G154" i="8" s="1"/>
  <c r="C1207" i="4"/>
  <c r="C148" i="8"/>
  <c r="K148" i="8" s="1"/>
  <c r="H1148" i="4"/>
  <c r="H1149" i="4"/>
  <c r="C1157" i="4"/>
  <c r="C1158" i="4"/>
  <c r="H1207" i="4" l="1"/>
  <c r="G155" i="8" s="1"/>
  <c r="C1216" i="4"/>
  <c r="H1190" i="4"/>
  <c r="H153" i="8" s="1"/>
  <c r="C1199" i="4"/>
  <c r="H1187" i="4"/>
  <c r="E153" i="8" s="1"/>
  <c r="C1196" i="4"/>
  <c r="H1157" i="4"/>
  <c r="C149" i="8"/>
  <c r="K149" i="8" s="1"/>
  <c r="C1167" i="4"/>
  <c r="H1158" i="4"/>
  <c r="C1166" i="4"/>
  <c r="H1216" i="4" l="1"/>
  <c r="H1196" i="4"/>
  <c r="E154" i="8" s="1"/>
  <c r="C1205" i="4"/>
  <c r="H1199" i="4"/>
  <c r="H154" i="8" s="1"/>
  <c r="C1208" i="4"/>
  <c r="C150" i="8"/>
  <c r="K150" i="8" s="1"/>
  <c r="H1166" i="4"/>
  <c r="C1176" i="4"/>
  <c r="H1167" i="4"/>
  <c r="C1175" i="4"/>
  <c r="C1223" i="4" l="1"/>
  <c r="G156" i="8"/>
  <c r="H1205" i="4"/>
  <c r="E155" i="8" s="1"/>
  <c r="C1214" i="4"/>
  <c r="H1208" i="4"/>
  <c r="H155" i="8" s="1"/>
  <c r="C1217" i="4"/>
  <c r="H1175" i="4"/>
  <c r="C151" i="8"/>
  <c r="K151" i="8" s="1"/>
  <c r="C1185" i="4"/>
  <c r="H1176" i="4"/>
  <c r="C1184" i="4"/>
  <c r="C1230" i="4" l="1"/>
  <c r="H1230" i="4" s="1"/>
  <c r="H1223" i="4"/>
  <c r="G157" i="8" s="1"/>
  <c r="C1237" i="4"/>
  <c r="H1237" i="4" s="1"/>
  <c r="G159" i="8" s="1"/>
  <c r="G158" i="8"/>
  <c r="H1217" i="4"/>
  <c r="H1214" i="4"/>
  <c r="E156" i="8" s="1"/>
  <c r="C152" i="8"/>
  <c r="K152" i="8" s="1"/>
  <c r="H1184" i="4"/>
  <c r="H1185" i="4"/>
  <c r="C1194" i="4"/>
  <c r="C1193" i="4"/>
  <c r="C1224" i="4" l="1"/>
  <c r="C1231" i="4" s="1"/>
  <c r="C1238" i="4" s="1"/>
  <c r="H1238" i="4" s="1"/>
  <c r="H159" i="8" s="1"/>
  <c r="H156" i="8"/>
  <c r="C1244" i="4"/>
  <c r="H1244" i="4" s="1"/>
  <c r="G160" i="8" s="1"/>
  <c r="C1222" i="4"/>
  <c r="C1229" i="4" s="1"/>
  <c r="C1236" i="4" s="1"/>
  <c r="C1243" i="4" s="1"/>
  <c r="C1250" i="4" s="1"/>
  <c r="H1224" i="4"/>
  <c r="H157" i="8" s="1"/>
  <c r="C1203" i="4"/>
  <c r="C1212" i="4" s="1"/>
  <c r="H1194" i="4"/>
  <c r="C1202" i="4"/>
  <c r="C153" i="8"/>
  <c r="K153" i="8" s="1"/>
  <c r="H1193" i="4"/>
  <c r="C1257" i="4" l="1"/>
  <c r="H1250" i="4"/>
  <c r="E161" i="8" s="1"/>
  <c r="H1222" i="4"/>
  <c r="E157" i="8" s="1"/>
  <c r="H1231" i="4"/>
  <c r="H158" i="8" s="1"/>
  <c r="C1251" i="4"/>
  <c r="C1245" i="4"/>
  <c r="H1212" i="4"/>
  <c r="C1220" i="4"/>
  <c r="C154" i="8"/>
  <c r="K154" i="8" s="1"/>
  <c r="H1202" i="4"/>
  <c r="H1203" i="4"/>
  <c r="C1211" i="4"/>
  <c r="C1221" i="4" l="1"/>
  <c r="C1228" i="4" s="1"/>
  <c r="C1235" i="4" s="1"/>
  <c r="C1242" i="4" s="1"/>
  <c r="C1249" i="4" s="1"/>
  <c r="C156" i="8"/>
  <c r="K156" i="8" s="1"/>
  <c r="C1264" i="4"/>
  <c r="H1257" i="4"/>
  <c r="E162" i="8" s="1"/>
  <c r="H1245" i="4"/>
  <c r="H160" i="8" s="1"/>
  <c r="H1251" i="4"/>
  <c r="G161" i="8" s="1"/>
  <c r="H1220" i="4"/>
  <c r="I1220" i="4"/>
  <c r="C155" i="8"/>
  <c r="K155" i="8" s="1"/>
  <c r="H1211" i="4"/>
  <c r="H1242" i="4" l="1"/>
  <c r="C160" i="8" s="1"/>
  <c r="H1221" i="4"/>
  <c r="C157" i="8" s="1"/>
  <c r="K157" i="8" s="1"/>
  <c r="C1227" i="4"/>
  <c r="H1227" i="4"/>
  <c r="C1271" i="4"/>
  <c r="H1264" i="4"/>
  <c r="E163" i="8" s="1"/>
  <c r="C1256" i="4"/>
  <c r="H1249" i="4"/>
  <c r="C161" i="8" s="1"/>
  <c r="H1228" i="4"/>
  <c r="H1229" i="4"/>
  <c r="E158" i="8" s="1"/>
  <c r="C1234" i="4"/>
  <c r="C1258" i="4"/>
  <c r="C1252" i="4"/>
  <c r="H1236" i="4" l="1"/>
  <c r="E159" i="8" s="1"/>
  <c r="C158" i="8"/>
  <c r="K158" i="8" s="1"/>
  <c r="H1234" i="4"/>
  <c r="C1263" i="4"/>
  <c r="H1256" i="4"/>
  <c r="C162" i="8" s="1"/>
  <c r="C1278" i="4"/>
  <c r="H1271" i="4"/>
  <c r="E164" i="8" s="1"/>
  <c r="H1235" i="4"/>
  <c r="C159" i="8" s="1"/>
  <c r="K159" i="8" s="1"/>
  <c r="C1241" i="4"/>
  <c r="H1258" i="4"/>
  <c r="G162" i="8" s="1"/>
  <c r="H1252" i="4"/>
  <c r="H161" i="8" s="1"/>
  <c r="K161" i="8" s="1"/>
  <c r="C1255" i="4"/>
  <c r="C1285" i="4" l="1"/>
  <c r="H1278" i="4"/>
  <c r="E165" i="8" s="1"/>
  <c r="C1270" i="4"/>
  <c r="H1263" i="4"/>
  <c r="C163" i="8" s="1"/>
  <c r="H1241" i="4"/>
  <c r="C1259" i="4"/>
  <c r="H1255" i="4"/>
  <c r="C1265" i="4"/>
  <c r="H1285" i="4" l="1"/>
  <c r="E166" i="8" s="1"/>
  <c r="C1292" i="4"/>
  <c r="C1277" i="4"/>
  <c r="H1270" i="4"/>
  <c r="C164" i="8" s="1"/>
  <c r="H1243" i="4"/>
  <c r="C1248" i="4"/>
  <c r="H1265" i="4"/>
  <c r="G163" i="8" s="1"/>
  <c r="H1259" i="4"/>
  <c r="H162" i="8" s="1"/>
  <c r="K162" i="8" s="1"/>
  <c r="C1262" i="4"/>
  <c r="H1248" i="4" l="1"/>
  <c r="E160" i="8"/>
  <c r="K160" i="8" s="1"/>
  <c r="C1299" i="4"/>
  <c r="H1292" i="4"/>
  <c r="E167" i="8" s="1"/>
  <c r="C1284" i="4"/>
  <c r="H1277" i="4"/>
  <c r="C165" i="8" s="1"/>
  <c r="C1266" i="4"/>
  <c r="H1262" i="4"/>
  <c r="C1272" i="4"/>
  <c r="H1299" i="4" l="1"/>
  <c r="E168" i="8" s="1"/>
  <c r="C1306" i="4"/>
  <c r="H1284" i="4"/>
  <c r="C166" i="8" s="1"/>
  <c r="C1291" i="4"/>
  <c r="H1272" i="4"/>
  <c r="G164" i="8" s="1"/>
  <c r="H1266" i="4"/>
  <c r="H163" i="8" s="1"/>
  <c r="K163" i="8" s="1"/>
  <c r="C1269" i="4"/>
  <c r="C1313" i="4" l="1"/>
  <c r="H1306" i="4"/>
  <c r="E169" i="8" s="1"/>
  <c r="H1291" i="4"/>
  <c r="C1298" i="4"/>
  <c r="C1305" i="4" s="1"/>
  <c r="C1273" i="4"/>
  <c r="C1280" i="4" s="1"/>
  <c r="C1287" i="4" s="1"/>
  <c r="C1294" i="4" s="1"/>
  <c r="H1269" i="4"/>
  <c r="C1279" i="4"/>
  <c r="C1301" i="4" l="1"/>
  <c r="H1294" i="4"/>
  <c r="H167" i="8" s="1"/>
  <c r="C1312" i="4"/>
  <c r="H1305" i="4"/>
  <c r="H1313" i="4"/>
  <c r="E170" i="8" s="1"/>
  <c r="C1320" i="4"/>
  <c r="C167" i="8"/>
  <c r="H1298" i="4"/>
  <c r="H1279" i="4"/>
  <c r="G165" i="8" s="1"/>
  <c r="H1273" i="4"/>
  <c r="H164" i="8" s="1"/>
  <c r="K164" i="8" s="1"/>
  <c r="C1276" i="4"/>
  <c r="H1320" i="4" l="1"/>
  <c r="E171" i="8" s="1"/>
  <c r="C1327" i="4"/>
  <c r="C169" i="8"/>
  <c r="H1312" i="4"/>
  <c r="C1319" i="4"/>
  <c r="C1326" i="4" s="1"/>
  <c r="C168" i="8"/>
  <c r="C1308" i="4"/>
  <c r="H1301" i="4"/>
  <c r="H168" i="8" s="1"/>
  <c r="H1276" i="4"/>
  <c r="C1286" i="4"/>
  <c r="C1293" i="4" s="1"/>
  <c r="H1327" i="4" l="1"/>
  <c r="E172" i="8" s="1"/>
  <c r="C1334" i="4"/>
  <c r="H1326" i="4"/>
  <c r="C172" i="8" s="1"/>
  <c r="C1333" i="4"/>
  <c r="C170" i="8"/>
  <c r="H1308" i="4"/>
  <c r="H169" i="8" s="1"/>
  <c r="C1315" i="4"/>
  <c r="C1300" i="4"/>
  <c r="H1293" i="4"/>
  <c r="C1297" i="4"/>
  <c r="H1319" i="4"/>
  <c r="H1286" i="4"/>
  <c r="G166" i="8" s="1"/>
  <c r="H1280" i="4"/>
  <c r="H165" i="8" s="1"/>
  <c r="K165" i="8" s="1"/>
  <c r="C1283" i="4"/>
  <c r="H1333" i="4" l="1"/>
  <c r="C1340" i="4"/>
  <c r="C1341" i="4"/>
  <c r="H1334" i="4"/>
  <c r="E173" i="8" s="1"/>
  <c r="H1300" i="4"/>
  <c r="G167" i="8"/>
  <c r="K167" i="8" s="1"/>
  <c r="H1297" i="4"/>
  <c r="C1307" i="4"/>
  <c r="C1304" i="4"/>
  <c r="H1315" i="4"/>
  <c r="H170" i="8" s="1"/>
  <c r="C1322" i="4"/>
  <c r="C171" i="8"/>
  <c r="H1283" i="4"/>
  <c r="H1341" i="4" l="1"/>
  <c r="E174" i="8" s="1"/>
  <c r="C1348" i="4"/>
  <c r="C1347" i="4"/>
  <c r="H1340" i="4"/>
  <c r="C173" i="8"/>
  <c r="K173" i="8" s="1"/>
  <c r="H1322" i="4"/>
  <c r="H171" i="8" s="1"/>
  <c r="C1329" i="4"/>
  <c r="C1336" i="4" s="1"/>
  <c r="G168" i="8"/>
  <c r="K168" i="8" s="1"/>
  <c r="H1304" i="4"/>
  <c r="C1314" i="4"/>
  <c r="H1307" i="4"/>
  <c r="C1311" i="4"/>
  <c r="H1287" i="4"/>
  <c r="C1290" i="4"/>
  <c r="H1348" i="4" l="1"/>
  <c r="E175" i="8" s="1"/>
  <c r="H1347" i="4"/>
  <c r="H1336" i="4"/>
  <c r="C1343" i="4"/>
  <c r="C174" i="8"/>
  <c r="K174" i="8" s="1"/>
  <c r="H1329" i="4"/>
  <c r="C1332" i="4"/>
  <c r="H1314" i="4"/>
  <c r="C1321" i="4"/>
  <c r="C1328" i="4" s="1"/>
  <c r="C1318" i="4"/>
  <c r="H1290" i="4"/>
  <c r="H166" i="8"/>
  <c r="K166" i="8" s="1"/>
  <c r="G169" i="8"/>
  <c r="K169" i="8" s="1"/>
  <c r="H1311" i="4"/>
  <c r="H1354" i="4" l="1"/>
  <c r="C1361" i="4"/>
  <c r="H1343" i="4"/>
  <c r="C1350" i="4"/>
  <c r="H1328" i="4"/>
  <c r="G172" i="8" s="1"/>
  <c r="C1335" i="4"/>
  <c r="C175" i="8"/>
  <c r="K175" i="8" s="1"/>
  <c r="H172" i="8"/>
  <c r="K172" i="8" s="1"/>
  <c r="H1321" i="4"/>
  <c r="C1325" i="4"/>
  <c r="G170" i="8"/>
  <c r="K170" i="8" s="1"/>
  <c r="H1318" i="4"/>
  <c r="H1332" i="4" l="1"/>
  <c r="H1355" i="4"/>
  <c r="C1362" i="4"/>
  <c r="H1362" i="4" s="1"/>
  <c r="C176" i="8"/>
  <c r="K176" i="8" s="1"/>
  <c r="H1350" i="4"/>
  <c r="H1361" i="4"/>
  <c r="H1335" i="4"/>
  <c r="H1339" i="4" s="1"/>
  <c r="C1342" i="4"/>
  <c r="C1339" i="4"/>
  <c r="G171" i="8"/>
  <c r="K171" i="8" s="1"/>
  <c r="H1325" i="4"/>
  <c r="C177" i="8" l="1"/>
  <c r="K177" i="8" s="1"/>
  <c r="C1349" i="4"/>
  <c r="H1342" i="4"/>
  <c r="H1346" i="4" s="1"/>
  <c r="C1346" i="4"/>
  <c r="C1364" i="4" l="1"/>
  <c r="H1364" i="4" s="1"/>
  <c r="H1357" i="4"/>
  <c r="H1349" i="4"/>
  <c r="H1353" i="4" s="1"/>
  <c r="C1353" i="4"/>
  <c r="H1356" i="4" l="1"/>
  <c r="H1360" i="4" s="1"/>
  <c r="C1363" i="4"/>
  <c r="C1360" i="4"/>
  <c r="H1363" i="4" l="1"/>
  <c r="H1367" i="4" s="1"/>
  <c r="C1367" i="4"/>
</calcChain>
</file>

<file path=xl/comments1.xml><?xml version="1.0" encoding="utf-8"?>
<comments xmlns="http://schemas.openxmlformats.org/spreadsheetml/2006/main">
  <authors>
    <author>LENOVO</author>
  </authors>
  <commentList>
    <comment ref="E25" authorId="0">
      <text>
        <r>
          <rPr>
            <sz val="11"/>
            <rFont val="Times New Roman"/>
            <family val="1"/>
          </rPr>
          <t xml:space="preserve">CHANGE DATA IN REPORT 282
</t>
        </r>
      </text>
    </comment>
    <comment ref="E31" authorId="0">
      <text>
        <r>
          <rPr>
            <sz val="9"/>
            <rFont val="Times New Roman"/>
            <family val="1"/>
          </rPr>
          <t xml:space="preserve">CHANGE DATA IN REPORT
</t>
        </r>
      </text>
    </comment>
    <comment ref="G31" authorId="0">
      <text>
        <r>
          <rPr>
            <sz val="9"/>
            <rFont val="Times New Roman"/>
            <family val="1"/>
          </rPr>
          <t xml:space="preserve">OLD REPORT:  18,796,350.00 
</t>
        </r>
      </text>
    </comment>
    <comment ref="E37" authorId="0">
      <text>
        <r>
          <rPr>
            <sz val="9"/>
            <rFont val="Times New Roman"/>
            <family val="1"/>
          </rPr>
          <t xml:space="preserve">122,070550
</t>
        </r>
      </text>
    </comment>
    <comment ref="E106" authorId="0">
      <text>
        <r>
          <rPr>
            <sz val="9"/>
            <rFont val="Times New Roman"/>
            <family val="1"/>
          </rPr>
          <t xml:space="preserve">DETAIL HAD CHANGED !!! 
</t>
        </r>
      </text>
    </comment>
    <comment ref="B131" authorId="0">
      <text>
        <r>
          <rPr>
            <sz val="9"/>
            <rFont val="Times New Roman"/>
            <family val="1"/>
          </rPr>
          <t>REPORT 15.3: VND - PDF FILE/ EDITED</t>
        </r>
      </text>
    </comment>
    <comment ref="B138" authorId="0">
      <text>
        <r>
          <rPr>
            <sz val="9"/>
            <rFont val="Times New Roman"/>
            <family val="1"/>
          </rPr>
          <t>REPORT 15.3: VND - PDF FILE/ EDITED</t>
        </r>
      </text>
    </comment>
    <comment ref="D170" authorId="0">
      <text>
        <r>
          <rPr>
            <sz val="9"/>
            <rFont val="Times New Roman"/>
            <family val="1"/>
          </rPr>
          <t>BORROW FROM mR.lIM</t>
        </r>
      </text>
    </comment>
    <comment ref="C260" authorId="0">
      <text>
        <r>
          <rPr>
            <b/>
            <sz val="14"/>
            <rFont val="Times New Roman"/>
            <family val="1"/>
          </rPr>
          <t>MISS REPORT IN MARCH</t>
        </r>
      </text>
    </comment>
    <comment ref="F302" authorId="0">
      <text>
        <r>
          <rPr>
            <b/>
            <sz val="14"/>
            <rFont val="Times New Roman"/>
            <family val="1"/>
          </rPr>
          <t xml:space="preserve">WRONG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G90" authorId="0">
      <text>
        <r>
          <rPr>
            <b/>
            <sz val="15"/>
            <rFont val="Times New Roman"/>
            <family val="1"/>
          </rPr>
          <t>REPORT 27.3: 50,000,000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H55" authorId="0">
      <text>
        <r>
          <rPr>
            <b/>
            <sz val="14"/>
            <rFont val="Times New Roman"/>
            <family val="1"/>
          </rPr>
          <t xml:space="preserve">REPORT 8.3: 660,000
</t>
        </r>
      </text>
    </comment>
  </commentList>
</comments>
</file>

<file path=xl/sharedStrings.xml><?xml version="1.0" encoding="utf-8"?>
<sst xmlns="http://schemas.openxmlformats.org/spreadsheetml/2006/main" count="12578" uniqueCount="2288">
  <si>
    <t>CASH REMAIN REPORT</t>
  </si>
  <si>
    <t>REPORT BY:</t>
  </si>
  <si>
    <t>YURI</t>
  </si>
  <si>
    <t>DATE</t>
  </si>
  <si>
    <t>HCM OFFICE -VND</t>
  </si>
  <si>
    <t>YOUJIN HP H2 - VND</t>
  </si>
  <si>
    <t>AEON MALL II - USD</t>
  </si>
  <si>
    <t>DOMITORY - VND</t>
  </si>
  <si>
    <t>YOUJIN INNOTEK - VND</t>
  </si>
  <si>
    <t>KL LUMPUA OFFICE - RM</t>
  </si>
  <si>
    <t>SUM CASH REMAIN</t>
  </si>
  <si>
    <t xml:space="preserve">KIMECO </t>
  </si>
  <si>
    <t>KIMECO VINA CONSTRUCTION AND STRUCTURE CO.,LTD</t>
  </si>
  <si>
    <t>Room 403, Ocean Park Building, Dao Duy Anh Street, Phuong Mai Ward, Dong Da District, Ha Noi</t>
  </si>
  <si>
    <t xml:space="preserve">  Steel Structure &amp; Construction</t>
  </si>
  <si>
    <t>TEL : +84-24-6253-7431        Email : kimeco@kimeco.vn         www.kimeco.vn</t>
  </si>
  <si>
    <t>CASH BALANCE SUMMARY</t>
  </si>
  <si>
    <t>COMPANY:</t>
  </si>
  <si>
    <t>KIMECO</t>
  </si>
  <si>
    <t>TIME:</t>
  </si>
  <si>
    <t>RATE</t>
  </si>
  <si>
    <t>NGUYEN THI NGOC QUYEN</t>
  </si>
  <si>
    <t>PROJECT NAME</t>
  </si>
  <si>
    <t xml:space="preserve">LAST MONTH REMAIN </t>
  </si>
  <si>
    <t>SUB TOTAL INPUT</t>
  </si>
  <si>
    <t>SUB TOTAL OUTPUT</t>
  </si>
  <si>
    <t>BANK REMAIN</t>
  </si>
  <si>
    <t>CASH IN HAND</t>
  </si>
  <si>
    <t>PROJECT TOTAL</t>
  </si>
  <si>
    <t>MONTH SUMMARY</t>
  </si>
  <si>
    <t>22.02.2018</t>
  </si>
  <si>
    <t>TOTAL</t>
  </si>
  <si>
    <t>23.02.2018</t>
  </si>
  <si>
    <t>24.02.2018</t>
  </si>
  <si>
    <t>26.02.2018</t>
  </si>
  <si>
    <t>27.02.2018</t>
  </si>
  <si>
    <t>28.02.2018</t>
  </si>
  <si>
    <t>ok</t>
  </si>
  <si>
    <t>FEB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</si>
  <si>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</si>
  <si>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</si>
  <si>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</si>
  <si>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</si>
  <si>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</si>
  <si>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</si>
  <si>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</si>
  <si>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</si>
  <si>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</si>
  <si>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</si>
  <si>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</si>
  <si>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</si>
  <si>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</si>
  <si>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</si>
  <si>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</si>
  <si>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</si>
  <si>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</si>
  <si>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</si>
  <si>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</si>
  <si>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</si>
  <si>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</si>
  <si>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</si>
  <si>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</si>
  <si>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</si>
  <si>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</si>
  <si>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</si>
  <si>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</si>
  <si>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</si>
  <si>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</si>
  <si>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</si>
  <si>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</si>
  <si>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MAR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</si>
  <si>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</si>
  <si>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</si>
  <si>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</si>
  <si>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</si>
  <si>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</si>
  <si>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</si>
  <si>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</si>
  <si>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</si>
  <si>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</si>
  <si>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</si>
  <si>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</si>
  <si>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</si>
  <si>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</si>
  <si>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</si>
  <si>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</si>
  <si>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</si>
  <si>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</si>
  <si>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</si>
  <si>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</si>
  <si>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</si>
  <si>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</si>
  <si>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</si>
  <si>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</si>
  <si>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</si>
  <si>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</si>
  <si>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</si>
  <si>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</si>
  <si>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</si>
  <si>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</si>
  <si>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</si>
  <si>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APRIL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</si>
  <si>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</si>
  <si>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</si>
  <si>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</si>
  <si>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</si>
  <si>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</si>
  <si>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</si>
  <si>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</si>
  <si>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</si>
  <si>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</si>
  <si>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</si>
  <si>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</si>
  <si>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</si>
  <si>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</si>
  <si>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</si>
  <si>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</si>
  <si>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</si>
  <si>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</si>
  <si>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</si>
  <si>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</si>
  <si>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</si>
  <si>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[HCM OFFICE] KIMECO CASH BALANCE SHEET</t>
  </si>
  <si>
    <t xml:space="preserve">    Recorder</t>
  </si>
  <si>
    <t>G/M</t>
  </si>
  <si>
    <t xml:space="preserve">LOCATION: </t>
  </si>
  <si>
    <t>[HCM] KIMECO OFFICE</t>
  </si>
  <si>
    <t xml:space="preserve"> FROM 01 MARCH 2018</t>
  </si>
  <si>
    <t>Recorder:</t>
  </si>
  <si>
    <t>Date</t>
  </si>
  <si>
    <t>COMPANY</t>
  </si>
  <si>
    <t>Project Name</t>
  </si>
  <si>
    <t>STAFF</t>
  </si>
  <si>
    <t>CONTENT</t>
  </si>
  <si>
    <t>INPUT</t>
  </si>
  <si>
    <t>OUTPUT</t>
  </si>
  <si>
    <t>INVOICE</t>
  </si>
  <si>
    <t>REF</t>
  </si>
  <si>
    <t>DAY BEFORE BALANCE</t>
  </si>
  <si>
    <t>21/02</t>
  </si>
  <si>
    <t xml:space="preserve"> HCM OFFICE</t>
  </si>
  <si>
    <t>NT. NGOC QUYEN</t>
  </si>
  <si>
    <t xml:space="preserve">HN OFFICE ADVANCE HCM OFFICE </t>
  </si>
  <si>
    <t>REF No. 128A1820ZCJ6BWYX</t>
  </si>
  <si>
    <t>22/02</t>
  </si>
  <si>
    <t>PHONG VU COMPUTER</t>
  </si>
  <si>
    <t>MODERM WIFI + HANDLING CHARGE</t>
  </si>
  <si>
    <t>VAT</t>
  </si>
  <si>
    <t xml:space="preserve">1,290,000/ INVOICE 0158092 </t>
  </si>
  <si>
    <t>Handling charge (set up moderm)</t>
  </si>
  <si>
    <t>WIFI CABLE</t>
  </si>
  <si>
    <t>65,000/ INVOICE 0160546</t>
  </si>
  <si>
    <t>PHONG VU STAFF</t>
  </si>
  <si>
    <t>Power outlet</t>
  </si>
  <si>
    <t>218,000/ INVOICE 180201</t>
  </si>
  <si>
    <t>Electric wire</t>
  </si>
  <si>
    <t>Electric box</t>
  </si>
  <si>
    <t>Electric plugs</t>
  </si>
  <si>
    <t>Cover wire</t>
  </si>
  <si>
    <t>23/02</t>
  </si>
  <si>
    <t>HOMEPHONE VIETTEL</t>
  </si>
  <si>
    <t>HCM OFFICE</t>
  </si>
  <si>
    <t>HOMEPHONE SERVICE NOV 2017</t>
  </si>
  <si>
    <t>VAT ONLINE</t>
  </si>
  <si>
    <t>INVOICE AY_17E4386387</t>
  </si>
  <si>
    <t>HOMEPHONE SERVICE DEC 2017</t>
  </si>
  <si>
    <t>INVOICE AU_17E3414065</t>
  </si>
  <si>
    <t>HOMEPHONE SERVICE JAN 2018</t>
  </si>
  <si>
    <t xml:space="preserve">INVOICE AV_17E5446066,  </t>
  </si>
  <si>
    <t>27/02</t>
  </si>
  <si>
    <t>NEWLIFE</t>
  </si>
  <si>
    <t>INTERNET DEC 2017</t>
  </si>
  <si>
    <t>UPDATING</t>
  </si>
  <si>
    <t>PAYMENT CODE 00395351</t>
  </si>
  <si>
    <t>INTERNET JAN 2018</t>
  </si>
  <si>
    <t>PAYMENT FEB 2018</t>
  </si>
  <si>
    <t>Coffee, Rice drink</t>
  </si>
  <si>
    <t>8.03.2018</t>
  </si>
  <si>
    <t>Cleaner December</t>
  </si>
  <si>
    <t>Cleaner February</t>
  </si>
  <si>
    <t>Office desk series</t>
  </si>
  <si>
    <t>ELECTRIC</t>
  </si>
  <si>
    <t>INVOICE 008/3/2018</t>
  </si>
  <si>
    <t>9.03.2018</t>
  </si>
  <si>
    <t>BANK FEE</t>
  </si>
  <si>
    <t>TAXI</t>
  </si>
  <si>
    <t>Office desk</t>
  </si>
  <si>
    <t>WATER (4BOTTLES)</t>
  </si>
  <si>
    <t>PARKING FEE</t>
  </si>
  <si>
    <t xml:space="preserve">OFFICE KEY  </t>
  </si>
  <si>
    <t>HOMEPHONE</t>
  </si>
  <si>
    <t>INTERNET</t>
  </si>
  <si>
    <t>DUONG VAN BEO</t>
  </si>
  <si>
    <t>OFFICE ELECTRIC</t>
  </si>
  <si>
    <t>RECYCLE BIN X2 + NYLON BAG</t>
  </si>
  <si>
    <t>INVOICE NO VAT</t>
  </si>
  <si>
    <t>MR.JEONG GIVE MONEY TO TRANSFER</t>
  </si>
  <si>
    <t>TRANSFER TO DO THI THUY TRANG</t>
  </si>
  <si>
    <t>BANK FEE - TRANSFER MONEY</t>
  </si>
  <si>
    <t>DO THI THUY TRANG - AGRIBANK</t>
  </si>
  <si>
    <t>DELIVERY INVOICE TO HN OFFICE</t>
  </si>
  <si>
    <t>PAYMENT MAR 2018</t>
  </si>
  <si>
    <t>CTY CP CONG NGHE THB VIETNAM</t>
  </si>
  <si>
    <t>Laser distance metter</t>
  </si>
  <si>
    <t>Shiper</t>
  </si>
  <si>
    <t>Delivery laser distance metter</t>
  </si>
  <si>
    <t>MR.JEONG</t>
  </si>
  <si>
    <t xml:space="preserve">Advance money from Mr.Jeong </t>
  </si>
  <si>
    <t>Mouse</t>
  </si>
  <si>
    <t>HN OFFICE</t>
  </si>
  <si>
    <t>ADVANCE to pay Mr.Shin salary (Jan 2018)</t>
  </si>
  <si>
    <t>TPBANK</t>
  </si>
  <si>
    <t>FAHASA</t>
  </si>
  <si>
    <t>Pen holder</t>
  </si>
  <si>
    <t xml:space="preserve">Pen </t>
  </si>
  <si>
    <t>Pink CASIO</t>
  </si>
  <si>
    <t>2 FLEXIO - calculator</t>
  </si>
  <si>
    <t>MOBIPHONE</t>
  </si>
  <si>
    <t>MR.SHIN PHONECALL</t>
  </si>
  <si>
    <t>VIETTEL</t>
  </si>
  <si>
    <t>HOMEPHONE OFFICE</t>
  </si>
  <si>
    <t>TAXI FEE TO BANK</t>
  </si>
  <si>
    <t>MR.SHIN</t>
  </si>
  <si>
    <t>Pay salary to Mr.Shin (Jan 2018)</t>
  </si>
  <si>
    <t>withdraw money from TPBANK</t>
  </si>
  <si>
    <t>PAY for Mr.Shin expense 1/4-9/4/2018</t>
  </si>
  <si>
    <t>1/4-9/4/2018</t>
  </si>
  <si>
    <t>TAXI GO BACK OFFICE</t>
  </si>
  <si>
    <t>BANK</t>
  </si>
  <si>
    <t>BANK FEE ( 2times)</t>
  </si>
  <si>
    <t>Mr.Jeong</t>
  </si>
  <si>
    <t>Give back money to Mr.Jeong house</t>
  </si>
  <si>
    <t>CIRCLE k</t>
  </si>
  <si>
    <t>CAFFE</t>
  </si>
  <si>
    <t>MARKET</t>
  </si>
  <si>
    <t>OFFICE STUFF</t>
  </si>
  <si>
    <t>YURI VISA</t>
  </si>
  <si>
    <t>MR.SHIN DRIVING LICENSE</t>
  </si>
  <si>
    <t>FRUIT FOR OFFICE</t>
  </si>
  <si>
    <t>INTERNET MARCH</t>
  </si>
  <si>
    <t>ELECTRIC PAYMENT MARCH</t>
  </si>
  <si>
    <t>BIDV BANK</t>
  </si>
  <si>
    <t>BANK FEE TRANSFER MONEY</t>
  </si>
  <si>
    <t>COOPEXTRA</t>
  </si>
  <si>
    <t>INCHATLUONGCAO</t>
  </si>
  <si>
    <t>MR.SHIN NAMECARD 2 BOXES</t>
  </si>
  <si>
    <t>AHAMOVE</t>
  </si>
  <si>
    <t>DELIVERY NAMECARD</t>
  </si>
  <si>
    <t>DESIGN GROUP</t>
  </si>
  <si>
    <t>DESIGN NAMECARD</t>
  </si>
  <si>
    <t>PAY for Mr.Shin expense 10/4-06/05/2018</t>
  </si>
  <si>
    <t>send letter to HN office</t>
  </si>
  <si>
    <t xml:space="preserve">Advance money To Mr.Jeong </t>
  </si>
  <si>
    <t>cleaner</t>
  </si>
  <si>
    <t>Cleaner April</t>
  </si>
  <si>
    <t>Cleaner March</t>
  </si>
  <si>
    <t>MAY</t>
  </si>
  <si>
    <t>REMAIN</t>
  </si>
  <si>
    <t>BIDV BANK (YURI)</t>
  </si>
  <si>
    <t>VND</t>
  </si>
  <si>
    <t>TP BANK (YURI)</t>
  </si>
  <si>
    <t>Company</t>
  </si>
  <si>
    <t>Project No</t>
  </si>
  <si>
    <t>Staff</t>
  </si>
  <si>
    <t>Invoice status</t>
  </si>
  <si>
    <t>RM</t>
  </si>
  <si>
    <t>A. Day before balance (VND)</t>
  </si>
  <si>
    <t>4/2</t>
  </si>
  <si>
    <t>Tran Trung Kien</t>
  </si>
  <si>
    <t>Youjin HP</t>
  </si>
  <si>
    <t>Payment for buying CO2 welding wire (3 rolls)</t>
  </si>
  <si>
    <t>No invoice</t>
  </si>
  <si>
    <t>Tran Van Quang</t>
  </si>
  <si>
    <t>Payment for buying gasolines, sub material ( welding wire, mũi khoan)</t>
  </si>
  <si>
    <t>6/2</t>
  </si>
  <si>
    <t>Nguyen Trong</t>
  </si>
  <si>
    <t>Payment for buying diesel</t>
  </si>
  <si>
    <t>Included invoice</t>
  </si>
  <si>
    <t>7/2</t>
  </si>
  <si>
    <t>Dormitory</t>
  </si>
  <si>
    <t>Advance for dormitory</t>
  </si>
  <si>
    <t>Tien Manh</t>
  </si>
  <si>
    <t>Payment for O2, Co2</t>
  </si>
  <si>
    <t>Nguyen Thi Kieu</t>
  </si>
  <si>
    <t xml:space="preserve">Payment for buying milk and bread for worker </t>
  </si>
  <si>
    <t>Mr Kim Hong Seob</t>
  </si>
  <si>
    <t>Give cash to Mr Kim Hong Seob</t>
  </si>
  <si>
    <t>9/2</t>
  </si>
  <si>
    <t>Payment for 6 O2, 5 Co2</t>
  </si>
  <si>
    <t>10/2</t>
  </si>
  <si>
    <t>Payment for buying coffee, gasolines and road charge</t>
  </si>
  <si>
    <t>Nguyen Van Tuong</t>
  </si>
  <si>
    <t>Payment for cost in Hanyoung 2 Bac Ninh</t>
  </si>
  <si>
    <t>Payment for buying carbon brush</t>
  </si>
  <si>
    <t>Payment for 6 CO2, 1 Gas</t>
  </si>
  <si>
    <t>11/2</t>
  </si>
  <si>
    <t>Payment for buying diesel and transportation fee</t>
  </si>
  <si>
    <t>Payment for buying cake and drinks for workers</t>
  </si>
  <si>
    <t>12/2</t>
  </si>
  <si>
    <t>Payment for buying sub materials</t>
  </si>
  <si>
    <t>BIDV</t>
  </si>
  <si>
    <t>Payment for withdrawing fee to pay salary by cash</t>
  </si>
  <si>
    <t>Payment for 4 O2, 4 CO2</t>
  </si>
  <si>
    <t>21/2</t>
  </si>
  <si>
    <t>Kimeco</t>
  </si>
  <si>
    <t>Advance for site</t>
  </si>
  <si>
    <t>22/2</t>
  </si>
  <si>
    <t>Payment for meals fee Mr Kim</t>
  </si>
  <si>
    <t>Ng Thi Ha Nhi</t>
  </si>
  <si>
    <t>Payment for buying office supply ( wet tisue, tisue, insecticides)</t>
  </si>
  <si>
    <t>Payment for buying phone cards</t>
  </si>
  <si>
    <t>Payment for gasolines and road charge</t>
  </si>
  <si>
    <t>Payment for buying diesel for dormitory</t>
  </si>
  <si>
    <t>Invoice later</t>
  </si>
  <si>
    <t>23/2</t>
  </si>
  <si>
    <t>Payment for buying sub materials ( chổi than, đầu siết bu lông)</t>
  </si>
  <si>
    <t>24/2</t>
  </si>
  <si>
    <t>Payment for 4 O2, 8 CO2</t>
  </si>
  <si>
    <t>25/2</t>
  </si>
  <si>
    <t>Payment for buying sub materials (dầu nhớt)</t>
  </si>
  <si>
    <t>Payment for buying sub materials (góc vuông, ống dẫn khí máy nén khí)</t>
  </si>
  <si>
    <t>26/2</t>
  </si>
  <si>
    <t>Korean staff</t>
  </si>
  <si>
    <t>Payment for meals fee in March for Korean staffs</t>
  </si>
  <si>
    <t>Payment for withdrawing fee</t>
  </si>
  <si>
    <t>Payment for buying sub materials ( dầu nhớt, cục thở)</t>
  </si>
  <si>
    <t>Payment for buying gasolines and road charge</t>
  </si>
  <si>
    <t>ADD IN REPORT 28.2</t>
  </si>
  <si>
    <t>27/2</t>
  </si>
  <si>
    <t>Payment for buying sub materials (bộ lọc gió, hộp đẩy máy nén khí)</t>
  </si>
  <si>
    <t>Payment for buying 6 O2, 6 CO2, 4 Gas</t>
  </si>
  <si>
    <t>28/2</t>
  </si>
  <si>
    <t>Payment for buying coffee and paper cup</t>
  </si>
  <si>
    <t>Payment for buying steel cable wire</t>
  </si>
  <si>
    <t>Payment for 5 O2</t>
  </si>
  <si>
    <t>1/3</t>
  </si>
  <si>
    <t>Payment for buying office supplies ( giấy ép plastic)</t>
  </si>
  <si>
    <t>Payment for buying bread and milk for workers</t>
  </si>
  <si>
    <t>2/3</t>
  </si>
  <si>
    <t>Payment for 6 O2, 3 CO2</t>
  </si>
  <si>
    <t>Payment for buying sub materials ( dầu nhớt)</t>
  </si>
  <si>
    <t>Vu Dinh Quyet</t>
  </si>
  <si>
    <t>Payment for buying air ticket for Mr Kim Hong Seob</t>
  </si>
  <si>
    <t>3/3</t>
  </si>
  <si>
    <t>Dinh Duc Bien</t>
  </si>
  <si>
    <t>Payment for inspection certificate ( máy tời)</t>
  </si>
  <si>
    <t>Mr Oh Changyeol</t>
  </si>
  <si>
    <t>Payment for dinner with Youjin</t>
  </si>
  <si>
    <t>Payment for 7O2, 3 CO2</t>
  </si>
  <si>
    <t>Payment for lobby to police ( forklift go outside)</t>
  </si>
  <si>
    <t>6/3</t>
  </si>
  <si>
    <t>Advance for worker in Bac Ninh</t>
  </si>
  <si>
    <t>Payment for 9 O2</t>
  </si>
  <si>
    <t>Tran Van Ly</t>
  </si>
  <si>
    <t>Payment for repairing fee of welding machine</t>
  </si>
  <si>
    <t>7/3</t>
  </si>
  <si>
    <t>Payment for gasolines</t>
  </si>
  <si>
    <t>8/3</t>
  </si>
  <si>
    <t>Payment for withdrawing fee and transfering fee</t>
  </si>
  <si>
    <t>Payment for 3 O2, 4 CO2, 3 Gas</t>
  </si>
  <si>
    <t>10/3</t>
  </si>
  <si>
    <t>QSC</t>
  </si>
  <si>
    <t>Payment for inspection certificate ( welding point)</t>
  </si>
  <si>
    <t>Payment for 9 O2, 5 CO2, 1 Gas</t>
  </si>
  <si>
    <t>11/3</t>
  </si>
  <si>
    <t>Payment for repairing fee of machine ( máy nén khí)</t>
  </si>
  <si>
    <t>Payment for meals fee</t>
  </si>
  <si>
    <t>12/3</t>
  </si>
  <si>
    <t>Payment for 9 O2, 5 CO2</t>
  </si>
  <si>
    <t>14/3</t>
  </si>
  <si>
    <t>Payment for buying gasolines</t>
  </si>
  <si>
    <t>Payment for 8 O2, 4 CO2</t>
  </si>
  <si>
    <t>15/3</t>
  </si>
  <si>
    <t>Payment for buying coffee</t>
  </si>
  <si>
    <t>16/3</t>
  </si>
  <si>
    <t>Payment for 7 O2, 3 CO2, 1 Gas</t>
  </si>
  <si>
    <t>17/3</t>
  </si>
  <si>
    <t>19/3</t>
  </si>
  <si>
    <t>Payment for 12 O2, 10 CO2, 2 Gas</t>
  </si>
  <si>
    <t>Cục tần số</t>
  </si>
  <si>
    <t>Payment for registration fee of walkie talkie frequency</t>
  </si>
  <si>
    <t>20/3</t>
  </si>
  <si>
    <t>21/3</t>
  </si>
  <si>
    <t>Payment for buying paper cup</t>
  </si>
  <si>
    <t>22/3</t>
  </si>
  <si>
    <t>23/3</t>
  </si>
  <si>
    <t>Payment for 5 O2, 5 CO2, 1 Gas</t>
  </si>
  <si>
    <t>25/3</t>
  </si>
  <si>
    <t>Payment for 5 O2, 2 CO2, 1 Gas</t>
  </si>
  <si>
    <t>26/3</t>
  </si>
  <si>
    <t>Mr Kim give cash</t>
  </si>
  <si>
    <t>Payment for buying diesel and coffee</t>
  </si>
  <si>
    <t>27/3</t>
  </si>
  <si>
    <t>Payment for buying plastic paper</t>
  </si>
  <si>
    <t xml:space="preserve">Meals fee for Korean in April </t>
  </si>
  <si>
    <t>Mr Kim Yun Soo</t>
  </si>
  <si>
    <t>Salary in Feb</t>
  </si>
  <si>
    <t>Bui Van Bay</t>
  </si>
  <si>
    <t>Lobby for police ( trailer and forklift go outside)</t>
  </si>
  <si>
    <t>Payment for meals fee in April</t>
  </si>
  <si>
    <t>28/3</t>
  </si>
  <si>
    <t>29/3</t>
  </si>
  <si>
    <t>Payment for buying coffee and paper cups</t>
  </si>
  <si>
    <t>30/3</t>
  </si>
  <si>
    <t>Giap Van Hung</t>
  </si>
  <si>
    <t>Payment for taxi fee ( reinstalling walkie talkie)</t>
  </si>
  <si>
    <t>Payment for buying 26 O2, 7 CO2, 2 Gas, 6 Argon</t>
  </si>
  <si>
    <t>Cash</t>
  </si>
  <si>
    <t>31/03</t>
  </si>
  <si>
    <t xml:space="preserve">Nguyễn Thị Kiều </t>
  </si>
  <si>
    <t xml:space="preserve">Payment for card phone </t>
  </si>
  <si>
    <t>Bank</t>
  </si>
  <si>
    <t xml:space="preserve">Nguyễn Văn Hùng </t>
  </si>
  <si>
    <t>Payment for lobby to police</t>
  </si>
  <si>
    <t>Total</t>
  </si>
  <si>
    <t>NONE REPORT</t>
  </si>
  <si>
    <t>ADD FOR CORRECTION</t>
  </si>
  <si>
    <t>01/04</t>
  </si>
  <si>
    <t xml:space="preserve">Tran Van Quang </t>
  </si>
  <si>
    <t>Payment for Buying road charge</t>
  </si>
  <si>
    <t xml:space="preserve">No invoice </t>
  </si>
  <si>
    <t>Add in 9.4</t>
  </si>
  <si>
    <t>02/04</t>
  </si>
  <si>
    <t>Payment for 8 O2 , 1 GAS</t>
  </si>
  <si>
    <t xml:space="preserve">Nguyen Thi Kieu </t>
  </si>
  <si>
    <t>Payment for Paper Cups</t>
  </si>
  <si>
    <t>03/04</t>
  </si>
  <si>
    <t xml:space="preserve">Payment for Buying road charge and Car ticket </t>
  </si>
  <si>
    <t>REPORT 5.4: NONE</t>
  </si>
  <si>
    <t xml:space="preserve">03/04 </t>
  </si>
  <si>
    <t xml:space="preserve">Nguyen Xuan Trieu </t>
  </si>
  <si>
    <t>Payment for Buong &amp; Transportation fee</t>
  </si>
  <si>
    <t xml:space="preserve">Kim Hong Seob </t>
  </si>
  <si>
    <t>04/04</t>
  </si>
  <si>
    <r>
      <rPr>
        <sz val="14"/>
        <color indexed="8"/>
        <rFont val="Arial"/>
        <family val="2"/>
      </rPr>
      <t xml:space="preserve">Payment for buying diesel </t>
    </r>
    <r>
      <rPr>
        <sz val="14"/>
        <color indexed="10"/>
        <rFont val="Arial"/>
        <family val="2"/>
      </rPr>
      <t>( Dormitory)</t>
    </r>
  </si>
  <si>
    <t xml:space="preserve">Payment for crane driver </t>
  </si>
  <si>
    <t>Payment for coffee</t>
  </si>
  <si>
    <t>05/04</t>
  </si>
  <si>
    <t xml:space="preserve">Payment for gasolines </t>
  </si>
  <si>
    <t xml:space="preserve">Payment for 5 CO2 , 2 GAS </t>
  </si>
  <si>
    <t>REPORT 5.4: 34,369,500</t>
  </si>
  <si>
    <t>report 6.4: 5tr</t>
  </si>
  <si>
    <t>Payment for 2 OXI ( Dormitory )</t>
  </si>
  <si>
    <t xml:space="preserve">Tran Trung Kien </t>
  </si>
  <si>
    <t xml:space="preserve">Payment for electric Plug </t>
  </si>
  <si>
    <t>07/04</t>
  </si>
  <si>
    <t xml:space="preserve">Payment for Cord Cuzoa </t>
  </si>
  <si>
    <t xml:space="preserve">Payment for Crane Woonpong </t>
  </si>
  <si>
    <t>08/04</t>
  </si>
  <si>
    <t xml:space="preserve">Payment for 6O2 , 2 GAS </t>
  </si>
  <si>
    <t>08/08</t>
  </si>
  <si>
    <t>Payment for poured concrete</t>
  </si>
  <si>
    <t>09/09</t>
  </si>
  <si>
    <t>Payment for buying chalk ( Phấn đá )</t>
  </si>
  <si>
    <t>10/04</t>
  </si>
  <si>
    <t xml:space="preserve">Payment for 5 CO2 </t>
  </si>
  <si>
    <t>11/04</t>
  </si>
  <si>
    <t>12/04</t>
  </si>
  <si>
    <t>13/04</t>
  </si>
  <si>
    <t>Yeong Han</t>
  </si>
  <si>
    <t xml:space="preserve">Payment for Table lift Yeong Han </t>
  </si>
  <si>
    <t>Payment for buying office supplies ( giấy ép plastic )</t>
  </si>
  <si>
    <t xml:space="preserve">Payment for Buong &amp; Transportation fee </t>
  </si>
  <si>
    <t>14/04</t>
  </si>
  <si>
    <t xml:space="preserve">Bui Dinh Dac </t>
  </si>
  <si>
    <t>Advance salary in April</t>
  </si>
  <si>
    <t xml:space="preserve">Payment for buying Milk and bread for worker </t>
  </si>
  <si>
    <t>16/04</t>
  </si>
  <si>
    <t xml:space="preserve">Bui Van Cuong </t>
  </si>
  <si>
    <t xml:space="preserve">Payment for lobby police </t>
  </si>
  <si>
    <t>17/04</t>
  </si>
  <si>
    <t xml:space="preserve">Payment for 5 O2 , 1 Gas </t>
  </si>
  <si>
    <t>18/04</t>
  </si>
  <si>
    <t xml:space="preserve">Payment for cash phone </t>
  </si>
  <si>
    <t>19/04</t>
  </si>
  <si>
    <t xml:space="preserve">Deposit earnest money </t>
  </si>
  <si>
    <t>20/04</t>
  </si>
  <si>
    <t>Payment for cofee</t>
  </si>
  <si>
    <t>Payment for O2 and  CO2 ( Trả lại ruột O2 và CO2 )</t>
  </si>
  <si>
    <t xml:space="preserve">Payment for Buying Road ang Car ticket </t>
  </si>
  <si>
    <t>23/04</t>
  </si>
  <si>
    <t>24/04</t>
  </si>
  <si>
    <t>Payment for Fix the computer for MR.CHOI ( YOUJIN )</t>
  </si>
  <si>
    <t xml:space="preserve">Paymen for give cash Kim Hong Seob </t>
  </si>
  <si>
    <t>25/04</t>
  </si>
  <si>
    <t xml:space="preserve">Payment for buying road </t>
  </si>
  <si>
    <t>26/04</t>
  </si>
  <si>
    <t>27/04</t>
  </si>
  <si>
    <t>28/04</t>
  </si>
  <si>
    <t xml:space="preserve">Paymen for give cash MR.SON </t>
  </si>
  <si>
    <t>PAYMENT APRIL 2018</t>
  </si>
  <si>
    <t>22/04</t>
  </si>
  <si>
    <t xml:space="preserve">Youjin </t>
  </si>
  <si>
    <t>29/04</t>
  </si>
  <si>
    <t>Payment for buying for road</t>
  </si>
  <si>
    <t>01/05</t>
  </si>
  <si>
    <t>Payment for buying for road and car ticket ( 01.05-04.05.2018)</t>
  </si>
  <si>
    <t>04/05</t>
  </si>
  <si>
    <t xml:space="preserve">Payment for Gasoline </t>
  </si>
  <si>
    <t>08/05</t>
  </si>
  <si>
    <t xml:space="preserve">Payment for Crane Vinaincon </t>
  </si>
  <si>
    <t>09/05</t>
  </si>
  <si>
    <t>10/05</t>
  </si>
  <si>
    <t xml:space="preserve">Payment for Light bulb 1,2m and Parper box </t>
  </si>
  <si>
    <t>15/05</t>
  </si>
  <si>
    <t>Payment for buying for road and car ticket ( 13.05-15.05.2018)</t>
  </si>
  <si>
    <t>17/05</t>
  </si>
  <si>
    <t>Payment for paper box</t>
  </si>
  <si>
    <t>18/05</t>
  </si>
  <si>
    <t xml:space="preserve">Payment for Express charge </t>
  </si>
  <si>
    <t>Payment for housewarming MR.Min Kyung Min ( Mừng lên nhà mới MR.Min )</t>
  </si>
  <si>
    <t xml:space="preserve"> </t>
  </si>
  <si>
    <t>KIMECO VINA</t>
  </si>
  <si>
    <t>DAILY CASH BALANCE SHEET</t>
  </si>
  <si>
    <t>Kimeco KL Office</t>
  </si>
  <si>
    <t xml:space="preserve">  DATE   : </t>
  </si>
  <si>
    <t>RECORDER:</t>
  </si>
  <si>
    <t>ZAHARAH</t>
  </si>
  <si>
    <t>Code</t>
  </si>
  <si>
    <t>company</t>
  </si>
  <si>
    <t>staff</t>
  </si>
  <si>
    <t>INPUT  (RM)</t>
  </si>
  <si>
    <t>OUTPUT (RM)</t>
  </si>
  <si>
    <t>INPUT (VND)</t>
  </si>
  <si>
    <t>OUTPUT (USD)</t>
  </si>
  <si>
    <t>NOTE</t>
  </si>
  <si>
    <t>A. Day before balance (RM)</t>
  </si>
  <si>
    <t>13.03.18</t>
  </si>
  <si>
    <t>RHB ZENO</t>
  </si>
  <si>
    <t>Office</t>
  </si>
  <si>
    <t>FUND TRANSFER FROM RHB ACCOUNT</t>
  </si>
  <si>
    <t>DEPOSIT -KIMECO</t>
  </si>
  <si>
    <t>FROM MR JEONG - DEPOSIT USD 5000</t>
  </si>
  <si>
    <t>15.03.18</t>
  </si>
  <si>
    <t>KIMECO ZENO</t>
  </si>
  <si>
    <t>CAR INSTALLMENT -WC 2568X</t>
  </si>
  <si>
    <t>CAR INSTALLMENT -PICK UP TRUCK</t>
  </si>
  <si>
    <t>15.03.08</t>
  </si>
  <si>
    <t>OFFICE RENTAL</t>
  </si>
  <si>
    <t>WATER DISPENSER</t>
  </si>
  <si>
    <t>SECRETARY FEE</t>
  </si>
  <si>
    <t>19.03.18</t>
  </si>
  <si>
    <t>BIL ELECTRICTY- MISS  HOE HOUSE</t>
  </si>
  <si>
    <t>29.03.18</t>
  </si>
  <si>
    <t>RENTAL OF HOUSE</t>
  </si>
  <si>
    <t>KL OFFICE</t>
  </si>
  <si>
    <t>09.04.18</t>
  </si>
  <si>
    <t>AMIRA</t>
  </si>
  <si>
    <t>STAFF SALARY  MAC 18</t>
  </si>
  <si>
    <t>HALIJA</t>
  </si>
  <si>
    <t>CLEANER FEE MAC 18</t>
  </si>
  <si>
    <t>12.04.18</t>
  </si>
  <si>
    <t>MISS HOE -TOP UP CELCOM</t>
  </si>
  <si>
    <t>BANK CHARGES</t>
  </si>
  <si>
    <t>19.04.18</t>
  </si>
  <si>
    <t>DUPLICATE KEY OFFICE &amp; MISS HOE HOUSE</t>
  </si>
  <si>
    <t>CASH</t>
  </si>
  <si>
    <t>BULB FOR OFFICE</t>
  </si>
  <si>
    <t>MYRA</t>
  </si>
  <si>
    <t>PANTRY ITEM</t>
  </si>
  <si>
    <t>PETROL FOR HYUNDAI CAR</t>
  </si>
  <si>
    <t>24.04.18</t>
  </si>
  <si>
    <t>AMIRA SAZALI- WC2568X HYUNDAI CAR</t>
  </si>
  <si>
    <t>SEOYONG - OFFICE RENTAL</t>
  </si>
  <si>
    <t>SEOYONG - ELECTRIC BIL</t>
  </si>
  <si>
    <t>SCP PARKING- PARKING FEE</t>
  </si>
  <si>
    <t>MAXIS- TELEFON BILL</t>
  </si>
  <si>
    <t xml:space="preserve">CUCKOO INTER. -  DRINKING WATER </t>
  </si>
  <si>
    <t>TELEKOM - TEL &amp; INTERNET FOR OFFICE</t>
  </si>
  <si>
    <t>AMIRA SAZALI</t>
  </si>
  <si>
    <t>BUSINESS CARD</t>
  </si>
  <si>
    <t>25.04.18</t>
  </si>
  <si>
    <t>MR SHIN</t>
  </si>
  <si>
    <t>ALLOWANCE/ADVANCE EXPENSES</t>
  </si>
  <si>
    <t>26.04.18</t>
  </si>
  <si>
    <t>27.04.18</t>
  </si>
  <si>
    <t>PETROL, PARKING, CAR WASH</t>
  </si>
  <si>
    <t>03.05.18</t>
  </si>
  <si>
    <t>ELECTRIC BIL-MISS HOE HOUSE</t>
  </si>
  <si>
    <t xml:space="preserve">BANK </t>
  </si>
  <si>
    <t>04.05.18</t>
  </si>
  <si>
    <t>PARKING FEE-MAY 18</t>
  </si>
  <si>
    <t>07.05.18</t>
  </si>
  <si>
    <t>RECEIVED USD 6900 * 3.918</t>
  </si>
  <si>
    <t>RECEIVED USD 1000 * 3.859</t>
  </si>
  <si>
    <t>SALARY APR 2018</t>
  </si>
  <si>
    <t>CLEANER</t>
  </si>
  <si>
    <t xml:space="preserve">NOOR </t>
  </si>
  <si>
    <t>HOUSE RENTAL (24/4-23/5)</t>
  </si>
  <si>
    <t xml:space="preserve">SEOYONG </t>
  </si>
  <si>
    <t>ELECTRIC BIL FOR OFFICE (24/3-23/4)</t>
  </si>
  <si>
    <t>11.05.18</t>
  </si>
  <si>
    <t xml:space="preserve">ADVANCE EXPENSES FOR MR JUNG </t>
  </si>
  <si>
    <t>14.05.18</t>
  </si>
  <si>
    <t>KWSP DEDUCTION SALARY APR 2018</t>
  </si>
  <si>
    <t>SOCSO DEDUCTION SALARY APR 2018</t>
  </si>
  <si>
    <t>SOCSO -EIS DEDUCTION SALARY APR 2018</t>
  </si>
  <si>
    <t>BUS RETURN TICKET -2 PERSON  KL-JB</t>
  </si>
  <si>
    <t>OFFICE MAINTENANCE -TOILET ITEM</t>
  </si>
  <si>
    <t>15.05.18</t>
  </si>
  <si>
    <t>KWSP DEDUCTION SALARY MAC 2018</t>
  </si>
  <si>
    <t>SOCSO DEDUCTION SALARY MAC 2018</t>
  </si>
  <si>
    <t>SOCSO -EIS DEDUCTION SALARY MAC 2018</t>
  </si>
  <si>
    <t>16.05.18</t>
  </si>
  <si>
    <t>STATIONERY</t>
  </si>
  <si>
    <t>17.05.18</t>
  </si>
  <si>
    <t>OUSTATION CLAIMS- KUANTAN &amp; KUCHING</t>
  </si>
  <si>
    <t>EXPENSES</t>
  </si>
  <si>
    <t xml:space="preserve">              </t>
  </si>
  <si>
    <t>Recorder</t>
  </si>
  <si>
    <t>RECORDER</t>
  </si>
  <si>
    <t xml:space="preserve">Met Srei On </t>
  </si>
  <si>
    <t>Project: AEON Mall 2</t>
  </si>
  <si>
    <t>Status</t>
  </si>
  <si>
    <t>INPUT (USD)</t>
  </si>
  <si>
    <t>OUTPUT (VND)</t>
  </si>
  <si>
    <t>Day before balance</t>
  </si>
  <si>
    <t>1/02</t>
  </si>
  <si>
    <t>Aeon Mall II</t>
  </si>
  <si>
    <t xml:space="preserve">Mr.Lim </t>
  </si>
  <si>
    <t>Payment for dinner on 31/01</t>
  </si>
  <si>
    <t>food</t>
  </si>
  <si>
    <t>Payment for lunch (2persons)</t>
  </si>
  <si>
    <t>Mr.Sophannara</t>
  </si>
  <si>
    <t>Payment for door connection</t>
  </si>
  <si>
    <t>site</t>
  </si>
  <si>
    <t>Payment for cellcard(Mr.Sophannara)</t>
  </si>
  <si>
    <t>phone</t>
  </si>
  <si>
    <t>Mr.Vortana</t>
  </si>
  <si>
    <t>Payment for cellcard(Mr.Vortana)</t>
  </si>
  <si>
    <t>Mr.Sopheaktra</t>
  </si>
  <si>
    <t>Payment for cellcard(Mr.Sopheaktra)</t>
  </si>
  <si>
    <t>Mr.Veasna</t>
  </si>
  <si>
    <t>Payment for cellcard(Mr.Veasna)</t>
  </si>
  <si>
    <t>2/02</t>
  </si>
  <si>
    <t>Mr.Lim</t>
  </si>
  <si>
    <t>Payment for dinner on 1/02</t>
  </si>
  <si>
    <t>Payment for gasoline</t>
  </si>
  <si>
    <t>car</t>
  </si>
  <si>
    <t xml:space="preserve">Payment for beverage </t>
  </si>
  <si>
    <t xml:space="preserve">Payment for water </t>
  </si>
  <si>
    <t>office</t>
  </si>
  <si>
    <t>3/2</t>
  </si>
  <si>
    <t>Payment  for salary staff (Duration:1JAN~31JAN)</t>
  </si>
  <si>
    <t>salary</t>
  </si>
  <si>
    <t>Payment for salary workers (Duration:16JAN~31JAN)</t>
  </si>
  <si>
    <t>Payment for lunch (2persons) on 2/02</t>
  </si>
  <si>
    <t>Payment for dinner (2persons) on 2/02</t>
  </si>
  <si>
    <t>Mr.Udom</t>
  </si>
  <si>
    <t>Payment for advance money to sub_con(Mr.Udom)</t>
  </si>
  <si>
    <t>Payment for marker (17/01)</t>
  </si>
  <si>
    <t>Payment for blade cutter 350mm(17/01)</t>
  </si>
  <si>
    <t>Payment for drill bit 12mm(17/01)</t>
  </si>
  <si>
    <t>Payment for black glasses (17/01)</t>
  </si>
  <si>
    <t>Payment for white glasses(17/01)</t>
  </si>
  <si>
    <t>Payment for screw 3mm(17/01)</t>
  </si>
  <si>
    <t>Payment for screw 2.5mm(17/01)</t>
  </si>
  <si>
    <t>Payment for delivery (17/01)</t>
  </si>
  <si>
    <t>Payment for welding gloves (19/01)</t>
  </si>
  <si>
    <t>Payment for blade cutter 100mm(19/01)</t>
  </si>
  <si>
    <t>Payment for batteries (19/01)</t>
  </si>
  <si>
    <t>Payment for blade grinder(19/01)</t>
  </si>
  <si>
    <t>Payment for gloves (19/01)</t>
  </si>
  <si>
    <t>Payment for join socket (19/01)</t>
  </si>
  <si>
    <t>Payment for drill bit 20mm(19/01)</t>
  </si>
  <si>
    <t xml:space="preserve">Payment for delivery </t>
  </si>
  <si>
    <t>Payment for ceiling net (26/01)</t>
  </si>
  <si>
    <t>Payment for gloves(27/01)</t>
  </si>
  <si>
    <t>Payment for blade cutter 100mm(27/01)</t>
  </si>
  <si>
    <t>Payment for batteries (27/01)</t>
  </si>
  <si>
    <t>Payment for marker (27/01)</t>
  </si>
  <si>
    <t>Payment for drill bit (27/01)</t>
  </si>
  <si>
    <t>Payment for welding nod (30/01)</t>
  </si>
  <si>
    <t>Payment for screw (30/01)</t>
  </si>
  <si>
    <t>Payment for door connection (30/01)</t>
  </si>
  <si>
    <t>Payment for food workers overtime(16/01)</t>
  </si>
  <si>
    <t>Payment for food workers overtime(17/01)</t>
  </si>
  <si>
    <t>Payment for food workers overtime(18/01)</t>
  </si>
  <si>
    <t>Payment for food workers overtime(19/01)</t>
  </si>
  <si>
    <t>Payment for food workers overtime(20/01)</t>
  </si>
  <si>
    <t>Payment for food workers overtime(22/01)</t>
  </si>
  <si>
    <t>Payment for food workers overtime(23/01)</t>
  </si>
  <si>
    <t>Payment for food workers overtime(24/01)</t>
  </si>
  <si>
    <t>Payment for food workers overtime(25/01)</t>
  </si>
  <si>
    <t>Payment for food workers overtime(26/01)</t>
  </si>
  <si>
    <t>Payment for food workers overtime(27/01)</t>
  </si>
  <si>
    <t>Payment for food workers overtime(29/01)</t>
  </si>
  <si>
    <t>Payment for food workers overtime(30/01)</t>
  </si>
  <si>
    <t>5/02</t>
  </si>
  <si>
    <t>Payment for dinner (2 persons) on 03/02</t>
  </si>
  <si>
    <t>Payment for lunch (2 persons) on 04/02</t>
  </si>
  <si>
    <t>Payment for dinner (2 persons) on 04/02</t>
  </si>
  <si>
    <t xml:space="preserve">Payment for tape </t>
  </si>
  <si>
    <t>Payment for bathroom accessories</t>
  </si>
  <si>
    <t xml:space="preserve">Mr.Sopheaktra </t>
  </si>
  <si>
    <t>Payment for cutting motor accessories(3/02)</t>
  </si>
  <si>
    <t>Payment for door connection (small)(3/02)</t>
  </si>
  <si>
    <t>Payment for cloths for cleaning (3/02)</t>
  </si>
  <si>
    <t>Payment for gasoline (4/02)</t>
  </si>
  <si>
    <t>Payment for roller (4/02)</t>
  </si>
  <si>
    <t>Payment for skim plate (4/02)</t>
  </si>
  <si>
    <t>Payment for glue skim 888</t>
  </si>
  <si>
    <t>Payment for skim plate</t>
  </si>
  <si>
    <t>Payment for sanding blade</t>
  </si>
  <si>
    <t>Payment for water</t>
  </si>
  <si>
    <t>6/02</t>
  </si>
  <si>
    <t>Mr.lim</t>
  </si>
  <si>
    <t>Borrow  money from  Mr.Lim</t>
  </si>
  <si>
    <t>Mr.udam</t>
  </si>
  <si>
    <t>Payment for claim money  for sub-con ( Mr. Udam)</t>
  </si>
  <si>
    <t>Payment for foods on 5/02</t>
  </si>
  <si>
    <t xml:space="preserve">food </t>
  </si>
  <si>
    <t>Payment for dinner on 5/02</t>
  </si>
  <si>
    <t xml:space="preserve">Payment for lunch </t>
  </si>
  <si>
    <t>Mr.Vartana</t>
  </si>
  <si>
    <t xml:space="preserve">Payment for paint roller </t>
  </si>
  <si>
    <t>7/02</t>
  </si>
  <si>
    <t>Payment for dinner (2persons) on 6/02</t>
  </si>
  <si>
    <t>Payment for drill motor (Second hand)</t>
  </si>
  <si>
    <t>Payment for cutting machine  (Second hand)</t>
  </si>
  <si>
    <t xml:space="preserve">Payment for stainless steel welding </t>
  </si>
  <si>
    <t>Payment for lock</t>
  </si>
  <si>
    <t>8/02</t>
  </si>
  <si>
    <t xml:space="preserve">Mr.Shin </t>
  </si>
  <si>
    <t>Payment for beverage on 29/01</t>
  </si>
  <si>
    <t>Payment for foods on 2/02</t>
  </si>
  <si>
    <t>Payment for beverage on 2/02</t>
  </si>
  <si>
    <t>Payment for dinner on 2/02</t>
  </si>
  <si>
    <t>Payment for lunch on 7/02</t>
  </si>
  <si>
    <t>Payment for dinner on 7/02</t>
  </si>
  <si>
    <t xml:space="preserve">Payment for dinner </t>
  </si>
  <si>
    <t xml:space="preserve">Payment for lunch (2 persons) </t>
  </si>
  <si>
    <t xml:space="preserve">Payment for broom </t>
  </si>
  <si>
    <t xml:space="preserve">Payment for skim plate </t>
  </si>
  <si>
    <t>9/02</t>
  </si>
  <si>
    <t>Borrow money from Mr.Lim</t>
  </si>
  <si>
    <t>Payment for wast bag</t>
  </si>
  <si>
    <t xml:space="preserve">Payment for delivery wast bag </t>
  </si>
  <si>
    <t xml:space="preserve">Payment for repair cutting motor </t>
  </si>
  <si>
    <t>10/02</t>
  </si>
  <si>
    <t xml:space="preserve">Payment for dinner (2persons)on 08/02 </t>
  </si>
  <si>
    <t xml:space="preserve">Payment for coffee </t>
  </si>
  <si>
    <t>Payment for screw 2.5mm</t>
  </si>
  <si>
    <t xml:space="preserve">site </t>
  </si>
  <si>
    <t>Mr.Vatana</t>
  </si>
  <si>
    <t xml:space="preserve">Payment for wood cutter big </t>
  </si>
  <si>
    <t xml:space="preserve">Payment for wood cutter small </t>
  </si>
  <si>
    <t>12/02</t>
  </si>
  <si>
    <t>Payment for dinner on 9/02 (2persons)</t>
  </si>
  <si>
    <t>Payment for dinner with all staff on 10/02</t>
  </si>
  <si>
    <t>Payment for dinner on 11/02 (2persons)</t>
  </si>
  <si>
    <t>Mr.Shin</t>
  </si>
  <si>
    <t xml:space="preserve">Payment for change air ticket fee </t>
  </si>
  <si>
    <t>Payment for lunch on 9/02 (3persons)</t>
  </si>
  <si>
    <t>Payment for lunch on 10/02 (4persons)</t>
  </si>
  <si>
    <t>Payment for lunch on 11/02 (1persons)</t>
  </si>
  <si>
    <t>Payment for houseware on 11/02</t>
  </si>
  <si>
    <t>Payment for beverage</t>
  </si>
  <si>
    <t xml:space="preserve">Payment for sandpaper </t>
  </si>
  <si>
    <t>13/02</t>
  </si>
  <si>
    <t>Payment for dinner on 12/02 (2persons)</t>
  </si>
  <si>
    <t xml:space="preserve">Payment for repair drill motor </t>
  </si>
  <si>
    <t>Payment for repair cutting motor</t>
  </si>
  <si>
    <t>Payment for cellcard network  wireless(Office)</t>
  </si>
  <si>
    <t>14/02</t>
  </si>
  <si>
    <t>Payment for dinner on 13/02</t>
  </si>
  <si>
    <t>Payment for lunch on 14/02</t>
  </si>
  <si>
    <t>Payment for water fee at accomodation 27/12/2017~10/02/2018</t>
  </si>
  <si>
    <t xml:space="preserve">Payment for glue </t>
  </si>
  <si>
    <t>15/02</t>
  </si>
  <si>
    <t xml:space="preserve">Payment for gasoline </t>
  </si>
  <si>
    <t>16/02</t>
  </si>
  <si>
    <t>Payment for dinner with world space (7 persons) on 14/02</t>
  </si>
  <si>
    <t xml:space="preserve">Payment for locker </t>
  </si>
  <si>
    <t>Payment for wood cutter small</t>
  </si>
  <si>
    <t>17/02</t>
  </si>
  <si>
    <t>19/02</t>
  </si>
  <si>
    <t>Payment for cellcard (Mr.Lim)</t>
  </si>
  <si>
    <t>Met Srei On</t>
  </si>
  <si>
    <t xml:space="preserve">Payment for tax to gavernment on( Jan.2018) </t>
  </si>
  <si>
    <t>tax</t>
  </si>
  <si>
    <t xml:space="preserve">Payment for office rental fee ( Jan.2018) </t>
  </si>
  <si>
    <t>rental</t>
  </si>
  <si>
    <t xml:space="preserve">Payment for audit services fee ( Jan.2018) </t>
  </si>
  <si>
    <t>service</t>
  </si>
  <si>
    <t xml:space="preserve">Mr.Udom </t>
  </si>
  <si>
    <t xml:space="preserve">Payment for sample paint </t>
  </si>
  <si>
    <t>20/02</t>
  </si>
  <si>
    <t>Received money from World Space</t>
  </si>
  <si>
    <t>Payment for borrow money from Mr.Lim</t>
  </si>
  <si>
    <t>loan</t>
  </si>
  <si>
    <t>Payment  for salary staff (Duration:1 Feb~15Feb)</t>
  </si>
  <si>
    <t>'Mr.Lim</t>
  </si>
  <si>
    <t>Payment for salary workers(Duration:1 Feb~15Feb)</t>
  </si>
  <si>
    <t>Payment for drill bit 12mm (2/02)</t>
  </si>
  <si>
    <t>Payment for bit (2/02)</t>
  </si>
  <si>
    <t>Payment for blade cutter 100mm (2/02)</t>
  </si>
  <si>
    <t>Payment for gloves (2/02)</t>
  </si>
  <si>
    <t>Payment for spareblades for cutter (2/02)</t>
  </si>
  <si>
    <t>Payment for paint brush (5/02)</t>
  </si>
  <si>
    <t>Payment for mask (5/02)</t>
  </si>
  <si>
    <t>Payment for blade grinder (5/02)</t>
  </si>
  <si>
    <t>Payment for warning tape (5/02)</t>
  </si>
  <si>
    <t>Payment for blade cutter 100mm(5/02)</t>
  </si>
  <si>
    <t>Payment for blade cutter 350mm(5/02)</t>
  </si>
  <si>
    <t>Payment for batteries (5/02)</t>
  </si>
  <si>
    <t>Payment for glasses (5/02)</t>
  </si>
  <si>
    <t>Payment for 3 side join socket (5/02)</t>
  </si>
  <si>
    <t>Payment for join socket (5/02)</t>
  </si>
  <si>
    <t>Payment for welding nod (5/02)</t>
  </si>
  <si>
    <t>Payment for gloves(5/02)</t>
  </si>
  <si>
    <t>Payment for screw 3mm(8/02)</t>
  </si>
  <si>
    <t>Payment for screw 2.5mm(8/02)</t>
  </si>
  <si>
    <t>Payment for string line (8/02)</t>
  </si>
  <si>
    <t>Payment for mask (10/02)</t>
  </si>
  <si>
    <t>Payment for welding nod (10/02)</t>
  </si>
  <si>
    <t>Payment for join socket (10/02)</t>
  </si>
  <si>
    <t>Payment for drill bit 12mm (10/02)</t>
  </si>
  <si>
    <t>Payment for bit (10/02)</t>
  </si>
  <si>
    <t>Payment for blade cutter 100mm (13/02)</t>
  </si>
  <si>
    <t>Payment  for marker (13/02)</t>
  </si>
  <si>
    <t>Payment correction pen (13/02)</t>
  </si>
  <si>
    <t>Payment for join socket (13/02)</t>
  </si>
  <si>
    <t>Payment for food workers overtime(1/02)</t>
  </si>
  <si>
    <t>Payment for food workers overtime(2/02)</t>
  </si>
  <si>
    <t>Payment for food workers overtime(5/02)</t>
  </si>
  <si>
    <t>Payment for food workers overtime(6/02)</t>
  </si>
  <si>
    <t>Payment for food workers overtime(7/02)</t>
  </si>
  <si>
    <t>Payment for claim money to sub_con (Mr.Udam)</t>
  </si>
  <si>
    <t>Payment for bolt nut</t>
  </si>
  <si>
    <t xml:space="preserve">office </t>
  </si>
  <si>
    <t>Payment for lunch on 22/02</t>
  </si>
  <si>
    <t>Payment for dinner on 22/02</t>
  </si>
  <si>
    <t>Payment for management fee for accomodation</t>
  </si>
  <si>
    <t>24/02</t>
  </si>
  <si>
    <t xml:space="preserve">Payment for U90 paint </t>
  </si>
  <si>
    <t>Payment for roller paint</t>
  </si>
  <si>
    <t>28/02</t>
  </si>
  <si>
    <t>1/03</t>
  </si>
  <si>
    <t>Payment for dinner ( 2persons) on 26/02</t>
  </si>
  <si>
    <t>Payment for lunch on 27/02</t>
  </si>
  <si>
    <t>Payment for dinner on 27/02</t>
  </si>
  <si>
    <t>Payment for beverage on 27/02</t>
  </si>
  <si>
    <t>Payment for phone card (Mr.shin)</t>
  </si>
  <si>
    <t>Payment for lunch on 28/02</t>
  </si>
  <si>
    <t>Payment for dinner on  28/02</t>
  </si>
  <si>
    <t xml:space="preserve">Payment for paper cup </t>
  </si>
  <si>
    <t>2/03</t>
  </si>
  <si>
    <t>Payment to salary for Mr.Shin (December-2017)</t>
  </si>
  <si>
    <t>Payment to salary for Mr.Lim (November,December -2017)</t>
  </si>
  <si>
    <t xml:space="preserve">Payment for deposit money for printing book </t>
  </si>
  <si>
    <t xml:space="preserve">Payment for catalog design fee </t>
  </si>
  <si>
    <t>Payment for foods on 14/02</t>
  </si>
  <si>
    <t>Payment for dinner on 26/02</t>
  </si>
  <si>
    <t>Payment for lunch 1/03</t>
  </si>
  <si>
    <t>Payment for dinneer (2pesons) on 1/03</t>
  </si>
  <si>
    <t>Payment for foods on 1/03</t>
  </si>
  <si>
    <t>Payment for accommodation rental fee in March 2018</t>
  </si>
  <si>
    <t xml:space="preserve"> rental</t>
  </si>
  <si>
    <t>Payment for car rental fee (from1st Mar 2018~31 Mar 2018)</t>
  </si>
  <si>
    <t>Payment for phone card (Mr.Lim)</t>
  </si>
  <si>
    <t>Payment for cellcard network wireless(Office)</t>
  </si>
  <si>
    <t>Payment for sandpaper</t>
  </si>
  <si>
    <t>3/03</t>
  </si>
  <si>
    <t>Payment for foods on 2/03</t>
  </si>
  <si>
    <t>Payment for dinner (2persons)  on 2/03</t>
  </si>
  <si>
    <t>Payment for lunch</t>
  </si>
  <si>
    <t>Payment for phone card (Mr.Vartana)</t>
  </si>
  <si>
    <t>Payment for phone card (Mr.Sopheaktra)</t>
  </si>
  <si>
    <t>5/03</t>
  </si>
  <si>
    <t>Payment  for salary staff (Duration:1 Feb~28Feb)</t>
  </si>
  <si>
    <t>Payment for salary steel team (Duration:16 Feb~28Feb)</t>
  </si>
  <si>
    <t>'Payment for dinner with Kimeco staff on 03/03</t>
  </si>
  <si>
    <t>Payment for houseware &amp; foods on 04/03</t>
  </si>
  <si>
    <t xml:space="preserve">Payment for lunch(2persons) </t>
  </si>
  <si>
    <t>Payment for service fee for annual tax return for 2017</t>
  </si>
  <si>
    <t>Payment for annual tax return for 2017</t>
  </si>
  <si>
    <t>Payment for blade cutter (27/02)</t>
  </si>
  <si>
    <t>Payment for screw 2.5mm (27/02)</t>
  </si>
  <si>
    <t>Payment for screw 3mm(27/02)</t>
  </si>
  <si>
    <t>Payment for spareblades for cutter (27/02)</t>
  </si>
  <si>
    <t>Payment for string line (27/02)</t>
  </si>
  <si>
    <t>Payment for batteries (27/02)</t>
  </si>
  <si>
    <t>Payment for screw (27/02)</t>
  </si>
  <si>
    <t xml:space="preserve">Payment for dleivery </t>
  </si>
  <si>
    <t>Payment for food workers overtime(26/02)</t>
  </si>
  <si>
    <t>Payment for food workers overtime(27/02)</t>
  </si>
  <si>
    <t>Payment for food workers overtime(28/02)</t>
  </si>
  <si>
    <t>Payment for food workers overtime(1/03)</t>
  </si>
  <si>
    <t>Payment for hospital fee (worker accident  )</t>
  </si>
  <si>
    <t>hospital</t>
  </si>
  <si>
    <t>6/03</t>
  </si>
  <si>
    <t>Payment for dinner (2persons) on 2/03</t>
  </si>
  <si>
    <t>P ayment for houseware on 3/03</t>
  </si>
  <si>
    <t xml:space="preserve">Payment for foods on 4/03 </t>
  </si>
  <si>
    <t xml:space="preserve">Payment for lunch (2persons) </t>
  </si>
  <si>
    <t>Payment for claim money for sub-con(Mr.Udom)</t>
  </si>
  <si>
    <t xml:space="preserve">Payment for drinking water </t>
  </si>
  <si>
    <t xml:space="preserve">Payment for deposit bottle </t>
  </si>
  <si>
    <t>'Payment for bolt nut</t>
  </si>
  <si>
    <t>7/03</t>
  </si>
  <si>
    <t>Payment for dinner (3persons) on 6/03</t>
  </si>
  <si>
    <t xml:space="preserve">Payment for lose on Exchange rate for tax </t>
  </si>
  <si>
    <t>8/03</t>
  </si>
  <si>
    <t xml:space="preserve">Payment for printing book </t>
  </si>
  <si>
    <t>Payment for dinner</t>
  </si>
  <si>
    <t>9/03</t>
  </si>
  <si>
    <t xml:space="preserve">Payment for breakfast </t>
  </si>
  <si>
    <t>Payment for eletric at accommodation from 16/01/2018 to 15/02/2018</t>
  </si>
  <si>
    <t>eletric</t>
  </si>
  <si>
    <t>Payment for annual declaration of Enterprise (moc ) 2018</t>
  </si>
  <si>
    <t>Payment for service charge for annual declaration of Enterprise (moc )</t>
  </si>
  <si>
    <t>'Payment for phone card (Mr.Shin)</t>
  </si>
  <si>
    <t>10/03</t>
  </si>
  <si>
    <t>Payment for foods on 5/03</t>
  </si>
  <si>
    <t>Payment for dinner on 9/03</t>
  </si>
  <si>
    <t>Payment for delivery material(1F~3F) on 9/03</t>
  </si>
  <si>
    <t xml:space="preserve">Payment for repair welding machine </t>
  </si>
  <si>
    <t xml:space="preserve">Payment for carbon brush </t>
  </si>
  <si>
    <t>Payment for hospital fee(worker)</t>
  </si>
  <si>
    <t>Payment for drinking water</t>
  </si>
  <si>
    <t>12/03</t>
  </si>
  <si>
    <t>Payment for lunch on 10/03</t>
  </si>
  <si>
    <t>Payment for dinner on 10/03</t>
  </si>
  <si>
    <t>Payment for breakfast on 11/03</t>
  </si>
  <si>
    <t xml:space="preserve">Payment for houseware </t>
  </si>
  <si>
    <t xml:space="preserve">Payment for delivery material(1F~3F) </t>
  </si>
  <si>
    <t>13/03</t>
  </si>
  <si>
    <t>Payment for management fee for accomodation March 2018</t>
  </si>
  <si>
    <t>14/03</t>
  </si>
  <si>
    <t>Payment for dinner on 13/03</t>
  </si>
  <si>
    <t>15/03</t>
  </si>
  <si>
    <t>Payment for screw 1mm</t>
  </si>
  <si>
    <t>16/03</t>
  </si>
  <si>
    <t xml:space="preserve">Payment for bolt nut </t>
  </si>
  <si>
    <t>17/03</t>
  </si>
  <si>
    <t>Payment dinner on12/03</t>
  </si>
  <si>
    <t>Payment lunch on15/03</t>
  </si>
  <si>
    <t>Payment for dinner  16/03</t>
  </si>
  <si>
    <t>Payment for copy keys (office)</t>
  </si>
  <si>
    <t>Payment for delivery material half day</t>
  </si>
  <si>
    <t>'Payment for delivery material one day on 16/03</t>
  </si>
  <si>
    <t>19/03</t>
  </si>
  <si>
    <t>Payment for beverage on 18/03</t>
  </si>
  <si>
    <t xml:space="preserve">Payment for warehouse </t>
  </si>
  <si>
    <t>Payment for lunch on 12/03</t>
  </si>
  <si>
    <t>Payment for dinner on 17/03</t>
  </si>
  <si>
    <t>Payment for dinner on 18/03</t>
  </si>
  <si>
    <t>'Payment for lunch on 19/03</t>
  </si>
  <si>
    <t xml:space="preserve">Payment for tax to gavernment on( Feb,2018) </t>
  </si>
  <si>
    <t xml:space="preserve">Payment for office rental fee( Feb,2018) </t>
  </si>
  <si>
    <t xml:space="preserve">Payment for monthy tax services fee ( Feb,2018) </t>
  </si>
  <si>
    <t xml:space="preserve">service </t>
  </si>
  <si>
    <t>Payment for internet fee at accomondation from 15/03/18~15/04/18</t>
  </si>
  <si>
    <t xml:space="preserve">internet </t>
  </si>
  <si>
    <t>Payment for internet at accomondation (5months)</t>
  </si>
  <si>
    <t>Payment for refile air for fire extenguisher(2/03)</t>
  </si>
  <si>
    <t>Payment for screw 3mm (6/03)</t>
  </si>
  <si>
    <t>Payment for screw 2.5mm(6/03)</t>
  </si>
  <si>
    <t>Payment for gloves (6/03)</t>
  </si>
  <si>
    <t>Payment for mask (6/03)</t>
  </si>
  <si>
    <t>Payment for blade cutter 350mm(10/03)</t>
  </si>
  <si>
    <t>Payment for blade cutter 100mm(10/03)</t>
  </si>
  <si>
    <t>Payment for marker (10/03)</t>
  </si>
  <si>
    <t>Payment for batteries (10/03)</t>
  </si>
  <si>
    <t>Payment for welding nod (10/03)</t>
  </si>
  <si>
    <t>Payment for helmet (12/03)</t>
  </si>
  <si>
    <t>Payment for safety shoes(12/03)</t>
  </si>
  <si>
    <t>Payment for safety vest (12/03)</t>
  </si>
  <si>
    <t>Payment for delivedy</t>
  </si>
  <si>
    <t>Payment for drill bit 12mm(13/03)</t>
  </si>
  <si>
    <t>Payment for drill bit 10mm(13/03)</t>
  </si>
  <si>
    <t>Payment for paint brush (13/03)</t>
  </si>
  <si>
    <t>Payment for screw 2.5mm(13/03)</t>
  </si>
  <si>
    <t>Payment for screw 23mm(13/03)</t>
  </si>
  <si>
    <t>Paument for sandpaper (13/03)</t>
  </si>
  <si>
    <t>Payment for food workers overtime(2/03)</t>
  </si>
  <si>
    <t>Payment for food workers overtime(7/03)</t>
  </si>
  <si>
    <t>Payment for food workers overtime(8/03)</t>
  </si>
  <si>
    <t>Payment for food workers overtime(9/03)</t>
  </si>
  <si>
    <t>Payment for food workers overtime(12/03)</t>
  </si>
  <si>
    <t>Payment for food workers overtime(13/03)</t>
  </si>
  <si>
    <t>Payment for food workers overtime(14/03)</t>
  </si>
  <si>
    <t>Payment for food workers overtime(15/03)</t>
  </si>
  <si>
    <t>Payment for welding machine (1ea)</t>
  </si>
  <si>
    <t>20/03</t>
  </si>
  <si>
    <t>Payment for salary steel team (Duration:01 Mar~15 Mar)</t>
  </si>
  <si>
    <t>21/03</t>
  </si>
  <si>
    <t>Payment breakfast  on 20/03</t>
  </si>
  <si>
    <t>Payment dinner (4persons) on 20/03</t>
  </si>
  <si>
    <t>22/03</t>
  </si>
  <si>
    <t xml:space="preserve">Receive money from World Space </t>
  </si>
  <si>
    <t>Payment for salary to Mr.Lim (January,February -2018)</t>
  </si>
  <si>
    <t>Payment for dinner on 21/03</t>
  </si>
  <si>
    <t>Payment for beverage &amp; coffee</t>
  </si>
  <si>
    <t>Payment for delivery material</t>
  </si>
  <si>
    <t>23/12</t>
  </si>
  <si>
    <t>Payment for newspaper</t>
  </si>
  <si>
    <t xml:space="preserve">Payment for brush </t>
  </si>
  <si>
    <t>24/03</t>
  </si>
  <si>
    <t>26/03</t>
  </si>
  <si>
    <t>27/03</t>
  </si>
  <si>
    <t>Receive money from  DAEHAN Auto Group exterior works</t>
  </si>
  <si>
    <t>Payment for car rental fee (from 30th March 2018~29th April 2018)</t>
  </si>
  <si>
    <t>Payment for delivery material on 26/03</t>
  </si>
  <si>
    <t>Payment for water fee at accommodation 11/02/2018 to 23/03/2018</t>
  </si>
  <si>
    <t>water</t>
  </si>
  <si>
    <t>Payment for join socket</t>
  </si>
  <si>
    <t>Payment for electric tape</t>
  </si>
  <si>
    <t xml:space="preserve">Payment for wire brush </t>
  </si>
  <si>
    <t>Payment for  spareblades for cutter</t>
  </si>
  <si>
    <t xml:space="preserve">Payment for putting knife </t>
  </si>
  <si>
    <t>Payment for knife holder</t>
  </si>
  <si>
    <t>Payment for wire</t>
  </si>
  <si>
    <t>28/03</t>
  </si>
  <si>
    <t>Payment for lunch (3persons) on 27/03</t>
  </si>
  <si>
    <t>Payment fordinner on 27/03</t>
  </si>
  <si>
    <t>Payment for foods &amp; houseware</t>
  </si>
  <si>
    <t>Payment for accommodation rental fee in April  2018</t>
  </si>
  <si>
    <t xml:space="preserve">Payment for electric fee at accomodation from 16/02/2017~15/03/2018 </t>
  </si>
  <si>
    <t>electric</t>
  </si>
  <si>
    <t>Payment for maintenance key</t>
  </si>
  <si>
    <t>Payment for meter</t>
  </si>
  <si>
    <t>Payment for repair welding machine</t>
  </si>
  <si>
    <t>Payment for repair drill motor</t>
  </si>
  <si>
    <t>Payment for crow bar</t>
  </si>
  <si>
    <t>Payment for hammer</t>
  </si>
  <si>
    <t xml:space="preserve">Payment for warning tape </t>
  </si>
  <si>
    <t xml:space="preserve">Payment for holder </t>
  </si>
  <si>
    <t xml:space="preserve">Payment for paper tape </t>
  </si>
  <si>
    <t xml:space="preserve">Payment for blade cutter </t>
  </si>
  <si>
    <t xml:space="preserve">Payment for delivery material </t>
  </si>
  <si>
    <t>29/03</t>
  </si>
  <si>
    <t>Payment for lunch on 28/03</t>
  </si>
  <si>
    <t>Payment for lunch(2person) on 29/03</t>
  </si>
  <si>
    <t>Payment for handle grap</t>
  </si>
  <si>
    <t>30/03</t>
  </si>
  <si>
    <t>Payment for dinner on 29/03</t>
  </si>
  <si>
    <t xml:space="preserve">Payment for level meter </t>
  </si>
  <si>
    <t>Payment for plaster trowel</t>
  </si>
  <si>
    <t>Payment for plastic trowel</t>
  </si>
  <si>
    <t>Payment for shovel</t>
  </si>
  <si>
    <t xml:space="preserve">Payment for bucket </t>
  </si>
  <si>
    <t xml:space="preserve">Payment for aromatic gasoline </t>
  </si>
  <si>
    <t>Payment for paint</t>
  </si>
  <si>
    <t xml:space="preserve">Payment for roller </t>
  </si>
  <si>
    <t xml:space="preserve">Payement for sandpaper </t>
  </si>
  <si>
    <t xml:space="preserve">Payment for paint </t>
  </si>
  <si>
    <t>Payment delivery material</t>
  </si>
  <si>
    <t>Payment for ice</t>
  </si>
  <si>
    <t>Mr.Liim</t>
  </si>
  <si>
    <t>Payment for beverage on 30/03</t>
  </si>
  <si>
    <t>Payment for lunch 30/03</t>
  </si>
  <si>
    <t>Payment for lunch 31/03</t>
  </si>
  <si>
    <t>Payment for 100x100x1.5mx6m steel</t>
  </si>
  <si>
    <t>Payment for 30x30x1.01L steel</t>
  </si>
  <si>
    <t xml:space="preserve">Payment for cargo fee </t>
  </si>
  <si>
    <t xml:space="preserve">Payment for delivery steel </t>
  </si>
  <si>
    <t>Mr.Udam</t>
  </si>
  <si>
    <t>Payment for advance money to sub-con ( Mr. Udam)</t>
  </si>
  <si>
    <t>Payment for drinking water on 30/03</t>
  </si>
  <si>
    <t>Payment for ice on 30/03</t>
  </si>
  <si>
    <t>Payment for paint on 30/03</t>
  </si>
  <si>
    <t>USD</t>
  </si>
  <si>
    <t>Payment for aromatic gasoline on 30/03</t>
  </si>
  <si>
    <t>2/4</t>
  </si>
  <si>
    <t>Payment for breakfast on 1/04</t>
  </si>
  <si>
    <t>Payment for lunch on 1/04</t>
  </si>
  <si>
    <t>Payment for lunch on 2/04</t>
  </si>
  <si>
    <t>Payment for food workers overtime</t>
  </si>
  <si>
    <t>3/04</t>
  </si>
  <si>
    <t>Payment for foods on 2/04</t>
  </si>
  <si>
    <t>Mr.Sophaktra</t>
  </si>
  <si>
    <t xml:space="preserve">Payment for repair screwing motor </t>
  </si>
  <si>
    <t>Payment for transportation fee to tax company (2way)</t>
  </si>
  <si>
    <t xml:space="preserve">Payment for apply to register labor 2018-170 </t>
  </si>
  <si>
    <t>Payment for apply to request to get Cota+over cota 2018-0110 (Mr.Lim)</t>
  </si>
  <si>
    <t>Payment for apply to get work permit 2018 (Mr.Lim)</t>
  </si>
  <si>
    <t>Payment for work permit tax 2017(Mr.Lim)</t>
  </si>
  <si>
    <t xml:space="preserve">Payment for service to register labor 2018 &amp; apply to get work permit 2018 </t>
  </si>
  <si>
    <t>4/04</t>
  </si>
  <si>
    <t>KR</t>
  </si>
  <si>
    <t>Payment for paint 30/03</t>
  </si>
  <si>
    <t>Payment for knife on 31/03</t>
  </si>
  <si>
    <t>Payment for spareblades for cutter 31/03</t>
  </si>
  <si>
    <t>Payment for drinking water on3103</t>
  </si>
  <si>
    <t>Payment for ice on 31/03</t>
  </si>
  <si>
    <t>Payment for drinking water 1/04</t>
  </si>
  <si>
    <t>Payment for ice1/04</t>
  </si>
  <si>
    <t>Payment for roller on 1/04</t>
  </si>
  <si>
    <t>Payment for aromatic gasoline on 1/04</t>
  </si>
  <si>
    <t>Payment for delivery Garbage 1/04</t>
  </si>
  <si>
    <t>Payment for paint  1/04</t>
  </si>
  <si>
    <t>Payment got glue on 2/04</t>
  </si>
  <si>
    <t>Payment for roller on 2/04</t>
  </si>
  <si>
    <t>Payment for tape on 2/04</t>
  </si>
  <si>
    <t>Payment for paint  on 2/04</t>
  </si>
  <si>
    <t>Payment for trowel on 2/04</t>
  </si>
  <si>
    <t>Payment for concrete grinder on 2/04</t>
  </si>
  <si>
    <t>Payment for sandpaper on 2/04</t>
  </si>
  <si>
    <t>Payment for paint on 03/04</t>
  </si>
  <si>
    <t>Payment for aromatic gasoline on 3/04</t>
  </si>
  <si>
    <t>Payment for dinner (overtime )</t>
  </si>
  <si>
    <t>Payment for 12x14 steel on 3/04</t>
  </si>
  <si>
    <t>Payment for paint NG 5L on 3/04</t>
  </si>
  <si>
    <t>Payment for paint WB 5L  on3/04</t>
  </si>
  <si>
    <t>Payment for hotel fee (2 night)</t>
  </si>
  <si>
    <t>hotel</t>
  </si>
  <si>
    <t>5/04</t>
  </si>
  <si>
    <t>Payment for dinner on 28/03</t>
  </si>
  <si>
    <t>Payment for dinner on 3/04</t>
  </si>
  <si>
    <t xml:space="preserve">Payment for lunch on 5/04 </t>
  </si>
  <si>
    <t>Payment  for salary staff (Duration:1MARCH~31MARCH)</t>
  </si>
  <si>
    <t>Payment  for salary workers (Duration:16MARCH~31MARCH)</t>
  </si>
  <si>
    <t>Payment for delivery materail on 30/03</t>
  </si>
  <si>
    <t>Payment for food workers overtime(16/03)</t>
  </si>
  <si>
    <t>Payment for food workers overtime(19/03)</t>
  </si>
  <si>
    <t>Payment for food workers overtime(20/03)</t>
  </si>
  <si>
    <t>Payment for food workers overtime(21/03)</t>
  </si>
  <si>
    <t>Payment for food workers overtime(22/03)</t>
  </si>
  <si>
    <t>Payment for food workers overtime(26/03)</t>
  </si>
  <si>
    <t>Payment for food workers overtime(27/03)</t>
  </si>
  <si>
    <t>Payment for food workers overtime(28/03)</t>
  </si>
  <si>
    <t>Payment for food workers overtime(29/03)</t>
  </si>
  <si>
    <t>Payment for screw 2.5mm(22/03)</t>
  </si>
  <si>
    <t>Payment for screw 3mm(22/03)</t>
  </si>
  <si>
    <t>Payment for drill bit 12mm(22/03)</t>
  </si>
  <si>
    <t>Payment for brush (22/03)</t>
  </si>
  <si>
    <t>Payment for blade cutter 100mm(22/03)</t>
  </si>
  <si>
    <t>Payment for blade cutter 350mm(22/03)</t>
  </si>
  <si>
    <t>Payment for blade grinder (22/03)</t>
  </si>
  <si>
    <t>Payment for glove(22/03)</t>
  </si>
  <si>
    <t>Payment for welding nod (22/03)</t>
  </si>
  <si>
    <t>Payment for screw 2.5mm(29/03)</t>
  </si>
  <si>
    <t>Payment for screw 3mm(29/03)</t>
  </si>
  <si>
    <t>Payment for blade cutter 100mm(29/03)</t>
  </si>
  <si>
    <t>Payment for Aluminum composite panel</t>
  </si>
  <si>
    <t xml:space="preserve">Payment for bending machine </t>
  </si>
  <si>
    <t xml:space="preserve">Payment for primer paint </t>
  </si>
  <si>
    <t xml:space="preserve">Payment for thinner </t>
  </si>
  <si>
    <t>Paymentt for air flow</t>
  </si>
  <si>
    <t>Paymentt for cans</t>
  </si>
  <si>
    <t>Paymentt for hose</t>
  </si>
  <si>
    <t>Paymentt for Aluminum ladder</t>
  </si>
  <si>
    <t xml:space="preserve">Payment for 25 steel </t>
  </si>
  <si>
    <t xml:space="preserve">Payment for 100steel </t>
  </si>
  <si>
    <t>Payment for delivery steel</t>
  </si>
  <si>
    <t>Payment for paint NG1L</t>
  </si>
  <si>
    <t>Payment for food workers overtime(3/04)</t>
  </si>
  <si>
    <t>Payment for food workers overtime(4/04)</t>
  </si>
  <si>
    <t>Payment for  beverage</t>
  </si>
  <si>
    <t>Payment for lunch (workers)</t>
  </si>
  <si>
    <t>Payment for delivery steel on 5/04</t>
  </si>
  <si>
    <t>Payment for scaffolding on 5/04</t>
  </si>
  <si>
    <t>Payment for delivery materail 4/04</t>
  </si>
  <si>
    <t>6/04</t>
  </si>
  <si>
    <t>Payment for tape</t>
  </si>
  <si>
    <t xml:space="preserve">Payment for spray gun </t>
  </si>
  <si>
    <t>Payment for air compressor pipe</t>
  </si>
  <si>
    <t>Payment for hose</t>
  </si>
  <si>
    <t>Payment for silicone on 4/04</t>
  </si>
  <si>
    <t>Payment for roller on 4/04</t>
  </si>
  <si>
    <t>Payment for cleaning cloths</t>
  </si>
  <si>
    <t>Payment for aromatic gasoline on 4/04</t>
  </si>
  <si>
    <t>Payment for paint on 4/04</t>
  </si>
  <si>
    <t>Payment for tape on 4/04</t>
  </si>
  <si>
    <t>Payment for paper tape</t>
  </si>
  <si>
    <t>Payment for brush on 4/04</t>
  </si>
  <si>
    <t>Payment for skim coat 4/04</t>
  </si>
  <si>
    <t>Payment welding nod</t>
  </si>
  <si>
    <t xml:space="preserve">Payment marker </t>
  </si>
  <si>
    <t>Payment for roller</t>
  </si>
  <si>
    <t>Payment for silicone on 3/04</t>
  </si>
  <si>
    <t>Payment for silicone</t>
  </si>
  <si>
    <t xml:space="preserve">Payment for screw </t>
  </si>
  <si>
    <t>Payment for brush</t>
  </si>
  <si>
    <t>Payment for water &amp; ice</t>
  </si>
  <si>
    <t>Payment for water &amp; ice on 5/04</t>
  </si>
  <si>
    <t>Payment for hospital fee (worker accident)</t>
  </si>
  <si>
    <t>Payment for beverage &amp; water</t>
  </si>
  <si>
    <t>Payment for water &amp; beverage</t>
  </si>
  <si>
    <t>Payment for transportation fee to tax company (2 way)</t>
  </si>
  <si>
    <t xml:space="preserve">Service </t>
  </si>
  <si>
    <t>09/04</t>
  </si>
  <si>
    <t>Payment for beverage &amp; officeware</t>
  </si>
  <si>
    <t>Payment for transpotation materail to Vietnam</t>
  </si>
  <si>
    <t>Payment for medicine(Mr.Lim)</t>
  </si>
  <si>
    <t>Payment for lunch on 9/04</t>
  </si>
  <si>
    <t>Payment for salary cleaner for March 2018</t>
  </si>
  <si>
    <t>Payment for repair motobike</t>
  </si>
  <si>
    <t>Payment for beverage on 08/04</t>
  </si>
  <si>
    <t>Payment for dinner on 09/04</t>
  </si>
  <si>
    <t>Payment for lunch on 06/04</t>
  </si>
  <si>
    <t>Payment for advance money to site</t>
  </si>
  <si>
    <t>Payment for management fee for accomodation for April 2018</t>
  </si>
  <si>
    <t>Payment for lunch with all kimeco staff</t>
  </si>
  <si>
    <t>Payment for advance money for workers</t>
  </si>
  <si>
    <t>Payment for paint NG5L</t>
  </si>
  <si>
    <t xml:space="preserve">Payment for hammer </t>
  </si>
  <si>
    <t>Payment for sika boom 500ml</t>
  </si>
  <si>
    <t>Payment for sand</t>
  </si>
  <si>
    <t xml:space="preserve">Payment for cutter </t>
  </si>
  <si>
    <t>Payment for spareblades for cutter</t>
  </si>
  <si>
    <t xml:space="preserve">Payment for tax to gavernment on( Mar,2018) </t>
  </si>
  <si>
    <t xml:space="preserve">Payment for office rental fee( Mar,2018) </t>
  </si>
  <si>
    <t xml:space="preserve">Payment for monthy tax services fee ( Mar,2018) </t>
  </si>
  <si>
    <t>Payment for lunch (2 persons)</t>
  </si>
  <si>
    <t>Payment for officeware</t>
  </si>
  <si>
    <t>Payment  for salary workers (Duration:1APRIL~15APRIL)</t>
  </si>
  <si>
    <t>Payment for medicine (Mr.Lim)</t>
  </si>
  <si>
    <t>20/05</t>
  </si>
  <si>
    <t>Payment for lunch on 17/04</t>
  </si>
  <si>
    <t xml:space="preserve">Payment for repair grinding machine </t>
  </si>
  <si>
    <t xml:space="preserve">Payment for repair screwing machine </t>
  </si>
  <si>
    <t>Payment  for screw 1.5mm</t>
  </si>
  <si>
    <t>Payment for blade cutter (10/04)</t>
  </si>
  <si>
    <t>Payment for drill bit (10/04)</t>
  </si>
  <si>
    <t>Payement for glove (10/04)</t>
  </si>
  <si>
    <t>Payment for batteries (10/04)</t>
  </si>
  <si>
    <t>Payment for screw 2.5mm (10/04)</t>
  </si>
  <si>
    <t>Payment for screw 3.5mm (10/04)</t>
  </si>
  <si>
    <t>Payment for 3 side joint socket  (10/04)</t>
  </si>
  <si>
    <t>Payment for skim coat powder</t>
  </si>
  <si>
    <t xml:space="preserve">Payment for joint tape </t>
  </si>
  <si>
    <t xml:space="preserve">Payment for newspaper </t>
  </si>
  <si>
    <t>Payment for aromatic gasoline</t>
  </si>
  <si>
    <t>Payment for extension driving license(Mr.Lim)</t>
  </si>
  <si>
    <t>Payment for lunch on 20/04</t>
  </si>
  <si>
    <t>Payment for lunch on 23/04</t>
  </si>
  <si>
    <t>Payment for eraser</t>
  </si>
  <si>
    <t>Payment for spray</t>
  </si>
  <si>
    <t>Payment for lunch on 22/04</t>
  </si>
  <si>
    <t>Payment for lunch (3persons)on 24/04</t>
  </si>
  <si>
    <t>Payment for paint roller</t>
  </si>
  <si>
    <t>Payment for joint skim coat powder</t>
  </si>
  <si>
    <t>Payment for lamp</t>
  </si>
  <si>
    <t>Payment for scale  on 21/04</t>
  </si>
  <si>
    <t>Payment for paint roller 21/04</t>
  </si>
  <si>
    <t>Payment for anchor 21/04</t>
  </si>
  <si>
    <t>Payment for joint socket 21/04</t>
  </si>
  <si>
    <t>Payment for drill bit  21/04</t>
  </si>
  <si>
    <t>Payment for cleaning glass spray on 22/04</t>
  </si>
  <si>
    <t>Payment for paint roller on 23/04</t>
  </si>
  <si>
    <t>Payment for aromatic gasoline  on 23/04</t>
  </si>
  <si>
    <t>Payment for plaster trowel on 23/04</t>
  </si>
  <si>
    <t>Payment for glue skim 888 on 23/04</t>
  </si>
  <si>
    <t>Payment for sandpaper on 23/04</t>
  </si>
  <si>
    <t>Payment for spareblades for cutter  on 23/04</t>
  </si>
  <si>
    <t>Paayment for paint brush on 23/04</t>
  </si>
  <si>
    <t>Payment for newspaper on 23/04</t>
  </si>
  <si>
    <t>Payment for cleaning glass spray on 23/04</t>
  </si>
  <si>
    <t>Payment for paint brush on 24/03</t>
  </si>
  <si>
    <t>Payment for paint roller on 24/04</t>
  </si>
  <si>
    <t>Payment for cleaning glass spray on 24/04</t>
  </si>
  <si>
    <t>Payment for joint tape on 24/04</t>
  </si>
  <si>
    <t>Payment for paper tape on 24/04</t>
  </si>
  <si>
    <t>Payment for screw on 24/04</t>
  </si>
  <si>
    <t>Payment for bucket on 24/04</t>
  </si>
  <si>
    <t>Payment for glue on 25/04</t>
  </si>
  <si>
    <t>Payment for joint tape on 25/04</t>
  </si>
  <si>
    <t>Payment for paint roller on 25/04</t>
  </si>
  <si>
    <t>Payment for scissors on 25/04</t>
  </si>
  <si>
    <t>Payment for beverage &amp; water on 22/04</t>
  </si>
  <si>
    <t>Payment for water on 23/04</t>
  </si>
  <si>
    <t>Payment for beverage on 24/04</t>
  </si>
  <si>
    <t>Payment for lunch on 27/04</t>
  </si>
  <si>
    <t>Payment for dinner on 25/04</t>
  </si>
  <si>
    <t>Payment for dinner on 27/04</t>
  </si>
  <si>
    <t>Payment for lunch on 28/04</t>
  </si>
  <si>
    <t>Payment for car rental fee (from 29 April 2018~29 May 2018)</t>
  </si>
  <si>
    <t>30/04</t>
  </si>
  <si>
    <t>Payment for dinner (2persons) on 28/04</t>
  </si>
  <si>
    <t>Payment for lunch (3persons) on 29/04</t>
  </si>
  <si>
    <t>Payment for dinner (3persons) on 29/04</t>
  </si>
  <si>
    <t>Payment for houseware</t>
  </si>
  <si>
    <t>Payment for breakfast (3 persons) on 30/04</t>
  </si>
  <si>
    <t>Payment for Bus-ticket fee (HO CHI MINH~PHNOM PENH)</t>
  </si>
  <si>
    <t>bus-ticket</t>
  </si>
  <si>
    <t>Payment for Air-ticket fee (MYANMAR~KOREA) for annual holiday</t>
  </si>
  <si>
    <t xml:space="preserve">air-ticket </t>
  </si>
  <si>
    <t>Payment for Air-ticket fee (PHNOM PENH~ HO CHI MINH) on 2nd May 2018</t>
  </si>
  <si>
    <t>Payment for photos (Mr.Shin)</t>
  </si>
  <si>
    <t>Payment for phone card (Mr.Shin) on 28/04</t>
  </si>
  <si>
    <t>Payment for phone card (Mr.Shin) on 30/04</t>
  </si>
  <si>
    <t>Payment for eletric at accommodation from 16/03/2018 to 15/04/2018</t>
  </si>
  <si>
    <t>Payment for silicone on 28/04</t>
  </si>
  <si>
    <t>Payment for glue on 28/04</t>
  </si>
  <si>
    <t>Payment for delivery material on 28/04</t>
  </si>
  <si>
    <t>Payment for screw 1.5mm on 27/04</t>
  </si>
  <si>
    <t>Payment for cleaning for glass spray on 27/04</t>
  </si>
  <si>
    <t>Payment for silicone on 27/04</t>
  </si>
  <si>
    <t>Payment for drinking water on 28/04</t>
  </si>
  <si>
    <t>Payment for drinking water on 29/04</t>
  </si>
  <si>
    <t>Payment for beverage on 29/04</t>
  </si>
  <si>
    <t>1/05</t>
  </si>
  <si>
    <t>2/05</t>
  </si>
  <si>
    <t>Payment for lunch (3persons) on 2/05</t>
  </si>
  <si>
    <t xml:space="preserve">Payment for plastering </t>
  </si>
  <si>
    <t>Payment for floor door closer</t>
  </si>
  <si>
    <t>Payment for pivot hinge</t>
  </si>
  <si>
    <t>Payment for top hinge</t>
  </si>
  <si>
    <t>Payment for bottom hinge</t>
  </si>
  <si>
    <t>Payment for aluminum angle</t>
  </si>
  <si>
    <t>Payment for artificial grass</t>
  </si>
  <si>
    <t>Payment for silicone gun</t>
  </si>
  <si>
    <t>Payment for galvanized steel panel 0.25mm</t>
  </si>
  <si>
    <t>Payment for inox door handle</t>
  </si>
  <si>
    <t>Payment for screwing motor</t>
  </si>
  <si>
    <t>Payment for tempered glass door</t>
  </si>
  <si>
    <t>Payment for delivery</t>
  </si>
  <si>
    <t>Payment for glass</t>
  </si>
  <si>
    <t>3/05</t>
  </si>
  <si>
    <t xml:space="preserve">Payment for silicone </t>
  </si>
  <si>
    <t>Payment for cloths for cleaning glass</t>
  </si>
  <si>
    <t xml:space="preserve">Payment for paint brush </t>
  </si>
  <si>
    <t>Payment for screw 6mm</t>
  </si>
  <si>
    <t>Payment for scissors</t>
  </si>
  <si>
    <t>Payment for beverage &amp; water on 1/05</t>
  </si>
  <si>
    <t>Payment for water on 2/05</t>
  </si>
  <si>
    <t>Payment for beverage on 2/05</t>
  </si>
  <si>
    <t>4/05</t>
  </si>
  <si>
    <t>Payment for dinner on 3/05</t>
  </si>
  <si>
    <t>Mr.Sopheakrta</t>
  </si>
  <si>
    <t>'Payment for waste bag</t>
  </si>
  <si>
    <t>5/05</t>
  </si>
  <si>
    <t>Payment  for salary staffs (Duration:1APRIL~30APRIL)</t>
  </si>
  <si>
    <t>Payment  for salary workers (Duration:16APRIL~30APRIL)</t>
  </si>
  <si>
    <t>7/05</t>
  </si>
  <si>
    <t>8/05</t>
  </si>
  <si>
    <t>Payment for install TV at accomondation(4months)</t>
  </si>
  <si>
    <t>Payment for name card (Mr.Sopheaktra)</t>
  </si>
  <si>
    <t>Payment for paint brush</t>
  </si>
  <si>
    <t xml:space="preserve">Payment for joint waterproof selant </t>
  </si>
  <si>
    <t xml:space="preserve">Payment for waterproof glue </t>
  </si>
  <si>
    <t xml:space="preserve">siter </t>
  </si>
  <si>
    <t>9/05</t>
  </si>
  <si>
    <t>Payment for dinner on 30/04</t>
  </si>
  <si>
    <t>Payment for dinner on 7/05</t>
  </si>
  <si>
    <t>Payment for dinner on 8/05</t>
  </si>
  <si>
    <t>fod</t>
  </si>
  <si>
    <t>11/05</t>
  </si>
  <si>
    <t>Payment for dinner on 10/05</t>
  </si>
  <si>
    <t xml:space="preserve">Payment for tax to gavernment on( April,2018) </t>
  </si>
  <si>
    <t xml:space="preserve">Payment for office rental fee(April,2018) </t>
  </si>
  <si>
    <t xml:space="preserve">Payment for monthy tax services fee ( April,2018) </t>
  </si>
  <si>
    <t>12/05</t>
  </si>
  <si>
    <t>Payment for salary cleaner for April  2018</t>
  </si>
  <si>
    <t>Payment for glass door hinge</t>
  </si>
  <si>
    <t>16/05</t>
  </si>
  <si>
    <t>Payment for houseware &amp; foods</t>
  </si>
  <si>
    <t>Payment for dinner on 15/05</t>
  </si>
  <si>
    <t>Payment for foods</t>
  </si>
  <si>
    <t>Payment for management fee for accomodation for May 2018</t>
  </si>
  <si>
    <t>Service</t>
  </si>
  <si>
    <t>Payment  for salary workers (Duration:1 MAY~15 MAY)</t>
  </si>
  <si>
    <t>VND (Cash)</t>
  </si>
  <si>
    <t>DAILY CASH BALANCE SHEET (YOUJIN INNOTEK 2) - MAY 2018</t>
  </si>
  <si>
    <t>RECORDER : HOANG LE TRANG/ VU THI MAI</t>
  </si>
  <si>
    <t>VŨ THỊ MAI</t>
  </si>
  <si>
    <t>03/02</t>
  </si>
  <si>
    <t>Hà Anh</t>
  </si>
  <si>
    <t>Youjin Innotek 2</t>
  </si>
  <si>
    <t>Nguyễn Văn Đức</t>
  </si>
  <si>
    <t>Payment for diezel (400L)</t>
  </si>
  <si>
    <t xml:space="preserve">Hoàng Lê Trang </t>
  </si>
  <si>
    <t>Hoàng Lê Trang</t>
  </si>
  <si>
    <t>Payment for phone card of Mr Kim JK</t>
  </si>
  <si>
    <t>04/02</t>
  </si>
  <si>
    <t>Mr Lee Sang Jae</t>
  </si>
  <si>
    <t>Payment for dinner and taxi fee of Mr Lee</t>
  </si>
  <si>
    <t>Payment for dinner of crane and forklift operators for working overtime in Jan 2018</t>
  </si>
  <si>
    <t>Trần Văn Quang</t>
  </si>
  <si>
    <t>Payment for washing Sedona car</t>
  </si>
  <si>
    <t>05/02</t>
  </si>
  <si>
    <t>Phạm Văn Cảnh</t>
  </si>
  <si>
    <t>Return the advance on 21/12 and 26/1</t>
  </si>
  <si>
    <t>Hưng Thịnh</t>
  </si>
  <si>
    <t>Payment for inspection of steel bar and sika grout</t>
  </si>
  <si>
    <t>Payment for taxi fee to the lab for steel and sika inspection</t>
  </si>
  <si>
    <t>07/02</t>
  </si>
  <si>
    <t>Arirang</t>
  </si>
  <si>
    <t>Payment for VAT of invoice No. 458 (10% of 5,500,000)</t>
  </si>
  <si>
    <t>Borrow from Mr Lee</t>
  </si>
  <si>
    <t>Payment for lobbying to QC Serveone</t>
  </si>
  <si>
    <t>Payment for stationery (binder clip and file deviders)</t>
  </si>
  <si>
    <t>08/02</t>
  </si>
  <si>
    <t>Mạnh Tiến</t>
  </si>
  <si>
    <t>Payment for oxy (3ea)</t>
  </si>
  <si>
    <t>09/02</t>
  </si>
  <si>
    <t>SQC</t>
  </si>
  <si>
    <t>Payment for inspection of welding joint UT</t>
  </si>
  <si>
    <t>Tây Hà</t>
  </si>
  <si>
    <t>Payment for diezel (85L)</t>
  </si>
  <si>
    <t>11/02</t>
  </si>
  <si>
    <t>Payment for dinner of crane and forklift operators for working overtime in Feb 2018</t>
  </si>
  <si>
    <t>Phạm Văn Hải</t>
  </si>
  <si>
    <t>Payment for transportation fee of safety net fr Nam Dinh to HP on 22/12/2017</t>
  </si>
  <si>
    <t>Phùng Văn Khiên</t>
  </si>
  <si>
    <t>Payment for remain of hospital fee and taxi fee for accident on 25/12/2017</t>
  </si>
  <si>
    <t>Advance cash for site</t>
  </si>
  <si>
    <t xml:space="preserve">Return the loan on 07/02/2018 </t>
  </si>
  <si>
    <t>Payment for gasoline of innova car</t>
  </si>
  <si>
    <t>Payment for coffee and paper cup</t>
  </si>
  <si>
    <t>Mr Kim Jin Kwang</t>
  </si>
  <si>
    <t>Payment for taxi fee from Nội Bài to HP</t>
  </si>
  <si>
    <t>Payment for bonus of Mai, Công and Kiên</t>
  </si>
  <si>
    <t>Vũ Thị Mai</t>
  </si>
  <si>
    <t>Payment for oxy (5ea),gas(2ea),CO2(2ea)</t>
  </si>
  <si>
    <t>Payment for dinner of 12T forklift operators for working overtime in Feb 2018</t>
  </si>
  <si>
    <t>01/03</t>
  </si>
  <si>
    <t>Kerheung Vina</t>
  </si>
  <si>
    <t>Seo Myung Chul</t>
  </si>
  <si>
    <t>Payment for anchor bolts (M24x140= 300 ea, M24×120= 23 ea)</t>
  </si>
  <si>
    <t>Bank fee</t>
  </si>
  <si>
    <t>Nguyễn Văn Trọng</t>
  </si>
  <si>
    <t>Payment for diezel (412 liters)</t>
  </si>
  <si>
    <t>Bùi Xuân Liêm</t>
  </si>
  <si>
    <t>Payment for forklift rental fee</t>
  </si>
  <si>
    <t>Payment for gasolines of innova car</t>
  </si>
  <si>
    <t>Payment for gasolines of sedona car</t>
  </si>
  <si>
    <t>02/03</t>
  </si>
  <si>
    <t>Nguyễn Chí Công</t>
  </si>
  <si>
    <t>Payment for deposit of oxy and Co2 bottles</t>
  </si>
  <si>
    <t>Payment for oxy (10ea) and Co2 (1ea)</t>
  </si>
  <si>
    <t>03/03</t>
  </si>
  <si>
    <t>Payment for allowances of Mr Lee Sang Jae in March 2018</t>
  </si>
  <si>
    <t>Payment for allowances of Mr Kim Jin Kwang in March 2018</t>
  </si>
  <si>
    <t>04/03</t>
  </si>
  <si>
    <t>Payment for phone card of Mr Kim Jin Kwang</t>
  </si>
  <si>
    <t>05/03</t>
  </si>
  <si>
    <t>Payment for pen and mosquito racket for Mr Lee</t>
  </si>
  <si>
    <t>Payment for gasoline of Sedona car</t>
  </si>
  <si>
    <t>06/03</t>
  </si>
  <si>
    <t>Payment for dinner of crane and forklift operators for working OT in Feb 2018</t>
  </si>
  <si>
    <t>Payment for oxy (4ea)</t>
  </si>
  <si>
    <t>oxy</t>
  </si>
  <si>
    <t>Payment for coffee and paper cups</t>
  </si>
  <si>
    <t>Thaco Trường Hải</t>
  </si>
  <si>
    <t>Payment for car Sedona maintenance</t>
  </si>
  <si>
    <t>07/03</t>
  </si>
  <si>
    <t>Viettel post</t>
  </si>
  <si>
    <t>Payment for urgent delivery express passport of Mr Jeong to HCM</t>
  </si>
  <si>
    <t>Payment for oxy (2ea), gas (2ea), CO2 (2ea)</t>
  </si>
  <si>
    <t xml:space="preserve">Kimeco </t>
  </si>
  <si>
    <t>08/03</t>
  </si>
  <si>
    <t>Youjin</t>
  </si>
  <si>
    <t>Mr Kweon</t>
  </si>
  <si>
    <t>Give cash to Mr Kweon</t>
  </si>
  <si>
    <t>Payment for replace 04 tires of car Sedona</t>
  </si>
  <si>
    <t>Payment for tissues and wet tissues</t>
  </si>
  <si>
    <t>09/03</t>
  </si>
  <si>
    <t>Payment for oxy (6ea) and Co2 (2ea)</t>
  </si>
  <si>
    <t>Payment for oxy (5ea), CO2 (2ea), gas (1ea)</t>
  </si>
  <si>
    <t>Payment for oxy (6ea) and gas (3ea)</t>
  </si>
  <si>
    <t>oxy gas</t>
  </si>
  <si>
    <t>Payment for submaterial (mũi khoan từ x 3ea, mũi khoan tâm x1ea)</t>
  </si>
  <si>
    <t>mũi khoan</t>
  </si>
  <si>
    <t>Payment for oxy (5ea)</t>
  </si>
  <si>
    <t>Payment for oxy (6ea)</t>
  </si>
  <si>
    <t>Payment for diezel (200 liters)</t>
  </si>
  <si>
    <t xml:space="preserve">Arirang </t>
  </si>
  <si>
    <t>Payment for lunch of Mr Cho in Feb 2018 and 10% VAT of invoice 485</t>
  </si>
  <si>
    <t>18/03</t>
  </si>
  <si>
    <t>Payment for oxy (4ea) and gas (3ea)</t>
  </si>
  <si>
    <t xml:space="preserve">Payment for oxy (5ea) </t>
  </si>
  <si>
    <t>Payment for oxy (4ea) and CO2 (1ea)</t>
  </si>
  <si>
    <t>23/03</t>
  </si>
  <si>
    <t>Nguyễn Cường</t>
  </si>
  <si>
    <t>Payment for inner and outer socket of impact mc M20 (2sets)</t>
  </si>
  <si>
    <t xml:space="preserve">Payment for transportation fee of TS bolts and socket of impact mc </t>
  </si>
  <si>
    <t>Payment for coffee, paper cup and plastic bag</t>
  </si>
  <si>
    <t>Mr Son Byeong Dae</t>
  </si>
  <si>
    <t>Give cash to Mr Son Byeong Dae</t>
  </si>
  <si>
    <t>Payment for certificates of boomlift and tablelift drivers</t>
  </si>
  <si>
    <t>Give cash to Mr Lee Sang Jae</t>
  </si>
  <si>
    <t>Advance cash to Mr Kim Jin Kwang</t>
  </si>
  <si>
    <t>Payment for allowances of Mr Kim Jin Kwang in April 2018</t>
  </si>
  <si>
    <t>Payment for allowances of Mr Lee Sang Jae  in April 2018</t>
  </si>
  <si>
    <t>Payment for bank fee of returning money (safety net) to office</t>
  </si>
  <si>
    <t>Return the advance on 29/03/2018</t>
  </si>
  <si>
    <t>Payment for dinner with Serveone</t>
  </si>
  <si>
    <t>Paymeny for salary of workers for cutting concrete</t>
  </si>
  <si>
    <t>Payment for expenses of Mr Lee (return invoice of 9,685,000)</t>
  </si>
  <si>
    <t>0'2/04/2018</t>
  </si>
  <si>
    <t>Payment for bread and milk of worker( overtime)</t>
  </si>
  <si>
    <t>02/04/2018</t>
  </si>
  <si>
    <t>Payment for oxy</t>
  </si>
  <si>
    <t>03/04/2018</t>
  </si>
  <si>
    <t>04/04/2018</t>
  </si>
  <si>
    <t>Bùi Văn Lăng</t>
  </si>
  <si>
    <t>Payment for hospital due to accident</t>
  </si>
  <si>
    <t>05/04/2018</t>
  </si>
  <si>
    <t>Payment for gasolines and lunch of Mr Lee Sang Jae</t>
  </si>
  <si>
    <t>Mai An Tôn</t>
  </si>
  <si>
    <t>Payment for lobbying police of cargo crane</t>
  </si>
  <si>
    <t>06/04/2018</t>
  </si>
  <si>
    <t>Trần Thanh Biên</t>
  </si>
  <si>
    <t>Payment for cranr 25T-Tiên Hoàng to unloading store container</t>
  </si>
  <si>
    <t>Thuê cẩu chuyển container kho</t>
  </si>
  <si>
    <t>Payment for dinner with office, worker (with mr.lee)</t>
  </si>
  <si>
    <t>Mr.Kim jin Kwang</t>
  </si>
  <si>
    <t>Mr.Kim jin kwang</t>
  </si>
  <si>
    <t>Payment for drink and dinner with Daejoo mr.kim &amp; kim hong seob</t>
  </si>
  <si>
    <t>9/4/2018</t>
  </si>
  <si>
    <t>Take back money of oxygen cylinder</t>
  </si>
  <si>
    <t>Lấy lại tiền 8 vỏ oxy</t>
  </si>
  <si>
    <t>Payment for taxi fee</t>
  </si>
  <si>
    <t>theo xe oxy lấy tiền</t>
  </si>
  <si>
    <t>11/04/2018</t>
  </si>
  <si>
    <t>16/04/2018</t>
  </si>
  <si>
    <t>Payment for oxy(2ea)</t>
  </si>
  <si>
    <t>17/04/2018</t>
  </si>
  <si>
    <t>REPORT 23.4: 1014300</t>
  </si>
  <si>
    <t>x</t>
  </si>
  <si>
    <t>Payment for taxi fee from ban cau with mr.lee &amp; mr.kwon</t>
  </si>
  <si>
    <t>18/04/2018</t>
  </si>
  <si>
    <t xml:space="preserve"> REPORT 17.4: 0</t>
  </si>
  <si>
    <t>19/04/2018</t>
  </si>
  <si>
    <t>Payment for lunch with mr.lee, mr.kwon</t>
  </si>
  <si>
    <t xml:space="preserve">Payment for electric store </t>
  </si>
  <si>
    <t>điện ở kho đường 10</t>
  </si>
  <si>
    <t>20/4/2018</t>
  </si>
  <si>
    <t>Payment for phone card of Mr.Kim jin kwang</t>
  </si>
  <si>
    <t>Payment for taxi fee of Mr.Kim jin Kwang</t>
  </si>
  <si>
    <t>20/4/2014</t>
  </si>
  <si>
    <t>Payment for oxy (2ea)</t>
  </si>
  <si>
    <t>Payment for lunch of Mr Cho in March 2018 and 10% VAT of invoice 0000006</t>
  </si>
  <si>
    <t>21/04/2018</t>
  </si>
  <si>
    <t>Payment for coffee, note paper, the scissors</t>
  </si>
  <si>
    <t>23/04/2018</t>
  </si>
  <si>
    <t>Payment for dinner with office, worker (with mr.Kim,mr.kwon)</t>
  </si>
  <si>
    <t>24/04/2018</t>
  </si>
  <si>
    <t>Take back money of 4 oxygen bottle and 1 gas bottle</t>
  </si>
  <si>
    <t>Manh Tiến</t>
  </si>
  <si>
    <t>Payment for transportation fee of oxy bottle from INNOTEK to Quan Toan</t>
  </si>
  <si>
    <t xml:space="preserve">Payment for taxi fee </t>
  </si>
  <si>
    <t>27/04/2018</t>
  </si>
  <si>
    <t>Payment for taxi fee to Vietcombank bank (Quán Toan)</t>
  </si>
  <si>
    <t>Payment for allowances of Mr Kim Jin Kwang in May 2018</t>
  </si>
  <si>
    <t>Payment for allowances of Mr Lee Sang Jae  in May 2018</t>
  </si>
  <si>
    <t>Advance cash to Mr Kim Jin Kwang (for April)</t>
  </si>
  <si>
    <t>0'4/05</t>
  </si>
  <si>
    <t>Payment for taxi fee of Mr Kim Jin Kwang</t>
  </si>
  <si>
    <t>Payment for taxi fee to Vietcombank in Quán Toan</t>
  </si>
  <si>
    <t>Payment for express delivery to Youjin office-Ha Noi</t>
  </si>
  <si>
    <t>Lee Sang Jae</t>
  </si>
  <si>
    <t>includeinvoice</t>
  </si>
  <si>
    <t>14/05</t>
  </si>
  <si>
    <t>include invoice</t>
  </si>
  <si>
    <t>Kim Jin Kwang</t>
  </si>
  <si>
    <t>Payment for café</t>
  </si>
  <si>
    <t>Payment for luch with mr Kwon</t>
  </si>
  <si>
    <t>Payment for lunch of Mr Lee Sang Jae</t>
  </si>
  <si>
    <t>Payment for lift and lower fee steel</t>
  </si>
  <si>
    <t>kimeco</t>
  </si>
  <si>
    <t>Payment for café and paper cup,tissue</t>
  </si>
  <si>
    <t>[MR.SHIN] PAYMENT</t>
  </si>
  <si>
    <t>NAME</t>
  </si>
  <si>
    <t xml:space="preserve"> 01/04- 09/04/2018</t>
  </si>
  <si>
    <t>A. DAY BEFORE BALANCE</t>
  </si>
  <si>
    <t>K-MARKET</t>
  </si>
  <si>
    <t>FOODS</t>
  </si>
  <si>
    <t>Invoice</t>
  </si>
  <si>
    <t>PAID 9 APRIL</t>
  </si>
  <si>
    <t>CIRCLE K</t>
  </si>
  <si>
    <t>BEVERAGE</t>
  </si>
  <si>
    <t>SUKIYA</t>
  </si>
  <si>
    <t>LUNCH WITH STAFFS</t>
  </si>
  <si>
    <t>MILANO HOTEL</t>
  </si>
  <si>
    <t>DINNER</t>
  </si>
  <si>
    <t xml:space="preserve">LUNCH </t>
  </si>
  <si>
    <t>S40 SKYGARDEN2 PMH</t>
  </si>
  <si>
    <t>MEAT HEAVEN</t>
  </si>
  <si>
    <t>DINNER WITH HYUNDAI</t>
  </si>
  <si>
    <t>TEPANYAKI</t>
  </si>
  <si>
    <t>ARIRANG</t>
  </si>
  <si>
    <t>JIN SUN DAE</t>
  </si>
  <si>
    <t>DINNER WITH SHINSUNG</t>
  </si>
  <si>
    <t>SINJEON</t>
  </si>
  <si>
    <t>CHAMPONG KING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</si>
  <si>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</si>
  <si>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</si>
  <si>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</si>
  <si>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</si>
  <si>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</si>
  <si>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</si>
  <si>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</si>
  <si>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</si>
  <si>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</si>
  <si>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</si>
  <si>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</si>
  <si>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advance money</t>
  </si>
  <si>
    <t>withdrawn money for mr.Jeong</t>
  </si>
  <si>
    <t>Advance money from HN office</t>
  </si>
  <si>
    <t>Internet April</t>
  </si>
  <si>
    <t>MOBIFONE</t>
  </si>
  <si>
    <t>CHANGE MR.SHIN SIM SET-UP</t>
  </si>
  <si>
    <t>PAYMENT MAY</t>
  </si>
  <si>
    <t>PAYMENT MAY 2018</t>
  </si>
  <si>
    <t>Cleaner June</t>
  </si>
  <si>
    <t>FIX computer</t>
  </si>
  <si>
    <t>JUNE</t>
  </si>
  <si>
    <t>PAYMENT JUNE 2018</t>
  </si>
  <si>
    <t>11.6</t>
  </si>
  <si>
    <t>MRO - HP</t>
  </si>
  <si>
    <t>RECORDER : VŨ THỊ MAI</t>
  </si>
  <si>
    <t>MRO-Hanmaek</t>
  </si>
  <si>
    <t>Advance cash to site</t>
  </si>
  <si>
    <t>Payment for health check (Mr Lee,Mr Kim Jin Kwang, Mr Kim Hong Seob,office)</t>
  </si>
  <si>
    <t>Payment for crane and transportation fee to unloading store container</t>
  </si>
  <si>
    <t>Nguyễn Thi Kiều</t>
  </si>
  <si>
    <t>Nguyễn Thị Kiều</t>
  </si>
  <si>
    <t>Payment for hanmaek logo</t>
  </si>
  <si>
    <t>Payment for Hanoi-Hai Phong toll</t>
  </si>
  <si>
    <t>lệ phí cầu đường</t>
  </si>
  <si>
    <t>21/05</t>
  </si>
  <si>
    <t>Tiến Cường</t>
  </si>
  <si>
    <t>Payment for crane fee to anchor bolt</t>
  </si>
  <si>
    <t>22/05</t>
  </si>
  <si>
    <t>Payment for toll</t>
  </si>
  <si>
    <t>24/05</t>
  </si>
  <si>
    <t>Internet</t>
  </si>
  <si>
    <t>Vũ Văn Cường</t>
  </si>
  <si>
    <t>Payment for internet install and rental fee</t>
  </si>
  <si>
    <t>Lắp đặt và phí su dung tháng 30/6/2018</t>
  </si>
  <si>
    <t>Payment for deposit of oxy bottle (2 ea) and gas bottle (1ea)</t>
  </si>
  <si>
    <t>Payment for Ha Noi-Hai Phong toll</t>
  </si>
  <si>
    <t>25/05</t>
  </si>
  <si>
    <t>Payment for waste box(1ea),power meter(1ea),notebook(3ea)</t>
  </si>
  <si>
    <t>26/05</t>
  </si>
  <si>
    <t>Payment for Soda</t>
  </si>
  <si>
    <t>INNOTEK</t>
  </si>
  <si>
    <t>MRO</t>
  </si>
  <si>
    <t>Transfer cash  from INNOTEK to MRO</t>
  </si>
  <si>
    <t>Payment for crane fee to unloading office container from INNOTEK to MRO</t>
  </si>
  <si>
    <t>Payment for crane and transportation fee to iron carge from INNOTEK to MRO on 24/05/2018</t>
  </si>
  <si>
    <t>27/05</t>
  </si>
  <si>
    <t>Payment for ruler clamp and parking fee</t>
  </si>
  <si>
    <t>Payment for toll (Thiên Trường company)</t>
  </si>
  <si>
    <t>Payment for gasolines of innova car (Thiên Trường company)</t>
  </si>
  <si>
    <t>Payment for 10% VAT of invoice No: 0000034</t>
  </si>
  <si>
    <t>28/05</t>
  </si>
  <si>
    <t>Payment for the aircondition battery and key</t>
  </si>
  <si>
    <t>Payment for internet lines, plastic,pen,clear bag</t>
  </si>
  <si>
    <t>30/05</t>
  </si>
  <si>
    <t>Payment for gasolines of innova car (Hà Nội)</t>
  </si>
  <si>
    <t>Payment for Hải Phòng-Hà Nội toll</t>
  </si>
  <si>
    <t>Hà Chang</t>
  </si>
  <si>
    <t>An Thanh Hà</t>
  </si>
  <si>
    <t xml:space="preserve">Payment for deposit of 12 water bottle </t>
  </si>
  <si>
    <t>đặt cọc 12 vỏ bình nước</t>
  </si>
  <si>
    <t>31/05</t>
  </si>
  <si>
    <t>Payment for tissue,paper cup, café,sandal</t>
  </si>
  <si>
    <t xml:space="preserve">Payment for crane driver fee to unloading goods </t>
  </si>
  <si>
    <t>Thân Minh Phượng</t>
  </si>
  <si>
    <t>Payment for screws</t>
  </si>
  <si>
    <t>19/05</t>
  </si>
  <si>
    <t xml:space="preserve">Payment for meals fee YOUJIN </t>
  </si>
  <si>
    <t xml:space="preserve">Son Byeong Dae </t>
  </si>
  <si>
    <t>Payment fo (Gia công ắc Kho 10 )</t>
  </si>
  <si>
    <t xml:space="preserve">Payment for meals fee Hanmaek </t>
  </si>
  <si>
    <t>23/05</t>
  </si>
  <si>
    <t xml:space="preserve">Payment for meals fee </t>
  </si>
  <si>
    <t>Payment for Lever arch file A4 ( còng file A4 )</t>
  </si>
  <si>
    <t>Payment for give cash MR.Shin Chang Woo</t>
  </si>
  <si>
    <t>NTHI KIEU</t>
  </si>
  <si>
    <t>RECORDER : NGUYEN THI KIEU</t>
  </si>
  <si>
    <t>22.05.18</t>
  </si>
  <si>
    <t>MAXIS - BILL 17 APR 18</t>
  </si>
  <si>
    <t>INTERNET /FAX/TEL - 23 APR</t>
  </si>
  <si>
    <t>DRINKING WATER</t>
  </si>
  <si>
    <t xml:space="preserve">ZENO GLOBAL </t>
  </si>
  <si>
    <t>PAID BACK FOR OFFICE RENTAL -MAR 18</t>
  </si>
  <si>
    <t>Payment  for gasoline on 04/04</t>
  </si>
  <si>
    <t xml:space="preserve">Payment  for gasoline </t>
  </si>
  <si>
    <t>Payment for lunch (4persons)</t>
  </si>
  <si>
    <t>Receive money from Art Base</t>
  </si>
  <si>
    <t>Payment  for salary staffs(Duration:1MAY~31MAY)</t>
  </si>
  <si>
    <t>Payment for salary to Mr.Lim (March,April -2018)</t>
  </si>
  <si>
    <t>Payment for eletric at accommodation from 16/04/2018 to 15/05/2018</t>
  </si>
  <si>
    <t>grab</t>
  </si>
  <si>
    <t>Delivery key to office (Mr.Chuc)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</si>
  <si>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</si>
  <si>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</si>
  <si>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</si>
  <si>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</si>
  <si>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</si>
  <si>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</si>
  <si>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</si>
  <si>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</si>
  <si>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</si>
  <si>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</si>
  <si>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</si>
  <si>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</si>
  <si>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</si>
  <si>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</si>
  <si>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</si>
  <si>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15.06.2019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</si>
  <si>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</si>
  <si>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</si>
  <si>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</si>
  <si>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</si>
  <si>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</si>
  <si>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</si>
  <si>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</si>
  <si>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</si>
  <si>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</si>
  <si>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</si>
  <si>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</si>
  <si>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</si>
  <si>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</si>
  <si>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</si>
  <si>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</si>
  <si>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</si>
  <si>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</si>
  <si>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</si>
  <si>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5.7</t>
  </si>
  <si>
    <t>JULY</t>
  </si>
  <si>
    <t>PAYMENT JULY 2018</t>
  </si>
  <si>
    <t>LAVIE</t>
  </si>
  <si>
    <t>NT.NGOC QUYEN</t>
  </si>
  <si>
    <t>WATER X4 BOTTLES</t>
  </si>
  <si>
    <t>01/06</t>
  </si>
  <si>
    <t>Payment for allowances of Mr Lee Sang Jae in June 2018</t>
  </si>
  <si>
    <t xml:space="preserve">Mr Kim Jin Kwang </t>
  </si>
  <si>
    <t>Payment for allowances of Mr Kim Jin Kwang in June 2018</t>
  </si>
  <si>
    <t>Payment for printing A1 drawing</t>
  </si>
  <si>
    <t>Payment for card phone of Mr Kim Jin Kwang</t>
  </si>
  <si>
    <t>03/06</t>
  </si>
  <si>
    <t>04/06</t>
  </si>
  <si>
    <t>Payment for Hai Phong-Ha Noi toll</t>
  </si>
  <si>
    <t>Payment for gasolines of innova car (invoice No:0001633)</t>
  </si>
  <si>
    <t>Include invoice</t>
  </si>
  <si>
    <t>05/06</t>
  </si>
  <si>
    <t>Payment for printing card visit and magnifying glass of Mr Lee</t>
  </si>
  <si>
    <t>06/06</t>
  </si>
  <si>
    <t>Trâm Anh</t>
  </si>
  <si>
    <t>Payment for iron</t>
  </si>
  <si>
    <t>07/06</t>
  </si>
  <si>
    <t>Trân Văn Quang</t>
  </si>
  <si>
    <t>Payment for toll (Thien Truong company)</t>
  </si>
  <si>
    <t>Payment for gasolines of innova car in Thien Truong (invoice No:0039240)</t>
  </si>
  <si>
    <t>Payment for dinner with Serveone(3 person) and Hanmaek (1person)</t>
  </si>
  <si>
    <t>Payment for CO2 bottle (2ea)</t>
  </si>
  <si>
    <t>08/06</t>
  </si>
  <si>
    <t xml:space="preserve">Payment for gasolines of innova car in Thien Truong (invoice No:0040473) </t>
  </si>
  <si>
    <t>Payment for rubber</t>
  </si>
  <si>
    <t>đế cao su</t>
  </si>
  <si>
    <t>Payment for express delivery to Kimeco office and keys coppy</t>
  </si>
  <si>
    <t>LG Display-H2</t>
  </si>
  <si>
    <t>Transfer cash from LG Display-H2 to MRO</t>
  </si>
  <si>
    <t>11/06</t>
  </si>
  <si>
    <t>Payment for Hai Phong-Ha Noi toll and Noi Bai parking fee</t>
  </si>
  <si>
    <t>Payment for gasolines of innova car (invoice No:0002047)</t>
  </si>
  <si>
    <t>Payment for clinch</t>
  </si>
  <si>
    <t>móc sắt</t>
  </si>
  <si>
    <t xml:space="preserve">Payment for pencil(2ea) and waste oil </t>
  </si>
  <si>
    <t>Payment for oxy bottle(2ea) and gas(1ea)</t>
  </si>
  <si>
    <t>13/06</t>
  </si>
  <si>
    <t>Payment for transportation fee to iron</t>
  </si>
  <si>
    <t>vạn chuyển thep V ra kho đường 10</t>
  </si>
  <si>
    <t>Payment for lunch with Hanmaek (2 person)</t>
  </si>
  <si>
    <t>Payment for gasolines of innova car (invoice No:0042608)</t>
  </si>
  <si>
    <t>14/06</t>
  </si>
  <si>
    <t xml:space="preserve">Payment for oxy bottle(2ea) </t>
  </si>
  <si>
    <t>15/06</t>
  </si>
  <si>
    <t>Payment for gasolines of innova car (invoice No:0044607)</t>
  </si>
  <si>
    <t>Payment for glass of water</t>
  </si>
  <si>
    <t>Mr Son</t>
  </si>
  <si>
    <t xml:space="preserve">Payment for wood </t>
  </si>
  <si>
    <t>16/06</t>
  </si>
  <si>
    <t>Payment for paper cup</t>
  </si>
  <si>
    <t>19/06</t>
  </si>
  <si>
    <t>Payment for diezel(200liters) (invoice No: 0046396)</t>
  </si>
  <si>
    <t>Payment for gasolines of innova car (invoice No:0045778)</t>
  </si>
  <si>
    <t>Payment for oxy bottle (2ea)</t>
  </si>
  <si>
    <t>Đậu Thị Huyền Thương</t>
  </si>
  <si>
    <t>Payment for ice water of worker</t>
  </si>
  <si>
    <t>20/06</t>
  </si>
  <si>
    <t>Borrow from Mr Lee Sang Jae</t>
  </si>
  <si>
    <t>Payment for deposit of CO2 bottle (2 ea) and CO2 bottle (2ea)</t>
  </si>
  <si>
    <t>đặt cọc vỏ CO2(2ea)</t>
  </si>
  <si>
    <t>Đai Dương smart</t>
  </si>
  <si>
    <t>Đại Dương smart</t>
  </si>
  <si>
    <t>Payment for camera and camera install fee</t>
  </si>
  <si>
    <t>22/06</t>
  </si>
  <si>
    <t>23/06</t>
  </si>
  <si>
    <t>25/06</t>
  </si>
  <si>
    <t>26/06</t>
  </si>
  <si>
    <t>Payment for wire rofe clip (200ea)</t>
  </si>
  <si>
    <t>Payment for electric store fee on 10th street</t>
  </si>
  <si>
    <t>Payment for gasolines of innova car (invoice No:0048391)</t>
  </si>
  <si>
    <t>Payment for gasolines of innova car (invoice No: 0050078)</t>
  </si>
  <si>
    <t>Return cash for Mr Lee Sang Jae on 20/06</t>
  </si>
  <si>
    <t>Payment for card phone of Mr Kim Hong Seob</t>
  </si>
  <si>
    <t>27/06</t>
  </si>
  <si>
    <t>Advance cash to Mr Kim Hong Seob</t>
  </si>
  <si>
    <t>Tạm ưng lương</t>
  </si>
  <si>
    <t>Advance cash to Mr Lee Sang Jae</t>
  </si>
  <si>
    <t>29/06</t>
  </si>
  <si>
    <t>Payment for toll (Thien Truong company) on 25/06</t>
  </si>
  <si>
    <t>Payment for toll (Thiên Truong company) on 27/06</t>
  </si>
  <si>
    <t>Payment for toll (Thien Truong company) on 28/06</t>
  </si>
  <si>
    <t>Payment for gasolines of innova car (invoice No:0051746)</t>
  </si>
  <si>
    <t>Payment for gasolines of innova car (invoice No:0053584)</t>
  </si>
  <si>
    <t>30/06</t>
  </si>
  <si>
    <t>Payment for A4-A3 plastic</t>
  </si>
  <si>
    <t>Payment for gasolines of innova car (invoice No: 0055334)</t>
  </si>
  <si>
    <t>PAYMENT JUNE</t>
  </si>
  <si>
    <t>PAYMENT JULY</t>
  </si>
  <si>
    <t>DAWON - H1</t>
  </si>
  <si>
    <t xml:space="preserve">RECORDER : NGUYEN THI KIEU </t>
  </si>
  <si>
    <t xml:space="preserve">REMAEK </t>
  </si>
  <si>
    <t>Lim Wan Soo</t>
  </si>
  <si>
    <t xml:space="preserve">DAWON </t>
  </si>
  <si>
    <t>Payment for Lim Wan Soo ( IMMIGRATION FEES )</t>
  </si>
  <si>
    <t xml:space="preserve">Advance for site </t>
  </si>
  <si>
    <t xml:space="preserve">Payment for Sandals and Orange Juice </t>
  </si>
  <si>
    <t xml:space="preserve">Payment for A4 Paper </t>
  </si>
  <si>
    <t xml:space="preserve">KIM YUN SOO </t>
  </si>
  <si>
    <t>Payment money for meals ( SHIN CHANG WOO , KIM YUN SOO , LIM WAN SOO)</t>
  </si>
  <si>
    <t xml:space="preserve">Payment for Coffee and Paper cup </t>
  </si>
  <si>
    <t xml:space="preserve">Payment for Office Kosca </t>
  </si>
  <si>
    <t xml:space="preserve">Payment for ( Lập là Innox5x30x2400) </t>
  </si>
  <si>
    <t>Payment for Kim Yun  Soo ( IMMIGRATION FEES and TAXI )</t>
  </si>
  <si>
    <t>17/06</t>
  </si>
  <si>
    <t xml:space="preserve">Phạm Hoai Nam </t>
  </si>
  <si>
    <t xml:space="preserve">Payment for STEEL and Transport </t>
  </si>
  <si>
    <t>18/06</t>
  </si>
  <si>
    <t xml:space="preserve">Payment for Lever arch file A4 </t>
  </si>
  <si>
    <t>Payment for Paper box</t>
  </si>
  <si>
    <t>21/06</t>
  </si>
  <si>
    <t>Payment for ( nở sắt phi 18 x 8cm )</t>
  </si>
  <si>
    <t>Payment for ( ECU 12 &amp; Nối ren M12 )</t>
  </si>
  <si>
    <t>Payment for ( Ke Vuông 45 độ )</t>
  </si>
  <si>
    <t>28/06</t>
  </si>
  <si>
    <t>Payment for coffe</t>
  </si>
  <si>
    <t>02/07</t>
  </si>
  <si>
    <t>DAWON</t>
  </si>
  <si>
    <t>Payment for Phone Card LIM WAN SOO</t>
  </si>
  <si>
    <t xml:space="preserve">Pham Hoai Nam </t>
  </si>
  <si>
    <t>Payment for Beam Clamp and Transport</t>
  </si>
  <si>
    <t>03/08</t>
  </si>
  <si>
    <t>Payment for give cash SHIN CHANG WOO</t>
  </si>
  <si>
    <t xml:space="preserve">Payment for Coca Cola </t>
  </si>
  <si>
    <t>DAILY CASH BALANCE SHEET (MRO-HANMAEK) - JULY 2018</t>
  </si>
  <si>
    <t>01/07</t>
  </si>
  <si>
    <t>Payment for ice water</t>
  </si>
  <si>
    <t>Payment for diezel (200 liter) (invoice No:0002607)</t>
  </si>
  <si>
    <t>03/07</t>
  </si>
  <si>
    <t>Payment for bread and milk for worker</t>
  </si>
  <si>
    <t xml:space="preserve">làm thông trưa </t>
  </si>
  <si>
    <t>1/06</t>
  </si>
  <si>
    <t>Payment for water at accommodation from24/03/2018 to 31/05/2018</t>
  </si>
  <si>
    <t>Payment for box</t>
  </si>
  <si>
    <t>2/06</t>
  </si>
  <si>
    <t>Payment for dinner on 1/06</t>
  </si>
  <si>
    <t>Payment for dinner on 2/06</t>
  </si>
  <si>
    <t>Payment for repair car</t>
  </si>
  <si>
    <t>4/06</t>
  </si>
  <si>
    <t>Payment for taxi go to bank (2way)</t>
  </si>
  <si>
    <t>8/06</t>
  </si>
  <si>
    <t>Payment for tax to gavernment on May,2018</t>
  </si>
  <si>
    <t xml:space="preserve">Payment for office rental fee on May,2018 </t>
  </si>
  <si>
    <t>Payment for monthy tax services fee on May,2018</t>
  </si>
  <si>
    <t>Payment for cleaner salary</t>
  </si>
  <si>
    <t>Payment for management fee for accomodation forJune 2018</t>
  </si>
  <si>
    <t>Payment for phone card (Mr.Sopheatra)</t>
  </si>
  <si>
    <t>Payment for house contract &amp; residend verification letter(Mr.shin)</t>
  </si>
  <si>
    <t>Payment for boxes</t>
  </si>
  <si>
    <t xml:space="preserve">Payment for delivery boxes </t>
  </si>
  <si>
    <t>Payment for delivery materail</t>
  </si>
  <si>
    <t>Payment for delivery materail (1 truck)</t>
  </si>
  <si>
    <t>Payment for workers ( remove materail)</t>
  </si>
  <si>
    <t>Payment for Air-ticket fee (Ha Noi ~Yangon) on 14/06</t>
  </si>
  <si>
    <t>Payment for Air-ticket fee (Yangon~Kualalumpur) on 18/06</t>
  </si>
  <si>
    <t>Payment for Air-ticket fee (Yangon ~Bangkok,Bangkok~Yangon) on 19/06</t>
  </si>
  <si>
    <t>Payment for Air-ticket fee (Kualalumpur~ Ha Noi) on 23/06</t>
  </si>
  <si>
    <t>Payment for E-Visa for Myanmar on 15/06</t>
  </si>
  <si>
    <t>Visa</t>
  </si>
  <si>
    <t>Payment for expenses during 07/05~24/06 in Vietman for Mr.Shin</t>
  </si>
  <si>
    <t>Payment for rental car for Vung Tan site (18/06)</t>
  </si>
  <si>
    <t>Payment for taxi during 07/05~16/06 for Mr,Shin</t>
  </si>
  <si>
    <t>Payment for health check for extension car license (Mr.Shin)</t>
  </si>
  <si>
    <t>Payment for extension car license (Mr.Shin)</t>
  </si>
  <si>
    <t>Payment for eletric at accommodation from 16/05/2018 to 15/06/2018</t>
  </si>
  <si>
    <t>Payment for phone card(Mr.Shin)</t>
  </si>
  <si>
    <t>Payment for staffs salary (Duration:1JUNE~30JUNE)</t>
  </si>
  <si>
    <t>Payment for dinner on 25/06</t>
  </si>
  <si>
    <t>Payment for beverage on 25/06</t>
  </si>
  <si>
    <t>Payment for lunch on 26/06</t>
  </si>
  <si>
    <t>Payment fo lunch on 27/06</t>
  </si>
  <si>
    <t>Payment fo dinner on 27/06</t>
  </si>
  <si>
    <t>Payment for beverage on 27/06</t>
  </si>
  <si>
    <t xml:space="preserve">Payment for lunch on 28/06  </t>
  </si>
  <si>
    <t>Payment for lunch on 29/06</t>
  </si>
  <si>
    <t>DAILY CASH BALANCE SHEET ( JUNE 2018)</t>
  </si>
  <si>
    <t>FromMAY 1st to 30 JUNE 2018</t>
  </si>
  <si>
    <t>DAWON H1</t>
  </si>
  <si>
    <t>23.06.18</t>
  </si>
  <si>
    <t>MOHD KHAIRI-WORK FOR BIDING</t>
  </si>
  <si>
    <t>26.06.18</t>
  </si>
  <si>
    <t>FLIGHT TICKET</t>
  </si>
  <si>
    <t>28.06.18</t>
  </si>
  <si>
    <t>MAXIS BIL - 17 MAY 2018</t>
  </si>
  <si>
    <t>01.06.18</t>
  </si>
  <si>
    <t>RECEIVED USD 8000 * 3.953</t>
  </si>
  <si>
    <t>MR JEUNG</t>
  </si>
  <si>
    <t>RECEIVED USD 1000 * 3.953</t>
  </si>
  <si>
    <t>MR JUNG</t>
  </si>
  <si>
    <t>ADVANCE EXPENSES FOR MR JEUNG</t>
  </si>
  <si>
    <t>SALARY MAY 2018</t>
  </si>
  <si>
    <t>CAR INSTALLMENT- APR-MAY 18</t>
  </si>
  <si>
    <t>04.06.18</t>
  </si>
  <si>
    <t>NOORAZURAA</t>
  </si>
  <si>
    <t>HOUSE RENTAL</t>
  </si>
  <si>
    <t>12.06.18</t>
  </si>
  <si>
    <t>SEOYONG</t>
  </si>
  <si>
    <t>RENTAL OF OFFICE</t>
  </si>
  <si>
    <t>ELECTRIC BIL</t>
  </si>
  <si>
    <t xml:space="preserve">CUCKOO </t>
  </si>
  <si>
    <t>CLAIMS</t>
  </si>
  <si>
    <t>13.06.18</t>
  </si>
  <si>
    <t>KWSP</t>
  </si>
  <si>
    <t>CONTRIBUTION SALARY MAY 18</t>
  </si>
  <si>
    <t>SOCSO</t>
  </si>
  <si>
    <t>EIS PAYMENT - MAY 18</t>
  </si>
  <si>
    <t xml:space="preserve">RICOH </t>
  </si>
  <si>
    <t>RENTAL OF MACH P/COPY - MAC - MAY 18</t>
  </si>
  <si>
    <t>EBIZ2U</t>
  </si>
  <si>
    <t>A4 PAPER - APR 18</t>
  </si>
  <si>
    <t>ROADTAX &amp; INSURAN  SANTAFARE CAR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</si>
  <si>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</si>
  <si>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20.06.18</t>
  </si>
  <si>
    <t>TELEKOM</t>
  </si>
  <si>
    <t>TEL/ FAX/ INTERNET- 19 MAY</t>
  </si>
  <si>
    <t>22.06.18</t>
  </si>
  <si>
    <t>RECEIVED CASH FROM MR JEONG -RM13660</t>
  </si>
  <si>
    <t>MR JUNG - ADVANCE EXPENSES</t>
  </si>
  <si>
    <t>RECEIVED CASH FROM MR JUNG-RM7000</t>
  </si>
  <si>
    <t>CASH- USED FROM RM7000.00</t>
  </si>
  <si>
    <t>CLAIMS- AMIRA</t>
  </si>
  <si>
    <t>MAYBANK</t>
  </si>
  <si>
    <t>03.07.18</t>
  </si>
  <si>
    <t>MR.JEONG ADVANCE CASH</t>
  </si>
  <si>
    <t>ELECTRIC N WATER MAY</t>
  </si>
  <si>
    <t>28.6</t>
  </si>
  <si>
    <t>ELECTRIC N WATERT APRIL</t>
  </si>
  <si>
    <t xml:space="preserve">Payment for loppy police </t>
  </si>
  <si>
    <t xml:space="preserve">No Invoice </t>
  </si>
  <si>
    <t xml:space="preserve">Payment for Vít Tôn </t>
  </si>
  <si>
    <t>Payment for Meals Fee Hanmaek</t>
  </si>
  <si>
    <t xml:space="preserve">Advance for MRO </t>
  </si>
  <si>
    <t>Payment for Crane Woonpong</t>
  </si>
  <si>
    <t>Shin Chang Woo</t>
  </si>
  <si>
    <t>Payment for Health Certificate and Taxi</t>
  </si>
  <si>
    <t>29/05</t>
  </si>
  <si>
    <t xml:space="preserve">Payment for coffee and paper cup </t>
  </si>
  <si>
    <t>Payment for ( Lục giác bắn vít tôn )</t>
  </si>
  <si>
    <t xml:space="preserve">Nguyen Van Tuong </t>
  </si>
  <si>
    <t xml:space="preserve">Payment for worker cost in Hanyoung 2 BAC NINH </t>
  </si>
  <si>
    <t>NTHI Kieu</t>
  </si>
  <si>
    <t>DAILY CASH BALANCE SHEET (H2) - JULY 2018</t>
  </si>
  <si>
    <t>05/07</t>
  </si>
  <si>
    <t>Payment for ( nở sắt phi 12 X 8cm )</t>
  </si>
  <si>
    <t xml:space="preserve">Payment for Coca Cola SHINBO &amp; YOOMYUNG </t>
  </si>
  <si>
    <t>04.07.2018</t>
  </si>
  <si>
    <t>05.07.2018</t>
  </si>
  <si>
    <t>04/07</t>
  </si>
  <si>
    <t>Payment for coffe and paper cup</t>
  </si>
  <si>
    <t>Payment for parking fee in Cat Bi</t>
  </si>
  <si>
    <t>Payment for gasolines of innova car ( invoice No: 0056887)</t>
  </si>
  <si>
    <t>Payment for diezel (200 liter) (invoice No:0058070)</t>
  </si>
  <si>
    <t>Payment for water of office,worker in June 2018(invoice No:0020522)</t>
  </si>
  <si>
    <t>06/07</t>
  </si>
  <si>
    <t>Payment for allowances of Mr Lee Sang Jae in July 2018</t>
  </si>
  <si>
    <t>Payment for allowances of Mr Kim Jin Kwang in July 2018</t>
  </si>
  <si>
    <t>Payment for allowances of Mr Kim Hong Seob in July 2018</t>
  </si>
  <si>
    <t>Payment for tissues and bamboo</t>
  </si>
  <si>
    <t>06.07.2018</t>
  </si>
  <si>
    <t>07.07.2018</t>
  </si>
  <si>
    <t>08.07.2018</t>
  </si>
  <si>
    <t>09.07.2018</t>
  </si>
  <si>
    <t>10.07.2018</t>
  </si>
  <si>
    <t>11.07.2018</t>
  </si>
  <si>
    <t>ADVANCE</t>
  </si>
  <si>
    <t>PHONG VU</t>
  </si>
  <si>
    <t>DEPOSIT PHONGVU COMPUTER</t>
  </si>
  <si>
    <t>TAXI TO D1</t>
  </si>
  <si>
    <t>VIETTEL POST</t>
  </si>
  <si>
    <t>send letter to HN office - RED INVOICE</t>
  </si>
  <si>
    <t>send letter to HN office - contract</t>
  </si>
  <si>
    <t>07/07</t>
  </si>
  <si>
    <t>Payment for taxi fee on 20/06,23/06</t>
  </si>
  <si>
    <t>Payment for taxi fee on 28/06,29/06</t>
  </si>
  <si>
    <t>Payment for toll (Thiên Truong company)</t>
  </si>
  <si>
    <t>Payment for USB (invoice No:0000084)</t>
  </si>
  <si>
    <t>Payment for gasolines of innova car ( invoice No: 0058423)</t>
  </si>
  <si>
    <t>10/07</t>
  </si>
  <si>
    <t>Payment for toll and parking fee</t>
  </si>
  <si>
    <t>Payment for gasolines of innova car (invoice No: 0059922)</t>
  </si>
  <si>
    <t>11/07</t>
  </si>
  <si>
    <t>Payment for M27 washer (100ea)</t>
  </si>
  <si>
    <t>long đen M27</t>
  </si>
  <si>
    <t>Payment for diezel (200liter) (invoice No:0002749)</t>
  </si>
  <si>
    <t>Payment for material( mũi doa 10 ea)</t>
  </si>
  <si>
    <t>Payment for express delivery from MRO to Kimeco office</t>
  </si>
  <si>
    <t>Payment for allowances of Mr Son Byeong Dae in July 2018</t>
  </si>
  <si>
    <t>09.07.18</t>
  </si>
  <si>
    <t>RECEIVED FROM MR JEONG -9,600,000 WON</t>
  </si>
  <si>
    <t>ADVANCE EXPENSES</t>
  </si>
  <si>
    <t>PETTY CASH</t>
  </si>
  <si>
    <t>TOUCH &amp; GO</t>
  </si>
  <si>
    <t>SALARY FOR JUN 18</t>
  </si>
  <si>
    <t>WIYA</t>
  </si>
  <si>
    <t>CLEANER FEE</t>
  </si>
  <si>
    <t>BANK BALANCE</t>
  </si>
  <si>
    <t>Payment for Ty ren M12 X 2m ( 100 ea )</t>
  </si>
  <si>
    <t xml:space="preserve">LIM WAN SOO </t>
  </si>
  <si>
    <t>Payment for table lift Yoomyung</t>
  </si>
  <si>
    <t xml:space="preserve">Phạm Hoài Nam </t>
  </si>
  <si>
    <t>Payment for Angle and transpport</t>
  </si>
  <si>
    <t xml:space="preserve">Payment for khăn ống cổ và nịt tay ( Hàn Quốc ) </t>
  </si>
  <si>
    <t>COMPUTER</t>
  </si>
  <si>
    <t>CABLE FOR MR.JEONG</t>
  </si>
  <si>
    <t>DAILY CASH BALANCE SHEET  - DAWON DISPLAY JULY 2018</t>
  </si>
  <si>
    <t>12/07</t>
  </si>
  <si>
    <t>Payment for water store fee on 10th street(06/09/2017-07/07/2018)</t>
  </si>
  <si>
    <t>Payment for A3 file(3ea) and paper cup(1 box)</t>
  </si>
  <si>
    <t>Payment for gasolines of innova car (invoice No: 0061220)</t>
  </si>
  <si>
    <t>Payment for deposit of oxy bottle (2ea) and oxy bottle (4ea)</t>
  </si>
  <si>
    <t>đặt cọc 2 vỏ oxy</t>
  </si>
  <si>
    <t>11.07.18</t>
  </si>
  <si>
    <t>CLAIMS FOR MAY 18</t>
  </si>
  <si>
    <t>STATIONERY, MEDICAL , RUBBER STAMP</t>
  </si>
  <si>
    <t>9/7: 500</t>
  </si>
  <si>
    <t>12.07.18</t>
  </si>
  <si>
    <t>CONTRIBUTION SALARY JUN 18</t>
  </si>
  <si>
    <t>CONTRIBUTION SALARY JUN 18-EIS PAYMENT</t>
  </si>
  <si>
    <t>AMK COR</t>
  </si>
  <si>
    <t>CHANGE NAME - TAESEUNG TO KIMECO ZENO</t>
  </si>
  <si>
    <t>EBIZ2U STATIONERY</t>
  </si>
  <si>
    <t>A3 FILE</t>
  </si>
  <si>
    <t>12.07.2018</t>
  </si>
  <si>
    <t>13/07</t>
  </si>
  <si>
    <t>Payment for material (mũi khoan 14 (5ea)</t>
  </si>
  <si>
    <t>13.07.2018</t>
  </si>
  <si>
    <t>14.07.2018</t>
  </si>
  <si>
    <t>15.07.2018</t>
  </si>
  <si>
    <t>Payment for diezel(402 liter) (invoice No: 0002786)</t>
  </si>
  <si>
    <t>Payment for material (keo Hilter (10ea)</t>
  </si>
  <si>
    <t>REPORT 12.7: 0</t>
  </si>
  <si>
    <t>REPORT 12.7: 210,000</t>
  </si>
  <si>
    <t>16.07.2018</t>
  </si>
  <si>
    <t>13.07.18</t>
  </si>
  <si>
    <t>4 GENGS EXTENSION CABLE - 2 UNITS</t>
  </si>
  <si>
    <t>TNB</t>
  </si>
  <si>
    <t>ELECTRIC BIL- MR JUNG HOUSE</t>
  </si>
  <si>
    <t xml:space="preserve">Payment for Pipe steel &amp; transport </t>
  </si>
  <si>
    <t xml:space="preserve">Payment for Coca Cola &amp; Tissues &amp; Wet paper </t>
  </si>
  <si>
    <t>16/07</t>
  </si>
  <si>
    <t>14/07</t>
  </si>
  <si>
    <t>Payment for gasonlines of innova car (invoice No:0063087)</t>
  </si>
  <si>
    <t>Payment for electric fee in store</t>
  </si>
  <si>
    <t>điện kho đường 10</t>
  </si>
  <si>
    <t>LUNCH 8 PERSONS</t>
  </si>
  <si>
    <t>HIGHLANDS COFFEE</t>
  </si>
  <si>
    <t>BANK TECHCOMBANK</t>
  </si>
  <si>
    <t>COFFEE</t>
  </si>
  <si>
    <t xml:space="preserve">TRANSFER FEE </t>
  </si>
  <si>
    <t>17.07.2018</t>
  </si>
  <si>
    <t>18.07.2018</t>
  </si>
  <si>
    <t>GRAB</t>
  </si>
  <si>
    <t>17.07.18</t>
  </si>
  <si>
    <t>CUCKOO</t>
  </si>
  <si>
    <t>PERBADANAN</t>
  </si>
  <si>
    <t>WATER BIL</t>
  </si>
  <si>
    <t>TEL BIL</t>
  </si>
  <si>
    <t>BANK RAKYAT</t>
  </si>
  <si>
    <t>WC 2568X-JUN 18</t>
  </si>
  <si>
    <t>PCMART S/B</t>
  </si>
  <si>
    <t>I YEAR UBS SOFTWARE SUPPORT</t>
  </si>
  <si>
    <t>MAXIS</t>
  </si>
  <si>
    <t>MAXIS BIL</t>
  </si>
  <si>
    <t>18.07.18</t>
  </si>
  <si>
    <t>RUBER STAMP -KIMECO ZENO SDN BHD</t>
  </si>
  <si>
    <t>18/07</t>
  </si>
  <si>
    <t>Payment for diezel (402 liter) (invoice No: 0002854)</t>
  </si>
  <si>
    <t>Payment for card of worker (10ea)</t>
  </si>
  <si>
    <t>bao thẻ</t>
  </si>
  <si>
    <t>INTEREST</t>
  </si>
  <si>
    <t>NHI</t>
  </si>
  <si>
    <t>OFFICE COFFE, CANDY</t>
  </si>
  <si>
    <t>19.07.2018</t>
  </si>
  <si>
    <t>19/07</t>
  </si>
  <si>
    <t>Payment for computer hard drive (2ea)(invoice No:0022071)</t>
  </si>
  <si>
    <t>ổ cứng máy tính</t>
  </si>
  <si>
    <t>Payment for electric store on 10th street</t>
  </si>
  <si>
    <t>Payment for deposit of oxy bottle (1ea) and oxy bottle (1ea) on 10th street</t>
  </si>
  <si>
    <t>mua luôn 1 vỏ oxy cho kho đường 10</t>
  </si>
  <si>
    <t>19.07.18</t>
  </si>
  <si>
    <t>CLEANER FEE-MR JUNG HOUSE FOR JUN 18</t>
  </si>
  <si>
    <t>Payment for paint bottle (2ea)</t>
  </si>
  <si>
    <t>Payment for gasolines of innova car (invoice No:0065277)</t>
  </si>
  <si>
    <t>REPORT 18.7: 0</t>
  </si>
  <si>
    <t>20.07.2018</t>
  </si>
  <si>
    <t>21.07.2018</t>
  </si>
  <si>
    <t>22.07.2018</t>
  </si>
  <si>
    <t>20/07</t>
  </si>
  <si>
    <t>Payment for oxy bottle (2ea) and gas bottle (1ea)</t>
  </si>
  <si>
    <t>Payment for material ( mũi doa 10ea)</t>
  </si>
  <si>
    <t xml:space="preserve">Mr Kim </t>
  </si>
  <si>
    <t>Payment for allowances of Mr Kim in Poland</t>
  </si>
  <si>
    <t>KHAO LAOS</t>
  </si>
  <si>
    <t xml:space="preserve">Payment for Pipe ( Tấm tôn ) </t>
  </si>
  <si>
    <t xml:space="preserve">Paymenr for paint black </t>
  </si>
  <si>
    <t>23.07.2018</t>
  </si>
  <si>
    <t>24.07.2018</t>
  </si>
  <si>
    <t>24.07.18</t>
  </si>
  <si>
    <t>BUY BAYGON FOR MR JUNG HOUSE</t>
  </si>
  <si>
    <t xml:space="preserve">INTALL </t>
  </si>
  <si>
    <t>JI KYOUNG SUK</t>
  </si>
  <si>
    <t>INSTALL IPTV FOR MR JUNG HOUSE</t>
  </si>
  <si>
    <t>25.07.2018</t>
  </si>
  <si>
    <t>26.07.2018</t>
  </si>
  <si>
    <t>BO CUOI NTT</t>
  </si>
  <si>
    <t>LUNCH FOR STAFFS</t>
  </si>
  <si>
    <t>DINNER 5 PERSONS</t>
  </si>
  <si>
    <t>26/07</t>
  </si>
  <si>
    <t>21/07</t>
  </si>
  <si>
    <t>Payment for gasolines of innova car (invoice No:0067475)</t>
  </si>
  <si>
    <t>Payment for Ha Noi-Hai Phong toll and parking fee</t>
  </si>
  <si>
    <t>23/07</t>
  </si>
  <si>
    <t>An Dương hospital</t>
  </si>
  <si>
    <t>Nguyễn Văn Tưởng</t>
  </si>
  <si>
    <t>Payment for health check of 6 worker (team Nguyen Văn Tưởng)</t>
  </si>
  <si>
    <t>Payment for gasolines of innova car (invoice No: 0068448)</t>
  </si>
  <si>
    <t>24/07</t>
  </si>
  <si>
    <t>25/07</t>
  </si>
  <si>
    <t>Payment for lunch with Hanmaek(2 person) and Serveone(3 person)</t>
  </si>
  <si>
    <t xml:space="preserve">Payment for oxy bottle (2ea) </t>
  </si>
  <si>
    <t>Payment for diezel (407 liter) (invoice No: 0002975)</t>
  </si>
  <si>
    <t xml:space="preserve">Internet </t>
  </si>
  <si>
    <t>Payment for internet fee on July 2018 (invoice No: 0000410)</t>
  </si>
  <si>
    <t>phí internet tháng 7(31/07)</t>
  </si>
  <si>
    <t>27.07.2018</t>
  </si>
  <si>
    <t>28.07.2018</t>
  </si>
  <si>
    <t>29.07.2018</t>
  </si>
  <si>
    <t>30.07.2018</t>
  </si>
  <si>
    <t>27/07</t>
  </si>
  <si>
    <t xml:space="preserve">Payment for Bộ Dây Tăng Hàng &amp; Vận chuyển vật tư ( Cho công trình ở BALAN ) </t>
  </si>
  <si>
    <t>28/07</t>
  </si>
  <si>
    <t>Payment for gasolines of innova car (invoice No: 0070027)</t>
  </si>
  <si>
    <t>HANOI ADVANCE CASH TO HCM OFFICE</t>
  </si>
  <si>
    <t>PROSHIP</t>
  </si>
  <si>
    <t>DELIVERY HCM TO HANOI</t>
  </si>
  <si>
    <t>SST</t>
  </si>
  <si>
    <t>AUGUST</t>
  </si>
  <si>
    <t>PAYMENT AUGUST 2018</t>
  </si>
  <si>
    <t>CLEANING JULY</t>
  </si>
  <si>
    <t>DELIVERY HCM TO HN (VALY)</t>
  </si>
  <si>
    <t>31.07.2018</t>
  </si>
  <si>
    <t>ELECTRIC N WATER JUNE</t>
  </si>
  <si>
    <t>GRAB FROM MR.JEONG HOUSE TO OFFICE</t>
  </si>
  <si>
    <t>GO TO BANK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</si>
  <si>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</si>
  <si>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</si>
  <si>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</si>
  <si>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</si>
  <si>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</si>
  <si>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</si>
  <si>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</si>
  <si>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</si>
  <si>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</si>
  <si>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</si>
  <si>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01/08</t>
  </si>
  <si>
    <t>Payment for material (mũi doa 10 ea)</t>
  </si>
  <si>
    <t>02/08</t>
  </si>
  <si>
    <t>Payment for oxy deposit, oxy bottle (2ea) and gas bottle (3ea)</t>
  </si>
  <si>
    <t>Payment for gasolines of innova car (invoice No: 0075461)</t>
  </si>
  <si>
    <t>Payment for M12x30 bolt (300ea)</t>
  </si>
  <si>
    <t>Serveone</t>
  </si>
  <si>
    <t>Payment for QC Serveone</t>
  </si>
  <si>
    <t>Payment for allowance of Mr Lee Sang Jae in August 2018</t>
  </si>
  <si>
    <t>Payment for allowance of Mr Kim Jin Kwang in August 2018</t>
  </si>
  <si>
    <t>Payment for allowance of Mr Kim Yun Soo in August 2018</t>
  </si>
  <si>
    <t>Payment for taxi fee to Vietcombank in Quan Toan</t>
  </si>
  <si>
    <t>Payment for oxy bottle (3ea)</t>
  </si>
  <si>
    <t>Payment for diezel (400litter) (invoice No: 0003157)</t>
  </si>
  <si>
    <t>04/08</t>
  </si>
  <si>
    <t>Payment for M12x30 bolt (800ea)</t>
  </si>
  <si>
    <t>06/08</t>
  </si>
  <si>
    <t>Payment for water bottle on July 2018 (invoice No: 0020958)</t>
  </si>
  <si>
    <t>Payment for lobby to the police for cargo crane transport beam post from MRO to store on 10th street</t>
  </si>
  <si>
    <t>07/08</t>
  </si>
  <si>
    <t>Payment for paint (1box)</t>
  </si>
  <si>
    <t>Payment for gasolines of innova car (invoice No: 0077033)</t>
  </si>
  <si>
    <t>Payment for gas bottle (2ea) and oxy bottle(3ea)</t>
  </si>
  <si>
    <t>Payment for gas bottle (1ea) and oxy bottle(3ea)</t>
  </si>
  <si>
    <t>09/08</t>
  </si>
  <si>
    <t>Payment for oxy deposit (3ea), oxy bottle (1ea) and gas bottle (2ea)</t>
  </si>
  <si>
    <t>đặt cọc 3 vỏ oxy</t>
  </si>
  <si>
    <t>30/07</t>
  </si>
  <si>
    <t>Payment for gasolines of innova car (invoice No: 0072290)</t>
  </si>
  <si>
    <t>Payment for coffee (4 package)</t>
  </si>
  <si>
    <t>31/07</t>
  </si>
  <si>
    <t>Payment for oxy deposit(2ea), oxy bottle (5ea) and gas bottle(1ea)</t>
  </si>
  <si>
    <t>Payment for lobby to the police of 18T fork lift go to unloading store container on 10th street</t>
  </si>
  <si>
    <t>lobby công an cho xe fork lift để hạ container kho đường 10</t>
  </si>
  <si>
    <t>Payment for tax of 6 worker in June 2018</t>
  </si>
  <si>
    <t>07.08.18</t>
  </si>
  <si>
    <t>SCP PARKING</t>
  </si>
  <si>
    <t>08.08.18</t>
  </si>
  <si>
    <t>0ffice</t>
  </si>
  <si>
    <t>TISSUE FOR TOILET</t>
  </si>
  <si>
    <t>Payment for Transportation fee ( BAC NINH - HAI PHONG )</t>
  </si>
  <si>
    <t>06.08</t>
  </si>
  <si>
    <t xml:space="preserve">Payment for KEY &amp; Copy  KEY </t>
  </si>
  <si>
    <t>08.08</t>
  </si>
  <si>
    <t xml:space="preserve">Payment for Pipe steel </t>
  </si>
  <si>
    <t>11.08.2018</t>
  </si>
  <si>
    <t>12.08.2018</t>
  </si>
  <si>
    <t>10/08</t>
  </si>
  <si>
    <t>Payment for coffee (3package) and paper cup (5 package)</t>
  </si>
  <si>
    <t>Payment for diezel (400litter) (invoice No: 0003254)</t>
  </si>
  <si>
    <t>Payment for gasolines of innova car (invoice No: 0079905)</t>
  </si>
  <si>
    <t>HOME PHONE JULY</t>
  </si>
  <si>
    <t>10.08</t>
  </si>
  <si>
    <t>Payment for Lập là inox 304( 5x30x1800)</t>
  </si>
  <si>
    <t>15.08</t>
  </si>
  <si>
    <t>Payment for Coffee , paper cup , Tissue , wet towel</t>
  </si>
  <si>
    <t xml:space="preserve">Payment for meals fee DAWON </t>
  </si>
  <si>
    <t>13.08.2018</t>
  </si>
  <si>
    <t>14.08.2018</t>
  </si>
  <si>
    <t>15.08.2018</t>
  </si>
  <si>
    <t>16.08.2018</t>
  </si>
  <si>
    <t>14.08.18</t>
  </si>
  <si>
    <t>INTERNET BILL</t>
  </si>
  <si>
    <t>MR JEONG</t>
  </si>
  <si>
    <t>RENTAL OF HOUSE- MR JUNG HOUSE</t>
  </si>
  <si>
    <t>NHA SACH PHUONG NAM</t>
  </si>
  <si>
    <t>11/08</t>
  </si>
  <si>
    <t>Return cash for Mr Lee Sang Jae on 09/08/2018</t>
  </si>
  <si>
    <t>Payment for oxy bottle (6ea)</t>
  </si>
  <si>
    <t>13/08</t>
  </si>
  <si>
    <t>14/08</t>
  </si>
  <si>
    <t>Payment for material (xi măng,đinh vít)</t>
  </si>
  <si>
    <t>Payment for gasolines of innova car (invoice No: 0081993)</t>
  </si>
  <si>
    <t>Payment for oxy bottle (5ea)</t>
  </si>
  <si>
    <t>15/08</t>
  </si>
  <si>
    <t xml:space="preserve">YINYANG WORKSHOP </t>
  </si>
  <si>
    <t>WEB DESIGN, DOMAIN, HOSTING</t>
  </si>
  <si>
    <t>ADVANCE HCM OFFICE</t>
  </si>
  <si>
    <t>16/08</t>
  </si>
  <si>
    <t>17/08</t>
  </si>
  <si>
    <t>Viettel</t>
  </si>
  <si>
    <t>Payment for delivery express from MRO to Kimeco office</t>
  </si>
  <si>
    <t>Payment for gasolines of innova car (invoice No: 0084277)</t>
  </si>
  <si>
    <t>20/08</t>
  </si>
  <si>
    <t>Payment for goods transports and parking fee</t>
  </si>
  <si>
    <t>vận chuyển palang</t>
  </si>
  <si>
    <t>22/08</t>
  </si>
  <si>
    <t>Payment for sack of waste (20ea)</t>
  </si>
  <si>
    <t>bao tải rác</t>
  </si>
  <si>
    <t>Payment for gasolines of innova car (invoice No: 0086320)</t>
  </si>
  <si>
    <t>Payment for Lavie water, screw head shot,paper cup</t>
  </si>
  <si>
    <t>20.08</t>
  </si>
  <si>
    <t>Payment for elecreodes and rock drill</t>
  </si>
  <si>
    <t>17.08.18</t>
  </si>
  <si>
    <t>EBIZ2U STATIO</t>
  </si>
  <si>
    <t>USB &amp; BINDING DOCUMENTS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</si>
  <si>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</si>
  <si>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</si>
  <si>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</si>
  <si>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</si>
  <si>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</si>
  <si>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</si>
  <si>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</si>
  <si>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22.08</t>
  </si>
  <si>
    <t xml:space="preserve">Payment for Transport Costech </t>
  </si>
  <si>
    <t>23.08</t>
  </si>
  <si>
    <t xml:space="preserve">Payment for Soldering stick  and Ruler </t>
  </si>
  <si>
    <t>24.08.2018</t>
  </si>
  <si>
    <t>24/08</t>
  </si>
  <si>
    <t>Hiền Trang</t>
  </si>
  <si>
    <t>Payment for water bottle on August 2018 (invoice No: 0021437)</t>
  </si>
  <si>
    <t>Take back money of water bottle on 30/05/2018</t>
  </si>
  <si>
    <t>25.08.2018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</si>
</sst>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d/mmm/yyyy;@"/>
    <numFmt numFmtId="165" formatCode="_ * #,##0_ ;_ * \-#,##0_ ;_ * &quot;-&quot;??_ ;_ @_ "/>
    <numFmt numFmtId="166" formatCode="_ * #,##0.00_ ;_ * \-#,##0.00_ ;_ * &quot;-&quot;??.00_ ;_ @_ "/>
    <numFmt numFmtId="167" formatCode="_ * #,##0.00_ ;_ * \-#,##0.00_ ;_ * &quot;-&quot;??_ ;_ @_ "/>
    <numFmt numFmtId="168" formatCode="_ * #,##0_ ;_ * \-#,##0_ ;_ * &quot;-&quot;_ ;_ @_ "/>
    <numFmt numFmtId="169" formatCode="_(* #,##0_);_(* \(#,##0\);_(* &quot;-&quot;??_);_(@_)"/>
    <numFmt numFmtId="170" formatCode="_(* #,##0.00_);_(* \(#,##0.00\);_(* &quot;-&quot;??.00_);_(@_)"/>
    <numFmt numFmtId="171" formatCode="[$-1010000]d/m/yyyy;@"/>
    <numFmt numFmtId="172" formatCode="_-* #,##0_-;\-* #,##0_-;_-* &quot;-&quot;??_-;_-@_-"/>
    <numFmt numFmtId="173" formatCode="0_ "/>
    <numFmt numFmtId="174" formatCode="_(* #,##0.00_);_(* \(#,##0.00\);_(* &quot;-&quot;_);_(@_)"/>
    <numFmt numFmtId="175" formatCode="_-* #,##0.00_-;\-* #,##0.00_-;_-* &quot;-&quot;??.00_-;_-@_-"/>
    <numFmt numFmtId="176" formatCode="_(* #,##0.0_);_(* \(#,##0.0\);_(* &quot;-&quot;??.0_);_(@_)"/>
    <numFmt numFmtId="177" formatCode="#."/>
    <numFmt numFmtId="178" formatCode="_ &quot;₩&quot;* #,##0_ ;_ &quot;₩&quot;* \-#,##0_ ;_ &quot;₩&quot;* &quot;-&quot;_ ;_ @_ "/>
    <numFmt numFmtId="179" formatCode="_ &quot;₩&quot;\ * #,##0_ ;_ &quot;₩&quot;\ * \-#,##0_ ;_ &quot;₩&quot;\ * &quot;-&quot;_ ;_ @_ "/>
    <numFmt numFmtId="180" formatCode="_-&quot;₩&quot;* #,##0_-;\-&quot;₩&quot;* #,##0_-;_-&quot;₩&quot;* &quot;-&quot;_-;_-@_-"/>
    <numFmt numFmtId="181" formatCode="_ &quot;₩&quot;\ * #,##0.00_ ;_ &quot;₩&quot;\ * \-#,##0.00_ ;_ &quot;₩&quot;\ * &quot;-&quot;??_ ;_ @_ "/>
    <numFmt numFmtId="182" formatCode="_-&quot;₩&quot;* #,##0.00_-;\-&quot;₩&quot;* #,##0.00_-;_-&quot;₩&quot;* &quot;-&quot;??_-;_-@_-"/>
    <numFmt numFmtId="183" formatCode="_-* #,##0.00_-;\-* #,##0.00_-;_-* &quot;-&quot;??_-;_-@_-"/>
    <numFmt numFmtId="184" formatCode="#,##0;&quot;(&quot;&quot;-&quot;&quot;)&quot;#,##0"/>
    <numFmt numFmtId="185" formatCode="&quot;(&quot;#,##0&quot;)&quot;;&quot;(&quot;&quot;-&quot;&quot;)&quot;&quot;(&quot;#,##0&quot;)&quot;"/>
    <numFmt numFmtId="186" formatCode="#,##0;#,##0"/>
    <numFmt numFmtId="187" formatCode="&quot;(&quot;#,##0&quot;)&quot;;&quot;(&quot;#,##0&quot;)&quot;"/>
    <numFmt numFmtId="188" formatCode="_-* #,##0_-;\-* #,##0_-;_-* &quot;-&quot;_-;_-@_-"/>
    <numFmt numFmtId="189" formatCode="#,##0.000_);[Red]\(#,##0.000\)"/>
  </numFmts>
  <fonts count="17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</font>
    <font>
      <b/>
      <sz val="13"/>
      <color theme="1"/>
      <name val="Calibri"/>
      <family val="2"/>
    </font>
    <font>
      <b/>
      <sz val="13"/>
      <name val="Calibri"/>
      <family val="2"/>
    </font>
    <font>
      <b/>
      <sz val="13"/>
      <name val="Arial"/>
      <family val="2"/>
    </font>
    <font>
      <sz val="13"/>
      <color theme="1"/>
      <name val="Calibri"/>
      <family val="2"/>
    </font>
    <font>
      <sz val="13"/>
      <name val="Calibri"/>
      <family val="2"/>
    </font>
    <font>
      <b/>
      <sz val="13"/>
      <name val="Calibri"/>
      <family val="2"/>
    </font>
    <font>
      <sz val="13"/>
      <name val="Calibri"/>
      <family val="2"/>
    </font>
    <font>
      <sz val="13"/>
      <name val="Arial"/>
      <family val="2"/>
    </font>
    <font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i/>
      <sz val="13"/>
      <color theme="1"/>
      <name val="Calibri"/>
      <family val="2"/>
    </font>
    <font>
      <i/>
      <sz val="13"/>
      <color theme="1"/>
      <name val="Calibri"/>
      <family val="2"/>
      <scheme val="minor"/>
    </font>
    <font>
      <i/>
      <sz val="1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66FF"/>
      <name val="Arial Black"/>
      <family val="2"/>
    </font>
    <font>
      <sz val="10"/>
      <name val="Arial Black"/>
      <family val="2"/>
    </font>
    <font>
      <sz val="10"/>
      <name val="Calibri"/>
      <family val="2"/>
      <scheme val="minor"/>
    </font>
    <font>
      <sz val="10"/>
      <color rgb="FF3366FF"/>
      <name val="Arial "/>
      <charset val="134"/>
    </font>
    <font>
      <sz val="10"/>
      <color theme="1"/>
      <name val="Arial"/>
      <family val="2"/>
    </font>
    <font>
      <sz val="10"/>
      <color rgb="FF0000FF"/>
      <name val="Calibri"/>
      <family val="2"/>
      <scheme val="minor"/>
    </font>
    <font>
      <sz val="10"/>
      <color rgb="FF800080"/>
      <name val="Calibri"/>
      <family val="2"/>
      <scheme val="minor"/>
    </font>
    <font>
      <b/>
      <sz val="10"/>
      <color rgb="FF80008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 Light"/>
      <family val="2"/>
      <scheme val="major"/>
    </font>
    <font>
      <sz val="10"/>
      <name val="Arial"/>
      <family val="2"/>
    </font>
    <font>
      <sz val="10"/>
      <name val="Arial"/>
      <family val="2"/>
    </font>
    <font>
      <sz val="14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sz val="14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rgb="FFFF0000"/>
      <name val="Arial"/>
      <family val="2"/>
    </font>
    <font>
      <sz val="12"/>
      <name val="바탕체"/>
      <family val="1"/>
      <charset val="129"/>
    </font>
    <font>
      <sz val="10"/>
      <name val="Times New Roman"/>
      <family val="1"/>
    </font>
    <font>
      <sz val="1"/>
      <color indexed="8"/>
      <name val="Courier"/>
      <family val="3"/>
    </font>
    <font>
      <sz val="10"/>
      <color indexed="10"/>
      <name val="바탕체"/>
      <family val="1"/>
      <charset val="129"/>
    </font>
    <font>
      <sz val="12"/>
      <name val="¹????¼"/>
      <family val="1"/>
      <charset val="129"/>
    </font>
    <font>
      <b/>
      <sz val="12"/>
      <name val="???"/>
      <family val="1"/>
    </font>
    <font>
      <sz val="10"/>
      <name val="MS Sans Serif"/>
      <family val="2"/>
    </font>
    <font>
      <sz val="11"/>
      <name val="돋움"/>
      <family val="3"/>
      <charset val="129"/>
    </font>
    <font>
      <sz val="12"/>
      <name val="Times New Roman"/>
      <family val="1"/>
    </font>
    <font>
      <sz val="1"/>
      <color indexed="16"/>
      <name val="Courier"/>
      <family val="3"/>
    </font>
    <font>
      <sz val="12"/>
      <name val="¹UAAA¼"/>
      <family val="3"/>
      <charset val="129"/>
    </font>
    <font>
      <sz val="12"/>
      <name val="ⓒoUAAA¨u"/>
      <family val="1"/>
      <charset val="129"/>
    </font>
    <font>
      <sz val="9"/>
      <name val="굴림체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0"/>
      <name val="±¼¸²A¼"/>
      <family val="1"/>
      <charset val="129"/>
    </font>
    <font>
      <sz val="10"/>
      <name val="±¼¸²Ã¼"/>
      <family val="3"/>
      <charset val="129"/>
    </font>
    <font>
      <sz val="10"/>
      <name val="¹UAAA¼"/>
      <family val="3"/>
      <charset val="129"/>
    </font>
    <font>
      <sz val="10"/>
      <name val="¹ÙÅÁÃ¼"/>
      <family val="1"/>
      <charset val="129"/>
    </font>
    <font>
      <b/>
      <sz val="10"/>
      <name val="Helv"/>
      <family val="2"/>
    </font>
    <font>
      <sz val="11"/>
      <color indexed="8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Calibri"/>
      <family val="2"/>
    </font>
    <font>
      <sz val="1"/>
      <color indexed="0"/>
      <name val="Courier"/>
      <family val="3"/>
    </font>
    <font>
      <sz val="12"/>
      <name val=".VnArial"/>
      <family val="2"/>
    </font>
    <font>
      <sz val="12"/>
      <name val="돋움체"/>
      <family val="3"/>
      <charset val="129"/>
    </font>
    <font>
      <b/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name val="Arial"/>
      <family val="2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 Light"/>
      <family val="2"/>
      <scheme val="major"/>
    </font>
    <font>
      <sz val="9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  <charset val="163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  <charset val="163"/>
    </font>
    <font>
      <sz val="9"/>
      <name val="Arial"/>
      <family val="2"/>
      <charset val="163"/>
    </font>
    <font>
      <b/>
      <sz val="9"/>
      <name val="Arial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sz val="11"/>
      <name val="돋움"/>
      <family val="3"/>
    </font>
    <font>
      <sz val="11"/>
      <color indexed="8"/>
      <name val="맑은 고딕"/>
      <family val="3"/>
    </font>
    <font>
      <sz val="12"/>
      <name val="바탕체"/>
      <family val="1"/>
    </font>
    <font>
      <sz val="10"/>
      <color indexed="10"/>
      <name val="바탕체"/>
      <family val="1"/>
    </font>
    <font>
      <sz val="12"/>
      <name val="¹UAAA¼"/>
      <family val="3"/>
    </font>
    <font>
      <sz val="9"/>
      <name val="굴림체"/>
      <family val="3"/>
    </font>
    <font>
      <sz val="12"/>
      <name val="¹ÙÅÁÃ¼"/>
      <family val="3"/>
    </font>
    <font>
      <sz val="10"/>
      <name val="±¼¸²A¼"/>
      <family val="1"/>
    </font>
    <font>
      <sz val="10"/>
      <name val="±¼¸²Ã¼"/>
      <family val="3"/>
    </font>
    <font>
      <sz val="10"/>
      <name val="¹UAAA¼"/>
      <family val="3"/>
    </font>
    <font>
      <sz val="10"/>
      <name val="¹ÙÅÁÃ¼"/>
      <family val="1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3" tint="0.79998168889431442"/>
        <bgColor indexed="64"/>
      </patternFill>
    </fill>
  </fills>
  <borders count="1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9" tint="0.39994506668294322"/>
      </right>
      <top style="medium">
        <color auto="1"/>
      </top>
      <bottom style="medium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auto="1"/>
      </top>
      <bottom style="medium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medium">
        <color auto="1"/>
      </top>
      <bottom style="medium">
        <color auto="1"/>
      </bottom>
      <diagonal/>
    </border>
    <border>
      <left style="thin">
        <color theme="9" tint="0.399945066682943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9" tint="0.39994506668294322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theme="9" tint="0.39997558519241921"/>
      </right>
      <top style="medium">
        <color theme="1"/>
      </top>
      <bottom style="medium">
        <color theme="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1"/>
      </top>
      <bottom style="medium">
        <color theme="1"/>
      </bottom>
      <diagonal/>
    </border>
    <border>
      <left style="thin">
        <color theme="9" tint="0.3999755851924192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77">
    <xf numFmtId="0" fontId="0" fillId="0" borderId="0">
      <alignment vertical="center"/>
    </xf>
    <xf numFmtId="167" fontId="81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78" fillId="0" borderId="0" applyFont="0" applyFill="0" applyBorder="0" applyAlignment="0" applyProtection="0"/>
    <xf numFmtId="0" fontId="95" fillId="0" borderId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102" fillId="0" borderId="0">
      <protection locked="0"/>
    </xf>
    <xf numFmtId="0" fontId="103" fillId="0" borderId="0"/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37" fontId="104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5" fillId="0" borderId="29">
      <alignment horizontal="centerContinuous" vertical="center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/>
    <xf numFmtId="0" fontId="107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8" fillId="0" borderId="0"/>
    <xf numFmtId="3" fontId="108" fillId="0" borderId="0"/>
    <xf numFmtId="0" fontId="109" fillId="0" borderId="0"/>
    <xf numFmtId="0" fontId="95" fillId="0" borderId="0"/>
    <xf numFmtId="0" fontId="109" fillId="0" borderId="0"/>
    <xf numFmtId="0" fontId="95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8" fillId="0" borderId="0"/>
    <xf numFmtId="0" fontId="110" fillId="0" borderId="0"/>
    <xf numFmtId="177" fontId="111" fillId="0" borderId="0">
      <protection locked="0"/>
    </xf>
    <xf numFmtId="177" fontId="111" fillId="0" borderId="0">
      <protection locked="0"/>
    </xf>
    <xf numFmtId="10" fontId="112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4" fillId="0" borderId="0">
      <protection locked="0"/>
    </xf>
    <xf numFmtId="178" fontId="112" fillId="0" borderId="0" applyFont="0" applyFill="0" applyBorder="0" applyAlignment="0" applyProtection="0"/>
    <xf numFmtId="178" fontId="115" fillId="0" borderId="0" applyFont="0" applyFill="0" applyBorder="0" applyAlignment="0" applyProtection="0"/>
    <xf numFmtId="0" fontId="112" fillId="0" borderId="0" applyFont="0" applyFill="0" applyBorder="0" applyAlignment="0" applyProtection="0"/>
    <xf numFmtId="179" fontId="116" fillId="0" borderId="0" applyFont="0" applyFill="0" applyBorder="0" applyAlignment="0" applyProtection="0"/>
    <xf numFmtId="18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2" fillId="0" borderId="0" applyFont="0" applyFill="0" applyBorder="0" applyAlignment="0" applyProtection="0"/>
    <xf numFmtId="181" fontId="116" fillId="0" borderId="0" applyFont="0" applyFill="0" applyBorder="0" applyAlignment="0" applyProtection="0"/>
    <xf numFmtId="182" fontId="112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177" fontId="111" fillId="0" borderId="0">
      <protection locked="0"/>
    </xf>
    <xf numFmtId="0" fontId="115" fillId="0" borderId="0" applyFont="0" applyFill="0" applyBorder="0" applyAlignment="0" applyProtection="0"/>
    <xf numFmtId="168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167" fontId="115" fillId="0" borderId="0" applyFont="0" applyFill="0" applyBorder="0" applyAlignment="0" applyProtection="0"/>
    <xf numFmtId="0" fontId="112" fillId="0" borderId="0" applyFont="0" applyFill="0" applyBorder="0" applyAlignment="0" applyProtection="0"/>
    <xf numFmtId="167" fontId="116" fillId="0" borderId="0" applyFont="0" applyFill="0" applyBorder="0" applyAlignment="0" applyProtection="0"/>
    <xf numFmtId="183" fontId="112" fillId="0" borderId="0" applyFont="0" applyFill="0" applyBorder="0" applyAlignment="0" applyProtection="0"/>
    <xf numFmtId="177" fontId="111" fillId="0" borderId="0">
      <protection locked="0"/>
    </xf>
    <xf numFmtId="0" fontId="117" fillId="0" borderId="0"/>
    <xf numFmtId="0" fontId="118" fillId="0" borderId="0"/>
    <xf numFmtId="0" fontId="119" fillId="0" borderId="0"/>
    <xf numFmtId="0" fontId="120" fillId="0" borderId="0"/>
    <xf numFmtId="0" fontId="121" fillId="0" borderId="0"/>
    <xf numFmtId="0" fontId="112" fillId="0" borderId="0"/>
    <xf numFmtId="0" fontId="115" fillId="0" borderId="0"/>
    <xf numFmtId="0" fontId="117" fillId="0" borderId="0"/>
    <xf numFmtId="0" fontId="115" fillId="0" borderId="0"/>
    <xf numFmtId="0" fontId="112" fillId="0" borderId="0"/>
    <xf numFmtId="0" fontId="121" fillId="0" borderId="0"/>
    <xf numFmtId="0" fontId="120" fillId="0" borderId="0"/>
    <xf numFmtId="0" fontId="115" fillId="0" borderId="0"/>
    <xf numFmtId="0" fontId="112" fillId="0" borderId="0"/>
    <xf numFmtId="0" fontId="115" fillId="0" borderId="0"/>
    <xf numFmtId="0" fontId="112" fillId="0" borderId="0"/>
    <xf numFmtId="0" fontId="119" fillId="0" borderId="0"/>
    <xf numFmtId="0" fontId="118" fillId="0" borderId="0"/>
    <xf numFmtId="0" fontId="119" fillId="0" borderId="0"/>
    <xf numFmtId="0" fontId="122" fillId="0" borderId="0"/>
    <xf numFmtId="0" fontId="109" fillId="0" borderId="0" applyFont="0" applyFill="0" applyBorder="0" applyAlignment="0" applyProtection="0">
      <alignment vertical="center"/>
    </xf>
    <xf numFmtId="180" fontId="95" fillId="0" borderId="0" applyFont="0" applyFill="0" applyBorder="0" applyAlignment="0" applyProtection="0">
      <alignment vertical="center"/>
    </xf>
    <xf numFmtId="0" fontId="123" fillId="0" borderId="0" applyFont="0" applyFill="0" applyBorder="0" applyAlignment="0" applyProtection="0">
      <alignment vertical="center"/>
    </xf>
    <xf numFmtId="0" fontId="102" fillId="0" borderId="0"/>
    <xf numFmtId="38" fontId="124" fillId="27" borderId="0" applyNumberFormat="0" applyBorder="0" applyAlignment="0" applyProtection="0"/>
    <xf numFmtId="0" fontId="125" fillId="0" borderId="0">
      <alignment horizontal="left"/>
    </xf>
    <xf numFmtId="0" fontId="126" fillId="0" borderId="74" applyNumberFormat="0" applyAlignment="0" applyProtection="0">
      <alignment horizontal="left" vertical="center"/>
    </xf>
    <xf numFmtId="0" fontId="126" fillId="0" borderId="42">
      <alignment horizontal="left" vertical="center"/>
    </xf>
    <xf numFmtId="10" fontId="124" fillId="27" borderId="1" applyNumberFormat="0" applyBorder="0" applyAlignment="0" applyProtection="0"/>
    <xf numFmtId="0" fontId="127" fillId="0" borderId="16"/>
    <xf numFmtId="0" fontId="102" fillId="0" borderId="0"/>
    <xf numFmtId="0" fontId="128" fillId="0" borderId="0">
      <alignment vertical="center"/>
    </xf>
    <xf numFmtId="0" fontId="128" fillId="0" borderId="0">
      <alignment vertical="center"/>
    </xf>
    <xf numFmtId="0" fontId="95" fillId="0" borderId="0"/>
    <xf numFmtId="0" fontId="95" fillId="0" borderId="0"/>
    <xf numFmtId="184" fontId="103" fillId="0" borderId="0" applyFont="0" applyFill="0" applyBorder="0" applyAlignment="0" applyProtection="0">
      <alignment horizontal="centerContinuous"/>
    </xf>
    <xf numFmtId="185" fontId="103" fillId="0" borderId="0" applyFont="0" applyFill="0" applyBorder="0" applyAlignment="0" applyProtection="0">
      <alignment horizontal="centerContinuous"/>
    </xf>
    <xf numFmtId="186" fontId="103" fillId="0" borderId="0" applyFont="0" applyFill="0" applyBorder="0" applyAlignment="0" applyProtection="0">
      <alignment horizontal="centerContinuous"/>
    </xf>
    <xf numFmtId="187" fontId="103" fillId="0" borderId="0" applyFont="0" applyFill="0" applyBorder="0" applyAlignment="0" applyProtection="0">
      <alignment horizontal="centerContinuous"/>
    </xf>
    <xf numFmtId="10" fontId="95" fillId="0" borderId="0" applyFont="0" applyFill="0" applyBorder="0" applyAlignment="0" applyProtection="0"/>
    <xf numFmtId="9" fontId="123" fillId="0" borderId="0" applyFont="0" applyFill="0" applyBorder="0" applyAlignment="0" applyProtection="0">
      <alignment vertical="center"/>
    </xf>
    <xf numFmtId="0" fontId="127" fillId="0" borderId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177" fontId="129" fillId="0" borderId="0">
      <protection locked="0"/>
    </xf>
    <xf numFmtId="9" fontId="109" fillId="0" borderId="0" applyFont="0" applyFill="0" applyBorder="0" applyAlignment="0" applyProtection="0">
      <alignment vertical="center"/>
    </xf>
    <xf numFmtId="180" fontId="109" fillId="0" borderId="0" applyFont="0" applyFill="0" applyBorder="0" applyAlignment="0" applyProtection="0"/>
    <xf numFmtId="188" fontId="109" fillId="0" borderId="0" applyFont="0" applyFill="0" applyBorder="0" applyAlignment="0" applyProtection="0">
      <alignment vertical="center"/>
    </xf>
    <xf numFmtId="188" fontId="109" fillId="0" borderId="0" applyFont="0" applyFill="0" applyBorder="0" applyAlignment="0" applyProtection="0">
      <alignment vertical="center"/>
    </xf>
    <xf numFmtId="188" fontId="123" fillId="0" borderId="0" applyFont="0" applyFill="0" applyBorder="0" applyAlignment="0" applyProtection="0">
      <alignment vertical="center"/>
    </xf>
    <xf numFmtId="167" fontId="130" fillId="0" borderId="0" applyFont="0" applyFill="0" applyBorder="0" applyAlignment="0" applyProtection="0"/>
    <xf numFmtId="183" fontId="109" fillId="0" borderId="0" applyFont="0" applyFill="0" applyBorder="0" applyAlignment="0" applyProtection="0">
      <alignment vertical="center"/>
    </xf>
    <xf numFmtId="177" fontId="130" fillId="0" borderId="0" applyFont="0" applyFill="0" applyBorder="0" applyAlignment="0" applyProtection="0"/>
    <xf numFmtId="0" fontId="102" fillId="0" borderId="0" applyFont="0" applyFill="0" applyBorder="0" applyAlignment="0" applyProtection="0"/>
    <xf numFmtId="168" fontId="131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9" fillId="0" borderId="0"/>
    <xf numFmtId="0" fontId="95" fillId="0" borderId="0"/>
    <xf numFmtId="0" fontId="109" fillId="0" borderId="0">
      <alignment vertical="center"/>
    </xf>
    <xf numFmtId="0" fontId="95" fillId="0" borderId="0"/>
    <xf numFmtId="0" fontId="3" fillId="0" borderId="0"/>
    <xf numFmtId="43" fontId="3" fillId="0" borderId="0" applyFont="0" applyFill="0" applyBorder="0" applyAlignment="0" applyProtection="0"/>
    <xf numFmtId="43" fontId="151" fillId="0" borderId="0" applyFont="0" applyFill="0" applyBorder="0" applyAlignment="0" applyProtection="0"/>
    <xf numFmtId="0" fontId="95" fillId="0" borderId="0"/>
    <xf numFmtId="43" fontId="95" fillId="0" borderId="0" applyFont="0" applyFill="0" applyBorder="0" applyAlignment="0" applyProtection="0"/>
    <xf numFmtId="0" fontId="95" fillId="0" borderId="0"/>
    <xf numFmtId="43" fontId="95" fillId="0" borderId="0" applyFont="0" applyFill="0" applyBorder="0" applyAlignment="0" applyProtection="0"/>
    <xf numFmtId="0" fontId="95" fillId="0" borderId="0"/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2" fillId="0" borderId="29">
      <alignment horizontal="centerContinuous" vertical="center"/>
    </xf>
    <xf numFmtId="0" fontId="164" fillId="0" borderId="0">
      <protection locked="0"/>
    </xf>
    <xf numFmtId="178" fontId="163" fillId="0" borderId="0" applyFont="0" applyFill="0" applyBorder="0" applyAlignment="0" applyProtection="0"/>
    <xf numFmtId="178" fontId="165" fillId="0" borderId="0" applyFont="0" applyFill="0" applyBorder="0" applyAlignment="0" applyProtection="0"/>
    <xf numFmtId="0" fontId="166" fillId="0" borderId="0"/>
    <xf numFmtId="0" fontId="167" fillId="0" borderId="0"/>
    <xf numFmtId="0" fontId="168" fillId="0" borderId="0"/>
    <xf numFmtId="0" fontId="169" fillId="0" borderId="0"/>
    <xf numFmtId="0" fontId="166" fillId="0" borderId="0"/>
    <xf numFmtId="0" fontId="167" fillId="0" borderId="0"/>
    <xf numFmtId="43" fontId="95" fillId="0" borderId="0" applyFont="0" applyFill="0" applyBorder="0" applyAlignment="0" applyProtection="0"/>
    <xf numFmtId="0" fontId="159" fillId="0" borderId="0" applyFont="0" applyFill="0" applyBorder="0" applyAlignment="0" applyProtection="0">
      <alignment vertical="center"/>
    </xf>
    <xf numFmtId="0" fontId="160" fillId="0" borderId="0" applyFont="0" applyFill="0" applyBorder="0" applyAlignment="0" applyProtection="0">
      <alignment vertical="center"/>
    </xf>
    <xf numFmtId="0" fontId="161" fillId="0" borderId="0"/>
    <xf numFmtId="0" fontId="161" fillId="0" borderId="0"/>
    <xf numFmtId="9" fontId="160" fillId="0" borderId="0" applyFont="0" applyFill="0" applyBorder="0" applyAlignment="0" applyProtection="0">
      <alignment vertical="center"/>
    </xf>
    <xf numFmtId="9" fontId="159" fillId="0" borderId="0" applyFont="0" applyFill="0" applyBorder="0" applyAlignment="0" applyProtection="0">
      <alignment vertical="center"/>
    </xf>
    <xf numFmtId="180" fontId="159" fillId="0" borderId="0" applyFont="0" applyFill="0" applyBorder="0" applyAlignment="0" applyProtection="0"/>
    <xf numFmtId="188" fontId="159" fillId="0" borderId="0" applyFont="0" applyFill="0" applyBorder="0" applyAlignment="0" applyProtection="0">
      <alignment vertical="center"/>
    </xf>
    <xf numFmtId="188" fontId="159" fillId="0" borderId="0" applyFont="0" applyFill="0" applyBorder="0" applyAlignment="0" applyProtection="0">
      <alignment vertical="center"/>
    </xf>
    <xf numFmtId="188" fontId="160" fillId="0" borderId="0" applyFont="0" applyFill="0" applyBorder="0" applyAlignment="0" applyProtection="0">
      <alignment vertical="center"/>
    </xf>
    <xf numFmtId="183" fontId="159" fillId="0" borderId="0" applyFont="0" applyFill="0" applyBorder="0" applyAlignment="0" applyProtection="0">
      <alignment vertical="center"/>
    </xf>
    <xf numFmtId="0" fontId="159" fillId="0" borderId="0"/>
    <xf numFmtId="0" fontId="159" fillId="0" borderId="0">
      <alignment vertical="center"/>
    </xf>
    <xf numFmtId="0" fontId="95" fillId="0" borderId="0"/>
    <xf numFmtId="178" fontId="163" fillId="0" borderId="0" applyFont="0" applyFill="0" applyBorder="0" applyAlignment="0" applyProtection="0"/>
    <xf numFmtId="178" fontId="165" fillId="0" borderId="0" applyFont="0" applyFill="0" applyBorder="0" applyAlignment="0" applyProtection="0"/>
    <xf numFmtId="0" fontId="166" fillId="0" borderId="0"/>
    <xf numFmtId="0" fontId="167" fillId="0" borderId="0"/>
    <xf numFmtId="0" fontId="168" fillId="0" borderId="0"/>
    <xf numFmtId="0" fontId="169" fillId="0" borderId="0"/>
    <xf numFmtId="0" fontId="166" fillId="0" borderId="0"/>
    <xf numFmtId="0" fontId="167" fillId="0" borderId="0"/>
    <xf numFmtId="43" fontId="9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5" fillId="0" borderId="0"/>
    <xf numFmtId="0" fontId="170" fillId="0" borderId="0" applyNumberForma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95" fillId="0" borderId="0"/>
    <xf numFmtId="0" fontId="95" fillId="0" borderId="0"/>
    <xf numFmtId="0" fontId="95" fillId="0" borderId="0"/>
    <xf numFmtId="0" fontId="1" fillId="0" borderId="0"/>
    <xf numFmtId="43" fontId="1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167" fillId="0" borderId="0"/>
    <xf numFmtId="0" fontId="166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178" fontId="165" fillId="0" borderId="0" applyFont="0" applyFill="0" applyBorder="0" applyAlignment="0" applyProtection="0"/>
    <xf numFmtId="178" fontId="163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95" fillId="0" borderId="0"/>
    <xf numFmtId="0" fontId="95" fillId="0" borderId="0"/>
    <xf numFmtId="178" fontId="163" fillId="0" borderId="0" applyFont="0" applyFill="0" applyBorder="0" applyAlignment="0" applyProtection="0"/>
    <xf numFmtId="178" fontId="165" fillId="0" borderId="0" applyFont="0" applyFill="0" applyBorder="0" applyAlignment="0" applyProtection="0"/>
    <xf numFmtId="0" fontId="166" fillId="0" borderId="0"/>
    <xf numFmtId="0" fontId="167" fillId="0" borderId="0"/>
    <xf numFmtId="0" fontId="168" fillId="0" borderId="0"/>
    <xf numFmtId="0" fontId="169" fillId="0" borderId="0"/>
    <xf numFmtId="0" fontId="166" fillId="0" borderId="0"/>
    <xf numFmtId="0" fontId="167" fillId="0" borderId="0"/>
    <xf numFmtId="43" fontId="95" fillId="0" borderId="0" applyFont="0" applyFill="0" applyBorder="0" applyAlignment="0" applyProtection="0"/>
  </cellStyleXfs>
  <cellXfs count="197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1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9" fontId="8" fillId="0" borderId="1" xfId="1" applyNumberFormat="1" applyFont="1" applyBorder="1" applyAlignment="1">
      <alignment horizontal="center" vertical="center"/>
    </xf>
    <xf numFmtId="169" fontId="9" fillId="0" borderId="1" xfId="1" applyNumberFormat="1" applyFont="1" applyBorder="1" applyAlignment="1">
      <alignment horizontal="center" vertical="center"/>
    </xf>
    <xf numFmtId="169" fontId="8" fillId="0" borderId="2" xfId="1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4" fillId="2" borderId="0" xfId="0" applyFont="1" applyFill="1">
      <alignment vertical="center"/>
    </xf>
    <xf numFmtId="169" fontId="8" fillId="0" borderId="3" xfId="1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5" fontId="11" fillId="0" borderId="6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65" fontId="4" fillId="3" borderId="8" xfId="1" applyNumberFormat="1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165" fontId="0" fillId="0" borderId="14" xfId="1" applyNumberFormat="1" applyFont="1" applyFill="1" applyBorder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3" xfId="0" applyFont="1" applyFill="1" applyBorder="1">
      <alignment vertical="center"/>
    </xf>
    <xf numFmtId="0" fontId="12" fillId="0" borderId="15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165" fontId="0" fillId="0" borderId="17" xfId="1" applyNumberFormat="1" applyFont="1" applyFill="1" applyBorder="1">
      <alignment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5" xfId="0" applyFont="1" applyFill="1" applyBorder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165" fontId="5" fillId="4" borderId="15" xfId="1" applyNumberFormat="1" applyFont="1" applyFill="1" applyBorder="1">
      <alignment vertical="center"/>
    </xf>
    <xf numFmtId="165" fontId="5" fillId="4" borderId="21" xfId="1" applyNumberFormat="1" applyFont="1" applyFill="1" applyBorder="1">
      <alignment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1" xfId="0" applyFont="1" applyFill="1" applyBorder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5" fontId="5" fillId="4" borderId="8" xfId="1" applyNumberFormat="1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2" xfId="0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13" fillId="6" borderId="0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5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vertical="center"/>
    </xf>
    <xf numFmtId="0" fontId="16" fillId="5" borderId="22" xfId="0" applyFont="1" applyFill="1" applyBorder="1" applyAlignment="1">
      <alignment vertical="center"/>
    </xf>
    <xf numFmtId="14" fontId="19" fillId="5" borderId="0" xfId="0" applyNumberFormat="1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left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16" fillId="8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vertical="center"/>
    </xf>
    <xf numFmtId="0" fontId="13" fillId="3" borderId="27" xfId="0" applyFont="1" applyFill="1" applyBorder="1" applyAlignment="1">
      <alignment vertical="center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vertical="center"/>
    </xf>
    <xf numFmtId="172" fontId="16" fillId="3" borderId="25" xfId="1" applyNumberFormat="1" applyFont="1" applyFill="1" applyBorder="1" applyAlignment="1">
      <alignment vertical="center"/>
    </xf>
    <xf numFmtId="172" fontId="16" fillId="3" borderId="24" xfId="1" applyNumberFormat="1" applyFont="1" applyFill="1" applyBorder="1" applyAlignment="1">
      <alignment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/>
    </xf>
    <xf numFmtId="169" fontId="13" fillId="5" borderId="1" xfId="1" applyNumberFormat="1" applyFont="1" applyFill="1" applyBorder="1" applyAlignment="1">
      <alignment vertical="center"/>
    </xf>
    <xf numFmtId="169" fontId="13" fillId="5" borderId="29" xfId="1" applyNumberFormat="1" applyFont="1" applyFill="1" applyBorder="1" applyAlignment="1">
      <alignment vertical="center"/>
    </xf>
    <xf numFmtId="16" fontId="13" fillId="5" borderId="1" xfId="0" applyNumberFormat="1" applyFont="1" applyFill="1" applyBorder="1" applyAlignment="1">
      <alignment horizontal="left" vertical="center"/>
    </xf>
    <xf numFmtId="169" fontId="21" fillId="0" borderId="30" xfId="1" applyNumberFormat="1" applyFont="1" applyFill="1" applyBorder="1" applyAlignment="1">
      <alignment vertical="center"/>
    </xf>
    <xf numFmtId="16" fontId="13" fillId="5" borderId="1" xfId="0" applyNumberFormat="1" applyFont="1" applyFill="1" applyBorder="1" applyAlignment="1">
      <alignment horizontal="left" vertical="center" wrapText="1"/>
    </xf>
    <xf numFmtId="169" fontId="21" fillId="0" borderId="29" xfId="1" applyNumberFormat="1" applyFont="1" applyFill="1" applyBorder="1" applyAlignment="1">
      <alignment vertical="center"/>
    </xf>
    <xf numFmtId="49" fontId="16" fillId="9" borderId="28" xfId="0" applyNumberFormat="1" applyFont="1" applyFill="1" applyBorder="1" applyAlignment="1">
      <alignment horizontal="center" vertical="center"/>
    </xf>
    <xf numFmtId="16" fontId="16" fillId="9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/>
    </xf>
    <xf numFmtId="169" fontId="16" fillId="9" borderId="1" xfId="1" applyNumberFormat="1" applyFont="1" applyFill="1" applyBorder="1" applyAlignment="1">
      <alignment vertical="center"/>
    </xf>
    <xf numFmtId="169" fontId="16" fillId="9" borderId="29" xfId="1" applyNumberFormat="1" applyFont="1" applyFill="1" applyBorder="1" applyAlignment="1">
      <alignment vertical="center"/>
    </xf>
    <xf numFmtId="49" fontId="13" fillId="3" borderId="28" xfId="0" applyNumberFormat="1" applyFont="1" applyFill="1" applyBorder="1" applyAlignment="1">
      <alignment horizontal="left" vertical="center"/>
    </xf>
    <xf numFmtId="16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" fontId="13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vertical="center"/>
    </xf>
    <xf numFmtId="169" fontId="16" fillId="3" borderId="1" xfId="1" applyNumberFormat="1" applyFont="1" applyFill="1" applyBorder="1" applyAlignment="1">
      <alignment vertical="center"/>
    </xf>
    <xf numFmtId="169" fontId="23" fillId="3" borderId="29" xfId="1" applyNumberFormat="1" applyFont="1" applyFill="1" applyBorder="1" applyAlignment="1">
      <alignment vertical="center"/>
    </xf>
    <xf numFmtId="49" fontId="13" fillId="6" borderId="31" xfId="0" applyNumberFormat="1" applyFont="1" applyFill="1" applyBorder="1" applyAlignment="1">
      <alignment horizontal="center" vertical="center"/>
    </xf>
    <xf numFmtId="16" fontId="13" fillId="6" borderId="22" xfId="0" applyNumberFormat="1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vertical="center" wrapText="1"/>
    </xf>
    <xf numFmtId="0" fontId="20" fillId="6" borderId="22" xfId="0" applyFont="1" applyFill="1" applyBorder="1" applyAlignment="1">
      <alignment vertical="center"/>
    </xf>
    <xf numFmtId="169" fontId="13" fillId="6" borderId="22" xfId="1" applyNumberFormat="1" applyFont="1" applyFill="1" applyBorder="1" applyAlignment="1">
      <alignment vertical="center"/>
    </xf>
    <xf numFmtId="16" fontId="13" fillId="7" borderId="33" xfId="0" applyNumberFormat="1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/>
    </xf>
    <xf numFmtId="169" fontId="13" fillId="7" borderId="33" xfId="1" applyNumberFormat="1" applyFont="1" applyFill="1" applyBorder="1" applyAlignment="1">
      <alignment vertical="center"/>
    </xf>
    <xf numFmtId="169" fontId="13" fillId="7" borderId="34" xfId="1" applyNumberFormat="1" applyFont="1" applyFill="1" applyBorder="1" applyAlignment="1">
      <alignment vertical="center"/>
    </xf>
    <xf numFmtId="16" fontId="13" fillId="5" borderId="10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vertical="center" wrapText="1"/>
    </xf>
    <xf numFmtId="0" fontId="20" fillId="5" borderId="10" xfId="0" applyFont="1" applyFill="1" applyBorder="1" applyAlignment="1">
      <alignment vertical="center"/>
    </xf>
    <xf numFmtId="169" fontId="13" fillId="5" borderId="10" xfId="1" applyNumberFormat="1" applyFont="1" applyFill="1" applyBorder="1" applyAlignment="1">
      <alignment vertical="center"/>
    </xf>
    <xf numFmtId="169" fontId="13" fillId="5" borderId="11" xfId="1" applyNumberFormat="1" applyFont="1" applyFill="1" applyBorder="1" applyAlignment="1">
      <alignment vertical="center"/>
    </xf>
    <xf numFmtId="38" fontId="16" fillId="5" borderId="0" xfId="0" applyNumberFormat="1" applyFont="1" applyFill="1" applyBorder="1" applyAlignment="1">
      <alignment vertical="center"/>
    </xf>
    <xf numFmtId="38" fontId="16" fillId="8" borderId="35" xfId="0" applyNumberFormat="1" applyFont="1" applyFill="1" applyBorder="1" applyAlignment="1">
      <alignment vertical="center"/>
    </xf>
    <xf numFmtId="38" fontId="13" fillId="3" borderId="36" xfId="0" applyNumberFormat="1" applyFont="1" applyFill="1" applyBorder="1" applyAlignment="1">
      <alignment vertical="center"/>
    </xf>
    <xf numFmtId="38" fontId="13" fillId="5" borderId="30" xfId="0" applyNumberFormat="1" applyFont="1" applyFill="1" applyBorder="1" applyAlignment="1">
      <alignment vertical="center"/>
    </xf>
    <xf numFmtId="38" fontId="16" fillId="9" borderId="30" xfId="0" applyNumberFormat="1" applyFont="1" applyFill="1" applyBorder="1" applyAlignment="1">
      <alignment vertical="center"/>
    </xf>
    <xf numFmtId="38" fontId="13" fillId="3" borderId="30" xfId="0" applyNumberFormat="1" applyFont="1" applyFill="1" applyBorder="1" applyAlignment="1">
      <alignment vertical="center"/>
    </xf>
    <xf numFmtId="169" fontId="13" fillId="6" borderId="37" xfId="1" applyNumberFormat="1" applyFont="1" applyFill="1" applyBorder="1" applyAlignment="1">
      <alignment vertical="center"/>
    </xf>
    <xf numFmtId="38" fontId="13" fillId="7" borderId="38" xfId="0" applyNumberFormat="1" applyFont="1" applyFill="1" applyBorder="1" applyAlignment="1">
      <alignment vertical="center"/>
    </xf>
    <xf numFmtId="38" fontId="13" fillId="5" borderId="39" xfId="0" applyNumberFormat="1" applyFont="1" applyFill="1" applyBorder="1" applyAlignment="1">
      <alignment vertical="center"/>
    </xf>
    <xf numFmtId="38" fontId="13" fillId="5" borderId="40" xfId="0" applyNumberFormat="1" applyFont="1" applyFill="1" applyBorder="1" applyAlignment="1">
      <alignment vertical="center"/>
    </xf>
    <xf numFmtId="16" fontId="13" fillId="5" borderId="41" xfId="0" applyNumberFormat="1" applyFont="1" applyFill="1" applyBorder="1" applyAlignment="1">
      <alignment horizontal="center" vertical="center"/>
    </xf>
    <xf numFmtId="0" fontId="13" fillId="5" borderId="41" xfId="0" applyFont="1" applyFill="1" applyBorder="1" applyAlignment="1">
      <alignment horizontal="center" vertical="center"/>
    </xf>
    <xf numFmtId="16" fontId="13" fillId="5" borderId="42" xfId="0" applyNumberFormat="1" applyFont="1" applyFill="1" applyBorder="1" applyAlignment="1">
      <alignment horizontal="left" vertical="center"/>
    </xf>
    <xf numFmtId="16" fontId="13" fillId="5" borderId="42" xfId="0" applyNumberFormat="1" applyFont="1" applyFill="1" applyBorder="1" applyAlignment="1">
      <alignment horizontal="left" vertical="center" wrapText="1"/>
    </xf>
    <xf numFmtId="14" fontId="16" fillId="9" borderId="43" xfId="0" applyNumberFormat="1" applyFont="1" applyFill="1" applyBorder="1" applyAlignment="1">
      <alignment horizontal="center" vertical="center"/>
    </xf>
    <xf numFmtId="14" fontId="13" fillId="9" borderId="42" xfId="0" applyNumberFormat="1" applyFont="1" applyFill="1" applyBorder="1" applyAlignment="1">
      <alignment vertical="center"/>
    </xf>
    <xf numFmtId="14" fontId="16" fillId="9" borderId="42" xfId="0" applyNumberFormat="1" applyFont="1" applyFill="1" applyBorder="1" applyAlignment="1">
      <alignment vertical="center"/>
    </xf>
    <xf numFmtId="14" fontId="16" fillId="9" borderId="42" xfId="0" applyNumberFormat="1" applyFont="1" applyFill="1" applyBorder="1" applyAlignment="1">
      <alignment horizontal="left" vertical="center" wrapText="1"/>
    </xf>
    <xf numFmtId="14" fontId="13" fillId="9" borderId="1" xfId="0" applyNumberFormat="1" applyFont="1" applyFill="1" applyBorder="1" applyAlignment="1">
      <alignment horizontal="center" vertical="center"/>
    </xf>
    <xf numFmtId="172" fontId="16" fillId="9" borderId="1" xfId="1" applyNumberFormat="1" applyFont="1" applyFill="1" applyBorder="1" applyAlignment="1">
      <alignment vertical="center"/>
    </xf>
    <xf numFmtId="172" fontId="16" fillId="9" borderId="29" xfId="1" applyNumberFormat="1" applyFont="1" applyFill="1" applyBorder="1" applyAlignment="1">
      <alignment vertical="center"/>
    </xf>
    <xf numFmtId="14" fontId="13" fillId="3" borderId="46" xfId="0" applyNumberFormat="1" applyFont="1" applyFill="1" applyBorder="1" applyAlignment="1">
      <alignment horizontal="center" vertical="center" wrapText="1"/>
    </xf>
    <xf numFmtId="14" fontId="16" fillId="3" borderId="46" xfId="0" applyNumberFormat="1" applyFont="1" applyFill="1" applyBorder="1" applyAlignment="1">
      <alignment horizontal="center" vertical="center"/>
    </xf>
    <xf numFmtId="172" fontId="16" fillId="3" borderId="47" xfId="1" applyNumberFormat="1" applyFont="1" applyFill="1" applyBorder="1" applyAlignment="1">
      <alignment vertical="center"/>
    </xf>
    <xf numFmtId="0" fontId="0" fillId="3" borderId="16" xfId="0" applyFill="1" applyBorder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center" wrapText="1"/>
    </xf>
    <xf numFmtId="169" fontId="16" fillId="10" borderId="1" xfId="1" applyNumberFormat="1" applyFont="1" applyFill="1" applyBorder="1" applyAlignment="1">
      <alignment vertical="center"/>
    </xf>
    <xf numFmtId="169" fontId="16" fillId="10" borderId="29" xfId="1" applyNumberFormat="1" applyFont="1" applyFill="1" applyBorder="1" applyAlignment="1">
      <alignment vertical="center"/>
    </xf>
    <xf numFmtId="16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6" fontId="13" fillId="8" borderId="1" xfId="0" applyNumberFormat="1" applyFont="1" applyFill="1" applyBorder="1" applyAlignment="1">
      <alignment horizontal="left" vertical="center"/>
    </xf>
    <xf numFmtId="0" fontId="20" fillId="8" borderId="1" xfId="0" applyFont="1" applyFill="1" applyBorder="1" applyAlignment="1">
      <alignment vertical="center"/>
    </xf>
    <xf numFmtId="169" fontId="13" fillId="8" borderId="1" xfId="1" applyNumberFormat="1" applyFont="1" applyFill="1" applyBorder="1" applyAlignment="1">
      <alignment vertical="center"/>
    </xf>
    <xf numFmtId="169" fontId="21" fillId="8" borderId="29" xfId="1" applyNumberFormat="1" applyFont="1" applyFill="1" applyBorder="1" applyAlignment="1">
      <alignment vertical="center"/>
    </xf>
    <xf numFmtId="38" fontId="13" fillId="9" borderId="30" xfId="0" applyNumberFormat="1" applyFont="1" applyFill="1" applyBorder="1" applyAlignment="1">
      <alignment vertical="center"/>
    </xf>
    <xf numFmtId="38" fontId="13" fillId="3" borderId="39" xfId="0" applyNumberFormat="1" applyFont="1" applyFill="1" applyBorder="1" applyAlignment="1">
      <alignment vertical="center"/>
    </xf>
    <xf numFmtId="38" fontId="13" fillId="5" borderId="1" xfId="0" applyNumberFormat="1" applyFont="1" applyFill="1" applyBorder="1" applyAlignment="1">
      <alignment vertical="center"/>
    </xf>
    <xf numFmtId="169" fontId="13" fillId="10" borderId="29" xfId="1" applyNumberFormat="1" applyFont="1" applyFill="1" applyBorder="1" applyAlignment="1">
      <alignment vertical="center"/>
    </xf>
    <xf numFmtId="49" fontId="13" fillId="5" borderId="42" xfId="0" applyNumberFormat="1" applyFont="1" applyFill="1" applyBorder="1" applyAlignment="1">
      <alignment horizontal="center" vertical="center"/>
    </xf>
    <xf numFmtId="16" fontId="13" fillId="5" borderId="42" xfId="0" applyNumberFormat="1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14" fontId="13" fillId="3" borderId="48" xfId="0" applyNumberFormat="1" applyFont="1" applyFill="1" applyBorder="1" applyAlignment="1">
      <alignment vertical="center"/>
    </xf>
    <xf numFmtId="14" fontId="13" fillId="3" borderId="49" xfId="0" applyNumberFormat="1" applyFont="1" applyFill="1" applyBorder="1" applyAlignment="1">
      <alignment vertical="center"/>
    </xf>
    <xf numFmtId="14" fontId="16" fillId="3" borderId="50" xfId="0" applyNumberFormat="1" applyFont="1" applyFill="1" applyBorder="1" applyAlignment="1">
      <alignment horizontal="center" vertical="center" wrapText="1"/>
    </xf>
    <xf numFmtId="14" fontId="16" fillId="3" borderId="50" xfId="0" applyNumberFormat="1" applyFont="1" applyFill="1" applyBorder="1" applyAlignment="1">
      <alignment horizontal="center" vertical="center"/>
    </xf>
    <xf numFmtId="172" fontId="16" fillId="3" borderId="2" xfId="1" applyNumberFormat="1" applyFont="1" applyFill="1" applyBorder="1" applyAlignment="1">
      <alignment vertical="center"/>
    </xf>
    <xf numFmtId="167" fontId="24" fillId="3" borderId="0" xfId="1" applyFont="1" applyFill="1" applyBorder="1">
      <alignment vertical="center"/>
    </xf>
    <xf numFmtId="16" fontId="15" fillId="5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" fontId="15" fillId="5" borderId="1" xfId="0" applyNumberFormat="1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169" fontId="15" fillId="5" borderId="1" xfId="1" applyNumberFormat="1" applyFont="1" applyFill="1" applyBorder="1" applyAlignment="1">
      <alignment vertical="center"/>
    </xf>
    <xf numFmtId="169" fontId="26" fillId="0" borderId="29" xfId="1" applyNumberFormat="1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169" fontId="15" fillId="5" borderId="29" xfId="1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horizontal="left" vertical="center"/>
    </xf>
    <xf numFmtId="14" fontId="13" fillId="0" borderId="28" xfId="0" applyNumberFormat="1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172" fontId="13" fillId="0" borderId="1" xfId="1" applyNumberFormat="1" applyFont="1" applyFill="1" applyBorder="1" applyAlignment="1">
      <alignment vertical="center"/>
    </xf>
    <xf numFmtId="167" fontId="27" fillId="0" borderId="1" xfId="1" applyFont="1" applyFill="1" applyBorder="1">
      <alignment vertical="center"/>
    </xf>
    <xf numFmtId="169" fontId="28" fillId="5" borderId="1" xfId="1" applyNumberFormat="1" applyFont="1" applyFill="1" applyBorder="1" applyAlignment="1">
      <alignment vertical="center"/>
    </xf>
    <xf numFmtId="169" fontId="28" fillId="11" borderId="1" xfId="1" applyNumberFormat="1" applyFont="1" applyFill="1" applyBorder="1" applyAlignment="1">
      <alignment vertical="center"/>
    </xf>
    <xf numFmtId="169" fontId="29" fillId="11" borderId="29" xfId="1" applyNumberFormat="1" applyFont="1" applyFill="1" applyBorder="1" applyAlignment="1">
      <alignment vertical="center"/>
    </xf>
    <xf numFmtId="14" fontId="16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72" fontId="16" fillId="0" borderId="1" xfId="1" applyNumberFormat="1" applyFont="1" applyFill="1" applyBorder="1" applyAlignment="1">
      <alignment vertical="center"/>
    </xf>
    <xf numFmtId="167" fontId="24" fillId="0" borderId="1" xfId="1" applyFont="1" applyFill="1" applyBorder="1">
      <alignment vertical="center"/>
    </xf>
    <xf numFmtId="14" fontId="16" fillId="9" borderId="31" xfId="0" applyNumberFormat="1" applyFont="1" applyFill="1" applyBorder="1" applyAlignment="1">
      <alignment horizontal="left" vertical="center"/>
    </xf>
    <xf numFmtId="14" fontId="13" fillId="9" borderId="22" xfId="0" applyNumberFormat="1" applyFont="1" applyFill="1" applyBorder="1" applyAlignment="1">
      <alignment horizontal="left" vertical="center"/>
    </xf>
    <xf numFmtId="14" fontId="16" fillId="9" borderId="22" xfId="0" applyNumberFormat="1" applyFont="1" applyFill="1" applyBorder="1" applyAlignment="1">
      <alignment horizontal="center" vertical="center" wrapText="1"/>
    </xf>
    <xf numFmtId="14" fontId="16" fillId="9" borderId="22" xfId="0" applyNumberFormat="1" applyFont="1" applyFill="1" applyBorder="1" applyAlignment="1">
      <alignment horizontal="center" vertical="center"/>
    </xf>
    <xf numFmtId="172" fontId="16" fillId="9" borderId="22" xfId="1" applyNumberFormat="1" applyFont="1" applyFill="1" applyBorder="1" applyAlignment="1">
      <alignment vertical="center"/>
    </xf>
    <xf numFmtId="167" fontId="24" fillId="9" borderId="22" xfId="1" applyFont="1" applyFill="1" applyBorder="1">
      <alignment vertical="center"/>
    </xf>
    <xf numFmtId="14" fontId="13" fillId="3" borderId="6" xfId="0" applyNumberFormat="1" applyFont="1" applyFill="1" applyBorder="1" applyAlignment="1">
      <alignment horizontal="left" vertical="center"/>
    </xf>
    <xf numFmtId="14" fontId="13" fillId="3" borderId="5" xfId="0" applyNumberFormat="1" applyFont="1" applyFill="1" applyBorder="1" applyAlignment="1">
      <alignment horizontal="left" vertical="center"/>
    </xf>
    <xf numFmtId="14" fontId="16" fillId="3" borderId="5" xfId="0" applyNumberFormat="1" applyFont="1" applyFill="1" applyBorder="1" applyAlignment="1">
      <alignment horizontal="center" vertical="center" wrapText="1"/>
    </xf>
    <xf numFmtId="14" fontId="16" fillId="3" borderId="5" xfId="0" applyNumberFormat="1" applyFont="1" applyFill="1" applyBorder="1" applyAlignment="1">
      <alignment horizontal="center" vertical="center"/>
    </xf>
    <xf numFmtId="172" fontId="16" fillId="3" borderId="5" xfId="1" applyNumberFormat="1" applyFont="1" applyFill="1" applyBorder="1" applyAlignment="1">
      <alignment vertical="center"/>
    </xf>
    <xf numFmtId="167" fontId="24" fillId="3" borderId="5" xfId="1" applyFont="1" applyFill="1" applyBorder="1">
      <alignment vertical="center"/>
    </xf>
    <xf numFmtId="14" fontId="13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/>
    </xf>
    <xf numFmtId="172" fontId="16" fillId="0" borderId="0" xfId="1" applyNumberFormat="1" applyFont="1" applyFill="1" applyBorder="1" applyAlignment="1">
      <alignment vertical="center"/>
    </xf>
    <xf numFmtId="167" fontId="24" fillId="0" borderId="0" xfId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center" vertical="center"/>
    </xf>
    <xf numFmtId="172" fontId="16" fillId="0" borderId="38" xfId="1" applyNumberFormat="1" applyFont="1" applyFill="1" applyBorder="1" applyAlignment="1">
      <alignment vertical="center"/>
    </xf>
    <xf numFmtId="14" fontId="16" fillId="0" borderId="28" xfId="0" applyNumberFormat="1" applyFont="1" applyFill="1" applyBorder="1" applyAlignment="1">
      <alignment horizontal="center" vertical="center"/>
    </xf>
    <xf numFmtId="172" fontId="16" fillId="0" borderId="30" xfId="1" applyNumberFormat="1" applyFont="1" applyFill="1" applyBorder="1" applyAlignment="1">
      <alignment vertical="center"/>
    </xf>
    <xf numFmtId="14" fontId="16" fillId="0" borderId="9" xfId="0" applyNumberFormat="1" applyFont="1" applyFill="1" applyBorder="1" applyAlignment="1">
      <alignment horizontal="center" vertical="center"/>
    </xf>
    <xf numFmtId="172" fontId="16" fillId="0" borderId="39" xfId="1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38" fontId="13" fillId="5" borderId="29" xfId="0" applyNumberFormat="1" applyFont="1" applyFill="1" applyBorder="1" applyAlignment="1">
      <alignment vertical="center"/>
    </xf>
    <xf numFmtId="38" fontId="13" fillId="3" borderId="37" xfId="0" applyNumberFormat="1" applyFont="1" applyFill="1" applyBorder="1" applyAlignment="1">
      <alignment vertical="center"/>
    </xf>
    <xf numFmtId="38" fontId="15" fillId="5" borderId="1" xfId="0" applyNumberFormat="1" applyFont="1" applyFill="1" applyBorder="1" applyAlignment="1">
      <alignment vertical="center"/>
    </xf>
    <xf numFmtId="38" fontId="13" fillId="0" borderId="30" xfId="0" applyNumberFormat="1" applyFont="1" applyFill="1" applyBorder="1" applyAlignment="1">
      <alignment vertical="center"/>
    </xf>
    <xf numFmtId="38" fontId="13" fillId="9" borderId="37" xfId="0" applyNumberFormat="1" applyFont="1" applyFill="1" applyBorder="1" applyAlignment="1">
      <alignment vertical="center"/>
    </xf>
    <xf numFmtId="38" fontId="13" fillId="3" borderId="7" xfId="0" applyNumberFormat="1" applyFont="1" applyFill="1" applyBorder="1" applyAlignment="1">
      <alignment vertical="center"/>
    </xf>
    <xf numFmtId="38" fontId="13" fillId="0" borderId="0" xfId="0" applyNumberFormat="1" applyFont="1" applyFill="1" applyBorder="1" applyAlignment="1">
      <alignment vertical="center"/>
    </xf>
    <xf numFmtId="38" fontId="16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31" fillId="12" borderId="27" xfId="0" applyFont="1" applyFill="1" applyBorder="1" applyAlignment="1">
      <alignment vertical="center"/>
    </xf>
    <xf numFmtId="0" fontId="31" fillId="5" borderId="16" xfId="0" applyFont="1" applyFill="1" applyBorder="1" applyAlignment="1">
      <alignment vertical="center"/>
    </xf>
    <xf numFmtId="0" fontId="31" fillId="5" borderId="27" xfId="0" applyFont="1" applyFill="1" applyBorder="1" applyAlignment="1">
      <alignment vertical="center"/>
    </xf>
    <xf numFmtId="0" fontId="31" fillId="0" borderId="0" xfId="0" applyFont="1" applyFill="1" applyAlignment="1">
      <alignment horizontal="center" vertical="center"/>
    </xf>
    <xf numFmtId="167" fontId="31" fillId="0" borderId="0" xfId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7" fontId="30" fillId="0" borderId="0" xfId="1" applyFont="1" applyFill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6" xfId="0" applyFont="1" applyFill="1" applyBorder="1" applyAlignment="1">
      <alignment vertical="center" wrapText="1"/>
    </xf>
    <xf numFmtId="16" fontId="33" fillId="0" borderId="0" xfId="0" applyNumberFormat="1" applyFont="1" applyFill="1" applyBorder="1" applyAlignment="1">
      <alignment horizontal="center" vertical="center"/>
    </xf>
    <xf numFmtId="167" fontId="33" fillId="0" borderId="0" xfId="1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vertical="center"/>
    </xf>
    <xf numFmtId="0" fontId="33" fillId="8" borderId="32" xfId="0" applyFont="1" applyFill="1" applyBorder="1" applyAlignment="1">
      <alignment horizontal="center" vertical="center"/>
    </xf>
    <xf numFmtId="0" fontId="33" fillId="8" borderId="33" xfId="0" applyFont="1" applyFill="1" applyBorder="1" applyAlignment="1">
      <alignment horizontal="center" vertical="center"/>
    </xf>
    <xf numFmtId="167" fontId="33" fillId="8" borderId="33" xfId="1" applyFont="1" applyFill="1" applyBorder="1" applyAlignment="1">
      <alignment horizontal="center" vertical="center"/>
    </xf>
    <xf numFmtId="14" fontId="34" fillId="13" borderId="1" xfId="0" applyNumberFormat="1" applyFont="1" applyFill="1" applyBorder="1" applyAlignment="1">
      <alignment horizontal="center" vertical="center"/>
    </xf>
    <xf numFmtId="167" fontId="35" fillId="13" borderId="1" xfId="1" applyFont="1" applyFill="1" applyBorder="1" applyAlignment="1">
      <alignment horizontal="right" vertical="center"/>
    </xf>
    <xf numFmtId="40" fontId="35" fillId="13" borderId="1" xfId="0" applyNumberFormat="1" applyFont="1" applyFill="1" applyBorder="1" applyAlignment="1">
      <alignment horizontal="right" vertical="center"/>
    </xf>
    <xf numFmtId="49" fontId="34" fillId="5" borderId="51" xfId="0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vertical="center"/>
    </xf>
    <xf numFmtId="16" fontId="34" fillId="0" borderId="53" xfId="0" applyNumberFormat="1" applyFont="1" applyFill="1" applyBorder="1" applyAlignment="1">
      <alignment horizontal="center" vertical="center"/>
    </xf>
    <xf numFmtId="0" fontId="34" fillId="5" borderId="55" xfId="0" applyFont="1" applyFill="1" applyBorder="1" applyAlignment="1">
      <alignment horizontal="left" vertical="center"/>
    </xf>
    <xf numFmtId="40" fontId="34" fillId="5" borderId="55" xfId="0" applyNumberFormat="1" applyFont="1" applyFill="1" applyBorder="1" applyAlignment="1">
      <alignment horizontal="center" vertical="center"/>
    </xf>
    <xf numFmtId="167" fontId="34" fillId="5" borderId="55" xfId="1" applyFont="1" applyFill="1" applyBorder="1" applyAlignment="1">
      <alignment horizontal="center" vertical="center"/>
    </xf>
    <xf numFmtId="40" fontId="34" fillId="5" borderId="55" xfId="0" applyNumberFormat="1" applyFont="1" applyFill="1" applyBorder="1" applyAlignment="1">
      <alignment horizontal="right" vertical="center"/>
    </xf>
    <xf numFmtId="0" fontId="31" fillId="5" borderId="52" xfId="0" applyFont="1" applyFill="1" applyBorder="1" applyAlignment="1">
      <alignment vertical="center"/>
    </xf>
    <xf numFmtId="16" fontId="34" fillId="5" borderId="53" xfId="0" applyNumberFormat="1" applyFont="1" applyFill="1" applyBorder="1" applyAlignment="1">
      <alignment horizontal="center" vertical="center"/>
    </xf>
    <xf numFmtId="49" fontId="34" fillId="5" borderId="54" xfId="0" applyNumberFormat="1" applyFont="1" applyFill="1" applyBorder="1" applyAlignment="1">
      <alignment horizontal="center" vertical="center"/>
    </xf>
    <xf numFmtId="0" fontId="36" fillId="5" borderId="55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vertical="center"/>
    </xf>
    <xf numFmtId="0" fontId="33" fillId="7" borderId="57" xfId="0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8" borderId="3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40" fontId="34" fillId="13" borderId="1" xfId="0" applyNumberFormat="1" applyFont="1" applyFill="1" applyBorder="1" applyAlignment="1">
      <alignment horizontal="right" vertical="center"/>
    </xf>
    <xf numFmtId="169" fontId="31" fillId="0" borderId="0" xfId="3" applyNumberFormat="1" applyFont="1" applyBorder="1" applyAlignment="1">
      <alignment vertical="center"/>
    </xf>
    <xf numFmtId="14" fontId="34" fillId="0" borderId="0" xfId="0" applyNumberFormat="1" applyFont="1" applyFill="1" applyBorder="1" applyAlignment="1">
      <alignment horizontal="center" vertical="center"/>
    </xf>
    <xf numFmtId="43" fontId="34" fillId="5" borderId="55" xfId="0" applyNumberFormat="1" applyFont="1" applyFill="1" applyBorder="1" applyAlignment="1">
      <alignment horizontal="center" vertical="center"/>
    </xf>
    <xf numFmtId="43" fontId="34" fillId="5" borderId="58" xfId="0" applyNumberFormat="1" applyFont="1" applyFill="1" applyBorder="1" applyAlignment="1">
      <alignment horizontal="center" vertical="center"/>
    </xf>
    <xf numFmtId="169" fontId="31" fillId="5" borderId="0" xfId="1" applyNumberFormat="1" applyFont="1" applyFill="1" applyBorder="1" applyAlignment="1">
      <alignment vertical="center"/>
    </xf>
    <xf numFmtId="14" fontId="34" fillId="5" borderId="0" xfId="0" applyNumberFormat="1" applyFont="1" applyFill="1" applyBorder="1" applyAlignment="1">
      <alignment horizontal="center" vertical="center"/>
    </xf>
    <xf numFmtId="42" fontId="34" fillId="0" borderId="0" xfId="0" applyNumberFormat="1" applyFont="1" applyFill="1" applyBorder="1" applyAlignment="1">
      <alignment horizontal="center" vertical="center"/>
    </xf>
    <xf numFmtId="42" fontId="34" fillId="5" borderId="0" xfId="0" applyNumberFormat="1" applyFont="1" applyFill="1" applyBorder="1" applyAlignment="1">
      <alignment horizontal="center" vertical="center"/>
    </xf>
    <xf numFmtId="40" fontId="34" fillId="14" borderId="55" xfId="0" applyNumberFormat="1" applyFont="1" applyFill="1" applyBorder="1" applyAlignment="1">
      <alignment horizontal="center" vertical="center"/>
    </xf>
    <xf numFmtId="167" fontId="34" fillId="14" borderId="55" xfId="1" applyFont="1" applyFill="1" applyBorder="1" applyAlignment="1">
      <alignment horizontal="center" vertical="center"/>
    </xf>
    <xf numFmtId="0" fontId="36" fillId="15" borderId="55" xfId="0" applyFont="1" applyFill="1" applyBorder="1" applyAlignment="1">
      <alignment horizontal="center" vertical="center"/>
    </xf>
    <xf numFmtId="167" fontId="34" fillId="15" borderId="55" xfId="1" applyFont="1" applyFill="1" applyBorder="1" applyAlignment="1">
      <alignment horizontal="center" vertical="center"/>
    </xf>
    <xf numFmtId="40" fontId="34" fillId="15" borderId="55" xfId="0" applyNumberFormat="1" applyFont="1" applyFill="1" applyBorder="1" applyAlignment="1">
      <alignment horizontal="center" vertical="center"/>
    </xf>
    <xf numFmtId="0" fontId="31" fillId="5" borderId="61" xfId="0" applyFont="1" applyFill="1" applyBorder="1" applyAlignment="1">
      <alignment vertical="center"/>
    </xf>
    <xf numFmtId="16" fontId="34" fillId="5" borderId="62" xfId="0" applyNumberFormat="1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vertical="center"/>
    </xf>
    <xf numFmtId="40" fontId="34" fillId="5" borderId="56" xfId="0" applyNumberFormat="1" applyFont="1" applyFill="1" applyBorder="1" applyAlignment="1">
      <alignment horizontal="center" vertical="center"/>
    </xf>
    <xf numFmtId="40" fontId="34" fillId="5" borderId="56" xfId="0" applyNumberFormat="1" applyFont="1" applyFill="1" applyBorder="1" applyAlignment="1">
      <alignment horizontal="right" vertical="center"/>
    </xf>
    <xf numFmtId="49" fontId="35" fillId="7" borderId="6" xfId="0" applyNumberFormat="1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vertical="center"/>
    </xf>
    <xf numFmtId="16" fontId="35" fillId="7" borderId="5" xfId="0" applyNumberFormat="1" applyFont="1" applyFill="1" applyBorder="1" applyAlignment="1">
      <alignment horizontal="center" vertical="center"/>
    </xf>
    <xf numFmtId="49" fontId="35" fillId="7" borderId="5" xfId="0" applyNumberFormat="1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horizontal="left" vertical="center"/>
    </xf>
    <xf numFmtId="0" fontId="37" fillId="7" borderId="5" xfId="0" applyFont="1" applyFill="1" applyBorder="1" applyAlignment="1">
      <alignment horizontal="center" vertical="center"/>
    </xf>
    <xf numFmtId="40" fontId="35" fillId="7" borderId="5" xfId="0" applyNumberFormat="1" applyFont="1" applyFill="1" applyBorder="1" applyAlignment="1">
      <alignment horizontal="center" vertical="center"/>
    </xf>
    <xf numFmtId="40" fontId="35" fillId="7" borderId="5" xfId="0" applyNumberFormat="1" applyFont="1" applyFill="1" applyBorder="1" applyAlignment="1">
      <alignment horizontal="right" vertical="center"/>
    </xf>
    <xf numFmtId="49" fontId="34" fillId="13" borderId="51" xfId="0" applyNumberFormat="1" applyFont="1" applyFill="1" applyBorder="1" applyAlignment="1">
      <alignment horizontal="left" vertical="center"/>
    </xf>
    <xf numFmtId="0" fontId="30" fillId="13" borderId="52" xfId="0" applyFont="1" applyFill="1" applyBorder="1" applyAlignment="1">
      <alignment vertical="center"/>
    </xf>
    <xf numFmtId="16" fontId="35" fillId="13" borderId="2" xfId="0" applyNumberFormat="1" applyFont="1" applyFill="1" applyBorder="1" applyAlignment="1">
      <alignment horizontal="center" vertical="center"/>
    </xf>
    <xf numFmtId="49" fontId="35" fillId="13" borderId="54" xfId="0" applyNumberFormat="1" applyFont="1" applyFill="1" applyBorder="1" applyAlignment="1">
      <alignment horizontal="center" vertical="center"/>
    </xf>
    <xf numFmtId="0" fontId="35" fillId="13" borderId="3" xfId="0" applyFont="1" applyFill="1" applyBorder="1" applyAlignment="1">
      <alignment horizontal="left" vertical="center"/>
    </xf>
    <xf numFmtId="0" fontId="37" fillId="13" borderId="54" xfId="0" applyFont="1" applyFill="1" applyBorder="1" applyAlignment="1">
      <alignment horizontal="center" vertical="center"/>
    </xf>
    <xf numFmtId="40" fontId="35" fillId="13" borderId="54" xfId="0" applyNumberFormat="1" applyFont="1" applyFill="1" applyBorder="1" applyAlignment="1">
      <alignment horizontal="center" vertical="center"/>
    </xf>
    <xf numFmtId="40" fontId="35" fillId="13" borderId="54" xfId="0" applyNumberFormat="1" applyFont="1" applyFill="1" applyBorder="1" applyAlignment="1">
      <alignment horizontal="right" vertical="center"/>
    </xf>
    <xf numFmtId="0" fontId="31" fillId="5" borderId="65" xfId="0" applyFont="1" applyFill="1" applyBorder="1" applyAlignment="1">
      <alignment vertical="center"/>
    </xf>
    <xf numFmtId="16" fontId="34" fillId="5" borderId="24" xfId="0" applyNumberFormat="1" applyFont="1" applyFill="1" applyBorder="1" applyAlignment="1">
      <alignment horizontal="center" vertical="center"/>
    </xf>
    <xf numFmtId="40" fontId="34" fillId="5" borderId="66" xfId="0" applyNumberFormat="1" applyFont="1" applyFill="1" applyBorder="1" applyAlignment="1">
      <alignment horizontal="center" vertical="center"/>
    </xf>
    <xf numFmtId="40" fontId="34" fillId="5" borderId="66" xfId="0" applyNumberFormat="1" applyFont="1" applyFill="1" applyBorder="1" applyAlignment="1">
      <alignment horizontal="right" vertical="center"/>
    </xf>
    <xf numFmtId="43" fontId="34" fillId="5" borderId="56" xfId="0" applyNumberFormat="1" applyFont="1" applyFill="1" applyBorder="1" applyAlignment="1">
      <alignment horizontal="center" vertical="center"/>
    </xf>
    <xf numFmtId="43" fontId="34" fillId="5" borderId="36" xfId="0" applyNumberFormat="1" applyFont="1" applyFill="1" applyBorder="1" applyAlignment="1">
      <alignment horizontal="center" vertical="center"/>
    </xf>
    <xf numFmtId="43" fontId="35" fillId="7" borderId="5" xfId="0" applyNumberFormat="1" applyFont="1" applyFill="1" applyBorder="1" applyAlignment="1">
      <alignment horizontal="center" vertical="center"/>
    </xf>
    <xf numFmtId="43" fontId="35" fillId="7" borderId="7" xfId="0" applyNumberFormat="1" applyFont="1" applyFill="1" applyBorder="1" applyAlignment="1">
      <alignment horizontal="center" vertical="center"/>
    </xf>
    <xf numFmtId="169" fontId="30" fillId="0" borderId="0" xfId="1" applyNumberFormat="1" applyFont="1" applyFill="1" applyBorder="1" applyAlignment="1">
      <alignment vertical="center"/>
    </xf>
    <xf numFmtId="14" fontId="35" fillId="0" borderId="0" xfId="0" applyNumberFormat="1" applyFont="1" applyFill="1" applyBorder="1" applyAlignment="1">
      <alignment horizontal="center" vertical="center"/>
    </xf>
    <xf numFmtId="43" fontId="35" fillId="13" borderId="54" xfId="0" applyNumberFormat="1" applyFont="1" applyFill="1" applyBorder="1" applyAlignment="1">
      <alignment horizontal="center" vertical="center"/>
    </xf>
    <xf numFmtId="43" fontId="35" fillId="13" borderId="67" xfId="0" applyNumberFormat="1" applyFont="1" applyFill="1" applyBorder="1" applyAlignment="1">
      <alignment horizontal="center" vertical="center"/>
    </xf>
    <xf numFmtId="43" fontId="34" fillId="5" borderId="66" xfId="0" applyNumberFormat="1" applyFont="1" applyFill="1" applyBorder="1" applyAlignment="1">
      <alignment horizontal="center" vertical="center"/>
    </xf>
    <xf numFmtId="43" fontId="34" fillId="5" borderId="68" xfId="0" applyNumberFormat="1" applyFont="1" applyFill="1" applyBorder="1" applyAlignment="1">
      <alignment horizontal="center" vertical="center"/>
    </xf>
    <xf numFmtId="42" fontId="35" fillId="0" borderId="0" xfId="0" applyNumberFormat="1" applyFont="1" applyFill="1" applyBorder="1" applyAlignment="1">
      <alignment horizontal="center" vertical="center"/>
    </xf>
    <xf numFmtId="16" fontId="34" fillId="5" borderId="70" xfId="0" applyNumberFormat="1" applyFont="1" applyFill="1" applyBorder="1" applyAlignment="1">
      <alignment horizontal="center" vertical="center"/>
    </xf>
    <xf numFmtId="40" fontId="34" fillId="5" borderId="71" xfId="0" applyNumberFormat="1" applyFont="1" applyFill="1" applyBorder="1" applyAlignment="1">
      <alignment horizontal="center" vertical="center"/>
    </xf>
    <xf numFmtId="40" fontId="34" fillId="5" borderId="71" xfId="0" applyNumberFormat="1" applyFont="1" applyFill="1" applyBorder="1" applyAlignment="1">
      <alignment horizontal="right" vertical="center"/>
    </xf>
    <xf numFmtId="40" fontId="34" fillId="15" borderId="55" xfId="0" applyNumberFormat="1" applyFont="1" applyFill="1" applyBorder="1" applyAlignment="1">
      <alignment horizontal="right" vertical="center"/>
    </xf>
    <xf numFmtId="40" fontId="34" fillId="15" borderId="56" xfId="0" applyNumberFormat="1" applyFont="1" applyFill="1" applyBorder="1" applyAlignment="1">
      <alignment horizontal="right" vertical="center"/>
    </xf>
    <xf numFmtId="16" fontId="34" fillId="5" borderId="2" xfId="0" applyNumberFormat="1" applyFont="1" applyFill="1" applyBorder="1" applyAlignment="1">
      <alignment horizontal="center" vertical="center"/>
    </xf>
    <xf numFmtId="40" fontId="34" fillId="5" borderId="54" xfId="0" applyNumberFormat="1" applyFont="1" applyFill="1" applyBorder="1" applyAlignment="1">
      <alignment horizontal="center" vertical="center"/>
    </xf>
    <xf numFmtId="40" fontId="34" fillId="5" borderId="54" xfId="0" applyNumberFormat="1" applyFont="1" applyFill="1" applyBorder="1" applyAlignment="1">
      <alignment horizontal="right" vertical="center"/>
    </xf>
    <xf numFmtId="43" fontId="34" fillId="5" borderId="71" xfId="0" applyNumberFormat="1" applyFont="1" applyFill="1" applyBorder="1" applyAlignment="1">
      <alignment horizontal="center" vertical="center"/>
    </xf>
    <xf numFmtId="43" fontId="34" fillId="5" borderId="72" xfId="0" applyNumberFormat="1" applyFont="1" applyFill="1" applyBorder="1" applyAlignment="1">
      <alignment horizontal="center" vertical="center"/>
    </xf>
    <xf numFmtId="43" fontId="34" fillId="5" borderId="54" xfId="0" applyNumberFormat="1" applyFont="1" applyFill="1" applyBorder="1" applyAlignment="1">
      <alignment horizontal="center" vertical="center"/>
    </xf>
    <xf numFmtId="43" fontId="34" fillId="5" borderId="73" xfId="0" applyNumberFormat="1" applyFont="1" applyFill="1" applyBorder="1" applyAlignment="1">
      <alignment horizontal="center" vertical="center"/>
    </xf>
    <xf numFmtId="0" fontId="31" fillId="12" borderId="74" xfId="0" applyFont="1" applyFill="1" applyBorder="1" applyAlignment="1">
      <alignment vertical="center"/>
    </xf>
    <xf numFmtId="16" fontId="34" fillId="12" borderId="74" xfId="0" applyNumberFormat="1" applyFont="1" applyFill="1" applyBorder="1" applyAlignment="1">
      <alignment horizontal="center" vertical="center"/>
    </xf>
    <xf numFmtId="40" fontId="34" fillId="12" borderId="5" xfId="0" applyNumberFormat="1" applyFont="1" applyFill="1" applyBorder="1" applyAlignment="1">
      <alignment horizontal="center" vertical="center"/>
    </xf>
    <xf numFmtId="40" fontId="34" fillId="12" borderId="5" xfId="0" applyNumberFormat="1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" fontId="34" fillId="0" borderId="0" xfId="0" applyNumberFormat="1" applyFont="1" applyFill="1" applyBorder="1" applyAlignment="1">
      <alignment horizontal="center" vertical="center"/>
    </xf>
    <xf numFmtId="40" fontId="34" fillId="0" borderId="3" xfId="0" applyNumberFormat="1" applyFont="1" applyFill="1" applyBorder="1" applyAlignment="1">
      <alignment horizontal="center" vertical="center"/>
    </xf>
    <xf numFmtId="40" fontId="34" fillId="0" borderId="2" xfId="0" applyNumberFormat="1" applyFont="1" applyFill="1" applyBorder="1" applyAlignment="1">
      <alignment horizontal="right" vertical="center"/>
    </xf>
    <xf numFmtId="0" fontId="31" fillId="0" borderId="16" xfId="0" applyFont="1" applyFill="1" applyBorder="1" applyAlignment="1">
      <alignment vertical="center"/>
    </xf>
    <xf numFmtId="16" fontId="34" fillId="0" borderId="16" xfId="0" applyNumberFormat="1" applyFont="1" applyFill="1" applyBorder="1" applyAlignment="1">
      <alignment horizontal="center" vertical="center"/>
    </xf>
    <xf numFmtId="40" fontId="34" fillId="0" borderId="57" xfId="0" applyNumberFormat="1" applyFont="1" applyFill="1" applyBorder="1" applyAlignment="1">
      <alignment horizontal="center" vertical="center"/>
    </xf>
    <xf numFmtId="40" fontId="34" fillId="0" borderId="47" xfId="0" applyNumberFormat="1" applyFont="1" applyFill="1" applyBorder="1" applyAlignment="1">
      <alignment horizontal="right" vertical="center"/>
    </xf>
    <xf numFmtId="0" fontId="31" fillId="0" borderId="27" xfId="0" applyFont="1" applyFill="1" applyBorder="1" applyAlignment="1">
      <alignment vertical="center"/>
    </xf>
    <xf numFmtId="16" fontId="34" fillId="0" borderId="27" xfId="0" applyNumberFormat="1" applyFont="1" applyFill="1" applyBorder="1" applyAlignment="1">
      <alignment horizontal="center" vertical="center"/>
    </xf>
    <xf numFmtId="40" fontId="34" fillId="0" borderId="25" xfId="0" applyNumberFormat="1" applyFont="1" applyFill="1" applyBorder="1" applyAlignment="1">
      <alignment horizontal="center" vertical="center"/>
    </xf>
    <xf numFmtId="40" fontId="34" fillId="0" borderId="24" xfId="0" applyNumberFormat="1" applyFont="1" applyFill="1" applyBorder="1" applyAlignment="1">
      <alignment horizontal="right" vertical="center"/>
    </xf>
    <xf numFmtId="43" fontId="34" fillId="12" borderId="5" xfId="0" applyNumberFormat="1" applyFont="1" applyFill="1" applyBorder="1" applyAlignment="1">
      <alignment horizontal="center" vertical="center"/>
    </xf>
    <xf numFmtId="43" fontId="34" fillId="12" borderId="7" xfId="0" applyNumberFormat="1" applyFont="1" applyFill="1" applyBorder="1" applyAlignment="1">
      <alignment horizontal="center" vertical="center"/>
    </xf>
    <xf numFmtId="169" fontId="31" fillId="12" borderId="27" xfId="1" applyNumberFormat="1" applyFont="1" applyFill="1" applyBorder="1" applyAlignment="1">
      <alignment vertical="center"/>
    </xf>
    <xf numFmtId="14" fontId="34" fillId="12" borderId="27" xfId="0" applyNumberFormat="1" applyFont="1" applyFill="1" applyBorder="1" applyAlignment="1">
      <alignment horizontal="center" vertical="center"/>
    </xf>
    <xf numFmtId="43" fontId="34" fillId="0" borderId="13" xfId="0" applyNumberFormat="1" applyFont="1" applyFill="1" applyBorder="1" applyAlignment="1">
      <alignment horizontal="center" vertical="center"/>
    </xf>
    <xf numFmtId="43" fontId="34" fillId="0" borderId="77" xfId="0" applyNumberFormat="1" applyFont="1" applyFill="1" applyBorder="1" applyAlignment="1">
      <alignment horizontal="center" vertical="center"/>
    </xf>
    <xf numFmtId="169" fontId="31" fillId="5" borderId="16" xfId="1" applyNumberFormat="1" applyFont="1" applyFill="1" applyBorder="1" applyAlignment="1">
      <alignment vertical="center"/>
    </xf>
    <xf numFmtId="14" fontId="34" fillId="5" borderId="16" xfId="0" applyNumberFormat="1" applyFont="1" applyFill="1" applyBorder="1" applyAlignment="1">
      <alignment horizontal="center" vertical="center"/>
    </xf>
    <xf numFmtId="43" fontId="34" fillId="0" borderId="78" xfId="0" applyNumberFormat="1" applyFont="1" applyFill="1" applyBorder="1" applyAlignment="1">
      <alignment horizontal="center" vertical="center"/>
    </xf>
    <xf numFmtId="43" fontId="34" fillId="0" borderId="79" xfId="0" applyNumberFormat="1" applyFont="1" applyFill="1" applyBorder="1" applyAlignment="1">
      <alignment horizontal="center" vertical="center"/>
    </xf>
    <xf numFmtId="169" fontId="31" fillId="5" borderId="27" xfId="1" applyNumberFormat="1" applyFont="1" applyFill="1" applyBorder="1" applyAlignment="1">
      <alignment vertical="center"/>
    </xf>
    <xf numFmtId="14" fontId="34" fillId="5" borderId="27" xfId="0" applyNumberFormat="1" applyFont="1" applyFill="1" applyBorder="1" applyAlignment="1">
      <alignment horizontal="center" vertical="center"/>
    </xf>
    <xf numFmtId="43" fontId="34" fillId="0" borderId="15" xfId="0" applyNumberFormat="1" applyFont="1" applyFill="1" applyBorder="1" applyAlignment="1">
      <alignment horizontal="center" vertical="center"/>
    </xf>
    <xf numFmtId="43" fontId="34" fillId="0" borderId="21" xfId="0" applyNumberFormat="1" applyFont="1" applyFill="1" applyBorder="1" applyAlignment="1">
      <alignment horizontal="center" vertical="center"/>
    </xf>
    <xf numFmtId="42" fontId="34" fillId="12" borderId="27" xfId="0" applyNumberFormat="1" applyFont="1" applyFill="1" applyBorder="1" applyAlignment="1">
      <alignment horizontal="center" vertical="center"/>
    </xf>
    <xf numFmtId="42" fontId="34" fillId="5" borderId="16" xfId="0" applyNumberFormat="1" applyFont="1" applyFill="1" applyBorder="1" applyAlignment="1">
      <alignment horizontal="center" vertical="center"/>
    </xf>
    <xf numFmtId="42" fontId="34" fillId="5" borderId="27" xfId="0" applyNumberFormat="1" applyFont="1" applyFill="1" applyBorder="1" applyAlignment="1">
      <alignment horizontal="center" vertical="center"/>
    </xf>
    <xf numFmtId="40" fontId="34" fillId="5" borderId="3" xfId="0" applyNumberFormat="1" applyFont="1" applyFill="1" applyBorder="1" applyAlignment="1">
      <alignment horizontal="center" vertical="center"/>
    </xf>
    <xf numFmtId="40" fontId="34" fillId="5" borderId="3" xfId="0" applyNumberFormat="1" applyFont="1" applyFill="1" applyBorder="1" applyAlignment="1">
      <alignment horizontal="right" vertical="center"/>
    </xf>
    <xf numFmtId="40" fontId="34" fillId="5" borderId="80" xfId="0" applyNumberFormat="1" applyFont="1" applyFill="1" applyBorder="1" applyAlignment="1">
      <alignment horizontal="right" vertical="center"/>
    </xf>
    <xf numFmtId="40" fontId="34" fillId="5" borderId="62" xfId="0" applyNumberFormat="1" applyFont="1" applyFill="1" applyBorder="1" applyAlignment="1">
      <alignment horizontal="right" vertical="center"/>
    </xf>
    <xf numFmtId="40" fontId="34" fillId="5" borderId="70" xfId="0" applyNumberFormat="1" applyFont="1" applyFill="1" applyBorder="1" applyAlignment="1">
      <alignment horizontal="right" vertical="center"/>
    </xf>
    <xf numFmtId="40" fontId="34" fillId="5" borderId="81" xfId="0" applyNumberFormat="1" applyFont="1" applyFill="1" applyBorder="1" applyAlignment="1">
      <alignment horizontal="right" vertical="center"/>
    </xf>
    <xf numFmtId="40" fontId="34" fillId="5" borderId="53" xfId="0" applyNumberFormat="1" applyFont="1" applyFill="1" applyBorder="1" applyAlignment="1">
      <alignment horizontal="right" vertical="center"/>
    </xf>
    <xf numFmtId="40" fontId="34" fillId="5" borderId="82" xfId="0" applyNumberFormat="1" applyFont="1" applyFill="1" applyBorder="1" applyAlignment="1">
      <alignment horizontal="center" vertical="center"/>
    </xf>
    <xf numFmtId="40" fontId="34" fillId="5" borderId="65" xfId="0" applyNumberFormat="1" applyFont="1" applyFill="1" applyBorder="1" applyAlignment="1">
      <alignment horizontal="right" vertical="center"/>
    </xf>
    <xf numFmtId="40" fontId="34" fillId="5" borderId="83" xfId="0" applyNumberFormat="1" applyFont="1" applyFill="1" applyBorder="1" applyAlignment="1">
      <alignment horizontal="center" vertical="center"/>
    </xf>
    <xf numFmtId="40" fontId="34" fillId="5" borderId="61" xfId="0" applyNumberFormat="1" applyFont="1" applyFill="1" applyBorder="1" applyAlignment="1">
      <alignment horizontal="right" vertical="center"/>
    </xf>
    <xf numFmtId="40" fontId="34" fillId="5" borderId="84" xfId="0" applyNumberFormat="1" applyFont="1" applyFill="1" applyBorder="1" applyAlignment="1">
      <alignment horizontal="center" vertical="center"/>
    </xf>
    <xf numFmtId="40" fontId="34" fillId="5" borderId="85" xfId="0" applyNumberFormat="1" applyFont="1" applyFill="1" applyBorder="1" applyAlignment="1">
      <alignment horizontal="right" vertical="center"/>
    </xf>
    <xf numFmtId="40" fontId="34" fillId="5" borderId="80" xfId="0" applyNumberFormat="1" applyFont="1" applyFill="1" applyBorder="1" applyAlignment="1">
      <alignment horizontal="center" vertical="center"/>
    </xf>
    <xf numFmtId="40" fontId="34" fillId="5" borderId="86" xfId="0" applyNumberFormat="1" applyFont="1" applyFill="1" applyBorder="1" applyAlignment="1">
      <alignment horizontal="center" vertical="center"/>
    </xf>
    <xf numFmtId="40" fontId="34" fillId="5" borderId="86" xfId="0" applyNumberFormat="1" applyFont="1" applyFill="1" applyBorder="1" applyAlignment="1">
      <alignment horizontal="right" vertical="center"/>
    </xf>
    <xf numFmtId="40" fontId="34" fillId="5" borderId="62" xfId="0" applyNumberFormat="1" applyFont="1" applyFill="1" applyBorder="1" applyAlignment="1">
      <alignment horizontal="center" vertical="center"/>
    </xf>
    <xf numFmtId="40" fontId="34" fillId="5" borderId="87" xfId="0" applyNumberFormat="1" applyFont="1" applyFill="1" applyBorder="1" applyAlignment="1">
      <alignment horizontal="center" vertical="center"/>
    </xf>
    <xf numFmtId="40" fontId="34" fillId="5" borderId="87" xfId="0" applyNumberFormat="1" applyFont="1" applyFill="1" applyBorder="1" applyAlignment="1">
      <alignment horizontal="right" vertical="center"/>
    </xf>
    <xf numFmtId="43" fontId="34" fillId="5" borderId="35" xfId="0" applyNumberFormat="1" applyFont="1" applyFill="1" applyBorder="1" applyAlignment="1">
      <alignment horizontal="center" vertical="center"/>
    </xf>
    <xf numFmtId="43" fontId="34" fillId="5" borderId="3" xfId="0" applyNumberFormat="1" applyFont="1" applyFill="1" applyBorder="1" applyAlignment="1">
      <alignment horizontal="center" vertical="center"/>
    </xf>
    <xf numFmtId="43" fontId="34" fillId="0" borderId="26" xfId="0" applyNumberFormat="1" applyFont="1" applyFill="1" applyBorder="1" applyAlignment="1">
      <alignment horizontal="center" vertical="center"/>
    </xf>
    <xf numFmtId="43" fontId="34" fillId="0" borderId="14" xfId="0" applyNumberFormat="1" applyFont="1" applyFill="1" applyBorder="1" applyAlignment="1">
      <alignment horizontal="center" vertical="center"/>
    </xf>
    <xf numFmtId="43" fontId="34" fillId="5" borderId="82" xfId="0" applyNumberFormat="1" applyFont="1" applyFill="1" applyBorder="1" applyAlignment="1">
      <alignment horizontal="center" vertical="center"/>
    </xf>
    <xf numFmtId="43" fontId="34" fillId="5" borderId="88" xfId="0" applyNumberFormat="1" applyFont="1" applyFill="1" applyBorder="1" applyAlignment="1">
      <alignment horizontal="center" vertical="center"/>
    </xf>
    <xf numFmtId="43" fontId="34" fillId="5" borderId="77" xfId="0" applyNumberFormat="1" applyFont="1" applyFill="1" applyBorder="1" applyAlignment="1">
      <alignment horizontal="center" vertical="center"/>
    </xf>
    <xf numFmtId="40" fontId="34" fillId="5" borderId="53" xfId="0" applyNumberFormat="1" applyFont="1" applyFill="1" applyBorder="1" applyAlignment="1">
      <alignment horizontal="center" vertical="center"/>
    </xf>
    <xf numFmtId="40" fontId="34" fillId="5" borderId="89" xfId="0" applyNumberFormat="1" applyFont="1" applyFill="1" applyBorder="1" applyAlignment="1">
      <alignment horizontal="center" vertical="center"/>
    </xf>
    <xf numFmtId="40" fontId="34" fillId="5" borderId="89" xfId="0" applyNumberFormat="1" applyFont="1" applyFill="1" applyBorder="1" applyAlignment="1">
      <alignment horizontal="right" vertical="center"/>
    </xf>
    <xf numFmtId="14" fontId="35" fillId="7" borderId="6" xfId="0" applyNumberFormat="1" applyFont="1" applyFill="1" applyBorder="1" applyAlignment="1">
      <alignment horizontal="center" vertical="center"/>
    </xf>
    <xf numFmtId="14" fontId="34" fillId="7" borderId="5" xfId="0" applyNumberFormat="1" applyFont="1" applyFill="1" applyBorder="1" applyAlignment="1">
      <alignment vertical="center"/>
    </xf>
    <xf numFmtId="14" fontId="35" fillId="7" borderId="5" xfId="0" applyNumberFormat="1" applyFont="1" applyFill="1" applyBorder="1" applyAlignment="1">
      <alignment vertical="center"/>
    </xf>
    <xf numFmtId="14" fontId="34" fillId="7" borderId="7" xfId="0" applyNumberFormat="1" applyFont="1" applyFill="1" applyBorder="1" applyAlignment="1">
      <alignment horizontal="center" vertical="center"/>
    </xf>
    <xf numFmtId="40" fontId="35" fillId="7" borderId="75" xfId="0" applyNumberFormat="1" applyFont="1" applyFill="1" applyBorder="1" applyAlignment="1">
      <alignment horizontal="right" vertical="center"/>
    </xf>
    <xf numFmtId="0" fontId="34" fillId="13" borderId="17" xfId="0" applyFont="1" applyFill="1" applyBorder="1" applyAlignment="1">
      <alignment vertical="center"/>
    </xf>
    <xf numFmtId="0" fontId="31" fillId="13" borderId="16" xfId="0" applyFont="1" applyFill="1" applyBorder="1" applyAlignment="1">
      <alignment vertical="center"/>
    </xf>
    <xf numFmtId="14" fontId="35" fillId="13" borderId="69" xfId="0" applyNumberFormat="1" applyFont="1" applyFill="1" applyBorder="1" applyAlignment="1">
      <alignment horizontal="center" vertical="center"/>
    </xf>
    <xf numFmtId="40" fontId="35" fillId="13" borderId="5" xfId="0" applyNumberFormat="1" applyFont="1" applyFill="1" applyBorder="1" applyAlignment="1">
      <alignment horizontal="right" vertical="center"/>
    </xf>
    <xf numFmtId="40" fontId="35" fillId="13" borderId="5" xfId="1" applyNumberFormat="1" applyFont="1" applyFill="1" applyBorder="1" applyAlignment="1">
      <alignment horizontal="right" vertical="center"/>
    </xf>
    <xf numFmtId="40" fontId="34" fillId="16" borderId="55" xfId="0" applyNumberFormat="1" applyFont="1" applyFill="1" applyBorder="1" applyAlignment="1">
      <alignment horizontal="right" vertical="center"/>
    </xf>
    <xf numFmtId="0" fontId="33" fillId="0" borderId="8" xfId="0" applyFont="1" applyFill="1" applyBorder="1" applyAlignment="1">
      <alignment horizontal="center" vertical="center"/>
    </xf>
    <xf numFmtId="43" fontId="34" fillId="0" borderId="17" xfId="0" applyNumberFormat="1" applyFont="1" applyFill="1" applyBorder="1" applyAlignment="1">
      <alignment horizontal="center" vertical="center"/>
    </xf>
    <xf numFmtId="3" fontId="33" fillId="0" borderId="6" xfId="0" applyNumberFormat="1" applyFont="1" applyFill="1" applyBorder="1" applyAlignment="1">
      <alignment horizontal="center" vertical="center"/>
    </xf>
    <xf numFmtId="43" fontId="35" fillId="7" borderId="57" xfId="0" applyNumberFormat="1" applyFont="1" applyFill="1" applyBorder="1" applyAlignment="1">
      <alignment horizontal="right" vertical="center"/>
    </xf>
    <xf numFmtId="43" fontId="35" fillId="7" borderId="90" xfId="0" applyNumberFormat="1" applyFont="1" applyFill="1" applyBorder="1" applyAlignment="1">
      <alignment horizontal="right" vertical="center"/>
    </xf>
    <xf numFmtId="43" fontId="35" fillId="13" borderId="5" xfId="1" applyNumberFormat="1" applyFont="1" applyFill="1" applyBorder="1" applyAlignment="1">
      <alignment vertical="center"/>
    </xf>
    <xf numFmtId="43" fontId="35" fillId="13" borderId="7" xfId="1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14" fontId="34" fillId="5" borderId="0" xfId="0" applyNumberFormat="1" applyFont="1" applyFill="1" applyBorder="1" applyAlignment="1">
      <alignment horizontal="center" vertical="center"/>
    </xf>
    <xf numFmtId="16" fontId="34" fillId="0" borderId="2" xfId="0" applyNumberFormat="1" applyFont="1" applyFill="1" applyBorder="1" applyAlignment="1">
      <alignment horizontal="center" vertical="center"/>
    </xf>
    <xf numFmtId="40" fontId="34" fillId="0" borderId="2" xfId="0" applyNumberFormat="1" applyFont="1" applyFill="1" applyBorder="1" applyAlignment="1">
      <alignment horizontal="center" vertical="center"/>
    </xf>
    <xf numFmtId="40" fontId="34" fillId="0" borderId="50" xfId="0" applyNumberFormat="1" applyFont="1" applyFill="1" applyBorder="1" applyAlignment="1">
      <alignment horizontal="center" vertical="center"/>
    </xf>
    <xf numFmtId="40" fontId="34" fillId="0" borderId="3" xfId="0" applyNumberFormat="1" applyFont="1" applyFill="1" applyBorder="1" applyAlignment="1">
      <alignment horizontal="right" vertical="center"/>
    </xf>
    <xf numFmtId="0" fontId="38" fillId="13" borderId="16" xfId="0" applyFont="1" applyFill="1" applyBorder="1" applyAlignment="1">
      <alignment vertical="center"/>
    </xf>
    <xf numFmtId="43" fontId="34" fillId="0" borderId="3" xfId="0" applyNumberFormat="1" applyFont="1" applyFill="1" applyBorder="1" applyAlignment="1">
      <alignment horizontal="center" vertical="center"/>
    </xf>
    <xf numFmtId="43" fontId="34" fillId="0" borderId="73" xfId="0" applyNumberFormat="1" applyFont="1" applyFill="1" applyBorder="1" applyAlignment="1">
      <alignment horizontal="center" vertical="center"/>
    </xf>
    <xf numFmtId="14" fontId="34" fillId="7" borderId="5" xfId="0" applyNumberFormat="1" applyFont="1" applyFill="1" applyBorder="1" applyAlignment="1">
      <alignment horizontal="center" vertical="center"/>
    </xf>
    <xf numFmtId="43" fontId="35" fillId="7" borderId="5" xfId="0" applyNumberFormat="1" applyFont="1" applyFill="1" applyBorder="1" applyAlignment="1">
      <alignment horizontal="right" vertical="center"/>
    </xf>
    <xf numFmtId="43" fontId="35" fillId="7" borderId="7" xfId="0" applyNumberFormat="1" applyFont="1" applyFill="1" applyBorder="1" applyAlignment="1">
      <alignment horizontal="right" vertical="center"/>
    </xf>
    <xf numFmtId="169" fontId="39" fillId="0" borderId="0" xfId="1" applyNumberFormat="1" applyFont="1" applyAlignment="1"/>
    <xf numFmtId="169" fontId="8" fillId="0" borderId="0" xfId="1" applyNumberFormat="1" applyFont="1" applyAlignment="1"/>
    <xf numFmtId="0" fontId="0" fillId="0" borderId="0" xfId="0" applyFont="1" applyFill="1" applyAlignment="1"/>
    <xf numFmtId="169" fontId="8" fillId="0" borderId="0" xfId="1" applyNumberFormat="1" applyFont="1" applyFill="1" applyAlignment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169" fontId="9" fillId="0" borderId="0" xfId="1" applyNumberFormat="1" applyFont="1" applyAlignment="1"/>
    <xf numFmtId="167" fontId="8" fillId="0" borderId="0" xfId="1" applyFont="1" applyFill="1" applyAlignment="1"/>
    <xf numFmtId="0" fontId="39" fillId="0" borderId="0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vertical="center"/>
    </xf>
    <xf numFmtId="17" fontId="39" fillId="0" borderId="16" xfId="0" applyNumberFormat="1" applyFont="1" applyFill="1" applyBorder="1" applyAlignment="1">
      <alignment horizontal="center" vertical="center"/>
    </xf>
    <xf numFmtId="169" fontId="40" fillId="0" borderId="3" xfId="1" applyNumberFormat="1" applyFont="1" applyBorder="1" applyAlignment="1">
      <alignment vertical="center"/>
    </xf>
    <xf numFmtId="0" fontId="39" fillId="17" borderId="4" xfId="0" applyFont="1" applyFill="1" applyBorder="1" applyAlignment="1"/>
    <xf numFmtId="0" fontId="39" fillId="17" borderId="4" xfId="0" applyFont="1" applyFill="1" applyBorder="1" applyAlignment="1">
      <alignment horizontal="center" vertical="center"/>
    </xf>
    <xf numFmtId="0" fontId="39" fillId="17" borderId="5" xfId="0" applyFont="1" applyFill="1" applyBorder="1" applyAlignment="1">
      <alignment horizontal="center" vertical="center"/>
    </xf>
    <xf numFmtId="169" fontId="39" fillId="17" borderId="4" xfId="1" applyNumberFormat="1" applyFont="1" applyFill="1" applyBorder="1" applyAlignment="1">
      <alignment horizontal="center" vertical="center"/>
    </xf>
    <xf numFmtId="169" fontId="39" fillId="17" borderId="5" xfId="1" applyNumberFormat="1" applyFont="1" applyFill="1" applyBorder="1" applyAlignment="1">
      <alignment horizontal="center" vertical="center"/>
    </xf>
    <xf numFmtId="0" fontId="39" fillId="3" borderId="24" xfId="0" applyFont="1" applyFill="1" applyBorder="1" applyAlignment="1"/>
    <xf numFmtId="0" fontId="39" fillId="3" borderId="27" xfId="0" applyFont="1" applyFill="1" applyBorder="1" applyAlignment="1">
      <alignment horizontal="center" vertical="center"/>
    </xf>
    <xf numFmtId="0" fontId="39" fillId="3" borderId="76" xfId="0" applyFont="1" applyFill="1" applyBorder="1" applyAlignment="1">
      <alignment vertical="center"/>
    </xf>
    <xf numFmtId="43" fontId="39" fillId="3" borderId="3" xfId="1" applyNumberFormat="1" applyFont="1" applyFill="1" applyBorder="1" applyAlignment="1">
      <alignment vertical="center" wrapText="1"/>
    </xf>
    <xf numFmtId="43" fontId="40" fillId="3" borderId="3" xfId="1" applyNumberFormat="1" applyFont="1" applyFill="1" applyBorder="1" applyAlignment="1">
      <alignment vertical="center" wrapText="1"/>
    </xf>
    <xf numFmtId="169" fontId="39" fillId="3" borderId="0" xfId="1" applyNumberFormat="1" applyFont="1" applyFill="1" applyAlignment="1"/>
    <xf numFmtId="171" fontId="8" fillId="0" borderId="59" xfId="0" applyNumberFormat="1" applyFont="1" applyFill="1" applyBorder="1" applyAlignment="1"/>
    <xf numFmtId="0" fontId="8" fillId="0" borderId="59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vertical="center"/>
    </xf>
    <xf numFmtId="169" fontId="34" fillId="0" borderId="59" xfId="1" applyNumberFormat="1" applyFont="1" applyBorder="1" applyAlignment="1">
      <alignment vertical="center" wrapText="1"/>
    </xf>
    <xf numFmtId="169" fontId="9" fillId="0" borderId="59" xfId="1" applyNumberFormat="1" applyFont="1" applyBorder="1" applyAlignment="1">
      <alignment vertical="center" wrapText="1"/>
    </xf>
    <xf numFmtId="171" fontId="8" fillId="0" borderId="54" xfId="0" applyNumberFormat="1" applyFont="1" applyFill="1" applyBorder="1" applyAlignment="1"/>
    <xf numFmtId="0" fontId="8" fillId="0" borderId="54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vertical="center"/>
    </xf>
    <xf numFmtId="169" fontId="34" fillId="0" borderId="54" xfId="1" applyNumberFormat="1" applyFont="1" applyBorder="1" applyAlignment="1">
      <alignment vertical="center" wrapText="1"/>
    </xf>
    <xf numFmtId="169" fontId="9" fillId="0" borderId="54" xfId="1" applyNumberFormat="1" applyFont="1" applyBorder="1" applyAlignment="1">
      <alignment vertical="center" wrapText="1"/>
    </xf>
    <xf numFmtId="43" fontId="34" fillId="0" borderId="59" xfId="1" applyNumberFormat="1" applyFont="1" applyBorder="1" applyAlignment="1">
      <alignment vertical="center" wrapText="1"/>
    </xf>
    <xf numFmtId="43" fontId="9" fillId="0" borderId="59" xfId="1" applyNumberFormat="1" applyFont="1" applyBorder="1" applyAlignment="1">
      <alignment vertical="center" wrapText="1"/>
    </xf>
    <xf numFmtId="43" fontId="34" fillId="0" borderId="54" xfId="1" applyNumberFormat="1" applyFont="1" applyBorder="1" applyAlignment="1">
      <alignment vertical="center" wrapText="1"/>
    </xf>
    <xf numFmtId="43" fontId="9" fillId="0" borderId="54" xfId="1" applyNumberFormat="1" applyFont="1" applyBorder="1" applyAlignment="1">
      <alignment vertical="center" wrapText="1"/>
    </xf>
    <xf numFmtId="43" fontId="4" fillId="0" borderId="59" xfId="1" applyNumberFormat="1" applyFont="1" applyBorder="1" applyAlignment="1">
      <alignment vertical="center" wrapText="1"/>
    </xf>
    <xf numFmtId="1" fontId="39" fillId="9" borderId="25" xfId="0" applyNumberFormat="1" applyFont="1" applyFill="1" applyBorder="1" applyAlignment="1">
      <alignment vertical="center"/>
    </xf>
    <xf numFmtId="1" fontId="8" fillId="9" borderId="25" xfId="0" applyNumberFormat="1" applyFont="1" applyFill="1" applyBorder="1" applyAlignment="1">
      <alignment vertical="center"/>
    </xf>
    <xf numFmtId="43" fontId="39" fillId="9" borderId="25" xfId="1" applyNumberFormat="1" applyFont="1" applyFill="1" applyBorder="1" applyAlignment="1">
      <alignment vertical="center" wrapText="1"/>
    </xf>
    <xf numFmtId="169" fontId="8" fillId="9" borderId="0" xfId="1" applyNumberFormat="1" applyFont="1" applyFill="1" applyAlignment="1"/>
    <xf numFmtId="14" fontId="39" fillId="3" borderId="6" xfId="0" applyNumberFormat="1" applyFont="1" applyFill="1" applyBorder="1" applyAlignment="1">
      <alignment vertical="center"/>
    </xf>
    <xf numFmtId="14" fontId="39" fillId="3" borderId="5" xfId="0" applyNumberFormat="1" applyFont="1" applyFill="1" applyBorder="1" applyAlignment="1">
      <alignment vertical="center"/>
    </xf>
    <xf numFmtId="14" fontId="39" fillId="3" borderId="5" xfId="0" applyNumberFormat="1" applyFont="1" applyFill="1" applyBorder="1" applyAlignment="1">
      <alignment horizontal="center" vertical="center"/>
    </xf>
    <xf numFmtId="170" fontId="39" fillId="3" borderId="5" xfId="1" applyNumberFormat="1" applyFont="1" applyFill="1" applyBorder="1" applyAlignment="1">
      <alignment vertical="center"/>
    </xf>
    <xf numFmtId="169" fontId="39" fillId="3" borderId="74" xfId="1" applyNumberFormat="1" applyFont="1" applyFill="1" applyBorder="1" applyAlignment="1"/>
    <xf numFmtId="171" fontId="8" fillId="0" borderId="3" xfId="0" applyNumberFormat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43" fontId="34" fillId="0" borderId="3" xfId="1" applyNumberFormat="1" applyFont="1" applyBorder="1" applyAlignment="1">
      <alignment vertical="center" wrapText="1"/>
    </xf>
    <xf numFmtId="43" fontId="9" fillId="0" borderId="3" xfId="1" applyNumberFormat="1" applyFont="1" applyBorder="1" applyAlignment="1">
      <alignment vertical="center" wrapText="1"/>
    </xf>
    <xf numFmtId="43" fontId="4" fillId="0" borderId="54" xfId="1" applyNumberFormat="1" applyFont="1" applyBorder="1" applyAlignment="1">
      <alignment vertical="center" wrapText="1"/>
    </xf>
    <xf numFmtId="171" fontId="8" fillId="0" borderId="22" xfId="0" applyNumberFormat="1" applyFont="1" applyFill="1" applyBorder="1" applyAlignment="1"/>
    <xf numFmtId="171" fontId="8" fillId="0" borderId="81" xfId="0" applyNumberFormat="1" applyFont="1" applyFill="1" applyBorder="1" applyAlignment="1"/>
    <xf numFmtId="0" fontId="8" fillId="0" borderId="91" xfId="0" applyFont="1" applyFill="1" applyBorder="1" applyAlignment="1">
      <alignment horizontal="center" vertical="center"/>
    </xf>
    <xf numFmtId="1" fontId="39" fillId="9" borderId="5" xfId="0" applyNumberFormat="1" applyFont="1" applyFill="1" applyBorder="1" applyAlignment="1">
      <alignment vertical="center"/>
    </xf>
    <xf numFmtId="43" fontId="39" fillId="9" borderId="5" xfId="1" applyNumberFormat="1" applyFont="1" applyFill="1" applyBorder="1" applyAlignment="1">
      <alignment vertical="center" wrapText="1"/>
    </xf>
    <xf numFmtId="170" fontId="39" fillId="3" borderId="25" xfId="1" applyNumberFormat="1" applyFont="1" applyFill="1" applyBorder="1" applyAlignment="1">
      <alignment vertical="center"/>
    </xf>
    <xf numFmtId="43" fontId="39" fillId="3" borderId="25" xfId="1" applyNumberFormat="1" applyFont="1" applyFill="1" applyBorder="1" applyAlignment="1">
      <alignment vertical="center"/>
    </xf>
    <xf numFmtId="169" fontId="8" fillId="3" borderId="0" xfId="1" applyNumberFormat="1" applyFont="1" applyFill="1" applyAlignment="1"/>
    <xf numFmtId="171" fontId="8" fillId="0" borderId="32" xfId="0" applyNumberFormat="1" applyFont="1" applyFill="1" applyBorder="1" applyAlignment="1"/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vertical="center"/>
    </xf>
    <xf numFmtId="43" fontId="34" fillId="0" borderId="32" xfId="1" applyNumberFormat="1" applyFont="1" applyBorder="1" applyAlignment="1">
      <alignment vertical="center" wrapText="1"/>
    </xf>
    <xf numFmtId="171" fontId="8" fillId="0" borderId="28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43" fontId="34" fillId="0" borderId="28" xfId="1" applyNumberFormat="1" applyFont="1" applyBorder="1" applyAlignment="1">
      <alignment vertical="center" wrapText="1"/>
    </xf>
    <xf numFmtId="167" fontId="39" fillId="4" borderId="23" xfId="1" applyFont="1" applyFill="1" applyBorder="1" applyAlignment="1">
      <alignment horizontal="center"/>
    </xf>
    <xf numFmtId="167" fontId="39" fillId="4" borderId="74" xfId="1" applyFont="1" applyFill="1" applyBorder="1" applyAlignment="1">
      <alignment horizontal="center"/>
    </xf>
    <xf numFmtId="0" fontId="39" fillId="4" borderId="8" xfId="0" applyFont="1" applyFill="1" applyBorder="1" applyAlignment="1"/>
    <xf numFmtId="167" fontId="39" fillId="3" borderId="0" xfId="1" applyFont="1" applyFill="1" applyAlignment="1"/>
    <xf numFmtId="0" fontId="39" fillId="3" borderId="8" xfId="0" applyFont="1" applyFill="1" applyBorder="1" applyAlignment="1"/>
    <xf numFmtId="0" fontId="8" fillId="0" borderId="13" xfId="0" applyFont="1" applyFill="1" applyBorder="1" applyAlignment="1"/>
    <xf numFmtId="167" fontId="39" fillId="9" borderId="26" xfId="1" applyFont="1" applyFill="1" applyBorder="1" applyAlignment="1"/>
    <xf numFmtId="169" fontId="39" fillId="9" borderId="27" xfId="1" applyNumberFormat="1" applyFont="1" applyFill="1" applyBorder="1" applyAlignment="1"/>
    <xf numFmtId="0" fontId="8" fillId="9" borderId="8" xfId="0" applyFont="1" applyFill="1" applyBorder="1" applyAlignment="1"/>
    <xf numFmtId="176" fontId="39" fillId="3" borderId="12" xfId="1" applyNumberFormat="1" applyFont="1" applyFill="1" applyBorder="1" applyAlignment="1"/>
    <xf numFmtId="0" fontId="8" fillId="0" borderId="26" xfId="0" applyFont="1" applyFill="1" applyBorder="1" applyAlignment="1"/>
    <xf numFmtId="169" fontId="8" fillId="0" borderId="27" xfId="1" applyNumberFormat="1" applyFont="1" applyBorder="1" applyAlignment="1"/>
    <xf numFmtId="0" fontId="8" fillId="0" borderId="14" xfId="0" applyFont="1" applyFill="1" applyBorder="1" applyAlignment="1"/>
    <xf numFmtId="169" fontId="8" fillId="0" borderId="0" xfId="1" applyNumberFormat="1" applyFont="1" applyBorder="1" applyAlignment="1"/>
    <xf numFmtId="0" fontId="39" fillId="0" borderId="13" xfId="0" applyFont="1" applyFill="1" applyBorder="1" applyAlignment="1"/>
    <xf numFmtId="43" fontId="8" fillId="0" borderId="0" xfId="1" applyNumberFormat="1" applyFont="1" applyBorder="1" applyAlignment="1"/>
    <xf numFmtId="0" fontId="8" fillId="0" borderId="3" xfId="0" applyFont="1" applyFill="1" applyBorder="1" applyAlignment="1"/>
    <xf numFmtId="0" fontId="39" fillId="0" borderId="3" xfId="0" applyFont="1" applyFill="1" applyBorder="1" applyAlignment="1"/>
    <xf numFmtId="0" fontId="14" fillId="0" borderId="3" xfId="0" applyFont="1" applyFill="1" applyBorder="1" applyAlignment="1"/>
    <xf numFmtId="167" fontId="39" fillId="9" borderId="23" xfId="1" applyFont="1" applyFill="1" applyBorder="1" applyAlignment="1"/>
    <xf numFmtId="167" fontId="39" fillId="3" borderId="26" xfId="1" applyFont="1" applyFill="1" applyBorder="1" applyAlignment="1"/>
    <xf numFmtId="167" fontId="8" fillId="3" borderId="26" xfId="1" applyFont="1" applyFill="1" applyBorder="1" applyAlignment="1"/>
    <xf numFmtId="0" fontId="8" fillId="3" borderId="13" xfId="0" applyFont="1" applyFill="1" applyBorder="1" applyAlignment="1"/>
    <xf numFmtId="0" fontId="8" fillId="3" borderId="15" xfId="0" applyFont="1" applyFill="1" applyBorder="1" applyAlignment="1"/>
    <xf numFmtId="0" fontId="16" fillId="5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18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38" fontId="13" fillId="5" borderId="0" xfId="0" applyNumberFormat="1" applyFont="1" applyFill="1" applyBorder="1" applyAlignment="1">
      <alignment vertical="center"/>
    </xf>
    <xf numFmtId="0" fontId="13" fillId="5" borderId="0" xfId="0" applyFont="1" applyFill="1" applyBorder="1" applyAlignment="1">
      <alignment horizontal="center" vertical="center" wrapText="1"/>
    </xf>
    <xf numFmtId="169" fontId="13" fillId="5" borderId="0" xfId="1" applyNumberFormat="1" applyFont="1" applyFill="1" applyAlignment="1">
      <alignment vertical="center"/>
    </xf>
    <xf numFmtId="14" fontId="18" fillId="5" borderId="16" xfId="0" applyNumberFormat="1" applyFont="1" applyFill="1" applyBorder="1" applyAlignment="1">
      <alignment vertical="center"/>
    </xf>
    <xf numFmtId="14" fontId="19" fillId="5" borderId="16" xfId="0" applyNumberFormat="1" applyFont="1" applyFill="1" applyBorder="1" applyAlignment="1">
      <alignment horizontal="right" vertical="center"/>
    </xf>
    <xf numFmtId="16" fontId="17" fillId="5" borderId="0" xfId="0" applyNumberFormat="1" applyFon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16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169" fontId="13" fillId="7" borderId="1" xfId="1" applyNumberFormat="1" applyFont="1" applyFill="1" applyBorder="1" applyAlignment="1">
      <alignment vertical="center"/>
    </xf>
    <xf numFmtId="49" fontId="16" fillId="7" borderId="1" xfId="0" applyNumberFormat="1" applyFont="1" applyFill="1" applyBorder="1" applyAlignment="1">
      <alignment horizontal="center" vertical="center"/>
    </xf>
    <xf numFmtId="16" fontId="16" fillId="7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vertical="center"/>
    </xf>
    <xf numFmtId="169" fontId="16" fillId="7" borderId="1" xfId="1" applyNumberFormat="1" applyFont="1" applyFill="1" applyBorder="1" applyAlignment="1">
      <alignment vertical="center"/>
    </xf>
    <xf numFmtId="169" fontId="16" fillId="7" borderId="29" xfId="1" applyNumberFormat="1" applyFont="1" applyFill="1" applyBorder="1" applyAlignment="1">
      <alignment vertical="center"/>
    </xf>
    <xf numFmtId="49" fontId="13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vertical="center" wrapText="1"/>
    </xf>
    <xf numFmtId="169" fontId="13" fillId="3" borderId="29" xfId="1" applyNumberFormat="1" applyFont="1" applyFill="1" applyBorder="1" applyAlignment="1">
      <alignment vertical="center"/>
    </xf>
    <xf numFmtId="38" fontId="16" fillId="8" borderId="59" xfId="0" applyNumberFormat="1" applyFont="1" applyFill="1" applyBorder="1" applyAlignment="1">
      <alignment vertical="center"/>
    </xf>
    <xf numFmtId="38" fontId="13" fillId="3" borderId="56" xfId="0" applyNumberFormat="1" applyFont="1" applyFill="1" applyBorder="1" applyAlignment="1">
      <alignment vertical="center"/>
    </xf>
    <xf numFmtId="38" fontId="13" fillId="7" borderId="1" xfId="0" applyNumberFormat="1" applyFont="1" applyFill="1" applyBorder="1" applyAlignment="1">
      <alignment vertical="center"/>
    </xf>
    <xf numFmtId="38" fontId="16" fillId="7" borderId="1" xfId="0" applyNumberFormat="1" applyFont="1" applyFill="1" applyBorder="1" applyAlignment="1">
      <alignment vertical="center"/>
    </xf>
    <xf numFmtId="38" fontId="13" fillId="3" borderId="1" xfId="0" applyNumberFormat="1" applyFont="1" applyFill="1" applyBorder="1" applyAlignment="1">
      <alignment vertical="center"/>
    </xf>
    <xf numFmtId="169" fontId="16" fillId="5" borderId="0" xfId="1" applyNumberFormat="1" applyFont="1" applyFill="1" applyAlignment="1">
      <alignment vertical="center"/>
    </xf>
    <xf numFmtId="169" fontId="16" fillId="0" borderId="0" xfId="1" applyNumberFormat="1" applyFont="1" applyAlignment="1">
      <alignment vertical="center"/>
    </xf>
    <xf numFmtId="169" fontId="13" fillId="7" borderId="0" xfId="1" applyNumberFormat="1" applyFont="1" applyFill="1" applyAlignment="1">
      <alignment vertical="center"/>
    </xf>
    <xf numFmtId="0" fontId="20" fillId="5" borderId="42" xfId="0" applyFont="1" applyFill="1" applyBorder="1" applyAlignment="1">
      <alignment vertical="center" wrapText="1"/>
    </xf>
    <xf numFmtId="49" fontId="13" fillId="5" borderId="29" xfId="0" applyNumberFormat="1" applyFont="1" applyFill="1" applyBorder="1" applyAlignment="1">
      <alignment horizontal="center" vertical="center"/>
    </xf>
    <xf numFmtId="169" fontId="13" fillId="2" borderId="1" xfId="1" applyNumberFormat="1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/>
    </xf>
    <xf numFmtId="1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/>
    </xf>
    <xf numFmtId="49" fontId="13" fillId="5" borderId="22" xfId="0" applyNumberFormat="1" applyFont="1" applyFill="1" applyBorder="1" applyAlignment="1">
      <alignment horizontal="center" vertical="center"/>
    </xf>
    <xf numFmtId="16" fontId="13" fillId="5" borderId="22" xfId="0" applyNumberFormat="1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vertical="center" wrapText="1"/>
    </xf>
    <xf numFmtId="0" fontId="20" fillId="5" borderId="22" xfId="0" applyFont="1" applyFill="1" applyBorder="1" applyAlignment="1">
      <alignment vertical="center"/>
    </xf>
    <xf numFmtId="169" fontId="13" fillId="5" borderId="22" xfId="1" applyNumberFormat="1" applyFont="1" applyFill="1" applyBorder="1" applyAlignment="1">
      <alignment vertical="center"/>
    </xf>
    <xf numFmtId="49" fontId="13" fillId="19" borderId="50" xfId="0" applyNumberFormat="1" applyFont="1" applyFill="1" applyBorder="1" applyAlignment="1">
      <alignment horizontal="center" vertical="center"/>
    </xf>
    <xf numFmtId="16" fontId="13" fillId="19" borderId="3" xfId="0" applyNumberFormat="1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0" fontId="22" fillId="19" borderId="3" xfId="0" applyFont="1" applyFill="1" applyBorder="1" applyAlignment="1">
      <alignment vertical="center" wrapText="1"/>
    </xf>
    <xf numFmtId="0" fontId="20" fillId="19" borderId="3" xfId="0" applyFont="1" applyFill="1" applyBorder="1" applyAlignment="1">
      <alignment vertical="center"/>
    </xf>
    <xf numFmtId="169" fontId="13" fillId="19" borderId="3" xfId="1" applyNumberFormat="1" applyFont="1" applyFill="1" applyBorder="1" applyAlignment="1">
      <alignment vertical="center"/>
    </xf>
    <xf numFmtId="169" fontId="13" fillId="19" borderId="2" xfId="1" applyNumberFormat="1" applyFont="1" applyFill="1" applyBorder="1" applyAlignment="1">
      <alignment vertical="center"/>
    </xf>
    <xf numFmtId="14" fontId="16" fillId="7" borderId="94" xfId="0" applyNumberFormat="1" applyFont="1" applyFill="1" applyBorder="1" applyAlignment="1">
      <alignment vertical="center"/>
    </xf>
    <xf numFmtId="14" fontId="13" fillId="7" borderId="25" xfId="0" applyNumberFormat="1" applyFont="1" applyFill="1" applyBorder="1" applyAlignment="1">
      <alignment vertical="center"/>
    </xf>
    <xf numFmtId="14" fontId="16" fillId="7" borderId="25" xfId="0" applyNumberFormat="1" applyFont="1" applyFill="1" applyBorder="1" applyAlignment="1">
      <alignment horizontal="center" vertical="center" wrapText="1"/>
    </xf>
    <xf numFmtId="14" fontId="13" fillId="7" borderId="25" xfId="0" applyNumberFormat="1" applyFont="1" applyFill="1" applyBorder="1" applyAlignment="1">
      <alignment horizontal="center" vertical="center"/>
    </xf>
    <xf numFmtId="172" fontId="16" fillId="7" borderId="25" xfId="1" applyNumberFormat="1" applyFont="1" applyFill="1" applyBorder="1" applyAlignment="1">
      <alignment vertical="center"/>
    </xf>
    <xf numFmtId="172" fontId="16" fillId="7" borderId="68" xfId="1" applyNumberFormat="1" applyFont="1" applyFill="1" applyBorder="1" applyAlignment="1">
      <alignment vertical="center"/>
    </xf>
    <xf numFmtId="14" fontId="13" fillId="3" borderId="1" xfId="0" applyNumberFormat="1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/>
    </xf>
    <xf numFmtId="172" fontId="16" fillId="3" borderId="1" xfId="1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49" fontId="13" fillId="18" borderId="1" xfId="0" applyNumberFormat="1" applyFont="1" applyFill="1" applyBorder="1" applyAlignment="1">
      <alignment horizontal="center" vertical="center"/>
    </xf>
    <xf numFmtId="16" fontId="13" fillId="18" borderId="1" xfId="0" applyNumberFormat="1" applyFont="1" applyFill="1" applyBorder="1" applyAlignment="1">
      <alignment horizontal="center" vertical="center"/>
    </xf>
    <xf numFmtId="16" fontId="13" fillId="18" borderId="1" xfId="0" applyNumberFormat="1" applyFont="1" applyFill="1" applyBorder="1" applyAlignment="1">
      <alignment horizontal="left" vertical="center"/>
    </xf>
    <xf numFmtId="0" fontId="20" fillId="18" borderId="1" xfId="0" applyFont="1" applyFill="1" applyBorder="1" applyAlignment="1">
      <alignment vertical="center"/>
    </xf>
    <xf numFmtId="169" fontId="13" fillId="18" borderId="1" xfId="1" applyNumberFormat="1" applyFont="1" applyFill="1" applyBorder="1" applyAlignment="1">
      <alignment vertical="center"/>
    </xf>
    <xf numFmtId="0" fontId="13" fillId="18" borderId="1" xfId="0" applyFont="1" applyFill="1" applyBorder="1" applyAlignment="1">
      <alignment horizontal="center" vertical="center"/>
    </xf>
    <xf numFmtId="49" fontId="13" fillId="12" borderId="1" xfId="0" applyNumberFormat="1" applyFont="1" applyFill="1" applyBorder="1" applyAlignment="1">
      <alignment horizontal="center" vertical="center"/>
    </xf>
    <xf numFmtId="16" fontId="13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vertical="center" wrapText="1"/>
    </xf>
    <xf numFmtId="0" fontId="20" fillId="12" borderId="1" xfId="0" applyFont="1" applyFill="1" applyBorder="1" applyAlignment="1">
      <alignment vertical="center"/>
    </xf>
    <xf numFmtId="169" fontId="13" fillId="12" borderId="1" xfId="1" applyNumberFormat="1" applyFont="1" applyFill="1" applyBorder="1" applyAlignment="1">
      <alignment vertical="center"/>
    </xf>
    <xf numFmtId="169" fontId="13" fillId="3" borderId="1" xfId="1" applyNumberFormat="1" applyFont="1" applyFill="1" applyBorder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172" fontId="16" fillId="5" borderId="47" xfId="1" applyNumberFormat="1" applyFont="1" applyFill="1" applyBorder="1" applyAlignment="1">
      <alignment vertical="center"/>
    </xf>
    <xf numFmtId="3" fontId="16" fillId="5" borderId="8" xfId="0" applyNumberFormat="1" applyFont="1" applyFill="1" applyBorder="1" applyAlignment="1">
      <alignment horizontal="center" vertical="center"/>
    </xf>
    <xf numFmtId="38" fontId="13" fillId="19" borderId="95" xfId="0" applyNumberFormat="1" applyFont="1" applyFill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3" fontId="16" fillId="5" borderId="0" xfId="0" applyNumberFormat="1" applyFont="1" applyFill="1" applyBorder="1" applyAlignment="1">
      <alignment horizontal="center" vertical="center"/>
    </xf>
    <xf numFmtId="38" fontId="13" fillId="7" borderId="95" xfId="0" applyNumberFormat="1" applyFont="1" applyFill="1" applyBorder="1" applyAlignment="1">
      <alignment vertical="center"/>
    </xf>
    <xf numFmtId="38" fontId="13" fillId="18" borderId="1" xfId="0" applyNumberFormat="1" applyFont="1" applyFill="1" applyBorder="1" applyAlignment="1">
      <alignment vertical="center"/>
    </xf>
    <xf numFmtId="169" fontId="13" fillId="18" borderId="0" xfId="0" applyNumberFormat="1" applyFont="1" applyFill="1" applyBorder="1" applyAlignment="1">
      <alignment vertical="center"/>
    </xf>
    <xf numFmtId="38" fontId="13" fillId="12" borderId="1" xfId="0" applyNumberFormat="1" applyFont="1" applyFill="1" applyBorder="1" applyAlignment="1">
      <alignment vertical="center"/>
    </xf>
    <xf numFmtId="169" fontId="13" fillId="5" borderId="0" xfId="0" applyNumberFormat="1" applyFont="1" applyFill="1" applyBorder="1" applyAlignment="1">
      <alignment vertical="center"/>
    </xf>
    <xf numFmtId="0" fontId="13" fillId="12" borderId="0" xfId="0" applyFont="1" applyFill="1" applyAlignment="1">
      <alignment vertical="center"/>
    </xf>
    <xf numFmtId="169" fontId="13" fillId="18" borderId="0" xfId="1" applyNumberFormat="1" applyFont="1" applyFill="1" applyAlignment="1">
      <alignment vertical="center"/>
    </xf>
    <xf numFmtId="169" fontId="13" fillId="12" borderId="0" xfId="1" applyNumberFormat="1" applyFont="1" applyFill="1" applyAlignment="1">
      <alignment vertical="center"/>
    </xf>
    <xf numFmtId="49" fontId="13" fillId="20" borderId="1" xfId="0" applyNumberFormat="1" applyFont="1" applyFill="1" applyBorder="1" applyAlignment="1">
      <alignment horizontal="center" vertical="center"/>
    </xf>
    <xf numFmtId="169" fontId="20" fillId="5" borderId="1" xfId="0" applyNumberFormat="1" applyFont="1" applyFill="1" applyBorder="1" applyAlignment="1">
      <alignment vertical="center" wrapText="1"/>
    </xf>
    <xf numFmtId="169" fontId="13" fillId="5" borderId="1" xfId="4" applyNumberFormat="1" applyFont="1" applyFill="1" applyBorder="1" applyAlignment="1">
      <alignment vertical="center"/>
    </xf>
    <xf numFmtId="14" fontId="16" fillId="7" borderId="6" xfId="0" applyNumberFormat="1" applyFont="1" applyFill="1" applyBorder="1" applyAlignment="1">
      <alignment vertical="center"/>
    </xf>
    <xf numFmtId="14" fontId="13" fillId="7" borderId="5" xfId="0" applyNumberFormat="1" applyFont="1" applyFill="1" applyBorder="1" applyAlignment="1">
      <alignment vertical="center"/>
    </xf>
    <xf numFmtId="14" fontId="16" fillId="7" borderId="5" xfId="0" applyNumberFormat="1" applyFont="1" applyFill="1" applyBorder="1" applyAlignment="1">
      <alignment horizontal="center" vertical="center" wrapText="1"/>
    </xf>
    <xf numFmtId="14" fontId="13" fillId="7" borderId="5" xfId="0" applyNumberFormat="1" applyFont="1" applyFill="1" applyBorder="1" applyAlignment="1">
      <alignment horizontal="center" vertical="center"/>
    </xf>
    <xf numFmtId="172" fontId="16" fillId="7" borderId="5" xfId="1" applyNumberFormat="1" applyFont="1" applyFill="1" applyBorder="1" applyAlignment="1">
      <alignment vertical="center"/>
    </xf>
    <xf numFmtId="14" fontId="16" fillId="3" borderId="46" xfId="0" applyNumberFormat="1" applyFont="1" applyFill="1" applyBorder="1" applyAlignment="1">
      <alignment horizontal="center" vertical="center" wrapText="1"/>
    </xf>
    <xf numFmtId="167" fontId="16" fillId="3" borderId="1" xfId="1" applyFont="1" applyFill="1" applyBorder="1" applyAlignment="1">
      <alignment vertical="center"/>
    </xf>
    <xf numFmtId="38" fontId="13" fillId="7" borderId="41" xfId="0" applyNumberFormat="1" applyFont="1" applyFill="1" applyBorder="1" applyAlignment="1">
      <alignment vertical="center"/>
    </xf>
    <xf numFmtId="38" fontId="13" fillId="3" borderId="10" xfId="0" applyNumberFormat="1" applyFont="1" applyFill="1" applyBorder="1" applyAlignment="1">
      <alignment vertical="center"/>
    </xf>
    <xf numFmtId="172" fontId="13" fillId="5" borderId="0" xfId="0" applyNumberFormat="1" applyFont="1" applyFill="1" applyBorder="1" applyAlignment="1">
      <alignment vertical="center"/>
    </xf>
    <xf numFmtId="0" fontId="16" fillId="5" borderId="27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169" fontId="42" fillId="0" borderId="0" xfId="1" applyNumberFormat="1" applyFont="1" applyAlignment="1"/>
    <xf numFmtId="0" fontId="41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1" fillId="0" borderId="0" xfId="0" applyFont="1" applyFill="1">
      <alignment vertical="center"/>
    </xf>
    <xf numFmtId="0" fontId="44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165" fontId="41" fillId="0" borderId="0" xfId="1" applyNumberFormat="1" applyFont="1">
      <alignment vertical="center"/>
    </xf>
    <xf numFmtId="0" fontId="43" fillId="0" borderId="0" xfId="0" applyFont="1" applyFill="1" applyAlignment="1">
      <alignment horizontal="center" vertical="center"/>
    </xf>
    <xf numFmtId="17" fontId="43" fillId="0" borderId="0" xfId="0" applyNumberFormat="1" applyFont="1" applyFill="1" applyAlignment="1">
      <alignment horizontal="center" vertical="center"/>
    </xf>
    <xf numFmtId="169" fontId="42" fillId="0" borderId="1" xfId="1" applyNumberFormat="1" applyFont="1" applyBorder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169" fontId="42" fillId="0" borderId="2" xfId="1" applyNumberFormat="1" applyFont="1" applyBorder="1" applyAlignment="1">
      <alignment vertical="center"/>
    </xf>
    <xf numFmtId="165" fontId="43" fillId="0" borderId="0" xfId="1" applyNumberFormat="1" applyFont="1" applyAlignment="1">
      <alignment horizontal="center" vertical="center"/>
    </xf>
    <xf numFmtId="0" fontId="41" fillId="0" borderId="0" xfId="1" applyNumberFormat="1" applyFont="1">
      <alignment vertical="center"/>
    </xf>
    <xf numFmtId="169" fontId="42" fillId="0" borderId="3" xfId="1" applyNumberFormat="1" applyFont="1" applyBorder="1" applyAlignment="1">
      <alignment vertical="center"/>
    </xf>
    <xf numFmtId="0" fontId="46" fillId="8" borderId="4" xfId="0" applyFont="1" applyFill="1" applyBorder="1" applyAlignment="1">
      <alignment horizontal="left" vertical="center"/>
    </xf>
    <xf numFmtId="0" fontId="47" fillId="8" borderId="4" xfId="0" applyFont="1" applyFill="1" applyBorder="1" applyAlignment="1">
      <alignment horizontal="center" vertical="center"/>
    </xf>
    <xf numFmtId="0" fontId="47" fillId="8" borderId="5" xfId="0" applyFont="1" applyFill="1" applyBorder="1" applyAlignment="1">
      <alignment horizontal="center" vertical="center"/>
    </xf>
    <xf numFmtId="165" fontId="47" fillId="8" borderId="6" xfId="1" applyNumberFormat="1" applyFont="1" applyFill="1" applyBorder="1" applyAlignment="1">
      <alignment horizontal="center" vertical="center"/>
    </xf>
    <xf numFmtId="165" fontId="47" fillId="8" borderId="7" xfId="1" applyNumberFormat="1" applyFont="1" applyFill="1" applyBorder="1" applyAlignment="1">
      <alignment horizontal="center" vertical="center"/>
    </xf>
    <xf numFmtId="0" fontId="43" fillId="8" borderId="8" xfId="0" applyFont="1" applyFill="1" applyBorder="1" applyAlignment="1">
      <alignment horizontal="center" vertical="center"/>
    </xf>
    <xf numFmtId="0" fontId="46" fillId="3" borderId="23" xfId="0" applyFont="1" applyFill="1" applyBorder="1" applyAlignment="1">
      <alignment horizontal="left" vertical="center"/>
    </xf>
    <xf numFmtId="0" fontId="43" fillId="3" borderId="12" xfId="0" applyFont="1" applyFill="1" applyBorder="1" applyAlignment="1">
      <alignment horizontal="center" vertical="center"/>
    </xf>
    <xf numFmtId="0" fontId="48" fillId="0" borderId="17" xfId="2" applyFont="1" applyBorder="1" applyAlignment="1">
      <alignment horizontal="left" vertical="center"/>
    </xf>
    <xf numFmtId="0" fontId="41" fillId="0" borderId="16" xfId="0" applyFont="1" applyFill="1" applyBorder="1" applyAlignment="1">
      <alignment horizontal="center" vertical="center"/>
    </xf>
    <xf numFmtId="0" fontId="49" fillId="0" borderId="26" xfId="0" applyFont="1" applyFill="1" applyBorder="1" applyAlignment="1">
      <alignment horizontal="left"/>
    </xf>
    <xf numFmtId="0" fontId="41" fillId="0" borderId="27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center" vertical="center"/>
    </xf>
    <xf numFmtId="0" fontId="49" fillId="0" borderId="17" xfId="0" applyFont="1" applyFill="1" applyBorder="1" applyAlignment="1">
      <alignment horizontal="left"/>
    </xf>
    <xf numFmtId="0" fontId="49" fillId="0" borderId="26" xfId="0" applyFont="1" applyFill="1" applyBorder="1" applyAlignment="1">
      <alignment horizontal="left" vertical="center"/>
    </xf>
    <xf numFmtId="0" fontId="49" fillId="0" borderId="14" xfId="0" applyFont="1" applyFill="1" applyBorder="1" applyAlignment="1">
      <alignment horizontal="left" vertical="center"/>
    </xf>
    <xf numFmtId="0" fontId="41" fillId="0" borderId="27" xfId="0" applyFont="1" applyBorder="1" applyAlignment="1">
      <alignment horizontal="center" vertical="center"/>
    </xf>
    <xf numFmtId="0" fontId="49" fillId="0" borderId="17" xfId="0" applyFont="1" applyFill="1" applyBorder="1" applyAlignment="1">
      <alignment horizontal="left" vertical="center"/>
    </xf>
    <xf numFmtId="0" fontId="41" fillId="0" borderId="16" xfId="0" applyFont="1" applyBorder="1" applyAlignment="1">
      <alignment horizontal="center" vertical="center"/>
    </xf>
    <xf numFmtId="0" fontId="50" fillId="9" borderId="17" xfId="0" applyFont="1" applyFill="1" applyBorder="1" applyAlignment="1">
      <alignment horizontal="left" vertical="center"/>
    </xf>
    <xf numFmtId="0" fontId="50" fillId="3" borderId="17" xfId="0" applyFont="1" applyFill="1" applyBorder="1" applyAlignment="1">
      <alignment horizontal="left" vertical="center"/>
    </xf>
    <xf numFmtId="0" fontId="49" fillId="0" borderId="23" xfId="0" applyFont="1" applyFill="1" applyBorder="1" applyAlignment="1">
      <alignment horizontal="left" vertical="center"/>
    </xf>
    <xf numFmtId="0" fontId="51" fillId="0" borderId="16" xfId="0" applyNumberFormat="1" applyFont="1" applyFill="1" applyBorder="1" applyAlignment="1">
      <alignment horizontal="left" vertical="center"/>
    </xf>
    <xf numFmtId="0" fontId="51" fillId="0" borderId="1" xfId="0" applyNumberFormat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center" vertical="center"/>
    </xf>
    <xf numFmtId="165" fontId="51" fillId="0" borderId="1" xfId="1" applyNumberFormat="1" applyFont="1" applyFill="1" applyBorder="1" applyAlignment="1">
      <alignment horizontal="center" vertical="center"/>
    </xf>
    <xf numFmtId="0" fontId="45" fillId="9" borderId="23" xfId="0" applyFont="1" applyFill="1" applyBorder="1" applyAlignment="1">
      <alignment horizontal="left" vertical="center"/>
    </xf>
    <xf numFmtId="0" fontId="41" fillId="3" borderId="0" xfId="0" applyFont="1" applyFill="1" applyAlignment="1">
      <alignment vertical="center"/>
    </xf>
    <xf numFmtId="0" fontId="44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/>
    </xf>
    <xf numFmtId="165" fontId="41" fillId="0" borderId="1" xfId="1" applyNumberFormat="1" applyFont="1" applyFill="1" applyBorder="1">
      <alignment vertical="center"/>
    </xf>
    <xf numFmtId="0" fontId="41" fillId="0" borderId="1" xfId="0" applyFont="1" applyFill="1" applyBorder="1" applyAlignment="1">
      <alignment horizontal="center" vertical="center"/>
    </xf>
    <xf numFmtId="165" fontId="53" fillId="0" borderId="1" xfId="1" applyNumberFormat="1" applyFont="1" applyFill="1" applyBorder="1">
      <alignment vertical="center"/>
    </xf>
    <xf numFmtId="169" fontId="54" fillId="0" borderId="1" xfId="1" applyNumberFormat="1" applyFont="1" applyBorder="1" applyAlignment="1">
      <alignment horizontal="center" vertical="center"/>
    </xf>
    <xf numFmtId="169" fontId="54" fillId="0" borderId="3" xfId="1" applyNumberFormat="1" applyFont="1" applyBorder="1" applyAlignment="1">
      <alignment vertical="center"/>
    </xf>
    <xf numFmtId="0" fontId="47" fillId="8" borderId="8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/>
    </xf>
    <xf numFmtId="0" fontId="47" fillId="0" borderId="12" xfId="0" applyFont="1" applyFill="1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41" fillId="0" borderId="12" xfId="0" applyFont="1" applyFill="1" applyBorder="1" applyAlignment="1">
      <alignment vertical="center"/>
    </xf>
    <xf numFmtId="0" fontId="41" fillId="0" borderId="79" xfId="0" applyFont="1" applyFill="1" applyBorder="1" applyAlignment="1">
      <alignment vertical="center" wrapText="1"/>
    </xf>
    <xf numFmtId="0" fontId="41" fillId="0" borderId="77" xfId="0" applyFont="1" applyFill="1" applyBorder="1" applyAlignment="1">
      <alignment vertical="center" wrapText="1"/>
    </xf>
    <xf numFmtId="0" fontId="41" fillId="0" borderId="77" xfId="0" applyFont="1" applyFill="1" applyBorder="1" applyAlignment="1">
      <alignment vertical="center"/>
    </xf>
    <xf numFmtId="0" fontId="41" fillId="0" borderId="21" xfId="0" applyFont="1" applyFill="1" applyBorder="1" applyAlignment="1">
      <alignment vertical="center"/>
    </xf>
    <xf numFmtId="0" fontId="41" fillId="0" borderId="79" xfId="0" applyFont="1" applyFill="1" applyBorder="1" applyAlignment="1">
      <alignment vertical="center"/>
    </xf>
    <xf numFmtId="0" fontId="41" fillId="0" borderId="21" xfId="0" applyFont="1" applyFill="1" applyBorder="1" applyAlignment="1">
      <alignment vertical="center" wrapText="1"/>
    </xf>
    <xf numFmtId="0" fontId="41" fillId="0" borderId="79" xfId="0" applyFont="1" applyBorder="1" applyAlignment="1">
      <alignment vertical="center"/>
    </xf>
    <xf numFmtId="0" fontId="41" fillId="0" borderId="21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51" fillId="0" borderId="0" xfId="0" applyFont="1" applyFill="1" applyAlignment="1">
      <alignment vertical="center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vertical="center"/>
    </xf>
    <xf numFmtId="0" fontId="52" fillId="0" borderId="0" xfId="0" applyFont="1" applyFill="1" applyAlignment="1">
      <alignment horizontal="center" vertical="center"/>
    </xf>
    <xf numFmtId="0" fontId="41" fillId="0" borderId="1" xfId="0" applyFont="1" applyFill="1" applyBorder="1">
      <alignment vertical="center"/>
    </xf>
    <xf numFmtId="165" fontId="55" fillId="0" borderId="1" xfId="1" applyNumberFormat="1" applyFont="1" applyFill="1" applyBorder="1">
      <alignment vertical="center"/>
    </xf>
    <xf numFmtId="0" fontId="45" fillId="9" borderId="26" xfId="0" applyFont="1" applyFill="1" applyBorder="1" applyAlignment="1">
      <alignment horizontal="left" vertical="center"/>
    </xf>
    <xf numFmtId="167" fontId="43" fillId="3" borderId="1" xfId="1" applyFont="1" applyFill="1" applyBorder="1" applyAlignment="1">
      <alignment vertical="center"/>
    </xf>
    <xf numFmtId="0" fontId="43" fillId="0" borderId="1" xfId="0" applyFont="1" applyFill="1" applyBorder="1" applyAlignment="1">
      <alignment horizontal="left" vertical="center"/>
    </xf>
    <xf numFmtId="0" fontId="56" fillId="0" borderId="1" xfId="0" applyFont="1" applyFill="1" applyBorder="1" applyAlignment="1">
      <alignment horizontal="left" vertical="center"/>
    </xf>
    <xf numFmtId="0" fontId="57" fillId="0" borderId="1" xfId="0" applyFont="1" applyFill="1" applyBorder="1" applyAlignment="1">
      <alignment horizontal="left" vertical="center"/>
    </xf>
    <xf numFmtId="165" fontId="57" fillId="0" borderId="1" xfId="1" applyNumberFormat="1" applyFont="1" applyFill="1" applyBorder="1">
      <alignment vertical="center"/>
    </xf>
    <xf numFmtId="165" fontId="43" fillId="0" borderId="14" xfId="1" applyNumberFormat="1" applyFont="1" applyBorder="1">
      <alignment vertical="center"/>
    </xf>
    <xf numFmtId="165" fontId="43" fillId="0" borderId="77" xfId="1" applyNumberFormat="1" applyFont="1" applyBorder="1">
      <alignment vertical="center"/>
    </xf>
    <xf numFmtId="165" fontId="43" fillId="0" borderId="17" xfId="1" applyNumberFormat="1" applyFont="1" applyBorder="1">
      <alignment vertical="center"/>
    </xf>
    <xf numFmtId="165" fontId="43" fillId="0" borderId="21" xfId="1" applyNumberFormat="1" applyFont="1" applyBorder="1">
      <alignment vertical="center"/>
    </xf>
    <xf numFmtId="165" fontId="43" fillId="0" borderId="23" xfId="1" applyNumberFormat="1" applyFont="1" applyBorder="1">
      <alignment vertical="center"/>
    </xf>
    <xf numFmtId="165" fontId="43" fillId="0" borderId="12" xfId="1" applyNumberFormat="1" applyFont="1" applyBorder="1">
      <alignment vertical="center"/>
    </xf>
    <xf numFmtId="0" fontId="59" fillId="0" borderId="12" xfId="2" applyFont="1" applyFill="1" applyBorder="1">
      <alignment vertical="center"/>
    </xf>
    <xf numFmtId="0" fontId="59" fillId="0" borderId="0" xfId="2" applyFont="1" applyFill="1" applyBorder="1">
      <alignment vertical="center"/>
    </xf>
    <xf numFmtId="0" fontId="59" fillId="0" borderId="1" xfId="2" applyFont="1" applyFill="1" applyBorder="1">
      <alignment vertical="center"/>
    </xf>
    <xf numFmtId="0" fontId="60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61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Fill="1">
      <alignment vertical="center"/>
    </xf>
    <xf numFmtId="0" fontId="60" fillId="0" borderId="0" xfId="0" applyFont="1" applyAlignment="1">
      <alignment vertical="top"/>
    </xf>
    <xf numFmtId="167" fontId="60" fillId="0" borderId="0" xfId="1" applyFont="1">
      <alignment vertical="center"/>
    </xf>
    <xf numFmtId="0" fontId="61" fillId="0" borderId="0" xfId="0" applyFont="1" applyAlignment="1">
      <alignment vertical="top"/>
    </xf>
    <xf numFmtId="167" fontId="66" fillId="0" borderId="23" xfId="1" applyFont="1" applyBorder="1">
      <alignment vertical="center"/>
    </xf>
    <xf numFmtId="167" fontId="66" fillId="0" borderId="12" xfId="1" applyFont="1" applyBorder="1">
      <alignment vertical="center"/>
    </xf>
    <xf numFmtId="0" fontId="61" fillId="9" borderId="8" xfId="0" applyFont="1" applyFill="1" applyBorder="1" applyAlignment="1">
      <alignment horizontal="center" vertical="top" wrapText="1"/>
    </xf>
    <xf numFmtId="167" fontId="61" fillId="9" borderId="8" xfId="1" applyFont="1" applyFill="1" applyBorder="1" applyAlignment="1">
      <alignment horizontal="center" vertical="center" wrapText="1"/>
    </xf>
    <xf numFmtId="167" fontId="61" fillId="9" borderId="12" xfId="1" applyFont="1" applyFill="1" applyBorder="1" applyAlignment="1">
      <alignment horizontal="center" vertical="center" wrapText="1"/>
    </xf>
    <xf numFmtId="0" fontId="60" fillId="0" borderId="78" xfId="0" applyFont="1" applyBorder="1" applyAlignment="1">
      <alignment horizontal="center" vertical="top"/>
    </xf>
    <xf numFmtId="167" fontId="60" fillId="0" borderId="79" xfId="1" applyFont="1" applyBorder="1">
      <alignment vertical="center"/>
    </xf>
    <xf numFmtId="0" fontId="60" fillId="0" borderId="13" xfId="0" applyFont="1" applyBorder="1" applyAlignment="1">
      <alignment horizontal="center" vertical="top"/>
    </xf>
    <xf numFmtId="167" fontId="60" fillId="0" borderId="77" xfId="1" applyFont="1" applyBorder="1">
      <alignment vertical="center"/>
    </xf>
    <xf numFmtId="167" fontId="60" fillId="0" borderId="21" xfId="1" applyFont="1" applyBorder="1">
      <alignment vertical="center"/>
    </xf>
    <xf numFmtId="0" fontId="61" fillId="8" borderId="8" xfId="0" applyFont="1" applyFill="1" applyBorder="1" applyAlignment="1">
      <alignment horizontal="center" vertical="top"/>
    </xf>
    <xf numFmtId="167" fontId="61" fillId="8" borderId="12" xfId="1" applyFont="1" applyFill="1" applyBorder="1">
      <alignment vertical="center"/>
    </xf>
    <xf numFmtId="0" fontId="60" fillId="0" borderId="15" xfId="0" applyFont="1" applyBorder="1" applyAlignment="1">
      <alignment horizontal="center" vertical="top"/>
    </xf>
    <xf numFmtId="167" fontId="61" fillId="8" borderId="12" xfId="1" applyFont="1" applyFill="1" applyBorder="1" applyAlignment="1">
      <alignment horizontal="center" vertical="center"/>
    </xf>
    <xf numFmtId="167" fontId="61" fillId="8" borderId="79" xfId="1" applyFont="1" applyFill="1" applyBorder="1" applyAlignment="1">
      <alignment horizontal="center" vertical="center"/>
    </xf>
    <xf numFmtId="0" fontId="60" fillId="0" borderId="13" xfId="0" applyFont="1" applyFill="1" applyBorder="1" applyAlignment="1">
      <alignment horizontal="center" vertical="top"/>
    </xf>
    <xf numFmtId="167" fontId="60" fillId="0" borderId="77" xfId="1" applyFont="1" applyFill="1" applyBorder="1">
      <alignment vertical="center"/>
    </xf>
    <xf numFmtId="167" fontId="60" fillId="0" borderId="98" xfId="1" applyFont="1" applyFill="1" applyBorder="1">
      <alignment vertical="center"/>
    </xf>
    <xf numFmtId="0" fontId="60" fillId="0" borderId="99" xfId="0" applyFont="1" applyFill="1" applyBorder="1" applyAlignment="1">
      <alignment horizontal="center" vertical="top"/>
    </xf>
    <xf numFmtId="167" fontId="60" fillId="0" borderId="100" xfId="1" applyFont="1" applyFill="1" applyBorder="1">
      <alignment vertical="center"/>
    </xf>
    <xf numFmtId="0" fontId="60" fillId="0" borderId="93" xfId="0" applyFont="1" applyFill="1" applyBorder="1" applyAlignment="1">
      <alignment horizontal="center" vertical="top"/>
    </xf>
    <xf numFmtId="167" fontId="60" fillId="0" borderId="101" xfId="1" applyFont="1" applyFill="1" applyBorder="1">
      <alignment vertical="center"/>
    </xf>
    <xf numFmtId="0" fontId="60" fillId="0" borderId="96" xfId="0" applyFont="1" applyFill="1" applyBorder="1" applyAlignment="1">
      <alignment horizontal="center" vertical="top"/>
    </xf>
    <xf numFmtId="0" fontId="61" fillId="22" borderId="8" xfId="0" applyFont="1" applyFill="1" applyBorder="1" applyAlignment="1">
      <alignment horizontal="center" vertical="top"/>
    </xf>
    <xf numFmtId="167" fontId="61" fillId="22" borderId="12" xfId="1" applyFont="1" applyFill="1" applyBorder="1" applyAlignment="1">
      <alignment horizontal="center" vertical="center"/>
    </xf>
    <xf numFmtId="167" fontId="61" fillId="22" borderId="12" xfId="1" applyFont="1" applyFill="1" applyBorder="1">
      <alignment vertical="center"/>
    </xf>
    <xf numFmtId="0" fontId="60" fillId="0" borderId="78" xfId="0" applyFont="1" applyBorder="1" applyAlignment="1">
      <alignment vertical="top"/>
    </xf>
    <xf numFmtId="0" fontId="60" fillId="0" borderId="13" xfId="0" applyFont="1" applyBorder="1" applyAlignment="1">
      <alignment vertical="top"/>
    </xf>
    <xf numFmtId="167" fontId="61" fillId="9" borderId="8" xfId="1" applyFont="1" applyFill="1" applyBorder="1" applyAlignment="1">
      <alignment vertical="center" wrapText="1"/>
    </xf>
    <xf numFmtId="167" fontId="60" fillId="0" borderId="78" xfId="1" applyFont="1" applyBorder="1">
      <alignment vertical="center"/>
    </xf>
    <xf numFmtId="167" fontId="60" fillId="0" borderId="13" xfId="1" applyFont="1" applyBorder="1">
      <alignment vertical="center"/>
    </xf>
    <xf numFmtId="167" fontId="61" fillId="0" borderId="13" xfId="1" applyFont="1" applyBorder="1">
      <alignment vertical="center"/>
    </xf>
    <xf numFmtId="167" fontId="60" fillId="0" borderId="0" xfId="1" applyFont="1" applyFill="1">
      <alignment vertical="center"/>
    </xf>
    <xf numFmtId="167" fontId="61" fillId="0" borderId="13" xfId="1" applyFont="1" applyBorder="1" applyAlignment="1">
      <alignment horizontal="center" vertical="center"/>
    </xf>
    <xf numFmtId="167" fontId="61" fillId="22" borderId="8" xfId="1" applyFont="1" applyFill="1" applyBorder="1" applyAlignment="1">
      <alignment horizontal="center" vertical="center"/>
    </xf>
    <xf numFmtId="167" fontId="61" fillId="0" borderId="15" xfId="1" applyFont="1" applyBorder="1" applyAlignment="1">
      <alignment horizontal="center" vertical="center"/>
    </xf>
    <xf numFmtId="0" fontId="61" fillId="8" borderId="8" xfId="0" applyFont="1" applyFill="1" applyBorder="1" applyAlignment="1">
      <alignment vertical="top"/>
    </xf>
    <xf numFmtId="3" fontId="72" fillId="0" borderId="77" xfId="0" applyNumberFormat="1" applyFont="1" applyFill="1" applyBorder="1" applyAlignment="1">
      <alignment horizontal="center" vertical="center"/>
    </xf>
    <xf numFmtId="4" fontId="72" fillId="0" borderId="77" xfId="0" applyNumberFormat="1" applyFont="1" applyFill="1" applyBorder="1" applyAlignment="1">
      <alignment horizontal="center" vertical="center"/>
    </xf>
    <xf numFmtId="0" fontId="60" fillId="0" borderId="78" xfId="0" applyFont="1" applyFill="1" applyBorder="1" applyAlignment="1">
      <alignment vertical="top"/>
    </xf>
    <xf numFmtId="167" fontId="60" fillId="0" borderId="79" xfId="1" applyFont="1" applyFill="1" applyBorder="1">
      <alignment vertical="center"/>
    </xf>
    <xf numFmtId="0" fontId="60" fillId="0" borderId="13" xfId="0" applyFont="1" applyFill="1" applyBorder="1" applyAlignment="1">
      <alignment vertical="top"/>
    </xf>
    <xf numFmtId="0" fontId="60" fillId="0" borderId="15" xfId="0" applyFont="1" applyFill="1" applyBorder="1" applyAlignment="1">
      <alignment vertical="top"/>
    </xf>
    <xf numFmtId="167" fontId="60" fillId="0" borderId="13" xfId="1" applyFont="1" applyFill="1" applyBorder="1">
      <alignment vertical="center"/>
    </xf>
    <xf numFmtId="167" fontId="61" fillId="0" borderId="15" xfId="1" applyFont="1" applyBorder="1">
      <alignment vertical="center"/>
    </xf>
    <xf numFmtId="167" fontId="60" fillId="0" borderId="15" xfId="1" applyFont="1" applyBorder="1">
      <alignment vertical="center"/>
    </xf>
    <xf numFmtId="167" fontId="60" fillId="0" borderId="8" xfId="1" applyFont="1" applyFill="1" applyBorder="1">
      <alignment vertical="center"/>
    </xf>
    <xf numFmtId="0" fontId="60" fillId="0" borderId="15" xfId="0" applyFont="1" applyBorder="1" applyAlignment="1">
      <alignment vertical="top"/>
    </xf>
    <xf numFmtId="167" fontId="73" fillId="0" borderId="77" xfId="1" applyFont="1" applyBorder="1" applyAlignment="1">
      <alignment horizontal="center" vertical="center"/>
    </xf>
    <xf numFmtId="167" fontId="73" fillId="0" borderId="15" xfId="1" applyFont="1" applyBorder="1" applyAlignment="1">
      <alignment horizontal="center" vertical="center"/>
    </xf>
    <xf numFmtId="172" fontId="74" fillId="0" borderId="77" xfId="1" applyNumberFormat="1" applyFont="1" applyFill="1" applyBorder="1" applyAlignment="1">
      <alignment vertical="center"/>
    </xf>
    <xf numFmtId="41" fontId="72" fillId="0" borderId="13" xfId="0" applyNumberFormat="1" applyFont="1" applyFill="1" applyBorder="1" applyAlignment="1">
      <alignment horizontal="center" vertical="center"/>
    </xf>
    <xf numFmtId="175" fontId="72" fillId="5" borderId="93" xfId="1" applyNumberFormat="1" applyFont="1" applyFill="1" applyBorder="1" applyAlignment="1">
      <alignment vertical="center"/>
    </xf>
    <xf numFmtId="41" fontId="72" fillId="0" borderId="77" xfId="0" applyNumberFormat="1" applyFont="1" applyFill="1" applyBorder="1" applyAlignment="1">
      <alignment horizontal="center" vertical="center"/>
    </xf>
    <xf numFmtId="4" fontId="73" fillId="0" borderId="15" xfId="0" applyNumberFormat="1" applyFont="1" applyBorder="1" applyAlignment="1">
      <alignment horizontal="right" vertical="top" wrapText="1"/>
    </xf>
    <xf numFmtId="167" fontId="61" fillId="8" borderId="79" xfId="1" applyFont="1" applyFill="1" applyBorder="1">
      <alignment vertical="center"/>
    </xf>
    <xf numFmtId="167" fontId="60" fillId="0" borderId="78" xfId="1" applyFont="1" applyFill="1" applyBorder="1">
      <alignment vertical="center"/>
    </xf>
    <xf numFmtId="167" fontId="60" fillId="0" borderId="0" xfId="1" applyFont="1" applyBorder="1">
      <alignment vertical="center"/>
    </xf>
    <xf numFmtId="175" fontId="72" fillId="0" borderId="13" xfId="1" applyNumberFormat="1" applyFont="1" applyFill="1" applyBorder="1" applyAlignment="1">
      <alignment vertical="center"/>
    </xf>
    <xf numFmtId="167" fontId="73" fillId="0" borderId="0" xfId="1" applyFont="1" applyBorder="1" applyAlignment="1">
      <alignment horizontal="center" vertical="center"/>
    </xf>
    <xf numFmtId="4" fontId="73" fillId="0" borderId="15" xfId="0" applyNumberFormat="1" applyFont="1" applyFill="1" applyBorder="1" applyAlignment="1">
      <alignment horizontal="right" vertical="top" wrapText="1"/>
    </xf>
    <xf numFmtId="167" fontId="73" fillId="0" borderId="21" xfId="1" applyFont="1" applyBorder="1" applyAlignment="1">
      <alignment horizontal="center" vertical="center"/>
    </xf>
    <xf numFmtId="167" fontId="61" fillId="8" borderId="77" xfId="1" applyFont="1" applyFill="1" applyBorder="1">
      <alignment vertical="center"/>
    </xf>
    <xf numFmtId="167" fontId="61" fillId="8" borderId="21" xfId="1" applyFont="1" applyFill="1" applyBorder="1">
      <alignment vertical="center"/>
    </xf>
    <xf numFmtId="167" fontId="60" fillId="0" borderId="0" xfId="1" applyFont="1" applyFill="1" applyBorder="1">
      <alignment vertical="center"/>
    </xf>
    <xf numFmtId="0" fontId="61" fillId="8" borderId="78" xfId="0" applyFont="1" applyFill="1" applyBorder="1" applyAlignment="1">
      <alignment vertical="top"/>
    </xf>
    <xf numFmtId="0" fontId="61" fillId="8" borderId="15" xfId="0" applyFont="1" applyFill="1" applyBorder="1" applyAlignment="1">
      <alignment vertical="top"/>
    </xf>
    <xf numFmtId="0" fontId="61" fillId="22" borderId="15" xfId="0" applyFont="1" applyFill="1" applyBorder="1" applyAlignment="1">
      <alignment horizontal="center" vertical="top"/>
    </xf>
    <xf numFmtId="167" fontId="61" fillId="22" borderId="8" xfId="1" applyFont="1" applyFill="1" applyBorder="1">
      <alignment vertical="center"/>
    </xf>
    <xf numFmtId="0" fontId="60" fillId="0" borderId="13" xfId="0" applyFont="1" applyBorder="1" applyAlignment="1">
      <alignment horizontal="left" vertical="top"/>
    </xf>
    <xf numFmtId="0" fontId="60" fillId="0" borderId="15" xfId="0" applyFont="1" applyBorder="1" applyAlignment="1">
      <alignment horizontal="left" vertical="top"/>
    </xf>
    <xf numFmtId="0" fontId="61" fillId="8" borderId="15" xfId="0" applyFont="1" applyFill="1" applyBorder="1" applyAlignment="1">
      <alignment horizontal="left" vertical="top"/>
    </xf>
    <xf numFmtId="0" fontId="60" fillId="0" borderId="78" xfId="0" applyFont="1" applyBorder="1" applyAlignment="1">
      <alignment horizontal="left" vertical="top"/>
    </xf>
    <xf numFmtId="165" fontId="60" fillId="0" borderId="79" xfId="1" applyNumberFormat="1" applyFont="1" applyBorder="1">
      <alignment vertical="center"/>
    </xf>
    <xf numFmtId="167" fontId="61" fillId="22" borderId="15" xfId="1" applyFont="1" applyFill="1" applyBorder="1">
      <alignment vertical="center"/>
    </xf>
    <xf numFmtId="167" fontId="61" fillId="0" borderId="15" xfId="1" applyFont="1" applyFill="1" applyBorder="1">
      <alignment vertical="center"/>
    </xf>
    <xf numFmtId="0" fontId="73" fillId="0" borderId="15" xfId="0" applyNumberFormat="1" applyFont="1" applyFill="1" applyBorder="1" applyAlignment="1">
      <alignment horizontal="right" vertical="top" wrapText="1"/>
    </xf>
    <xf numFmtId="172" fontId="72" fillId="0" borderId="13" xfId="1" applyNumberFormat="1" applyFont="1" applyFill="1" applyBorder="1" applyAlignment="1">
      <alignment vertical="center"/>
    </xf>
    <xf numFmtId="173" fontId="73" fillId="0" borderId="15" xfId="0" applyNumberFormat="1" applyFont="1" applyFill="1" applyBorder="1" applyAlignment="1">
      <alignment horizontal="right" vertical="top" wrapText="1"/>
    </xf>
    <xf numFmtId="167" fontId="60" fillId="0" borderId="26" xfId="1" applyFont="1" applyBorder="1">
      <alignment vertical="center"/>
    </xf>
    <xf numFmtId="167" fontId="60" fillId="0" borderId="14" xfId="1" applyFont="1" applyBorder="1">
      <alignment vertical="center"/>
    </xf>
    <xf numFmtId="167" fontId="61" fillId="12" borderId="0" xfId="1" applyFont="1" applyFill="1" applyBorder="1">
      <alignment vertical="center"/>
    </xf>
    <xf numFmtId="167" fontId="73" fillId="0" borderId="15" xfId="1" applyFont="1" applyFill="1" applyBorder="1" applyAlignment="1">
      <alignment horizontal="right" vertical="top" wrapText="1"/>
    </xf>
    <xf numFmtId="167" fontId="61" fillId="8" borderId="78" xfId="1" applyFont="1" applyFill="1" applyBorder="1">
      <alignment vertical="center"/>
    </xf>
    <xf numFmtId="167" fontId="61" fillId="8" borderId="13" xfId="1" applyFont="1" applyFill="1" applyBorder="1">
      <alignment vertical="center"/>
    </xf>
    <xf numFmtId="167" fontId="61" fillId="8" borderId="15" xfId="1" applyFont="1" applyFill="1" applyBorder="1">
      <alignment vertical="center"/>
    </xf>
    <xf numFmtId="0" fontId="61" fillId="8" borderId="13" xfId="0" applyFont="1" applyFill="1" applyBorder="1" applyAlignment="1">
      <alignment horizontal="left" vertical="top"/>
    </xf>
    <xf numFmtId="0" fontId="61" fillId="8" borderId="8" xfId="0" applyFont="1" applyFill="1" applyBorder="1" applyAlignment="1">
      <alignment horizontal="left" vertical="top"/>
    </xf>
    <xf numFmtId="0" fontId="60" fillId="0" borderId="0" xfId="0" applyFont="1" applyBorder="1" applyAlignment="1">
      <alignment vertical="top"/>
    </xf>
    <xf numFmtId="167" fontId="61" fillId="8" borderId="15" xfId="1" applyFont="1" applyFill="1" applyBorder="1" applyAlignment="1">
      <alignment horizontal="center" vertical="center"/>
    </xf>
    <xf numFmtId="167" fontId="61" fillId="8" borderId="78" xfId="1" applyFont="1" applyFill="1" applyBorder="1" applyAlignment="1">
      <alignment horizontal="center" vertical="center"/>
    </xf>
    <xf numFmtId="167" fontId="61" fillId="0" borderId="8" xfId="1" applyFont="1" applyFill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67" fontId="14" fillId="0" borderId="0" xfId="1" applyFont="1">
      <alignment vertical="center"/>
    </xf>
    <xf numFmtId="0" fontId="14" fillId="23" borderId="102" xfId="0" applyFont="1" applyFill="1" applyBorder="1" applyAlignment="1">
      <alignment horizontal="center" vertical="center"/>
    </xf>
    <xf numFmtId="15" fontId="0" fillId="23" borderId="104" xfId="0" applyNumberFormat="1" applyFont="1" applyFill="1" applyBorder="1">
      <alignment vertical="center"/>
    </xf>
    <xf numFmtId="167" fontId="0" fillId="24" borderId="104" xfId="1" applyFont="1" applyFill="1" applyBorder="1">
      <alignment vertical="center"/>
    </xf>
    <xf numFmtId="15" fontId="0" fillId="23" borderId="105" xfId="0" applyNumberFormat="1" applyFont="1" applyFill="1" applyBorder="1">
      <alignment vertical="center"/>
    </xf>
    <xf numFmtId="167" fontId="0" fillId="24" borderId="105" xfId="1" applyFont="1" applyFill="1" applyBorder="1">
      <alignment vertical="center"/>
    </xf>
    <xf numFmtId="15" fontId="0" fillId="23" borderId="106" xfId="0" applyNumberFormat="1" applyFont="1" applyFill="1" applyBorder="1">
      <alignment vertical="center"/>
    </xf>
    <xf numFmtId="15" fontId="14" fillId="23" borderId="102" xfId="0" applyNumberFormat="1" applyFont="1" applyFill="1" applyBorder="1">
      <alignment vertical="center"/>
    </xf>
    <xf numFmtId="167" fontId="0" fillId="24" borderId="104" xfId="1" applyFont="1" applyFill="1" applyBorder="1" applyAlignment="1">
      <alignment horizontal="center" vertical="center"/>
    </xf>
    <xf numFmtId="15" fontId="0" fillId="22" borderId="105" xfId="0" applyNumberFormat="1" applyFont="1" applyFill="1" applyBorder="1">
      <alignment vertical="center"/>
    </xf>
    <xf numFmtId="167" fontId="0" fillId="3" borderId="105" xfId="1" applyFont="1" applyFill="1" applyBorder="1">
      <alignment vertical="center"/>
    </xf>
    <xf numFmtId="167" fontId="0" fillId="24" borderId="106" xfId="1" applyFont="1" applyFill="1" applyBorder="1">
      <alignment vertical="center"/>
    </xf>
    <xf numFmtId="15" fontId="14" fillId="23" borderId="23" xfId="0" applyNumberFormat="1" applyFont="1" applyFill="1" applyBorder="1">
      <alignment vertical="center"/>
    </xf>
    <xf numFmtId="167" fontId="14" fillId="24" borderId="108" xfId="1" applyFont="1" applyFill="1" applyBorder="1" applyAlignment="1">
      <alignment horizontal="center" vertical="center"/>
    </xf>
    <xf numFmtId="167" fontId="14" fillId="24" borderId="108" xfId="1" applyFont="1" applyFill="1" applyBorder="1">
      <alignment vertical="center"/>
    </xf>
    <xf numFmtId="49" fontId="34" fillId="5" borderId="51" xfId="0" quotePrefix="1" applyNumberFormat="1" applyFont="1" applyFill="1" applyBorder="1" applyAlignment="1">
      <alignment horizontal="center" vertical="center"/>
    </xf>
    <xf numFmtId="49" fontId="34" fillId="0" borderId="54" xfId="0" quotePrefix="1" applyNumberFormat="1" applyFont="1" applyFill="1" applyBorder="1" applyAlignment="1">
      <alignment horizontal="center" vertical="center"/>
    </xf>
    <xf numFmtId="0" fontId="34" fillId="5" borderId="55" xfId="0" quotePrefix="1" applyFont="1" applyFill="1" applyBorder="1" applyAlignment="1">
      <alignment horizontal="left" vertical="center"/>
    </xf>
    <xf numFmtId="49" fontId="34" fillId="0" borderId="55" xfId="0" quotePrefix="1" applyNumberFormat="1" applyFont="1" applyFill="1" applyBorder="1" applyAlignment="1">
      <alignment horizontal="center" vertical="center"/>
    </xf>
    <xf numFmtId="0" fontId="34" fillId="5" borderId="56" xfId="0" quotePrefix="1" applyFont="1" applyFill="1" applyBorder="1" applyAlignment="1">
      <alignment horizontal="left" vertical="center"/>
    </xf>
    <xf numFmtId="49" fontId="34" fillId="5" borderId="54" xfId="0" quotePrefix="1" applyNumberFormat="1" applyFont="1" applyFill="1" applyBorder="1" applyAlignment="1">
      <alignment horizontal="center" vertical="center"/>
    </xf>
    <xf numFmtId="0" fontId="34" fillId="14" borderId="55" xfId="0" quotePrefix="1" applyFont="1" applyFill="1" applyBorder="1" applyAlignment="1">
      <alignment horizontal="left" vertical="center"/>
    </xf>
    <xf numFmtId="0" fontId="34" fillId="15" borderId="56" xfId="0" quotePrefix="1" applyFont="1" applyFill="1" applyBorder="1" applyAlignment="1">
      <alignment horizontal="left" vertical="center"/>
    </xf>
    <xf numFmtId="0" fontId="34" fillId="15" borderId="55" xfId="0" quotePrefix="1" applyFont="1" applyFill="1" applyBorder="1" applyAlignment="1">
      <alignment horizontal="left" vertical="center"/>
    </xf>
    <xf numFmtId="49" fontId="34" fillId="0" borderId="59" xfId="0" quotePrefix="1" applyNumberFormat="1" applyFont="1" applyFill="1" applyBorder="1" applyAlignment="1">
      <alignment horizontal="center" vertical="center"/>
    </xf>
    <xf numFmtId="49" fontId="34" fillId="5" borderId="60" xfId="0" quotePrefix="1" applyNumberFormat="1" applyFont="1" applyFill="1" applyBorder="1" applyAlignment="1">
      <alignment horizontal="center" vertical="center"/>
    </xf>
    <xf numFmtId="49" fontId="34" fillId="5" borderId="55" xfId="0" quotePrefix="1" applyNumberFormat="1" applyFont="1" applyFill="1" applyBorder="1" applyAlignment="1">
      <alignment horizontal="center" vertical="center"/>
    </xf>
    <xf numFmtId="49" fontId="34" fillId="5" borderId="63" xfId="0" quotePrefix="1" applyNumberFormat="1" applyFont="1" applyFill="1" applyBorder="1" applyAlignment="1">
      <alignment horizontal="center" vertical="center"/>
    </xf>
    <xf numFmtId="49" fontId="34" fillId="5" borderId="3" xfId="0" quotePrefix="1" applyNumberFormat="1" applyFont="1" applyFill="1" applyBorder="1" applyAlignment="1">
      <alignment horizontal="center" vertical="center"/>
    </xf>
    <xf numFmtId="49" fontId="34" fillId="5" borderId="64" xfId="0" quotePrefix="1" applyNumberFormat="1" applyFont="1" applyFill="1" applyBorder="1" applyAlignment="1">
      <alignment horizontal="center" vertical="center"/>
    </xf>
    <xf numFmtId="49" fontId="34" fillId="5" borderId="66" xfId="0" quotePrefix="1" applyNumberFormat="1" applyFont="1" applyFill="1" applyBorder="1" applyAlignment="1">
      <alignment horizontal="center" vertical="center"/>
    </xf>
    <xf numFmtId="0" fontId="34" fillId="5" borderId="66" xfId="0" quotePrefix="1" applyFont="1" applyFill="1" applyBorder="1" applyAlignment="1">
      <alignment horizontal="left" vertical="center"/>
    </xf>
    <xf numFmtId="49" fontId="34" fillId="5" borderId="69" xfId="0" quotePrefix="1" applyNumberFormat="1" applyFont="1" applyFill="1" applyBorder="1" applyAlignment="1">
      <alignment horizontal="center" vertical="center"/>
    </xf>
    <xf numFmtId="49" fontId="34" fillId="5" borderId="57" xfId="0" quotePrefix="1" applyNumberFormat="1" applyFont="1" applyFill="1" applyBorder="1" applyAlignment="1">
      <alignment horizontal="center" vertical="center"/>
    </xf>
    <xf numFmtId="0" fontId="34" fillId="5" borderId="71" xfId="0" quotePrefix="1" applyFont="1" applyFill="1" applyBorder="1" applyAlignment="1">
      <alignment horizontal="left" vertical="center"/>
    </xf>
    <xf numFmtId="0" fontId="34" fillId="5" borderId="54" xfId="0" quotePrefix="1" applyFont="1" applyFill="1" applyBorder="1" applyAlignment="1">
      <alignment horizontal="left" vertical="center"/>
    </xf>
    <xf numFmtId="49" fontId="34" fillId="12" borderId="23" xfId="0" quotePrefix="1" applyNumberFormat="1" applyFont="1" applyFill="1" applyBorder="1" applyAlignment="1">
      <alignment horizontal="center" vertical="center"/>
    </xf>
    <xf numFmtId="49" fontId="34" fillId="12" borderId="74" xfId="0" quotePrefix="1" applyNumberFormat="1" applyFont="1" applyFill="1" applyBorder="1" applyAlignment="1">
      <alignment horizontal="center" vertical="center"/>
    </xf>
    <xf numFmtId="0" fontId="34" fillId="12" borderId="75" xfId="0" quotePrefix="1" applyFont="1" applyFill="1" applyBorder="1" applyAlignment="1">
      <alignment horizontal="left" vertical="center"/>
    </xf>
    <xf numFmtId="49" fontId="34" fillId="0" borderId="14" xfId="0" quotePrefix="1" applyNumberFormat="1" applyFont="1" applyFill="1" applyBorder="1" applyAlignment="1">
      <alignment horizontal="center" vertical="center"/>
    </xf>
    <xf numFmtId="49" fontId="34" fillId="0" borderId="0" xfId="0" quotePrefix="1" applyNumberFormat="1" applyFont="1" applyFill="1" applyBorder="1" applyAlignment="1">
      <alignment horizontal="center" vertical="center"/>
    </xf>
    <xf numFmtId="0" fontId="34" fillId="0" borderId="50" xfId="0" quotePrefix="1" applyFont="1" applyFill="1" applyBorder="1" applyAlignment="1">
      <alignment horizontal="left" vertical="center"/>
    </xf>
    <xf numFmtId="49" fontId="34" fillId="0" borderId="17" xfId="0" quotePrefix="1" applyNumberFormat="1" applyFont="1" applyFill="1" applyBorder="1" applyAlignment="1">
      <alignment horizontal="center" vertical="center"/>
    </xf>
    <xf numFmtId="49" fontId="34" fillId="0" borderId="16" xfId="0" quotePrefix="1" applyNumberFormat="1" applyFont="1" applyFill="1" applyBorder="1" applyAlignment="1">
      <alignment horizontal="center" vertical="center"/>
    </xf>
    <xf numFmtId="0" fontId="34" fillId="0" borderId="46" xfId="0" quotePrefix="1" applyFont="1" applyFill="1" applyBorder="1" applyAlignment="1">
      <alignment horizontal="left" vertical="center"/>
    </xf>
    <xf numFmtId="49" fontId="34" fillId="0" borderId="26" xfId="0" quotePrefix="1" applyNumberFormat="1" applyFont="1" applyFill="1" applyBorder="1" applyAlignment="1">
      <alignment horizontal="center" vertical="center"/>
    </xf>
    <xf numFmtId="49" fontId="34" fillId="0" borderId="27" xfId="0" quotePrefix="1" applyNumberFormat="1" applyFont="1" applyFill="1" applyBorder="1" applyAlignment="1">
      <alignment horizontal="center" vertical="center"/>
    </xf>
    <xf numFmtId="0" fontId="34" fillId="0" borderId="76" xfId="0" quotePrefix="1" applyFont="1" applyFill="1" applyBorder="1" applyAlignment="1">
      <alignment horizontal="left" vertical="center"/>
    </xf>
    <xf numFmtId="49" fontId="34" fillId="12" borderId="26" xfId="0" quotePrefix="1" applyNumberFormat="1" applyFont="1" applyFill="1" applyBorder="1" applyAlignment="1">
      <alignment horizontal="center" vertical="center"/>
    </xf>
    <xf numFmtId="49" fontId="34" fillId="12" borderId="14" xfId="0" quotePrefix="1" applyNumberFormat="1" applyFont="1" applyFill="1" applyBorder="1" applyAlignment="1">
      <alignment horizontal="center" vertical="center"/>
    </xf>
    <xf numFmtId="49" fontId="34" fillId="12" borderId="17" xfId="0" quotePrefix="1" applyNumberFormat="1" applyFont="1" applyFill="1" applyBorder="1" applyAlignment="1">
      <alignment horizontal="center" vertical="center"/>
    </xf>
    <xf numFmtId="0" fontId="34" fillId="5" borderId="3" xfId="0" quotePrefix="1" applyFont="1" applyFill="1" applyBorder="1" applyAlignment="1">
      <alignment horizontal="left" vertical="center"/>
    </xf>
    <xf numFmtId="49" fontId="34" fillId="12" borderId="51" xfId="0" quotePrefix="1" applyNumberFormat="1" applyFont="1" applyFill="1" applyBorder="1" applyAlignment="1">
      <alignment horizontal="center" vertical="center"/>
    </xf>
    <xf numFmtId="0" fontId="34" fillId="5" borderId="35" xfId="0" quotePrefix="1" applyFont="1" applyFill="1" applyBorder="1" applyAlignment="1">
      <alignment horizontal="left" vertical="center"/>
    </xf>
    <xf numFmtId="0" fontId="34" fillId="5" borderId="58" xfId="0" quotePrefix="1" applyFont="1" applyFill="1" applyBorder="1" applyAlignment="1">
      <alignment horizontal="left" vertical="center"/>
    </xf>
    <xf numFmtId="0" fontId="34" fillId="5" borderId="72" xfId="0" quotePrefix="1" applyFont="1" applyFill="1" applyBorder="1" applyAlignment="1">
      <alignment horizontal="left" vertical="center"/>
    </xf>
    <xf numFmtId="49" fontId="34" fillId="0" borderId="63" xfId="0" quotePrefix="1" applyNumberFormat="1" applyFont="1" applyFill="1" applyBorder="1" applyAlignment="1">
      <alignment horizontal="center" vertical="center"/>
    </xf>
    <xf numFmtId="49" fontId="34" fillId="0" borderId="3" xfId="0" quotePrefix="1" applyNumberFormat="1" applyFont="1" applyFill="1" applyBorder="1" applyAlignment="1">
      <alignment horizontal="center" vertical="center"/>
    </xf>
    <xf numFmtId="0" fontId="34" fillId="0" borderId="3" xfId="0" quotePrefix="1" applyFont="1" applyFill="1" applyBorder="1" applyAlignment="1">
      <alignment horizontal="left" vertical="center"/>
    </xf>
    <xf numFmtId="49" fontId="13" fillId="5" borderId="28" xfId="0" quotePrefix="1" applyNumberFormat="1" applyFont="1" applyFill="1" applyBorder="1" applyAlignment="1">
      <alignment horizontal="center" vertical="center"/>
    </xf>
    <xf numFmtId="49" fontId="13" fillId="7" borderId="32" xfId="0" quotePrefix="1" applyNumberFormat="1" applyFont="1" applyFill="1" applyBorder="1" applyAlignment="1">
      <alignment horizontal="center" vertical="center"/>
    </xf>
    <xf numFmtId="49" fontId="13" fillId="5" borderId="9" xfId="0" quotePrefix="1" applyNumberFormat="1" applyFont="1" applyFill="1" applyBorder="1" applyAlignment="1">
      <alignment horizontal="center" vertical="center"/>
    </xf>
    <xf numFmtId="49" fontId="13" fillId="5" borderId="1" xfId="0" quotePrefix="1" applyNumberFormat="1" applyFont="1" applyFill="1" applyBorder="1" applyAlignment="1">
      <alignment horizontal="center" vertical="center"/>
    </xf>
    <xf numFmtId="49" fontId="13" fillId="8" borderId="1" xfId="0" quotePrefix="1" applyNumberFormat="1" applyFont="1" applyFill="1" applyBorder="1" applyAlignment="1">
      <alignment horizontal="center" vertical="center"/>
    </xf>
    <xf numFmtId="49" fontId="15" fillId="5" borderId="1" xfId="0" quotePrefix="1" applyNumberFormat="1" applyFont="1" applyFill="1" applyBorder="1" applyAlignment="1">
      <alignment horizontal="center" vertical="center"/>
    </xf>
    <xf numFmtId="14" fontId="13" fillId="0" borderId="28" xfId="0" quotePrefix="1" applyNumberFormat="1" applyFont="1" applyFill="1" applyBorder="1" applyAlignment="1">
      <alignment horizontal="left" vertical="center"/>
    </xf>
    <xf numFmtId="0" fontId="61" fillId="8" borderId="78" xfId="0" applyFont="1" applyFill="1" applyBorder="1" applyAlignment="1">
      <alignment horizontal="left" vertical="top"/>
    </xf>
    <xf numFmtId="0" fontId="27" fillId="0" borderId="3" xfId="0" applyFont="1" applyFill="1" applyBorder="1" applyAlignment="1">
      <alignment horizontal="left" vertical="center"/>
    </xf>
    <xf numFmtId="0" fontId="86" fillId="0" borderId="95" xfId="0" applyFont="1" applyFill="1" applyBorder="1" applyAlignment="1">
      <alignment horizontal="left" vertical="center"/>
    </xf>
    <xf numFmtId="167" fontId="41" fillId="0" borderId="22" xfId="1" applyFont="1" applyFill="1" applyBorder="1">
      <alignment vertical="center"/>
    </xf>
    <xf numFmtId="0" fontId="45" fillId="3" borderId="29" xfId="0" applyFont="1" applyFill="1" applyBorder="1" applyAlignment="1">
      <alignment vertical="center"/>
    </xf>
    <xf numFmtId="165" fontId="43" fillId="3" borderId="41" xfId="1" applyNumberFormat="1" applyFont="1" applyFill="1" applyBorder="1">
      <alignment vertical="center"/>
    </xf>
    <xf numFmtId="0" fontId="92" fillId="0" borderId="0" xfId="0" applyFont="1" applyFill="1">
      <alignment vertical="center"/>
    </xf>
    <xf numFmtId="0" fontId="90" fillId="0" borderId="1" xfId="0" applyFont="1" applyFill="1" applyBorder="1" applyAlignment="1">
      <alignment horizontal="left" vertical="center"/>
    </xf>
    <xf numFmtId="165" fontId="90" fillId="0" borderId="1" xfId="1" applyNumberFormat="1" applyFont="1" applyFill="1" applyBorder="1">
      <alignment vertical="center"/>
    </xf>
    <xf numFmtId="165" fontId="91" fillId="0" borderId="1" xfId="1" applyNumberFormat="1" applyFont="1" applyFill="1" applyBorder="1">
      <alignment vertical="center"/>
    </xf>
    <xf numFmtId="0" fontId="90" fillId="0" borderId="1" xfId="0" applyFont="1" applyFill="1" applyBorder="1" applyAlignment="1">
      <alignment horizontal="center" vertical="center"/>
    </xf>
    <xf numFmtId="0" fontId="92" fillId="0" borderId="0" xfId="0" applyFont="1">
      <alignment vertical="center"/>
    </xf>
    <xf numFmtId="41" fontId="72" fillId="0" borderId="0" xfId="0" applyNumberFormat="1" applyFont="1" applyFill="1" applyBorder="1" applyAlignment="1">
      <alignment horizontal="center" vertical="center"/>
    </xf>
    <xf numFmtId="167" fontId="73" fillId="0" borderId="15" xfId="1" applyFont="1" applyFill="1" applyBorder="1">
      <alignment vertical="center"/>
    </xf>
    <xf numFmtId="0" fontId="94" fillId="0" borderId="13" xfId="0" applyFont="1" applyBorder="1" applyAlignment="1">
      <alignment vertical="top"/>
    </xf>
    <xf numFmtId="167" fontId="73" fillId="0" borderId="8" xfId="1" applyFont="1" applyFill="1" applyBorder="1" applyAlignment="1">
      <alignment horizontal="right" vertical="top" wrapText="1"/>
    </xf>
    <xf numFmtId="167" fontId="61" fillId="8" borderId="21" xfId="1" applyFont="1" applyFill="1" applyBorder="1" applyAlignment="1">
      <alignment horizontal="center" vertical="center"/>
    </xf>
    <xf numFmtId="166" fontId="60" fillId="0" borderId="27" xfId="1" applyNumberFormat="1" applyFont="1" applyBorder="1">
      <alignment vertical="center"/>
    </xf>
    <xf numFmtId="167" fontId="72" fillId="0" borderId="77" xfId="1" applyFont="1" applyFill="1" applyBorder="1" applyAlignment="1">
      <alignment horizontal="right" vertical="center"/>
    </xf>
    <xf numFmtId="167" fontId="73" fillId="0" borderId="13" xfId="1" applyFont="1" applyFill="1" applyBorder="1" applyAlignment="1">
      <alignment horizontal="right" vertical="top" wrapText="1"/>
    </xf>
    <xf numFmtId="167" fontId="72" fillId="0" borderId="0" xfId="1" applyFont="1" applyFill="1" applyBorder="1" applyAlignment="1">
      <alignment horizontal="right" vertical="center"/>
    </xf>
    <xf numFmtId="166" fontId="60" fillId="0" borderId="79" xfId="1" applyNumberFormat="1" applyFont="1" applyBorder="1">
      <alignment vertical="center"/>
    </xf>
    <xf numFmtId="166" fontId="60" fillId="0" borderId="77" xfId="1" applyNumberFormat="1" applyFont="1" applyBorder="1">
      <alignment vertical="center"/>
    </xf>
    <xf numFmtId="166" fontId="60" fillId="0" borderId="21" xfId="1" applyNumberFormat="1" applyFont="1" applyBorder="1">
      <alignment vertical="center"/>
    </xf>
    <xf numFmtId="167" fontId="73" fillId="0" borderId="13" xfId="1" applyFont="1" applyFill="1" applyBorder="1">
      <alignment vertical="center"/>
    </xf>
    <xf numFmtId="166" fontId="60" fillId="0" borderId="0" xfId="1" applyNumberFormat="1" applyFont="1" applyBorder="1">
      <alignment vertical="center"/>
    </xf>
    <xf numFmtId="0" fontId="97" fillId="5" borderId="0" xfId="5" applyFont="1" applyFill="1" applyAlignment="1">
      <alignment vertical="center"/>
    </xf>
    <xf numFmtId="0" fontId="97" fillId="0" borderId="0" xfId="5" applyFont="1" applyAlignment="1">
      <alignment vertical="center"/>
    </xf>
    <xf numFmtId="0" fontId="99" fillId="5" borderId="0" xfId="5" applyFont="1" applyFill="1" applyAlignment="1">
      <alignment vertical="center"/>
    </xf>
    <xf numFmtId="169" fontId="99" fillId="5" borderId="1" xfId="7" applyNumberFormat="1" applyFont="1" applyFill="1" applyBorder="1" applyAlignment="1">
      <alignment vertical="center"/>
    </xf>
    <xf numFmtId="169" fontId="99" fillId="5" borderId="0" xfId="5" applyNumberFormat="1" applyFont="1" applyFill="1" applyAlignment="1">
      <alignment vertical="center"/>
    </xf>
    <xf numFmtId="0" fontId="99" fillId="5" borderId="0" xfId="5" applyFont="1" applyFill="1" applyAlignment="1">
      <alignment horizontal="center" vertical="center" wrapText="1"/>
    </xf>
    <xf numFmtId="38" fontId="99" fillId="5" borderId="0" xfId="5" applyNumberFormat="1" applyFont="1" applyFill="1" applyAlignment="1">
      <alignment vertical="center"/>
    </xf>
    <xf numFmtId="172" fontId="99" fillId="5" borderId="0" xfId="5" applyNumberFormat="1" applyFont="1" applyFill="1" applyAlignment="1">
      <alignment vertical="center"/>
    </xf>
    <xf numFmtId="167" fontId="61" fillId="0" borderId="15" xfId="1" applyFont="1" applyFill="1" applyBorder="1" applyAlignment="1">
      <alignment horizontal="center" vertical="center"/>
    </xf>
    <xf numFmtId="0" fontId="70" fillId="0" borderId="0" xfId="2" applyFont="1" applyBorder="1">
      <alignment vertical="center"/>
    </xf>
    <xf numFmtId="0" fontId="60" fillId="0" borderId="0" xfId="0" applyFont="1" applyBorder="1">
      <alignment vertical="center"/>
    </xf>
    <xf numFmtId="167" fontId="61" fillId="8" borderId="8" xfId="1" applyFont="1" applyFill="1" applyBorder="1" applyAlignment="1">
      <alignment horizontal="center" vertical="center"/>
    </xf>
    <xf numFmtId="0" fontId="94" fillId="0" borderId="15" xfId="0" applyFont="1" applyBorder="1" applyAlignment="1">
      <alignment vertical="top"/>
    </xf>
    <xf numFmtId="167" fontId="73" fillId="0" borderId="77" xfId="1" applyFont="1" applyFill="1" applyBorder="1" applyAlignment="1">
      <alignment horizontal="right" vertical="top" wrapText="1"/>
    </xf>
    <xf numFmtId="166" fontId="60" fillId="0" borderId="16" xfId="1" applyNumberFormat="1" applyFont="1" applyBorder="1">
      <alignment vertical="center"/>
    </xf>
    <xf numFmtId="167" fontId="73" fillId="0" borderId="74" xfId="1" applyFont="1" applyBorder="1" applyAlignment="1">
      <alignment horizontal="center" vertical="center"/>
    </xf>
    <xf numFmtId="0" fontId="70" fillId="0" borderId="16" xfId="2" applyFont="1" applyBorder="1">
      <alignment vertical="center"/>
    </xf>
    <xf numFmtId="0" fontId="69" fillId="0" borderId="27" xfId="2" applyFont="1" applyBorder="1">
      <alignment vertical="center"/>
    </xf>
    <xf numFmtId="0" fontId="69" fillId="0" borderId="0" xfId="2" applyFont="1" applyBorder="1">
      <alignment vertical="center"/>
    </xf>
    <xf numFmtId="167" fontId="73" fillId="0" borderId="14" xfId="1" applyFont="1" applyBorder="1">
      <alignment vertical="center"/>
    </xf>
    <xf numFmtId="167" fontId="60" fillId="0" borderId="26" xfId="1" applyFont="1" applyFill="1" applyBorder="1">
      <alignment vertical="center"/>
    </xf>
    <xf numFmtId="175" fontId="72" fillId="0" borderId="14" xfId="1" applyNumberFormat="1" applyFont="1" applyFill="1" applyBorder="1" applyAlignment="1">
      <alignment vertical="center"/>
    </xf>
    <xf numFmtId="0" fontId="61" fillId="25" borderId="15" xfId="0" applyFont="1" applyFill="1" applyBorder="1" applyAlignment="1">
      <alignment horizontal="center" vertical="top"/>
    </xf>
    <xf numFmtId="167" fontId="61" fillId="25" borderId="21" xfId="1" applyFont="1" applyFill="1" applyBorder="1" applyAlignment="1">
      <alignment horizontal="center" vertical="center"/>
    </xf>
    <xf numFmtId="167" fontId="61" fillId="25" borderId="15" xfId="1" applyFont="1" applyFill="1" applyBorder="1" applyAlignment="1">
      <alignment horizontal="center" vertical="center"/>
    </xf>
    <xf numFmtId="16" fontId="99" fillId="5" borderId="1" xfId="0" applyNumberFormat="1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vertical="center" wrapText="1"/>
    </xf>
    <xf numFmtId="0" fontId="100" fillId="5" borderId="1" xfId="0" applyFont="1" applyFill="1" applyBorder="1" applyAlignment="1">
      <alignment vertical="center"/>
    </xf>
    <xf numFmtId="38" fontId="99" fillId="5" borderId="1" xfId="0" applyNumberFormat="1" applyFont="1" applyFill="1" applyBorder="1" applyAlignment="1">
      <alignment vertical="center"/>
    </xf>
    <xf numFmtId="0" fontId="99" fillId="5" borderId="0" xfId="0" applyFont="1" applyFill="1" applyAlignment="1">
      <alignment vertical="center"/>
    </xf>
    <xf numFmtId="16" fontId="99" fillId="5" borderId="1" xfId="0" applyNumberFormat="1" applyFont="1" applyFill="1" applyBorder="1" applyAlignment="1">
      <alignment horizontal="left" vertical="center"/>
    </xf>
    <xf numFmtId="0" fontId="99" fillId="5" borderId="0" xfId="0" applyFont="1" applyFill="1" applyAlignment="1">
      <alignment horizontal="center" vertical="center" wrapText="1"/>
    </xf>
    <xf numFmtId="38" fontId="99" fillId="5" borderId="0" xfId="0" applyNumberFormat="1" applyFont="1" applyFill="1" applyAlignment="1">
      <alignment vertical="center"/>
    </xf>
    <xf numFmtId="0" fontId="97" fillId="5" borderId="0" xfId="0" applyFont="1" applyFill="1" applyAlignment="1">
      <alignment horizontal="center" vertical="center"/>
    </xf>
    <xf numFmtId="0" fontId="97" fillId="5" borderId="8" xfId="0" applyFont="1" applyFill="1" applyBorder="1" applyAlignment="1">
      <alignment horizontal="center" vertical="center"/>
    </xf>
    <xf numFmtId="3" fontId="97" fillId="5" borderId="8" xfId="0" applyNumberFormat="1" applyFont="1" applyFill="1" applyBorder="1" applyAlignment="1">
      <alignment horizontal="center" vertical="center"/>
    </xf>
    <xf numFmtId="38" fontId="97" fillId="5" borderId="0" xfId="0" applyNumberFormat="1" applyFont="1" applyFill="1" applyAlignment="1">
      <alignment horizontal="center" vertical="center"/>
    </xf>
    <xf numFmtId="3" fontId="99" fillId="5" borderId="0" xfId="0" applyNumberFormat="1" applyFont="1" applyFill="1" applyAlignment="1">
      <alignment horizontal="center" vertical="center" wrapText="1"/>
    </xf>
    <xf numFmtId="0" fontId="97" fillId="5" borderId="27" xfId="0" applyFont="1" applyFill="1" applyBorder="1" applyAlignment="1">
      <alignment horizontal="center" vertical="center"/>
    </xf>
    <xf numFmtId="49" fontId="99" fillId="5" borderId="1" xfId="0" applyNumberFormat="1" applyFont="1" applyFill="1" applyBorder="1" applyAlignment="1">
      <alignment horizontal="center" vertical="center"/>
    </xf>
    <xf numFmtId="169" fontId="99" fillId="5" borderId="0" xfId="7" applyNumberFormat="1" applyFont="1" applyFill="1" applyAlignment="1">
      <alignment vertical="center"/>
    </xf>
    <xf numFmtId="38" fontId="97" fillId="7" borderId="1" xfId="0" applyNumberFormat="1" applyFont="1" applyFill="1" applyBorder="1" applyAlignment="1">
      <alignment vertical="center"/>
    </xf>
    <xf numFmtId="172" fontId="16" fillId="3" borderId="57" xfId="1" applyNumberFormat="1" applyFont="1" applyFill="1" applyBorder="1" applyAlignment="1">
      <alignment vertical="center"/>
    </xf>
    <xf numFmtId="14" fontId="99" fillId="5" borderId="0" xfId="0" applyNumberFormat="1" applyFont="1" applyFill="1" applyBorder="1" applyAlignment="1">
      <alignment vertical="center"/>
    </xf>
    <xf numFmtId="14" fontId="13" fillId="5" borderId="0" xfId="0" applyNumberFormat="1" applyFont="1" applyFill="1" applyBorder="1" applyAlignment="1">
      <alignment vertical="center"/>
    </xf>
    <xf numFmtId="14" fontId="13" fillId="5" borderId="0" xfId="0" applyNumberFormat="1" applyFont="1" applyFill="1" applyBorder="1" applyAlignment="1">
      <alignment horizontal="center" vertical="center" wrapText="1"/>
    </xf>
    <xf numFmtId="14" fontId="16" fillId="5" borderId="0" xfId="0" applyNumberFormat="1" applyFont="1" applyFill="1" applyBorder="1" applyAlignment="1">
      <alignment horizontal="center" vertical="center"/>
    </xf>
    <xf numFmtId="172" fontId="16" fillId="5" borderId="0" xfId="1" applyNumberFormat="1" applyFont="1" applyFill="1" applyBorder="1" applyAlignment="1">
      <alignment vertical="center"/>
    </xf>
    <xf numFmtId="14" fontId="97" fillId="7" borderId="5" xfId="0" applyNumberFormat="1" applyFont="1" applyFill="1" applyBorder="1" applyAlignment="1">
      <alignment vertical="center"/>
    </xf>
    <xf numFmtId="14" fontId="98" fillId="5" borderId="16" xfId="0" applyNumberFormat="1" applyFont="1" applyFill="1" applyBorder="1" applyAlignment="1">
      <alignment vertical="center"/>
    </xf>
    <xf numFmtId="167" fontId="73" fillId="5" borderId="13" xfId="1" applyFont="1" applyFill="1" applyBorder="1">
      <alignment vertical="center"/>
    </xf>
    <xf numFmtId="167" fontId="73" fillId="0" borderId="13" xfId="1" applyFont="1" applyFill="1" applyBorder="1" applyAlignment="1">
      <alignment horizontal="center" vertical="center"/>
    </xf>
    <xf numFmtId="167" fontId="73" fillId="0" borderId="0" xfId="1" applyFont="1" applyFill="1" applyBorder="1" applyAlignment="1">
      <alignment horizontal="center" vertical="center"/>
    </xf>
    <xf numFmtId="167" fontId="73" fillId="0" borderId="15" xfId="1" applyFont="1" applyFill="1" applyBorder="1" applyAlignment="1">
      <alignment horizontal="center" vertical="center"/>
    </xf>
    <xf numFmtId="167" fontId="73" fillId="0" borderId="21" xfId="1" applyFont="1" applyFill="1" applyBorder="1" applyAlignment="1">
      <alignment horizontal="center" vertical="center"/>
    </xf>
    <xf numFmtId="0" fontId="0" fillId="0" borderId="0" xfId="0" applyAlignment="1"/>
    <xf numFmtId="171" fontId="8" fillId="0" borderId="1" xfId="0" applyNumberFormat="1" applyFont="1" applyFill="1" applyBorder="1" applyAlignment="1"/>
    <xf numFmtId="171" fontId="133" fillId="0" borderId="1" xfId="0" applyNumberFormat="1" applyFont="1" applyBorder="1" applyAlignment="1"/>
    <xf numFmtId="0" fontId="133" fillId="0" borderId="1" xfId="0" applyFont="1" applyBorder="1" applyAlignment="1">
      <alignment horizontal="center" vertical="center"/>
    </xf>
    <xf numFmtId="171" fontId="133" fillId="0" borderId="22" xfId="0" applyNumberFormat="1" applyFont="1" applyBorder="1" applyAlignment="1"/>
    <xf numFmtId="0" fontId="133" fillId="0" borderId="22" xfId="0" applyFont="1" applyBorder="1" applyAlignment="1">
      <alignment horizontal="center" vertical="center"/>
    </xf>
    <xf numFmtId="14" fontId="39" fillId="3" borderId="57" xfId="0" applyNumberFormat="1" applyFont="1" applyFill="1" applyBorder="1" applyAlignment="1">
      <alignment vertical="center"/>
    </xf>
    <xf numFmtId="14" fontId="39" fillId="3" borderId="57" xfId="0" applyNumberFormat="1" applyFont="1" applyFill="1" applyBorder="1" applyAlignment="1">
      <alignment horizontal="center" vertical="center"/>
    </xf>
    <xf numFmtId="170" fontId="39" fillId="3" borderId="57" xfId="1" applyNumberFormat="1" applyFont="1" applyFill="1" applyBorder="1" applyAlignment="1">
      <alignment vertical="center"/>
    </xf>
    <xf numFmtId="43" fontId="39" fillId="3" borderId="57" xfId="1" applyNumberFormat="1" applyFont="1" applyFill="1" applyBorder="1" applyAlignment="1">
      <alignment vertical="center"/>
    </xf>
    <xf numFmtId="167" fontId="39" fillId="3" borderId="17" xfId="1" applyFont="1" applyFill="1" applyBorder="1" applyAlignment="1"/>
    <xf numFmtId="167" fontId="8" fillId="3" borderId="17" xfId="1" applyFont="1" applyFill="1" applyBorder="1" applyAlignment="1"/>
    <xf numFmtId="1" fontId="39" fillId="9" borderId="6" xfId="0" applyNumberFormat="1" applyFont="1" applyFill="1" applyBorder="1" applyAlignment="1">
      <alignment vertical="center"/>
    </xf>
    <xf numFmtId="169" fontId="8" fillId="9" borderId="74" xfId="1" applyNumberFormat="1" applyFont="1" applyFill="1" applyBorder="1" applyAlignment="1"/>
    <xf numFmtId="0" fontId="133" fillId="0" borderId="29" xfId="0" applyFont="1" applyBorder="1" applyAlignment="1">
      <alignment vertical="center"/>
    </xf>
    <xf numFmtId="0" fontId="133" fillId="0" borderId="110" xfId="0" applyFont="1" applyBorder="1" applyAlignment="1">
      <alignment vertical="center"/>
    </xf>
    <xf numFmtId="43" fontId="34" fillId="0" borderId="111" xfId="1" applyNumberFormat="1" applyFont="1" applyBorder="1" applyAlignment="1">
      <alignment vertical="center" wrapText="1"/>
    </xf>
    <xf numFmtId="43" fontId="34" fillId="0" borderId="42" xfId="1" applyNumberFormat="1" applyFont="1" applyBorder="1" applyAlignment="1">
      <alignment vertical="center" wrapText="1"/>
    </xf>
    <xf numFmtId="43" fontId="34" fillId="0" borderId="41" xfId="1" applyNumberFormat="1" applyFont="1" applyBorder="1" applyAlignment="1">
      <alignment vertical="center" wrapText="1"/>
    </xf>
    <xf numFmtId="169" fontId="8" fillId="0" borderId="41" xfId="1" applyNumberFormat="1" applyFont="1" applyBorder="1" applyAlignment="1"/>
    <xf numFmtId="43" fontId="134" fillId="0" borderId="41" xfId="1" applyNumberFormat="1" applyFont="1" applyBorder="1" applyAlignment="1">
      <alignment vertical="center" wrapText="1"/>
    </xf>
    <xf numFmtId="43" fontId="34" fillId="0" borderId="38" xfId="1" applyNumberFormat="1" applyFont="1" applyBorder="1" applyAlignment="1">
      <alignment vertical="center" wrapText="1"/>
    </xf>
    <xf numFmtId="43" fontId="34" fillId="0" borderId="30" xfId="1" applyNumberFormat="1" applyFont="1" applyBorder="1" applyAlignment="1">
      <alignment vertical="center" wrapText="1"/>
    </xf>
    <xf numFmtId="43" fontId="9" fillId="0" borderId="30" xfId="1" applyNumberFormat="1" applyFont="1" applyBorder="1" applyAlignment="1">
      <alignment vertical="center" wrapText="1"/>
    </xf>
    <xf numFmtId="43" fontId="4" fillId="0" borderId="30" xfId="1" applyNumberFormat="1" applyFont="1" applyBorder="1" applyAlignment="1">
      <alignment vertical="center" wrapText="1"/>
    </xf>
    <xf numFmtId="43" fontId="134" fillId="0" borderId="28" xfId="1" applyNumberFormat="1" applyFont="1" applyBorder="1" applyAlignment="1">
      <alignment vertical="center" wrapText="1"/>
    </xf>
    <xf numFmtId="43" fontId="134" fillId="0" borderId="30" xfId="1" applyNumberFormat="1" applyFont="1" applyBorder="1" applyAlignment="1">
      <alignment vertical="center" wrapText="1"/>
    </xf>
    <xf numFmtId="43" fontId="134" fillId="0" borderId="9" xfId="1" applyNumberFormat="1" applyFont="1" applyBorder="1" applyAlignment="1">
      <alignment vertical="center" wrapText="1"/>
    </xf>
    <xf numFmtId="43" fontId="134" fillId="0" borderId="39" xfId="1" applyNumberFormat="1" applyFont="1" applyBorder="1" applyAlignment="1">
      <alignment vertical="center" wrapText="1"/>
    </xf>
    <xf numFmtId="43" fontId="34" fillId="0" borderId="92" xfId="1" applyNumberFormat="1" applyFont="1" applyBorder="1" applyAlignment="1">
      <alignment vertical="center" wrapText="1"/>
    </xf>
    <xf numFmtId="43" fontId="34" fillId="0" borderId="93" xfId="1" applyNumberFormat="1" applyFont="1" applyBorder="1" applyAlignment="1">
      <alignment vertical="center" wrapText="1"/>
    </xf>
    <xf numFmtId="0" fontId="8" fillId="0" borderId="30" xfId="0" applyFont="1" applyFill="1" applyBorder="1" applyAlignment="1"/>
    <xf numFmtId="43" fontId="134" fillId="0" borderId="112" xfId="1" applyNumberFormat="1" applyFont="1" applyBorder="1" applyAlignment="1">
      <alignment vertical="center" wrapText="1"/>
    </xf>
    <xf numFmtId="43" fontId="4" fillId="0" borderId="113" xfId="1" applyNumberFormat="1" applyFont="1" applyBorder="1" applyAlignment="1">
      <alignment vertical="center" wrapText="1"/>
    </xf>
    <xf numFmtId="43" fontId="4" fillId="0" borderId="101" xfId="1" applyNumberFormat="1" applyFont="1" applyBorder="1" applyAlignment="1">
      <alignment vertical="center" wrapText="1"/>
    </xf>
    <xf numFmtId="0" fontId="0" fillId="0" borderId="101" xfId="0" applyFont="1" applyFill="1" applyBorder="1" applyAlignment="1"/>
    <xf numFmtId="169" fontId="8" fillId="0" borderId="101" xfId="1" applyNumberFormat="1" applyFont="1" applyBorder="1" applyAlignment="1"/>
    <xf numFmtId="43" fontId="135" fillId="0" borderId="101" xfId="1" applyNumberFormat="1" applyFont="1" applyBorder="1" applyAlignment="1">
      <alignment vertical="center" wrapText="1"/>
    </xf>
    <xf numFmtId="43" fontId="135" fillId="0" borderId="114" xfId="1" applyNumberFormat="1" applyFont="1" applyBorder="1" applyAlignment="1">
      <alignment vertical="center" wrapText="1"/>
    </xf>
    <xf numFmtId="43" fontId="9" fillId="0" borderId="101" xfId="1" applyNumberFormat="1" applyFont="1" applyBorder="1" applyAlignment="1">
      <alignment vertical="center" wrapText="1"/>
    </xf>
    <xf numFmtId="167" fontId="73" fillId="5" borderId="77" xfId="1" applyFont="1" applyFill="1" applyBorder="1" applyAlignment="1">
      <alignment horizontal="center" vertical="center"/>
    </xf>
    <xf numFmtId="167" fontId="73" fillId="0" borderId="77" xfId="1" applyFont="1" applyFill="1" applyBorder="1" applyAlignment="1">
      <alignment horizontal="center" vertical="center"/>
    </xf>
    <xf numFmtId="0" fontId="136" fillId="0" borderId="16" xfId="2" applyFont="1" applyBorder="1">
      <alignment vertical="center"/>
    </xf>
    <xf numFmtId="166" fontId="60" fillId="0" borderId="0" xfId="1" applyNumberFormat="1" applyFont="1" applyFill="1" applyBorder="1">
      <alignment vertical="center"/>
    </xf>
    <xf numFmtId="0" fontId="94" fillId="0" borderId="8" xfId="0" applyFont="1" applyBorder="1" applyAlignment="1">
      <alignment vertical="top"/>
    </xf>
    <xf numFmtId="167" fontId="73" fillId="0" borderId="8" xfId="1" applyFont="1" applyFill="1" applyBorder="1">
      <alignment vertical="center"/>
    </xf>
    <xf numFmtId="167" fontId="60" fillId="0" borderId="8" xfId="1" applyFont="1" applyBorder="1">
      <alignment vertical="center"/>
    </xf>
    <xf numFmtId="0" fontId="60" fillId="0" borderId="0" xfId="0" applyFont="1" applyFill="1" applyAlignment="1">
      <alignment vertical="center" wrapText="1"/>
    </xf>
    <xf numFmtId="0" fontId="61" fillId="0" borderId="0" xfId="0" applyFont="1" applyFill="1">
      <alignment vertical="center"/>
    </xf>
    <xf numFmtId="0" fontId="61" fillId="0" borderId="0" xfId="0" applyFont="1" applyFill="1" applyAlignment="1">
      <alignment horizontal="center" vertical="center"/>
    </xf>
    <xf numFmtId="0" fontId="69" fillId="0" borderId="0" xfId="2" quotePrefix="1" applyFont="1" applyFill="1">
      <alignment vertical="center"/>
    </xf>
    <xf numFmtId="0" fontId="60" fillId="0" borderId="50" xfId="0" applyFont="1" applyFill="1" applyBorder="1">
      <alignment vertical="center"/>
    </xf>
    <xf numFmtId="0" fontId="60" fillId="0" borderId="0" xfId="0" applyFont="1" applyFill="1" applyBorder="1">
      <alignment vertical="center"/>
    </xf>
    <xf numFmtId="49" fontId="134" fillId="5" borderId="51" xfId="0" quotePrefix="1" applyNumberFormat="1" applyFont="1" applyFill="1" applyBorder="1" applyAlignment="1">
      <alignment horizontal="center" vertical="center"/>
    </xf>
    <xf numFmtId="0" fontId="137" fillId="5" borderId="52" xfId="0" applyFont="1" applyFill="1" applyBorder="1" applyAlignment="1">
      <alignment vertical="center"/>
    </xf>
    <xf numFmtId="16" fontId="134" fillId="5" borderId="53" xfId="0" applyNumberFormat="1" applyFont="1" applyFill="1" applyBorder="1" applyAlignment="1">
      <alignment horizontal="center" vertical="center"/>
    </xf>
    <xf numFmtId="49" fontId="134" fillId="5" borderId="54" xfId="0" quotePrefix="1" applyNumberFormat="1" applyFont="1" applyFill="1" applyBorder="1" applyAlignment="1">
      <alignment horizontal="center" vertical="center"/>
    </xf>
    <xf numFmtId="0" fontId="134" fillId="5" borderId="55" xfId="0" quotePrefix="1" applyFont="1" applyFill="1" applyBorder="1" applyAlignment="1">
      <alignment horizontal="left" vertical="center"/>
    </xf>
    <xf numFmtId="40" fontId="134" fillId="5" borderId="55" xfId="0" applyNumberFormat="1" applyFont="1" applyFill="1" applyBorder="1" applyAlignment="1">
      <alignment horizontal="center" vertical="center"/>
    </xf>
    <xf numFmtId="40" fontId="134" fillId="5" borderId="55" xfId="0" applyNumberFormat="1" applyFont="1" applyFill="1" applyBorder="1" applyAlignment="1">
      <alignment horizontal="right" vertical="center"/>
    </xf>
    <xf numFmtId="43" fontId="134" fillId="5" borderId="55" xfId="0" applyNumberFormat="1" applyFont="1" applyFill="1" applyBorder="1" applyAlignment="1">
      <alignment horizontal="center" vertical="center"/>
    </xf>
    <xf numFmtId="43" fontId="134" fillId="5" borderId="58" xfId="0" applyNumberFormat="1" applyFont="1" applyFill="1" applyBorder="1" applyAlignment="1">
      <alignment horizontal="center" vertical="center"/>
    </xf>
    <xf numFmtId="169" fontId="137" fillId="5" borderId="0" xfId="7" applyNumberFormat="1" applyFont="1" applyFill="1" applyBorder="1" applyAlignment="1">
      <alignment vertical="center"/>
    </xf>
    <xf numFmtId="14" fontId="134" fillId="5" borderId="0" xfId="0" applyNumberFormat="1" applyFont="1" applyFill="1" applyBorder="1" applyAlignment="1">
      <alignment horizontal="center" vertical="center"/>
    </xf>
    <xf numFmtId="42" fontId="134" fillId="5" borderId="0" xfId="0" applyNumberFormat="1" applyFont="1" applyFill="1" applyBorder="1" applyAlignment="1">
      <alignment horizontal="center" vertical="center"/>
    </xf>
    <xf numFmtId="0" fontId="137" fillId="5" borderId="0" xfId="0" applyFont="1" applyFill="1" applyAlignment="1">
      <alignment vertical="center"/>
    </xf>
    <xf numFmtId="0" fontId="45" fillId="26" borderId="17" xfId="0" applyFont="1" applyFill="1" applyBorder="1" applyAlignment="1">
      <alignment horizontal="left" vertical="center"/>
    </xf>
    <xf numFmtId="0" fontId="41" fillId="26" borderId="90" xfId="0" applyFont="1" applyFill="1" applyBorder="1">
      <alignment vertical="center"/>
    </xf>
    <xf numFmtId="165" fontId="58" fillId="0" borderId="1" xfId="1" applyNumberFormat="1" applyFont="1" applyFill="1" applyBorder="1">
      <alignment vertical="center"/>
    </xf>
    <xf numFmtId="0" fontId="86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89" fillId="0" borderId="63" xfId="0" applyFont="1" applyFill="1" applyBorder="1" applyAlignment="1">
      <alignment horizontal="left" vertical="center"/>
    </xf>
    <xf numFmtId="0" fontId="90" fillId="0" borderId="3" xfId="0" applyFont="1" applyFill="1" applyBorder="1" applyAlignment="1">
      <alignment horizontal="left" vertical="center"/>
    </xf>
    <xf numFmtId="165" fontId="90" fillId="0" borderId="3" xfId="1" applyNumberFormat="1" applyFont="1" applyFill="1" applyBorder="1">
      <alignment vertical="center"/>
    </xf>
    <xf numFmtId="165" fontId="91" fillId="0" borderId="3" xfId="1" applyNumberFormat="1" applyFont="1" applyFill="1" applyBorder="1">
      <alignment vertical="center"/>
    </xf>
    <xf numFmtId="0" fontId="90" fillId="0" borderId="3" xfId="0" applyFont="1" applyFill="1" applyBorder="1" applyAlignment="1">
      <alignment horizontal="center" vertical="center"/>
    </xf>
    <xf numFmtId="0" fontId="92" fillId="0" borderId="73" xfId="0" applyFont="1" applyFill="1" applyBorder="1">
      <alignment vertical="center"/>
    </xf>
    <xf numFmtId="167" fontId="132" fillId="24" borderId="103" xfId="1" applyFont="1" applyFill="1" applyBorder="1">
      <alignment vertical="center"/>
    </xf>
    <xf numFmtId="167" fontId="132" fillId="23" borderId="103" xfId="1" applyFont="1" applyFill="1" applyBorder="1">
      <alignment vertical="center"/>
    </xf>
    <xf numFmtId="167" fontId="132" fillId="23" borderId="109" xfId="1" applyFont="1" applyFill="1" applyBorder="1">
      <alignment vertical="center"/>
    </xf>
    <xf numFmtId="14" fontId="34" fillId="7" borderId="74" xfId="0" applyNumberFormat="1" applyFont="1" applyFill="1" applyBorder="1" applyAlignment="1">
      <alignment vertical="center"/>
    </xf>
    <xf numFmtId="14" fontId="126" fillId="7" borderId="23" xfId="0" applyNumberFormat="1" applyFont="1" applyFill="1" applyBorder="1" applyAlignment="1">
      <alignment horizontal="center" vertical="center"/>
    </xf>
    <xf numFmtId="14" fontId="126" fillId="7" borderId="74" xfId="0" applyNumberFormat="1" applyFont="1" applyFill="1" applyBorder="1" applyAlignment="1">
      <alignment vertical="center"/>
    </xf>
    <xf numFmtId="14" fontId="126" fillId="7" borderId="75" xfId="0" applyNumberFormat="1" applyFont="1" applyFill="1" applyBorder="1" applyAlignment="1">
      <alignment vertical="center"/>
    </xf>
    <xf numFmtId="0" fontId="96" fillId="5" borderId="0" xfId="0" applyFont="1" applyFill="1" applyBorder="1" applyAlignment="1">
      <alignment horizontal="left" vertical="center"/>
    </xf>
    <xf numFmtId="0" fontId="126" fillId="5" borderId="1" xfId="5" applyFont="1" applyFill="1" applyBorder="1" applyAlignment="1">
      <alignment horizontal="center" vertical="center"/>
    </xf>
    <xf numFmtId="38" fontId="126" fillId="5" borderId="0" xfId="5" applyNumberFormat="1" applyFont="1" applyFill="1" applyAlignment="1">
      <alignment vertical="center"/>
    </xf>
    <xf numFmtId="0" fontId="126" fillId="5" borderId="0" xfId="5" applyFont="1" applyFill="1" applyAlignment="1">
      <alignment vertical="center"/>
    </xf>
    <xf numFmtId="0" fontId="126" fillId="5" borderId="3" xfId="5" applyFont="1" applyFill="1" applyBorder="1" applyAlignment="1">
      <alignment vertical="center"/>
    </xf>
    <xf numFmtId="0" fontId="126" fillId="5" borderId="22" xfId="5" applyFont="1" applyFill="1" applyBorder="1" applyAlignment="1">
      <alignment vertical="center"/>
    </xf>
    <xf numFmtId="0" fontId="126" fillId="5" borderId="0" xfId="5" applyFont="1" applyFill="1" applyAlignment="1">
      <alignment horizontal="center" vertical="center"/>
    </xf>
    <xf numFmtId="14" fontId="98" fillId="5" borderId="16" xfId="5" applyNumberFormat="1" applyFont="1" applyFill="1" applyBorder="1" applyAlignment="1">
      <alignment horizontal="right" vertical="center"/>
    </xf>
    <xf numFmtId="0" fontId="98" fillId="5" borderId="0" xfId="5" applyFont="1" applyFill="1" applyAlignment="1">
      <alignment horizontal="left" vertical="center"/>
    </xf>
    <xf numFmtId="0" fontId="126" fillId="5" borderId="0" xfId="5" applyFont="1" applyFill="1" applyAlignment="1">
      <alignment horizontal="left" vertical="center"/>
    </xf>
    <xf numFmtId="0" fontId="126" fillId="0" borderId="4" xfId="5" applyFont="1" applyBorder="1" applyAlignment="1">
      <alignment horizontal="center" vertical="center"/>
    </xf>
    <xf numFmtId="0" fontId="126" fillId="0" borderId="5" xfId="5" applyFont="1" applyBorder="1" applyAlignment="1">
      <alignment horizontal="center" vertical="center"/>
    </xf>
    <xf numFmtId="0" fontId="126" fillId="0" borderId="24" xfId="5" applyFont="1" applyBorder="1" applyAlignment="1">
      <alignment horizontal="center" vertical="center"/>
    </xf>
    <xf numFmtId="0" fontId="126" fillId="0" borderId="25" xfId="5" applyFont="1" applyBorder="1" applyAlignment="1">
      <alignment horizontal="center" vertical="center"/>
    </xf>
    <xf numFmtId="38" fontId="126" fillId="0" borderId="59" xfId="5" applyNumberFormat="1" applyFont="1" applyBorder="1" applyAlignment="1">
      <alignment vertical="center"/>
    </xf>
    <xf numFmtId="0" fontId="126" fillId="0" borderId="0" xfId="5" applyFont="1" applyAlignment="1">
      <alignment vertical="center"/>
    </xf>
    <xf numFmtId="0" fontId="134" fillId="25" borderId="26" xfId="5" applyFont="1" applyFill="1" applyBorder="1" applyAlignment="1">
      <alignment vertical="center"/>
    </xf>
    <xf numFmtId="0" fontId="134" fillId="25" borderId="27" xfId="5" applyFont="1" applyFill="1" applyBorder="1" applyAlignment="1">
      <alignment vertical="center"/>
    </xf>
    <xf numFmtId="0" fontId="134" fillId="25" borderId="27" xfId="5" applyFont="1" applyFill="1" applyBorder="1" applyAlignment="1">
      <alignment horizontal="center" vertical="center" wrapText="1"/>
    </xf>
    <xf numFmtId="0" fontId="134" fillId="25" borderId="25" xfId="5" applyFont="1" applyFill="1" applyBorder="1" applyAlignment="1">
      <alignment vertical="center"/>
    </xf>
    <xf numFmtId="172" fontId="126" fillId="25" borderId="25" xfId="6" applyNumberFormat="1" applyFont="1" applyFill="1" applyBorder="1" applyAlignment="1">
      <alignment vertical="center"/>
    </xf>
    <xf numFmtId="172" fontId="126" fillId="25" borderId="24" xfId="6" applyNumberFormat="1" applyFont="1" applyFill="1" applyBorder="1" applyAlignment="1">
      <alignment vertical="center"/>
    </xf>
    <xf numFmtId="38" fontId="134" fillId="5" borderId="56" xfId="5" applyNumberFormat="1" applyFont="1" applyFill="1" applyBorder="1" applyAlignment="1">
      <alignment vertical="center"/>
    </xf>
    <xf numFmtId="0" fontId="134" fillId="5" borderId="0" xfId="5" applyFont="1" applyFill="1" applyAlignment="1">
      <alignment vertical="center"/>
    </xf>
    <xf numFmtId="49" fontId="134" fillId="5" borderId="1" xfId="5" quotePrefix="1" applyNumberFormat="1" applyFont="1" applyFill="1" applyBorder="1" applyAlignment="1">
      <alignment horizontal="center" vertical="center"/>
    </xf>
    <xf numFmtId="16" fontId="134" fillId="5" borderId="1" xfId="5" applyNumberFormat="1" applyFont="1" applyFill="1" applyBorder="1" applyAlignment="1">
      <alignment horizontal="center" vertical="center"/>
    </xf>
    <xf numFmtId="0" fontId="134" fillId="5" borderId="1" xfId="5" applyFont="1" applyFill="1" applyBorder="1" applyAlignment="1">
      <alignment horizontal="center" vertical="center"/>
    </xf>
    <xf numFmtId="0" fontId="138" fillId="5" borderId="1" xfId="5" applyFont="1" applyFill="1" applyBorder="1" applyAlignment="1">
      <alignment vertical="center" wrapText="1"/>
    </xf>
    <xf numFmtId="0" fontId="138" fillId="5" borderId="1" xfId="5" applyFont="1" applyFill="1" applyBorder="1" applyAlignment="1">
      <alignment vertical="center"/>
    </xf>
    <xf numFmtId="169" fontId="126" fillId="18" borderId="1" xfId="6" applyNumberFormat="1" applyFont="1" applyFill="1" applyBorder="1" applyAlignment="1">
      <alignment vertical="center"/>
    </xf>
    <xf numFmtId="169" fontId="126" fillId="18" borderId="29" xfId="6" applyNumberFormat="1" applyFont="1" applyFill="1" applyBorder="1" applyAlignment="1">
      <alignment vertical="center"/>
    </xf>
    <xf numFmtId="38" fontId="134" fillId="5" borderId="1" xfId="5" applyNumberFormat="1" applyFont="1" applyFill="1" applyBorder="1" applyAlignment="1">
      <alignment vertical="center"/>
    </xf>
    <xf numFmtId="169" fontId="134" fillId="5" borderId="1" xfId="6" applyNumberFormat="1" applyFont="1" applyFill="1" applyBorder="1" applyAlignment="1">
      <alignment vertical="center"/>
    </xf>
    <xf numFmtId="169" fontId="134" fillId="5" borderId="29" xfId="6" applyNumberFormat="1" applyFont="1" applyFill="1" applyBorder="1" applyAlignment="1">
      <alignment vertical="center"/>
    </xf>
    <xf numFmtId="169" fontId="134" fillId="5" borderId="1" xfId="7" applyNumberFormat="1" applyFont="1" applyFill="1" applyBorder="1" applyAlignment="1">
      <alignment vertical="center"/>
    </xf>
    <xf numFmtId="169" fontId="139" fillId="0" borderId="29" xfId="7" applyNumberFormat="1" applyFont="1" applyFill="1" applyBorder="1" applyAlignment="1">
      <alignment vertical="center"/>
    </xf>
    <xf numFmtId="169" fontId="126" fillId="5" borderId="1" xfId="6" applyNumberFormat="1" applyFont="1" applyFill="1" applyBorder="1" applyAlignment="1">
      <alignment vertical="center"/>
    </xf>
    <xf numFmtId="49" fontId="134" fillId="5" borderId="1" xfId="0" quotePrefix="1" applyNumberFormat="1" applyFont="1" applyFill="1" applyBorder="1" applyAlignment="1">
      <alignment horizontal="center" vertical="center"/>
    </xf>
    <xf numFmtId="16" fontId="134" fillId="5" borderId="1" xfId="0" applyNumberFormat="1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vertical="center" wrapText="1"/>
    </xf>
    <xf numFmtId="0" fontId="138" fillId="5" borderId="1" xfId="0" applyFont="1" applyFill="1" applyBorder="1" applyAlignment="1">
      <alignment vertical="center"/>
    </xf>
    <xf numFmtId="169" fontId="139" fillId="5" borderId="29" xfId="7" applyNumberFormat="1" applyFont="1" applyFill="1" applyBorder="1" applyAlignment="1">
      <alignment vertical="center"/>
    </xf>
    <xf numFmtId="38" fontId="134" fillId="5" borderId="1" xfId="0" applyNumberFormat="1" applyFont="1" applyFill="1" applyBorder="1" applyAlignment="1">
      <alignment vertical="center"/>
    </xf>
    <xf numFmtId="0" fontId="134" fillId="5" borderId="0" xfId="0" applyFont="1" applyFill="1" applyAlignment="1">
      <alignment vertical="center"/>
    </xf>
    <xf numFmtId="16" fontId="134" fillId="5" borderId="1" xfId="0" applyNumberFormat="1" applyFont="1" applyFill="1" applyBorder="1" applyAlignment="1">
      <alignment horizontal="left" vertical="center"/>
    </xf>
    <xf numFmtId="169" fontId="139" fillId="0" borderId="30" xfId="7" applyNumberFormat="1" applyFont="1" applyFill="1" applyBorder="1" applyAlignment="1">
      <alignment vertical="center"/>
    </xf>
    <xf numFmtId="16" fontId="134" fillId="5" borderId="1" xfId="0" applyNumberFormat="1" applyFont="1" applyFill="1" applyBorder="1" applyAlignment="1">
      <alignment horizontal="left" vertical="center" wrapText="1"/>
    </xf>
    <xf numFmtId="169" fontId="126" fillId="18" borderId="1" xfId="7" applyNumberFormat="1" applyFont="1" applyFill="1" applyBorder="1" applyAlignment="1">
      <alignment vertical="center"/>
    </xf>
    <xf numFmtId="169" fontId="139" fillId="18" borderId="29" xfId="7" applyNumberFormat="1" applyFont="1" applyFill="1" applyBorder="1" applyAlignment="1">
      <alignment vertical="center"/>
    </xf>
    <xf numFmtId="169" fontId="126" fillId="0" borderId="1" xfId="7" applyNumberFormat="1" applyFont="1" applyFill="1" applyBorder="1" applyAlignment="1">
      <alignment vertical="center"/>
    </xf>
    <xf numFmtId="169" fontId="134" fillId="0" borderId="29" xfId="7" applyNumberFormat="1" applyFont="1" applyFill="1" applyBorder="1" applyAlignment="1">
      <alignment vertical="center"/>
    </xf>
    <xf numFmtId="14" fontId="134" fillId="25" borderId="44" xfId="0" applyNumberFormat="1" applyFont="1" applyFill="1" applyBorder="1" applyAlignment="1">
      <alignment vertical="center"/>
    </xf>
    <xf numFmtId="14" fontId="134" fillId="25" borderId="45" xfId="0" applyNumberFormat="1" applyFont="1" applyFill="1" applyBorder="1" applyAlignment="1">
      <alignment vertical="center"/>
    </xf>
    <xf numFmtId="14" fontId="134" fillId="25" borderId="46" xfId="0" applyNumberFormat="1" applyFont="1" applyFill="1" applyBorder="1" applyAlignment="1">
      <alignment horizontal="center" vertical="center" wrapText="1"/>
    </xf>
    <xf numFmtId="14" fontId="126" fillId="25" borderId="46" xfId="0" applyNumberFormat="1" applyFont="1" applyFill="1" applyBorder="1" applyAlignment="1">
      <alignment horizontal="center" vertical="center"/>
    </xf>
    <xf numFmtId="172" fontId="126" fillId="25" borderId="57" xfId="7" applyNumberFormat="1" applyFont="1" applyFill="1" applyBorder="1" applyAlignment="1">
      <alignment vertical="center"/>
    </xf>
    <xf numFmtId="172" fontId="126" fillId="25" borderId="47" xfId="7" applyNumberFormat="1" applyFont="1" applyFill="1" applyBorder="1" applyAlignment="1">
      <alignment vertical="center"/>
    </xf>
    <xf numFmtId="38" fontId="134" fillId="5" borderId="10" xfId="0" applyNumberFormat="1" applyFont="1" applyFill="1" applyBorder="1" applyAlignment="1">
      <alignment vertical="center"/>
    </xf>
    <xf numFmtId="0" fontId="94" fillId="0" borderId="78" xfId="0" applyFont="1" applyBorder="1" applyAlignment="1">
      <alignment vertical="top"/>
    </xf>
    <xf numFmtId="165" fontId="90" fillId="0" borderId="1" xfId="0" applyNumberFormat="1" applyFont="1" applyFill="1" applyBorder="1" applyAlignment="1">
      <alignment horizontal="center" vertical="center"/>
    </xf>
    <xf numFmtId="0" fontId="140" fillId="8" borderId="8" xfId="0" applyFont="1" applyFill="1" applyBorder="1" applyAlignment="1">
      <alignment vertical="top"/>
    </xf>
    <xf numFmtId="0" fontId="140" fillId="8" borderId="21" xfId="0" applyFont="1" applyFill="1" applyBorder="1" applyAlignment="1">
      <alignment horizontal="center" vertical="center"/>
    </xf>
    <xf numFmtId="167" fontId="140" fillId="8" borderId="21" xfId="1" applyFont="1" applyFill="1" applyBorder="1" applyAlignment="1">
      <alignment horizontal="center" vertical="center"/>
    </xf>
    <xf numFmtId="0" fontId="140" fillId="25" borderId="8" xfId="0" applyFont="1" applyFill="1" applyBorder="1" applyAlignment="1">
      <alignment horizontal="center" vertical="top"/>
    </xf>
    <xf numFmtId="0" fontId="87" fillId="26" borderId="5" xfId="0" applyFont="1" applyFill="1" applyBorder="1" applyAlignment="1">
      <alignment horizontal="left" vertical="center"/>
    </xf>
    <xf numFmtId="0" fontId="92" fillId="26" borderId="5" xfId="0" applyFont="1" applyFill="1" applyBorder="1" applyAlignment="1">
      <alignment horizontal="center" vertical="center"/>
    </xf>
    <xf numFmtId="0" fontId="87" fillId="26" borderId="5" xfId="0" applyFont="1" applyFill="1" applyBorder="1" applyAlignment="1">
      <alignment horizontal="center" vertical="center"/>
    </xf>
    <xf numFmtId="0" fontId="92" fillId="26" borderId="7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165" fontId="91" fillId="3" borderId="3" xfId="1" applyNumberFormat="1" applyFont="1" applyFill="1" applyBorder="1">
      <alignment vertical="center"/>
    </xf>
    <xf numFmtId="0" fontId="92" fillId="3" borderId="73" xfId="0" applyFont="1" applyFill="1" applyBorder="1">
      <alignment vertical="center"/>
    </xf>
    <xf numFmtId="0" fontId="89" fillId="0" borderId="1" xfId="0" applyFont="1" applyFill="1" applyBorder="1" applyAlignment="1">
      <alignment horizontal="left" vertical="center"/>
    </xf>
    <xf numFmtId="0" fontId="92" fillId="0" borderId="1" xfId="0" applyFont="1" applyFill="1" applyBorder="1">
      <alignment vertical="center"/>
    </xf>
    <xf numFmtId="0" fontId="92" fillId="3" borderId="3" xfId="0" applyFont="1" applyFill="1" applyBorder="1" applyAlignment="1">
      <alignment horizontal="left" vertical="center"/>
    </xf>
    <xf numFmtId="0" fontId="87" fillId="3" borderId="3" xfId="0" applyFont="1" applyFill="1" applyBorder="1" applyAlignment="1">
      <alignment horizontal="left" vertical="center"/>
    </xf>
    <xf numFmtId="0" fontId="92" fillId="3" borderId="3" xfId="0" applyFont="1" applyFill="1" applyBorder="1" applyAlignment="1">
      <alignment horizontal="center" vertical="center"/>
    </xf>
    <xf numFmtId="0" fontId="92" fillId="0" borderId="1" xfId="0" applyFont="1" applyFill="1" applyBorder="1" applyAlignment="1">
      <alignment horizontal="left" vertical="center"/>
    </xf>
    <xf numFmtId="0" fontId="87" fillId="0" borderId="1" xfId="0" applyFont="1" applyFill="1" applyBorder="1" applyAlignment="1">
      <alignment horizontal="left" vertical="center"/>
    </xf>
    <xf numFmtId="0" fontId="92" fillId="0" borderId="1" xfId="0" applyFont="1" applyFill="1" applyBorder="1" applyAlignment="1">
      <alignment horizontal="center" vertical="center"/>
    </xf>
    <xf numFmtId="0" fontId="92" fillId="0" borderId="0" xfId="0" applyFont="1" applyFill="1" applyBorder="1" applyAlignment="1">
      <alignment horizontal="center" vertical="center"/>
    </xf>
    <xf numFmtId="0" fontId="88" fillId="3" borderId="63" xfId="0" applyFont="1" applyFill="1" applyBorder="1" applyAlignment="1">
      <alignment horizontal="left" vertical="center"/>
    </xf>
    <xf numFmtId="0" fontId="87" fillId="0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165" fontId="87" fillId="26" borderId="46" xfId="1" applyNumberFormat="1" applyFont="1" applyFill="1" applyBorder="1">
      <alignment vertical="center"/>
    </xf>
    <xf numFmtId="165" fontId="141" fillId="26" borderId="57" xfId="1" applyNumberFormat="1" applyFont="1" applyFill="1" applyBorder="1">
      <alignment vertical="center"/>
    </xf>
    <xf numFmtId="165" fontId="87" fillId="26" borderId="5" xfId="1" applyNumberFormat="1" applyFont="1" applyFill="1" applyBorder="1" applyAlignment="1">
      <alignment horizontal="center" vertical="center"/>
    </xf>
    <xf numFmtId="165" fontId="141" fillId="26" borderId="5" xfId="1" applyNumberFormat="1" applyFont="1" applyFill="1" applyBorder="1" applyAlignment="1">
      <alignment horizontal="center" vertical="center"/>
    </xf>
    <xf numFmtId="165" fontId="87" fillId="3" borderId="3" xfId="1" applyNumberFormat="1" applyFont="1" applyFill="1" applyBorder="1">
      <alignment vertical="center"/>
    </xf>
    <xf numFmtId="165" fontId="87" fillId="0" borderId="1" xfId="1" applyNumberFormat="1" applyFont="1" applyFill="1" applyBorder="1" applyAlignment="1">
      <alignment horizontal="center" vertical="center"/>
    </xf>
    <xf numFmtId="165" fontId="141" fillId="0" borderId="1" xfId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vertical="center"/>
    </xf>
    <xf numFmtId="0" fontId="41" fillId="3" borderId="73" xfId="0" applyFont="1" applyFill="1" applyBorder="1">
      <alignment vertical="center"/>
    </xf>
    <xf numFmtId="0" fontId="41" fillId="0" borderId="0" xfId="0" applyFont="1" applyFill="1" applyBorder="1" applyAlignment="1">
      <alignment vertical="center"/>
    </xf>
    <xf numFmtId="0" fontId="99" fillId="5" borderId="1" xfId="0" quotePrefix="1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left" vertical="center" wrapText="1"/>
    </xf>
    <xf numFmtId="0" fontId="99" fillId="5" borderId="1" xfId="0" applyFont="1" applyFill="1" applyBorder="1" applyAlignment="1">
      <alignment vertical="center"/>
    </xf>
    <xf numFmtId="172" fontId="97" fillId="18" borderId="1" xfId="7" applyNumberFormat="1" applyFont="1" applyFill="1" applyBorder="1" applyAlignment="1">
      <alignment vertical="center"/>
    </xf>
    <xf numFmtId="38" fontId="99" fillId="5" borderId="50" xfId="0" applyNumberFormat="1" applyFont="1" applyFill="1" applyBorder="1" applyAlignment="1">
      <alignment vertical="center"/>
    </xf>
    <xf numFmtId="16" fontId="99" fillId="5" borderId="1" xfId="0" quotePrefix="1" applyNumberFormat="1" applyFont="1" applyFill="1" applyBorder="1" applyAlignment="1">
      <alignment horizontal="center" vertical="center"/>
    </xf>
    <xf numFmtId="172" fontId="97" fillId="0" borderId="1" xfId="7" applyNumberFormat="1" applyFont="1" applyFill="1" applyBorder="1" applyAlignment="1">
      <alignment vertical="center"/>
    </xf>
    <xf numFmtId="172" fontId="99" fillId="0" borderId="1" xfId="7" applyNumberFormat="1" applyFont="1" applyFill="1" applyBorder="1" applyAlignment="1">
      <alignment vertical="center"/>
    </xf>
    <xf numFmtId="49" fontId="99" fillId="5" borderId="1" xfId="0" quotePrefix="1" applyNumberFormat="1" applyFont="1" applyFill="1" applyBorder="1" applyAlignment="1">
      <alignment horizontal="center" vertical="center"/>
    </xf>
    <xf numFmtId="169" fontId="97" fillId="5" borderId="1" xfId="7" applyNumberFormat="1" applyFont="1" applyFill="1" applyBorder="1" applyAlignment="1">
      <alignment vertical="center"/>
    </xf>
    <xf numFmtId="169" fontId="142" fillId="5" borderId="1" xfId="7" applyNumberFormat="1" applyFont="1" applyFill="1" applyBorder="1" applyAlignment="1">
      <alignment vertical="center"/>
    </xf>
    <xf numFmtId="38" fontId="99" fillId="5" borderId="41" xfId="0" applyNumberFormat="1" applyFont="1" applyFill="1" applyBorder="1" applyAlignment="1">
      <alignment vertical="center"/>
    </xf>
    <xf numFmtId="169" fontId="142" fillId="0" borderId="1" xfId="7" applyNumberFormat="1" applyFont="1" applyFill="1" applyBorder="1" applyAlignment="1">
      <alignment vertical="center"/>
    </xf>
    <xf numFmtId="169" fontId="99" fillId="5" borderId="0" xfId="0" applyNumberFormat="1" applyFont="1" applyFill="1" applyAlignment="1">
      <alignment vertical="center"/>
    </xf>
    <xf numFmtId="169" fontId="97" fillId="18" borderId="1" xfId="7" applyNumberFormat="1" applyFont="1" applyFill="1" applyBorder="1" applyAlignment="1">
      <alignment vertical="center"/>
    </xf>
    <xf numFmtId="169" fontId="143" fillId="18" borderId="1" xfId="7" applyNumberFormat="1" applyFont="1" applyFill="1" applyBorder="1" applyAlignment="1">
      <alignment vertical="center"/>
    </xf>
    <xf numFmtId="16" fontId="99" fillId="5" borderId="1" xfId="0" applyNumberFormat="1" applyFont="1" applyFill="1" applyBorder="1" applyAlignment="1">
      <alignment horizontal="left" vertical="center" wrapText="1"/>
    </xf>
    <xf numFmtId="169" fontId="142" fillId="18" borderId="1" xfId="7" applyNumberFormat="1" applyFont="1" applyFill="1" applyBorder="1" applyAlignment="1">
      <alignment vertical="center"/>
    </xf>
    <xf numFmtId="169" fontId="97" fillId="0" borderId="1" xfId="7" applyNumberFormat="1" applyFont="1" applyFill="1" applyBorder="1" applyAlignment="1">
      <alignment vertical="center"/>
    </xf>
    <xf numFmtId="169" fontId="99" fillId="0" borderId="1" xfId="7" applyNumberFormat="1" applyFont="1" applyFill="1" applyBorder="1" applyAlignment="1">
      <alignment vertical="center"/>
    </xf>
    <xf numFmtId="38" fontId="101" fillId="5" borderId="41" xfId="0" applyNumberFormat="1" applyFont="1" applyFill="1" applyBorder="1" applyAlignment="1">
      <alignment vertical="center"/>
    </xf>
    <xf numFmtId="0" fontId="99" fillId="0" borderId="0" xfId="0" applyFont="1" applyFill="1" applyAlignment="1">
      <alignment vertical="center"/>
    </xf>
    <xf numFmtId="14" fontId="99" fillId="25" borderId="50" xfId="0" applyNumberFormat="1" applyFont="1" applyFill="1" applyBorder="1" applyAlignment="1">
      <alignment horizontal="center" vertical="center" wrapText="1"/>
    </xf>
    <xf numFmtId="14" fontId="97" fillId="25" borderId="50" xfId="0" applyNumberFormat="1" applyFont="1" applyFill="1" applyBorder="1" applyAlignment="1">
      <alignment horizontal="center" vertical="center"/>
    </xf>
    <xf numFmtId="172" fontId="97" fillId="25" borderId="3" xfId="7" applyNumberFormat="1" applyFont="1" applyFill="1" applyBorder="1" applyAlignment="1">
      <alignment vertical="center"/>
    </xf>
    <xf numFmtId="38" fontId="99" fillId="5" borderId="95" xfId="0" applyNumberFormat="1" applyFont="1" applyFill="1" applyBorder="1" applyAlignment="1">
      <alignment vertical="center"/>
    </xf>
    <xf numFmtId="14" fontId="134" fillId="0" borderId="1" xfId="0" applyNumberFormat="1" applyFont="1" applyFill="1" applyBorder="1" applyAlignment="1">
      <alignment horizontal="left" vertical="center"/>
    </xf>
    <xf numFmtId="14" fontId="99" fillId="0" borderId="1" xfId="0" applyNumberFormat="1" applyFont="1" applyFill="1" applyBorder="1" applyAlignment="1">
      <alignment horizontal="center" vertical="center" wrapText="1"/>
    </xf>
    <xf numFmtId="14" fontId="97" fillId="0" borderId="1" xfId="0" applyNumberFormat="1" applyFont="1" applyFill="1" applyBorder="1" applyAlignment="1">
      <alignment horizontal="center" vertical="center"/>
    </xf>
    <xf numFmtId="38" fontId="99" fillId="0" borderId="1" xfId="0" applyNumberFormat="1" applyFont="1" applyFill="1" applyBorder="1" applyAlignment="1">
      <alignment vertical="center"/>
    </xf>
    <xf numFmtId="38" fontId="97" fillId="0" borderId="1" xfId="0" applyNumberFormat="1" applyFont="1" applyFill="1" applyBorder="1" applyAlignment="1">
      <alignment vertical="center"/>
    </xf>
    <xf numFmtId="0" fontId="97" fillId="0" borderId="0" xfId="0" applyFont="1" applyFill="1" applyAlignment="1">
      <alignment vertical="center"/>
    </xf>
    <xf numFmtId="14" fontId="126" fillId="25" borderId="1" xfId="0" applyNumberFormat="1" applyFont="1" applyFill="1" applyBorder="1" applyAlignment="1">
      <alignment horizontal="left" vertical="center"/>
    </xf>
    <xf numFmtId="14" fontId="97" fillId="25" borderId="1" xfId="0" applyNumberFormat="1" applyFont="1" applyFill="1" applyBorder="1" applyAlignment="1">
      <alignment horizontal="center" vertical="center" wrapText="1"/>
    </xf>
    <xf numFmtId="14" fontId="97" fillId="25" borderId="1" xfId="0" applyNumberFormat="1" applyFont="1" applyFill="1" applyBorder="1" applyAlignment="1">
      <alignment horizontal="center" vertical="center"/>
    </xf>
    <xf numFmtId="172" fontId="97" fillId="25" borderId="1" xfId="7" applyNumberFormat="1" applyFont="1" applyFill="1" applyBorder="1" applyAlignment="1">
      <alignment vertical="center"/>
    </xf>
    <xf numFmtId="0" fontId="97" fillId="5" borderId="1" xfId="5" applyFont="1" applyFill="1" applyBorder="1" applyAlignment="1">
      <alignment horizontal="center" vertical="center"/>
    </xf>
    <xf numFmtId="38" fontId="97" fillId="5" borderId="0" xfId="5" applyNumberFormat="1" applyFont="1" applyFill="1" applyAlignment="1">
      <alignment vertical="center"/>
    </xf>
    <xf numFmtId="169" fontId="97" fillId="5" borderId="0" xfId="7" applyNumberFormat="1" applyFont="1" applyFill="1" applyAlignment="1">
      <alignment vertical="center"/>
    </xf>
    <xf numFmtId="0" fontId="97" fillId="5" borderId="3" xfId="5" applyFont="1" applyFill="1" applyBorder="1" applyAlignment="1">
      <alignment vertical="center"/>
    </xf>
    <xf numFmtId="0" fontId="97" fillId="5" borderId="22" xfId="5" applyFont="1" applyFill="1" applyBorder="1" applyAlignment="1">
      <alignment vertical="center"/>
    </xf>
    <xf numFmtId="0" fontId="144" fillId="5" borderId="0" xfId="5" applyFont="1" applyFill="1" applyAlignment="1">
      <alignment horizontal="left" vertical="center"/>
    </xf>
    <xf numFmtId="0" fontId="96" fillId="5" borderId="0" xfId="5" applyFont="1" applyFill="1" applyAlignment="1">
      <alignment horizontal="left" vertical="center"/>
    </xf>
    <xf numFmtId="0" fontId="97" fillId="0" borderId="4" xfId="5" applyFont="1" applyBorder="1" applyAlignment="1">
      <alignment horizontal="center" vertical="center"/>
    </xf>
    <xf numFmtId="0" fontId="97" fillId="0" borderId="5" xfId="5" applyFont="1" applyBorder="1" applyAlignment="1">
      <alignment horizontal="center" vertical="center"/>
    </xf>
    <xf numFmtId="0" fontId="97" fillId="0" borderId="24" xfId="5" applyFont="1" applyBorder="1" applyAlignment="1">
      <alignment horizontal="center" vertical="center"/>
    </xf>
    <xf numFmtId="0" fontId="97" fillId="0" borderId="25" xfId="5" applyFont="1" applyBorder="1" applyAlignment="1">
      <alignment horizontal="center" vertical="center"/>
    </xf>
    <xf numFmtId="38" fontId="97" fillId="0" borderId="59" xfId="5" applyNumberFormat="1" applyFont="1" applyBorder="1" applyAlignment="1">
      <alignment horizontal="center" vertical="center"/>
    </xf>
    <xf numFmtId="169" fontId="97" fillId="0" borderId="0" xfId="7" applyNumberFormat="1" applyFont="1" applyAlignment="1">
      <alignment vertical="center"/>
    </xf>
    <xf numFmtId="49" fontId="99" fillId="5" borderId="1" xfId="5" applyNumberFormat="1" applyFont="1" applyFill="1" applyBorder="1" applyAlignment="1">
      <alignment horizontal="center" vertical="center"/>
    </xf>
    <xf numFmtId="16" fontId="99" fillId="5" borderId="1" xfId="5" applyNumberFormat="1" applyFont="1" applyFill="1" applyBorder="1" applyAlignment="1">
      <alignment horizontal="center" vertical="center"/>
    </xf>
    <xf numFmtId="16" fontId="99" fillId="5" borderId="1" xfId="5" applyNumberFormat="1" applyFont="1" applyFill="1" applyBorder="1" applyAlignment="1">
      <alignment horizontal="left" vertical="center"/>
    </xf>
    <xf numFmtId="0" fontId="100" fillId="5" borderId="1" xfId="5" applyFont="1" applyFill="1" applyBorder="1" applyAlignment="1">
      <alignment vertical="center"/>
    </xf>
    <xf numFmtId="38" fontId="99" fillId="5" borderId="1" xfId="5" applyNumberFormat="1" applyFont="1" applyFill="1" applyBorder="1" applyAlignment="1">
      <alignment vertical="center"/>
    </xf>
    <xf numFmtId="16" fontId="99" fillId="28" borderId="1" xfId="5" applyNumberFormat="1" applyFont="1" applyFill="1" applyBorder="1" applyAlignment="1">
      <alignment horizontal="center" vertical="center"/>
    </xf>
    <xf numFmtId="0" fontId="97" fillId="5" borderId="27" xfId="5" applyFont="1" applyFill="1" applyBorder="1" applyAlignment="1">
      <alignment vertical="center"/>
    </xf>
    <xf numFmtId="0" fontId="97" fillId="5" borderId="0" xfId="5" applyFont="1" applyFill="1" applyAlignment="1">
      <alignment horizontal="center" vertical="center"/>
    </xf>
    <xf numFmtId="3" fontId="97" fillId="5" borderId="0" xfId="5" applyNumberFormat="1" applyFont="1" applyFill="1" applyAlignment="1">
      <alignment horizontal="center" vertical="center"/>
    </xf>
    <xf numFmtId="0" fontId="97" fillId="5" borderId="8" xfId="5" applyFont="1" applyFill="1" applyBorder="1" applyAlignment="1">
      <alignment horizontal="center" vertical="center"/>
    </xf>
    <xf numFmtId="3" fontId="97" fillId="5" borderId="8" xfId="5" applyNumberFormat="1" applyFont="1" applyFill="1" applyBorder="1" applyAlignment="1">
      <alignment horizontal="center" vertical="center"/>
    </xf>
    <xf numFmtId="189" fontId="97" fillId="5" borderId="0" xfId="5" applyNumberFormat="1" applyFont="1" applyFill="1" applyAlignment="1">
      <alignment horizontal="center" vertical="center"/>
    </xf>
    <xf numFmtId="169" fontId="97" fillId="5" borderId="0" xfId="7" applyNumberFormat="1" applyFont="1" applyFill="1" applyAlignment="1">
      <alignment horizontal="center" vertical="center"/>
    </xf>
    <xf numFmtId="0" fontId="97" fillId="12" borderId="0" xfId="5" applyFont="1" applyFill="1" applyAlignment="1">
      <alignment horizontal="center" vertical="center"/>
    </xf>
    <xf numFmtId="37" fontId="97" fillId="5" borderId="0" xfId="5" applyNumberFormat="1" applyFont="1" applyFill="1" applyAlignment="1">
      <alignment horizontal="center" vertical="center"/>
    </xf>
    <xf numFmtId="169" fontId="97" fillId="5" borderId="0" xfId="5" applyNumberFormat="1" applyFont="1" applyFill="1" applyAlignment="1">
      <alignment horizontal="center" vertical="center"/>
    </xf>
    <xf numFmtId="172" fontId="99" fillId="5" borderId="0" xfId="5" applyNumberFormat="1" applyFont="1" applyFill="1" applyAlignment="1">
      <alignment horizontal="center" vertical="center" wrapText="1"/>
    </xf>
    <xf numFmtId="40" fontId="97" fillId="5" borderId="0" xfId="5" applyNumberFormat="1" applyFont="1" applyFill="1" applyAlignment="1">
      <alignment horizontal="center" vertical="center"/>
    </xf>
    <xf numFmtId="38" fontId="97" fillId="5" borderId="0" xfId="5" applyNumberFormat="1" applyFont="1" applyFill="1" applyAlignment="1">
      <alignment horizontal="center" vertical="center"/>
    </xf>
    <xf numFmtId="3" fontId="99" fillId="5" borderId="0" xfId="5" applyNumberFormat="1" applyFont="1" applyFill="1" applyAlignment="1">
      <alignment horizontal="center" vertical="center" wrapText="1"/>
    </xf>
    <xf numFmtId="40" fontId="99" fillId="5" borderId="0" xfId="5" applyNumberFormat="1" applyFont="1" applyFill="1" applyAlignment="1">
      <alignment vertical="center"/>
    </xf>
    <xf numFmtId="3" fontId="99" fillId="5" borderId="0" xfId="5" applyNumberFormat="1" applyFont="1" applyFill="1" applyAlignment="1">
      <alignment vertical="center"/>
    </xf>
    <xf numFmtId="0" fontId="97" fillId="5" borderId="27" xfId="5" applyFont="1" applyFill="1" applyBorder="1" applyAlignment="1">
      <alignment horizontal="center" vertical="center"/>
    </xf>
    <xf numFmtId="0" fontId="101" fillId="5" borderId="0" xfId="5" applyFont="1" applyFill="1" applyBorder="1" applyAlignment="1">
      <alignment horizontal="center" vertical="center" wrapText="1"/>
    </xf>
    <xf numFmtId="0" fontId="136" fillId="0" borderId="14" xfId="2" applyFont="1" applyBorder="1">
      <alignment vertical="center"/>
    </xf>
    <xf numFmtId="167" fontId="73" fillId="0" borderId="13" xfId="1" applyFont="1" applyBorder="1" applyAlignment="1">
      <alignment horizontal="center" vertical="center"/>
    </xf>
    <xf numFmtId="167" fontId="61" fillId="8" borderId="8" xfId="1" applyFont="1" applyFill="1" applyBorder="1">
      <alignment vertical="center"/>
    </xf>
    <xf numFmtId="167" fontId="60" fillId="0" borderId="99" xfId="1" applyFont="1" applyFill="1" applyBorder="1">
      <alignment vertical="center"/>
    </xf>
    <xf numFmtId="167" fontId="60" fillId="0" borderId="93" xfId="1" applyFont="1" applyFill="1" applyBorder="1">
      <alignment vertical="center"/>
    </xf>
    <xf numFmtId="167" fontId="60" fillId="0" borderId="96" xfId="1" applyFont="1" applyFill="1" applyBorder="1">
      <alignment vertical="center"/>
    </xf>
    <xf numFmtId="167" fontId="73" fillId="0" borderId="8" xfId="1" applyFont="1" applyBorder="1" applyAlignment="1">
      <alignment horizontal="center" vertical="center"/>
    </xf>
    <xf numFmtId="167" fontId="140" fillId="8" borderId="15" xfId="1" applyFont="1" applyFill="1" applyBorder="1" applyAlignment="1">
      <alignment horizontal="center" vertical="center"/>
    </xf>
    <xf numFmtId="167" fontId="140" fillId="25" borderId="15" xfId="1" applyFont="1" applyFill="1" applyBorder="1" applyAlignment="1">
      <alignment horizontal="center" vertical="center"/>
    </xf>
    <xf numFmtId="0" fontId="61" fillId="9" borderId="23" xfId="0" applyFont="1" applyFill="1" applyBorder="1" applyAlignment="1">
      <alignment horizontal="center" vertical="center" wrapText="1"/>
    </xf>
    <xf numFmtId="0" fontId="67" fillId="0" borderId="27" xfId="2" applyFont="1" applyBorder="1">
      <alignment vertical="center"/>
    </xf>
    <xf numFmtId="0" fontId="67" fillId="0" borderId="0" xfId="2" applyFont="1" applyBorder="1">
      <alignment vertical="center"/>
    </xf>
    <xf numFmtId="0" fontId="67" fillId="0" borderId="16" xfId="2" applyFont="1" applyBorder="1">
      <alignment vertical="center"/>
    </xf>
    <xf numFmtId="0" fontId="61" fillId="8" borderId="74" xfId="0" applyFont="1" applyFill="1" applyBorder="1" applyAlignment="1">
      <alignment horizontal="center" vertical="center"/>
    </xf>
    <xf numFmtId="0" fontId="68" fillId="0" borderId="0" xfId="2" applyFont="1" applyBorder="1">
      <alignment vertical="center"/>
    </xf>
    <xf numFmtId="0" fontId="69" fillId="0" borderId="16" xfId="2" applyFont="1" applyBorder="1">
      <alignment vertical="center"/>
    </xf>
    <xf numFmtId="0" fontId="60" fillId="0" borderId="27" xfId="0" applyFont="1" applyBorder="1">
      <alignment vertical="center"/>
    </xf>
    <xf numFmtId="0" fontId="60" fillId="0" borderId="16" xfId="0" applyFont="1" applyBorder="1">
      <alignment vertical="center"/>
    </xf>
    <xf numFmtId="0" fontId="60" fillId="0" borderId="115" xfId="0" applyFont="1" applyFill="1" applyBorder="1">
      <alignment vertical="center"/>
    </xf>
    <xf numFmtId="0" fontId="60" fillId="0" borderId="42" xfId="0" applyFont="1" applyFill="1" applyBorder="1">
      <alignment vertical="center"/>
    </xf>
    <xf numFmtId="0" fontId="60" fillId="0" borderId="49" xfId="0" applyFont="1" applyFill="1" applyBorder="1">
      <alignment vertical="center"/>
    </xf>
    <xf numFmtId="0" fontId="61" fillId="22" borderId="74" xfId="0" applyFont="1" applyFill="1" applyBorder="1" applyAlignment="1">
      <alignment horizontal="center" vertical="center"/>
    </xf>
    <xf numFmtId="0" fontId="70" fillId="0" borderId="27" xfId="2" applyFont="1" applyBorder="1">
      <alignment vertical="center"/>
    </xf>
    <xf numFmtId="0" fontId="70" fillId="0" borderId="27" xfId="2" applyFont="1" applyFill="1" applyBorder="1" applyAlignment="1">
      <alignment horizontal="left" vertical="center"/>
    </xf>
    <xf numFmtId="0" fontId="70" fillId="0" borderId="0" xfId="2" applyFont="1" applyFill="1" applyBorder="1" applyAlignment="1">
      <alignment horizontal="left" vertical="center"/>
    </xf>
    <xf numFmtId="0" fontId="70" fillId="0" borderId="16" xfId="2" applyFont="1" applyFill="1" applyBorder="1" applyAlignment="1">
      <alignment horizontal="left" vertical="center"/>
    </xf>
    <xf numFmtId="0" fontId="69" fillId="0" borderId="26" xfId="2" applyFont="1" applyBorder="1">
      <alignment vertical="center"/>
    </xf>
    <xf numFmtId="0" fontId="69" fillId="0" borderId="14" xfId="2" applyFont="1" applyBorder="1">
      <alignment vertical="center"/>
    </xf>
    <xf numFmtId="0" fontId="60" fillId="0" borderId="14" xfId="0" applyFont="1" applyBorder="1">
      <alignment vertical="center"/>
    </xf>
    <xf numFmtId="0" fontId="70" fillId="0" borderId="14" xfId="2" applyFont="1" applyBorder="1">
      <alignment vertical="center"/>
    </xf>
    <xf numFmtId="0" fontId="70" fillId="0" borderId="17" xfId="2" applyFont="1" applyBorder="1">
      <alignment vertical="center"/>
    </xf>
    <xf numFmtId="0" fontId="70" fillId="0" borderId="74" xfId="2" applyFont="1" applyBorder="1">
      <alignment vertical="center"/>
    </xf>
    <xf numFmtId="0" fontId="61" fillId="8" borderId="16" xfId="0" applyFont="1" applyFill="1" applyBorder="1" applyAlignment="1">
      <alignment horizontal="center" vertical="center"/>
    </xf>
    <xf numFmtId="0" fontId="70" fillId="0" borderId="0" xfId="2" applyFont="1" applyFill="1" applyBorder="1">
      <alignment vertical="center"/>
    </xf>
    <xf numFmtId="0" fontId="61" fillId="25" borderId="16" xfId="0" applyFont="1" applyFill="1" applyBorder="1" applyAlignment="1">
      <alignment horizontal="center" vertical="center"/>
    </xf>
    <xf numFmtId="0" fontId="140" fillId="8" borderId="16" xfId="0" applyFont="1" applyFill="1" applyBorder="1" applyAlignment="1">
      <alignment horizontal="center" vertical="center"/>
    </xf>
    <xf numFmtId="0" fontId="136" fillId="0" borderId="17" xfId="2" applyFont="1" applyBorder="1">
      <alignment vertical="center"/>
    </xf>
    <xf numFmtId="0" fontId="140" fillId="25" borderId="16" xfId="0" applyFont="1" applyFill="1" applyBorder="1" applyAlignment="1">
      <alignment horizontal="center" vertical="center"/>
    </xf>
    <xf numFmtId="167" fontId="61" fillId="22" borderId="15" xfId="1" applyFont="1" applyFill="1" applyBorder="1" applyAlignment="1">
      <alignment horizontal="center" vertical="center"/>
    </xf>
    <xf numFmtId="167" fontId="73" fillId="0" borderId="13" xfId="1" applyFont="1" applyBorder="1">
      <alignment vertical="center"/>
    </xf>
    <xf numFmtId="167" fontId="75" fillId="12" borderId="13" xfId="1" applyFont="1" applyFill="1" applyBorder="1">
      <alignment vertical="center"/>
    </xf>
    <xf numFmtId="167" fontId="73" fillId="0" borderId="8" xfId="1" applyFont="1" applyBorder="1">
      <alignment vertical="center"/>
    </xf>
    <xf numFmtId="167" fontId="73" fillId="0" borderId="15" xfId="1" applyFont="1" applyBorder="1">
      <alignment vertical="center"/>
    </xf>
    <xf numFmtId="41" fontId="60" fillId="0" borderId="77" xfId="0" applyNumberFormat="1" applyFont="1" applyBorder="1">
      <alignment vertical="center"/>
    </xf>
    <xf numFmtId="167" fontId="60" fillId="21" borderId="13" xfId="1" applyFont="1" applyFill="1" applyBorder="1">
      <alignment vertical="center"/>
    </xf>
    <xf numFmtId="167" fontId="61" fillId="0" borderId="13" xfId="1" applyFont="1" applyFill="1" applyBorder="1">
      <alignment vertical="center"/>
    </xf>
    <xf numFmtId="4" fontId="73" fillId="0" borderId="13" xfId="0" applyNumberFormat="1" applyFont="1" applyBorder="1" applyAlignment="1">
      <alignment horizontal="right" vertical="top" wrapText="1"/>
    </xf>
    <xf numFmtId="166" fontId="60" fillId="0" borderId="77" xfId="1" applyNumberFormat="1" applyFont="1" applyFill="1" applyBorder="1">
      <alignment vertical="center"/>
    </xf>
    <xf numFmtId="165" fontId="60" fillId="0" borderId="77" xfId="1" applyNumberFormat="1" applyFont="1" applyFill="1" applyBorder="1">
      <alignment vertical="center"/>
    </xf>
    <xf numFmtId="166" fontId="73" fillId="0" borderId="21" xfId="1" applyNumberFormat="1" applyFont="1" applyBorder="1" applyAlignment="1">
      <alignment horizontal="center" vertical="center"/>
    </xf>
    <xf numFmtId="165" fontId="60" fillId="0" borderId="77" xfId="1" applyNumberFormat="1" applyFont="1" applyBorder="1">
      <alignment vertical="center"/>
    </xf>
    <xf numFmtId="166" fontId="61" fillId="12" borderId="77" xfId="1" applyNumberFormat="1" applyFont="1" applyFill="1" applyBorder="1">
      <alignment vertical="center"/>
    </xf>
    <xf numFmtId="167" fontId="61" fillId="22" borderId="77" xfId="1" applyFont="1" applyFill="1" applyBorder="1" applyAlignment="1">
      <alignment horizontal="center" vertical="center"/>
    </xf>
    <xf numFmtId="167" fontId="61" fillId="8" borderId="77" xfId="1" applyFont="1" applyFill="1" applyBorder="1" applyAlignment="1">
      <alignment horizontal="center" vertical="center"/>
    </xf>
    <xf numFmtId="166" fontId="60" fillId="0" borderId="12" xfId="1" applyNumberFormat="1" applyFont="1" applyBorder="1">
      <alignment vertical="center"/>
    </xf>
    <xf numFmtId="167" fontId="61" fillId="25" borderId="12" xfId="1" applyFont="1" applyFill="1" applyBorder="1" applyAlignment="1">
      <alignment horizontal="center" vertical="center"/>
    </xf>
    <xf numFmtId="3" fontId="71" fillId="0" borderId="13" xfId="0" applyNumberFormat="1" applyFont="1" applyFill="1" applyBorder="1" applyAlignment="1">
      <alignment horizontal="center" vertical="center"/>
    </xf>
    <xf numFmtId="174" fontId="72" fillId="0" borderId="13" xfId="0" applyNumberFormat="1" applyFont="1" applyFill="1" applyBorder="1" applyAlignment="1">
      <alignment horizontal="center" vertical="center"/>
    </xf>
    <xf numFmtId="167" fontId="61" fillId="12" borderId="13" xfId="1" applyFont="1" applyFill="1" applyBorder="1">
      <alignment vertical="center"/>
    </xf>
    <xf numFmtId="167" fontId="132" fillId="29" borderId="109" xfId="1" applyFont="1" applyFill="1" applyBorder="1">
      <alignment vertical="center"/>
    </xf>
    <xf numFmtId="40" fontId="35" fillId="0" borderId="0" xfId="0" applyNumberFormat="1" applyFont="1" applyFill="1" applyBorder="1" applyAlignment="1">
      <alignment horizontal="right" vertical="center"/>
    </xf>
    <xf numFmtId="40" fontId="35" fillId="0" borderId="0" xfId="1" applyNumberFormat="1" applyFont="1" applyFill="1" applyBorder="1" applyAlignment="1">
      <alignment horizontal="right" vertical="center"/>
    </xf>
    <xf numFmtId="43" fontId="35" fillId="0" borderId="0" xfId="1" applyNumberFormat="1" applyFont="1" applyFill="1" applyBorder="1" applyAlignment="1">
      <alignment vertical="center"/>
    </xf>
    <xf numFmtId="14" fontId="35" fillId="13" borderId="3" xfId="0" applyNumberFormat="1" applyFont="1" applyFill="1" applyBorder="1" applyAlignment="1">
      <alignment horizontal="center" vertical="center"/>
    </xf>
    <xf numFmtId="40" fontId="35" fillId="13" borderId="3" xfId="0" applyNumberFormat="1" applyFont="1" applyFill="1" applyBorder="1" applyAlignment="1">
      <alignment horizontal="right" vertical="center"/>
    </xf>
    <xf numFmtId="40" fontId="35" fillId="13" borderId="3" xfId="1" applyNumberFormat="1" applyFont="1" applyFill="1" applyBorder="1" applyAlignment="1">
      <alignment horizontal="right" vertical="center"/>
    </xf>
    <xf numFmtId="43" fontId="35" fillId="13" borderId="3" xfId="1" applyNumberFormat="1" applyFont="1" applyFill="1" applyBorder="1" applyAlignment="1">
      <alignment vertical="center"/>
    </xf>
    <xf numFmtId="43" fontId="35" fillId="13" borderId="73" xfId="1" applyNumberFormat="1" applyFont="1" applyFill="1" applyBorder="1" applyAlignment="1">
      <alignment vertical="center"/>
    </xf>
    <xf numFmtId="0" fontId="99" fillId="3" borderId="26" xfId="5" applyFont="1" applyFill="1" applyBorder="1" applyAlignment="1">
      <alignment vertical="center"/>
    </xf>
    <xf numFmtId="0" fontId="99" fillId="3" borderId="27" xfId="5" applyFont="1" applyFill="1" applyBorder="1" applyAlignment="1">
      <alignment vertical="center"/>
    </xf>
    <xf numFmtId="0" fontId="99" fillId="3" borderId="27" xfId="5" applyFont="1" applyFill="1" applyBorder="1" applyAlignment="1">
      <alignment horizontal="center" vertical="center" wrapText="1"/>
    </xf>
    <xf numFmtId="0" fontId="99" fillId="3" borderId="25" xfId="5" applyFont="1" applyFill="1" applyBorder="1" applyAlignment="1">
      <alignment vertical="center"/>
    </xf>
    <xf numFmtId="172" fontId="97" fillId="3" borderId="25" xfId="7" applyNumberFormat="1" applyFont="1" applyFill="1" applyBorder="1" applyAlignment="1">
      <alignment vertical="center"/>
    </xf>
    <xf numFmtId="172" fontId="97" fillId="3" borderId="24" xfId="7" applyNumberFormat="1" applyFont="1" applyFill="1" applyBorder="1" applyAlignment="1">
      <alignment vertical="center"/>
    </xf>
    <xf numFmtId="14" fontId="99" fillId="2" borderId="1" xfId="5" applyNumberFormat="1" applyFont="1" applyFill="1" applyBorder="1" applyAlignment="1">
      <alignment horizontal="center" vertical="center"/>
    </xf>
    <xf numFmtId="172" fontId="97" fillId="2" borderId="1" xfId="7" applyNumberFormat="1" applyFont="1" applyFill="1" applyBorder="1" applyAlignment="1">
      <alignment vertical="center"/>
    </xf>
    <xf numFmtId="172" fontId="97" fillId="2" borderId="29" xfId="7" applyNumberFormat="1" applyFont="1" applyFill="1" applyBorder="1" applyAlignment="1">
      <alignment vertical="center"/>
    </xf>
    <xf numFmtId="38" fontId="99" fillId="2" borderId="1" xfId="5" applyNumberFormat="1" applyFont="1" applyFill="1" applyBorder="1" applyAlignment="1">
      <alignment vertical="center"/>
    </xf>
    <xf numFmtId="14" fontId="97" fillId="2" borderId="42" xfId="5" applyNumberFormat="1" applyFont="1" applyFill="1" applyBorder="1" applyAlignment="1">
      <alignment horizontal="center" vertical="center" wrapText="1"/>
    </xf>
    <xf numFmtId="14" fontId="99" fillId="3" borderId="46" xfId="5" applyNumberFormat="1" applyFont="1" applyFill="1" applyBorder="1" applyAlignment="1">
      <alignment horizontal="center" vertical="center" wrapText="1"/>
    </xf>
    <xf numFmtId="14" fontId="97" fillId="3" borderId="46" xfId="5" applyNumberFormat="1" applyFont="1" applyFill="1" applyBorder="1" applyAlignment="1">
      <alignment horizontal="center" vertical="center"/>
    </xf>
    <xf numFmtId="172" fontId="97" fillId="3" borderId="57" xfId="7" applyNumberFormat="1" applyFont="1" applyFill="1" applyBorder="1" applyAlignment="1">
      <alignment vertical="center"/>
    </xf>
    <xf numFmtId="172" fontId="97" fillId="3" borderId="47" xfId="7" applyNumberFormat="1" applyFont="1" applyFill="1" applyBorder="1" applyAlignment="1">
      <alignment vertical="center"/>
    </xf>
    <xf numFmtId="38" fontId="99" fillId="3" borderId="10" xfId="5" applyNumberFormat="1" applyFont="1" applyFill="1" applyBorder="1" applyAlignment="1">
      <alignment vertical="center"/>
    </xf>
    <xf numFmtId="49" fontId="99" fillId="5" borderId="0" xfId="0" applyNumberFormat="1" applyFont="1" applyFill="1" applyBorder="1" applyAlignment="1">
      <alignment horizontal="center" vertical="center"/>
    </xf>
    <xf numFmtId="16" fontId="99" fillId="5" borderId="0" xfId="0" applyNumberFormat="1" applyFont="1" applyFill="1" applyBorder="1" applyAlignment="1">
      <alignment horizontal="center" vertical="center"/>
    </xf>
    <xf numFmtId="16" fontId="99" fillId="5" borderId="0" xfId="0" applyNumberFormat="1" applyFont="1" applyFill="1" applyBorder="1" applyAlignment="1">
      <alignment horizontal="left" vertical="center"/>
    </xf>
    <xf numFmtId="0" fontId="100" fillId="5" borderId="0" xfId="0" applyFont="1" applyFill="1" applyBorder="1" applyAlignment="1">
      <alignment vertical="center"/>
    </xf>
    <xf numFmtId="169" fontId="99" fillId="5" borderId="0" xfId="7" applyNumberFormat="1" applyFont="1" applyFill="1" applyBorder="1" applyAlignment="1">
      <alignment vertical="center"/>
    </xf>
    <xf numFmtId="38" fontId="99" fillId="5" borderId="0" xfId="0" applyNumberFormat="1" applyFont="1" applyFill="1" applyBorder="1" applyAlignment="1">
      <alignment vertical="center"/>
    </xf>
    <xf numFmtId="49" fontId="99" fillId="5" borderId="22" xfId="0" applyNumberFormat="1" applyFont="1" applyFill="1" applyBorder="1" applyAlignment="1">
      <alignment horizontal="center" vertical="center"/>
    </xf>
    <xf numFmtId="16" fontId="99" fillId="5" borderId="22" xfId="0" applyNumberFormat="1" applyFont="1" applyFill="1" applyBorder="1" applyAlignment="1">
      <alignment horizontal="center" vertical="center"/>
    </xf>
    <xf numFmtId="16" fontId="99" fillId="5" borderId="22" xfId="0" applyNumberFormat="1" applyFont="1" applyFill="1" applyBorder="1" applyAlignment="1">
      <alignment horizontal="left" vertical="center"/>
    </xf>
    <xf numFmtId="0" fontId="100" fillId="5" borderId="22" xfId="0" applyFont="1" applyFill="1" applyBorder="1" applyAlignment="1">
      <alignment vertical="center"/>
    </xf>
    <xf numFmtId="169" fontId="99" fillId="5" borderId="22" xfId="7" applyNumberFormat="1" applyFont="1" applyFill="1" applyBorder="1" applyAlignment="1">
      <alignment vertical="center"/>
    </xf>
    <xf numFmtId="38" fontId="99" fillId="5" borderId="22" xfId="0" applyNumberFormat="1" applyFont="1" applyFill="1" applyBorder="1" applyAlignment="1">
      <alignment vertical="center"/>
    </xf>
    <xf numFmtId="49" fontId="97" fillId="2" borderId="32" xfId="0" applyNumberFormat="1" applyFont="1" applyFill="1" applyBorder="1" applyAlignment="1">
      <alignment horizontal="center" vertical="center"/>
    </xf>
    <xf numFmtId="16" fontId="97" fillId="2" borderId="33" xfId="0" applyNumberFormat="1" applyFont="1" applyFill="1" applyBorder="1" applyAlignment="1">
      <alignment horizontal="center" vertical="center"/>
    </xf>
    <xf numFmtId="0" fontId="145" fillId="2" borderId="33" xfId="0" applyFont="1" applyFill="1" applyBorder="1" applyAlignment="1">
      <alignment vertical="center"/>
    </xf>
    <xf numFmtId="169" fontId="97" fillId="2" borderId="33" xfId="7" applyNumberFormat="1" applyFont="1" applyFill="1" applyBorder="1" applyAlignment="1">
      <alignment vertical="center"/>
    </xf>
    <xf numFmtId="38" fontId="97" fillId="2" borderId="38" xfId="0" applyNumberFormat="1" applyFont="1" applyFill="1" applyBorder="1" applyAlignment="1">
      <alignment vertical="center"/>
    </xf>
    <xf numFmtId="14" fontId="126" fillId="2" borderId="29" xfId="0" applyNumberFormat="1" applyFont="1" applyFill="1" applyBorder="1" applyAlignment="1">
      <alignment vertical="center"/>
    </xf>
    <xf numFmtId="14" fontId="126" fillId="2" borderId="42" xfId="0" applyNumberFormat="1" applyFont="1" applyFill="1" applyBorder="1" applyAlignment="1">
      <alignment vertical="center"/>
    </xf>
    <xf numFmtId="14" fontId="126" fillId="2" borderId="42" xfId="0" applyNumberFormat="1" applyFont="1" applyFill="1" applyBorder="1" applyAlignment="1">
      <alignment horizontal="center" vertical="center" wrapText="1"/>
    </xf>
    <xf numFmtId="14" fontId="134" fillId="2" borderId="1" xfId="0" applyNumberFormat="1" applyFont="1" applyFill="1" applyBorder="1" applyAlignment="1">
      <alignment horizontal="center" vertical="center"/>
    </xf>
    <xf numFmtId="172" fontId="126" fillId="2" borderId="1" xfId="7" applyNumberFormat="1" applyFont="1" applyFill="1" applyBorder="1" applyAlignment="1">
      <alignment vertical="center"/>
    </xf>
    <xf numFmtId="172" fontId="126" fillId="2" borderId="29" xfId="7" applyNumberFormat="1" applyFont="1" applyFill="1" applyBorder="1" applyAlignment="1">
      <alignment vertical="center"/>
    </xf>
    <xf numFmtId="14" fontId="97" fillId="2" borderId="42" xfId="0" applyNumberFormat="1" applyFont="1" applyFill="1" applyBorder="1" applyAlignment="1">
      <alignment horizontal="center" vertical="center" wrapText="1"/>
    </xf>
    <xf numFmtId="14" fontId="99" fillId="2" borderId="1" xfId="0" applyNumberFormat="1" applyFont="1" applyFill="1" applyBorder="1" applyAlignment="1">
      <alignment horizontal="center" vertical="center"/>
    </xf>
    <xf numFmtId="14" fontId="126" fillId="2" borderId="1" xfId="0" applyNumberFormat="1" applyFont="1" applyFill="1" applyBorder="1" applyAlignment="1">
      <alignment horizontal="left" vertical="center"/>
    </xf>
    <xf numFmtId="14" fontId="97" fillId="2" borderId="1" xfId="0" applyNumberFormat="1" applyFont="1" applyFill="1" applyBorder="1" applyAlignment="1">
      <alignment horizontal="center" vertical="center" wrapText="1"/>
    </xf>
    <xf numFmtId="14" fontId="97" fillId="2" borderId="1" xfId="0" applyNumberFormat="1" applyFont="1" applyFill="1" applyBorder="1" applyAlignment="1">
      <alignment horizontal="center" vertical="center"/>
    </xf>
    <xf numFmtId="14" fontId="99" fillId="5" borderId="1" xfId="0" quotePrefix="1" applyNumberFormat="1" applyFont="1" applyFill="1" applyBorder="1" applyAlignment="1">
      <alignment horizontal="center" vertical="center"/>
    </xf>
    <xf numFmtId="167" fontId="60" fillId="0" borderId="3" xfId="1" applyFont="1" applyFill="1" applyBorder="1">
      <alignment vertical="center"/>
    </xf>
    <xf numFmtId="0" fontId="136" fillId="0" borderId="13" xfId="2" applyFont="1" applyBorder="1">
      <alignment vertical="center"/>
    </xf>
    <xf numFmtId="166" fontId="60" fillId="0" borderId="13" xfId="1" applyNumberFormat="1" applyFont="1" applyBorder="1">
      <alignment vertical="center"/>
    </xf>
    <xf numFmtId="167" fontId="73" fillId="0" borderId="14" xfId="1" applyFont="1" applyBorder="1" applyAlignment="1">
      <alignment horizontal="center" vertical="center"/>
    </xf>
    <xf numFmtId="166" fontId="60" fillId="0" borderId="15" xfId="1" applyNumberFormat="1" applyFont="1" applyBorder="1">
      <alignment vertical="center"/>
    </xf>
    <xf numFmtId="0" fontId="60" fillId="0" borderId="77" xfId="0" applyFont="1" applyFill="1" applyBorder="1">
      <alignment vertical="center"/>
    </xf>
    <xf numFmtId="0" fontId="137" fillId="0" borderId="0" xfId="0" applyFont="1" applyBorder="1" applyAlignment="1">
      <alignment vertical="center"/>
    </xf>
    <xf numFmtId="0" fontId="137" fillId="0" borderId="0" xfId="0" applyFont="1" applyBorder="1" applyAlignment="1">
      <alignment horizontal="center" vertical="center"/>
    </xf>
    <xf numFmtId="0" fontId="137" fillId="0" borderId="0" xfId="0" applyFont="1" applyAlignment="1">
      <alignment vertical="center"/>
    </xf>
    <xf numFmtId="14" fontId="126" fillId="7" borderId="43" xfId="0" applyNumberFormat="1" applyFont="1" applyFill="1" applyBorder="1" applyAlignment="1">
      <alignment vertical="center"/>
    </xf>
    <xf numFmtId="14" fontId="134" fillId="7" borderId="42" xfId="0" applyNumberFormat="1" applyFont="1" applyFill="1" applyBorder="1" applyAlignment="1">
      <alignment vertical="center"/>
    </xf>
    <xf numFmtId="14" fontId="126" fillId="7" borderId="41" xfId="0" applyNumberFormat="1" applyFont="1" applyFill="1" applyBorder="1" applyAlignment="1">
      <alignment vertical="center"/>
    </xf>
    <xf numFmtId="14" fontId="134" fillId="7" borderId="1" xfId="0" applyNumberFormat="1" applyFont="1" applyFill="1" applyBorder="1" applyAlignment="1">
      <alignment horizontal="center" vertical="center"/>
    </xf>
    <xf numFmtId="40" fontId="126" fillId="7" borderId="1" xfId="0" applyNumberFormat="1" applyFont="1" applyFill="1" applyBorder="1" applyAlignment="1">
      <alignment horizontal="right" vertical="center"/>
    </xf>
    <xf numFmtId="167" fontId="132" fillId="3" borderId="74" xfId="1" applyFont="1" applyFill="1" applyBorder="1">
      <alignment vertical="center"/>
    </xf>
    <xf numFmtId="167" fontId="132" fillId="25" borderId="74" xfId="1" applyFont="1" applyFill="1" applyBorder="1">
      <alignment vertical="center"/>
    </xf>
    <xf numFmtId="167" fontId="132" fillId="3" borderId="12" xfId="1" applyFont="1" applyFill="1" applyBorder="1">
      <alignment vertical="center"/>
    </xf>
    <xf numFmtId="167" fontId="132" fillId="0" borderId="0" xfId="1" applyFont="1">
      <alignment vertical="center"/>
    </xf>
    <xf numFmtId="0" fontId="133" fillId="0" borderId="3" xfId="0" applyFont="1" applyBorder="1" applyAlignment="1">
      <alignment horizontal="center" vertical="center"/>
    </xf>
    <xf numFmtId="171" fontId="133" fillId="0" borderId="81" xfId="0" applyNumberFormat="1" applyFont="1" applyBorder="1" applyAlignment="1"/>
    <xf numFmtId="0" fontId="133" fillId="0" borderId="54" xfId="0" applyFont="1" applyBorder="1" applyAlignment="1">
      <alignment horizontal="center" vertical="center"/>
    </xf>
    <xf numFmtId="0" fontId="133" fillId="0" borderId="91" xfId="0" applyFont="1" applyBorder="1" applyAlignment="1">
      <alignment horizontal="center" vertical="center"/>
    </xf>
    <xf numFmtId="0" fontId="133" fillId="0" borderId="54" xfId="0" applyFont="1" applyBorder="1" applyAlignment="1">
      <alignment vertical="center"/>
    </xf>
    <xf numFmtId="43" fontId="134" fillId="0" borderId="54" xfId="1" applyNumberFormat="1" applyFont="1" applyBorder="1" applyAlignment="1">
      <alignment vertical="center" wrapText="1"/>
    </xf>
    <xf numFmtId="43" fontId="135" fillId="0" borderId="54" xfId="1" applyNumberFormat="1" applyFont="1" applyBorder="1" applyAlignment="1">
      <alignment vertical="center" wrapText="1"/>
    </xf>
    <xf numFmtId="0" fontId="133" fillId="0" borderId="0" xfId="0" applyFont="1" applyAlignment="1"/>
    <xf numFmtId="43" fontId="147" fillId="0" borderId="54" xfId="1" applyNumberFormat="1" applyFont="1" applyBorder="1" applyAlignment="1">
      <alignment vertical="center" wrapText="1"/>
    </xf>
    <xf numFmtId="0" fontId="133" fillId="0" borderId="55" xfId="0" applyFont="1" applyBorder="1" applyAlignment="1">
      <alignment horizontal="center" vertical="center"/>
    </xf>
    <xf numFmtId="0" fontId="133" fillId="0" borderId="50" xfId="0" applyFont="1" applyBorder="1" applyAlignment="1">
      <alignment horizontal="center" vertical="center"/>
    </xf>
    <xf numFmtId="43" fontId="134" fillId="0" borderId="3" xfId="1" applyNumberFormat="1" applyFont="1" applyBorder="1" applyAlignment="1">
      <alignment vertical="center" wrapText="1"/>
    </xf>
    <xf numFmtId="0" fontId="133" fillId="0" borderId="55" xfId="0" applyFont="1" applyBorder="1" applyAlignment="1">
      <alignment vertical="center"/>
    </xf>
    <xf numFmtId="43" fontId="134" fillId="0" borderId="55" xfId="1" applyNumberFormat="1" applyFont="1" applyBorder="1" applyAlignment="1">
      <alignment vertical="center" wrapText="1"/>
    </xf>
    <xf numFmtId="171" fontId="133" fillId="0" borderId="62" xfId="0" applyNumberFormat="1" applyFont="1" applyBorder="1" applyAlignment="1"/>
    <xf numFmtId="43" fontId="135" fillId="0" borderId="55" xfId="1" applyNumberFormat="1" applyFont="1" applyBorder="1" applyAlignment="1">
      <alignment vertical="center" wrapText="1"/>
    </xf>
    <xf numFmtId="43" fontId="133" fillId="0" borderId="0" xfId="0" applyNumberFormat="1" applyFont="1" applyAlignment="1"/>
    <xf numFmtId="43" fontId="0" fillId="0" borderId="0" xfId="0" applyNumberFormat="1" applyAlignment="1"/>
    <xf numFmtId="0" fontId="133" fillId="0" borderId="0" xfId="0" applyFont="1" applyAlignment="1">
      <alignment horizontal="left"/>
    </xf>
    <xf numFmtId="0" fontId="0" fillId="0" borderId="0" xfId="0" applyAlignment="1">
      <alignment horizontal="left"/>
    </xf>
    <xf numFmtId="171" fontId="133" fillId="0" borderId="81" xfId="0" applyNumberFormat="1" applyFont="1" applyBorder="1" applyAlignment="1">
      <alignment vertical="center"/>
    </xf>
    <xf numFmtId="16" fontId="39" fillId="0" borderId="46" xfId="0" applyNumberFormat="1" applyFont="1" applyFill="1" applyBorder="1" applyAlignment="1">
      <alignment vertical="center"/>
    </xf>
    <xf numFmtId="169" fontId="148" fillId="0" borderId="1" xfId="1" applyNumberFormat="1" applyFont="1" applyBorder="1" applyAlignment="1">
      <alignment horizontal="center" vertical="center"/>
    </xf>
    <xf numFmtId="43" fontId="149" fillId="0" borderId="1" xfId="1" applyNumberFormat="1" applyFont="1" applyBorder="1" applyAlignment="1">
      <alignment horizontal="center" vertical="center"/>
    </xf>
    <xf numFmtId="43" fontId="132" fillId="0" borderId="1" xfId="0" applyNumberFormat="1" applyFont="1" applyBorder="1" applyAlignment="1"/>
    <xf numFmtId="169" fontId="148" fillId="5" borderId="1" xfId="1" applyNumberFormat="1" applyFont="1" applyFill="1" applyBorder="1" applyAlignment="1">
      <alignment horizontal="center" vertical="center"/>
    </xf>
    <xf numFmtId="14" fontId="126" fillId="3" borderId="57" xfId="0" applyNumberFormat="1" applyFont="1" applyFill="1" applyBorder="1" applyAlignment="1">
      <alignment vertical="center"/>
    </xf>
    <xf numFmtId="1" fontId="126" fillId="9" borderId="5" xfId="0" applyNumberFormat="1" applyFont="1" applyFill="1" applyBorder="1" applyAlignment="1">
      <alignment horizontal="left" vertical="center"/>
    </xf>
    <xf numFmtId="0" fontId="126" fillId="26" borderId="0" xfId="0" applyFont="1" applyFill="1" applyAlignment="1"/>
    <xf numFmtId="0" fontId="8" fillId="26" borderId="0" xfId="0" applyFont="1" applyFill="1" applyAlignment="1">
      <alignment horizontal="center"/>
    </xf>
    <xf numFmtId="0" fontId="126" fillId="26" borderId="0" xfId="0" applyFont="1" applyFill="1" applyAlignment="1">
      <alignment horizontal="center"/>
    </xf>
    <xf numFmtId="169" fontId="8" fillId="26" borderId="0" xfId="1" applyNumberFormat="1" applyFont="1" applyFill="1" applyAlignment="1"/>
    <xf numFmtId="167" fontId="8" fillId="26" borderId="0" xfId="1" applyFont="1" applyFill="1" applyAlignment="1"/>
    <xf numFmtId="43" fontId="148" fillId="3" borderId="5" xfId="1" applyNumberFormat="1" applyFont="1" applyFill="1" applyBorder="1" applyAlignment="1">
      <alignment vertical="center" wrapText="1"/>
    </xf>
    <xf numFmtId="43" fontId="148" fillId="3" borderId="4" xfId="1" applyNumberFormat="1" applyFont="1" applyFill="1" applyBorder="1" applyAlignment="1">
      <alignment vertical="center" wrapText="1"/>
    </xf>
    <xf numFmtId="169" fontId="133" fillId="3" borderId="1" xfId="1" applyNumberFormat="1" applyFont="1" applyFill="1" applyBorder="1" applyAlignment="1"/>
    <xf numFmtId="169" fontId="150" fillId="26" borderId="0" xfId="1" applyNumberFormat="1" applyFont="1" applyFill="1" applyAlignment="1"/>
    <xf numFmtId="169" fontId="126" fillId="26" borderId="0" xfId="1" applyNumberFormat="1" applyFont="1" applyFill="1" applyAlignment="1"/>
    <xf numFmtId="0" fontId="133" fillId="0" borderId="3" xfId="0" applyFont="1" applyFill="1" applyBorder="1" applyAlignment="1">
      <alignment horizontal="center" vertical="center"/>
    </xf>
    <xf numFmtId="0" fontId="133" fillId="0" borderId="50" xfId="0" applyFont="1" applyFill="1" applyBorder="1" applyAlignment="1">
      <alignment horizontal="center" vertical="center"/>
    </xf>
    <xf numFmtId="0" fontId="133" fillId="0" borderId="0" xfId="0" applyFont="1" applyFill="1" applyAlignment="1"/>
    <xf numFmtId="0" fontId="0" fillId="0" borderId="0" xfId="0" applyFill="1" applyAlignment="1"/>
    <xf numFmtId="3" fontId="97" fillId="5" borderId="0" xfId="0" applyNumberFormat="1" applyFont="1" applyFill="1" applyAlignment="1">
      <alignment horizontal="center" vertical="center"/>
    </xf>
    <xf numFmtId="189" fontId="97" fillId="5" borderId="0" xfId="0" applyNumberFormat="1" applyFont="1" applyFill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37" fontId="97" fillId="5" borderId="0" xfId="0" applyNumberFormat="1" applyFont="1" applyFill="1" applyAlignment="1">
      <alignment horizontal="center" vertical="center"/>
    </xf>
    <xf numFmtId="169" fontId="97" fillId="5" borderId="0" xfId="0" applyNumberFormat="1" applyFont="1" applyFill="1" applyAlignment="1">
      <alignment horizontal="center" vertical="center"/>
    </xf>
    <xf numFmtId="172" fontId="99" fillId="5" borderId="0" xfId="0" applyNumberFormat="1" applyFont="1" applyFill="1" applyAlignment="1">
      <alignment horizontal="center" vertical="center" wrapText="1"/>
    </xf>
    <xf numFmtId="40" fontId="97" fillId="5" borderId="0" xfId="0" applyNumberFormat="1" applyFont="1" applyFill="1" applyAlignment="1">
      <alignment horizontal="center" vertical="center"/>
    </xf>
    <xf numFmtId="40" fontId="99" fillId="5" borderId="0" xfId="0" applyNumberFormat="1" applyFont="1" applyFill="1" applyAlignment="1">
      <alignment vertical="center"/>
    </xf>
    <xf numFmtId="3" fontId="99" fillId="5" borderId="0" xfId="0" applyNumberFormat="1" applyFont="1" applyFill="1" applyAlignment="1">
      <alignment vertical="center"/>
    </xf>
    <xf numFmtId="169" fontId="99" fillId="5" borderId="1" xfId="0" applyNumberFormat="1" applyFont="1" applyFill="1" applyBorder="1" applyAlignment="1">
      <alignment horizontal="left" vertical="center"/>
    </xf>
    <xf numFmtId="37" fontId="100" fillId="5" borderId="1" xfId="0" applyNumberFormat="1" applyFont="1" applyFill="1" applyBorder="1" applyAlignment="1">
      <alignment vertical="center"/>
    </xf>
    <xf numFmtId="49" fontId="97" fillId="7" borderId="1" xfId="0" applyNumberFormat="1" applyFont="1" applyFill="1" applyBorder="1" applyAlignment="1">
      <alignment horizontal="center" vertical="center"/>
    </xf>
    <xf numFmtId="16" fontId="97" fillId="7" borderId="1" xfId="0" applyNumberFormat="1" applyFont="1" applyFill="1" applyBorder="1" applyAlignment="1">
      <alignment horizontal="center" vertical="center"/>
    </xf>
    <xf numFmtId="37" fontId="145" fillId="7" borderId="1" xfId="0" applyNumberFormat="1" applyFont="1" applyFill="1" applyBorder="1" applyAlignment="1">
      <alignment vertical="center"/>
    </xf>
    <xf numFmtId="169" fontId="97" fillId="7" borderId="1" xfId="7" applyNumberFormat="1" applyFont="1" applyFill="1" applyBorder="1" applyAlignment="1">
      <alignment vertical="center"/>
    </xf>
    <xf numFmtId="169" fontId="97" fillId="7" borderId="1" xfId="0" applyNumberFormat="1" applyFont="1" applyFill="1" applyBorder="1" applyAlignment="1">
      <alignment horizontal="center" vertical="center"/>
    </xf>
    <xf numFmtId="16" fontId="97" fillId="7" borderId="1" xfId="0" applyNumberFormat="1" applyFont="1" applyFill="1" applyBorder="1" applyAlignment="1">
      <alignment horizontal="left" vertical="center"/>
    </xf>
    <xf numFmtId="14" fontId="16" fillId="7" borderId="25" xfId="0" applyNumberFormat="1" applyFont="1" applyFill="1" applyBorder="1" applyAlignment="1">
      <alignment horizontal="center" vertical="center"/>
    </xf>
    <xf numFmtId="14" fontId="16" fillId="7" borderId="5" xfId="0" applyNumberFormat="1" applyFont="1" applyFill="1" applyBorder="1" applyAlignment="1">
      <alignment horizontal="center" vertical="center"/>
    </xf>
    <xf numFmtId="37" fontId="100" fillId="3" borderId="1" xfId="0" applyNumberFormat="1" applyFont="1" applyFill="1" applyBorder="1" applyAlignment="1">
      <alignment vertical="center"/>
    </xf>
    <xf numFmtId="169" fontId="99" fillId="3" borderId="1" xfId="7" applyNumberFormat="1" applyFont="1" applyFill="1" applyBorder="1" applyAlignment="1">
      <alignment vertical="center"/>
    </xf>
    <xf numFmtId="38" fontId="99" fillId="3" borderId="1" xfId="0" applyNumberFormat="1" applyFont="1" applyFill="1" applyBorder="1" applyAlignment="1">
      <alignment vertical="center"/>
    </xf>
    <xf numFmtId="14" fontId="97" fillId="7" borderId="6" xfId="0" applyNumberFormat="1" applyFont="1" applyFill="1" applyBorder="1" applyAlignment="1">
      <alignment vertical="center"/>
    </xf>
    <xf numFmtId="14" fontId="99" fillId="7" borderId="5" xfId="0" applyNumberFormat="1" applyFont="1" applyFill="1" applyBorder="1" applyAlignment="1">
      <alignment horizontal="center" vertical="center"/>
    </xf>
    <xf numFmtId="172" fontId="97" fillId="7" borderId="5" xfId="7" applyNumberFormat="1" applyFont="1" applyFill="1" applyBorder="1" applyAlignment="1">
      <alignment vertical="center"/>
    </xf>
    <xf numFmtId="38" fontId="99" fillId="7" borderId="7" xfId="0" applyNumberFormat="1" applyFont="1" applyFill="1" applyBorder="1" applyAlignment="1">
      <alignment vertical="center"/>
    </xf>
    <xf numFmtId="14" fontId="97" fillId="7" borderId="5" xfId="0" applyNumberFormat="1" applyFont="1" applyFill="1" applyBorder="1" applyAlignment="1">
      <alignment horizontal="center" vertical="center"/>
    </xf>
    <xf numFmtId="38" fontId="99" fillId="5" borderId="29" xfId="0" applyNumberFormat="1" applyFont="1" applyFill="1" applyBorder="1" applyAlignment="1">
      <alignment vertical="center"/>
    </xf>
    <xf numFmtId="0" fontId="99" fillId="5" borderId="38" xfId="0" applyFont="1" applyFill="1" applyBorder="1" applyAlignment="1">
      <alignment vertical="center"/>
    </xf>
    <xf numFmtId="0" fontId="99" fillId="5" borderId="30" xfId="0" applyFont="1" applyFill="1" applyBorder="1" applyAlignment="1">
      <alignment vertical="center"/>
    </xf>
    <xf numFmtId="0" fontId="99" fillId="5" borderId="39" xfId="0" applyFont="1" applyFill="1" applyBorder="1" applyAlignment="1">
      <alignment vertical="center"/>
    </xf>
    <xf numFmtId="0" fontId="97" fillId="5" borderId="32" xfId="0" applyFont="1" applyFill="1" applyBorder="1" applyAlignment="1">
      <alignment vertical="center"/>
    </xf>
    <xf numFmtId="0" fontId="97" fillId="5" borderId="28" xfId="0" applyFont="1" applyFill="1" applyBorder="1" applyAlignment="1">
      <alignment vertical="center"/>
    </xf>
    <xf numFmtId="0" fontId="97" fillId="5" borderId="9" xfId="0" applyFont="1" applyFill="1" applyBorder="1" applyAlignment="1">
      <alignment vertical="center"/>
    </xf>
    <xf numFmtId="169" fontId="99" fillId="0" borderId="0" xfId="7" applyNumberFormat="1" applyFont="1" applyFill="1" applyAlignment="1">
      <alignment vertical="center"/>
    </xf>
    <xf numFmtId="169" fontId="13" fillId="0" borderId="0" xfId="1" applyNumberFormat="1" applyFont="1" applyFill="1" applyAlignment="1">
      <alignment vertical="center"/>
    </xf>
    <xf numFmtId="14" fontId="99" fillId="3" borderId="26" xfId="0" applyNumberFormat="1" applyFont="1" applyFill="1" applyBorder="1" applyAlignment="1">
      <alignment vertical="center"/>
    </xf>
    <xf numFmtId="14" fontId="99" fillId="3" borderId="27" xfId="0" applyNumberFormat="1" applyFont="1" applyFill="1" applyBorder="1" applyAlignment="1">
      <alignment vertical="center"/>
    </xf>
    <xf numFmtId="14" fontId="99" fillId="3" borderId="50" xfId="0" applyNumberFormat="1" applyFont="1" applyFill="1" applyBorder="1" applyAlignment="1">
      <alignment horizontal="center" vertical="center" wrapText="1"/>
    </xf>
    <xf numFmtId="14" fontId="97" fillId="3" borderId="50" xfId="0" applyNumberFormat="1" applyFont="1" applyFill="1" applyBorder="1" applyAlignment="1">
      <alignment horizontal="center" vertical="center"/>
    </xf>
    <xf numFmtId="172" fontId="97" fillId="3" borderId="3" xfId="7" applyNumberFormat="1" applyFont="1" applyFill="1" applyBorder="1" applyAlignment="1">
      <alignment vertical="center"/>
    </xf>
    <xf numFmtId="172" fontId="97" fillId="3" borderId="2" xfId="7" applyNumberFormat="1" applyFont="1" applyFill="1" applyBorder="1" applyAlignment="1">
      <alignment vertical="center"/>
    </xf>
    <xf numFmtId="38" fontId="99" fillId="3" borderId="3" xfId="0" applyNumberFormat="1" applyFont="1" applyFill="1" applyBorder="1" applyAlignment="1">
      <alignment vertical="center"/>
    </xf>
    <xf numFmtId="14" fontId="99" fillId="0" borderId="1" xfId="0" applyNumberFormat="1" applyFont="1" applyFill="1" applyBorder="1" applyAlignment="1">
      <alignment vertical="center"/>
    </xf>
    <xf numFmtId="0" fontId="97" fillId="5" borderId="0" xfId="0" applyFont="1" applyFill="1" applyBorder="1" applyAlignment="1">
      <alignment vertical="center"/>
    </xf>
    <xf numFmtId="14" fontId="99" fillId="0" borderId="22" xfId="0" applyNumberFormat="1" applyFont="1" applyFill="1" applyBorder="1" applyAlignment="1">
      <alignment vertical="center"/>
    </xf>
    <xf numFmtId="14" fontId="99" fillId="0" borderId="22" xfId="0" applyNumberFormat="1" applyFont="1" applyFill="1" applyBorder="1" applyAlignment="1">
      <alignment horizontal="center" vertical="center" wrapText="1"/>
    </xf>
    <xf numFmtId="14" fontId="97" fillId="0" borderId="22" xfId="0" applyNumberFormat="1" applyFont="1" applyFill="1" applyBorder="1" applyAlignment="1">
      <alignment horizontal="center" vertical="center"/>
    </xf>
    <xf numFmtId="172" fontId="97" fillId="0" borderId="22" xfId="7" applyNumberFormat="1" applyFont="1" applyFill="1" applyBorder="1" applyAlignment="1">
      <alignment vertical="center"/>
    </xf>
    <xf numFmtId="38" fontId="99" fillId="0" borderId="22" xfId="0" applyNumberFormat="1" applyFont="1" applyFill="1" applyBorder="1" applyAlignment="1">
      <alignment vertical="center"/>
    </xf>
    <xf numFmtId="14" fontId="97" fillId="7" borderId="5" xfId="0" applyNumberFormat="1" applyFont="1" applyFill="1" applyBorder="1" applyAlignment="1">
      <alignment horizontal="center" vertical="center" wrapText="1"/>
    </xf>
    <xf numFmtId="38" fontId="97" fillId="7" borderId="7" xfId="0" applyNumberFormat="1" applyFont="1" applyFill="1" applyBorder="1" applyAlignment="1">
      <alignment vertical="center"/>
    </xf>
    <xf numFmtId="14" fontId="99" fillId="3" borderId="69" xfId="0" applyNumberFormat="1" applyFont="1" applyFill="1" applyBorder="1" applyAlignment="1">
      <alignment vertical="center"/>
    </xf>
    <xf numFmtId="14" fontId="13" fillId="3" borderId="57" xfId="0" applyNumberFormat="1" applyFont="1" applyFill="1" applyBorder="1" applyAlignment="1">
      <alignment vertical="center"/>
    </xf>
    <xf numFmtId="14" fontId="13" fillId="3" borderId="57" xfId="0" applyNumberFormat="1" applyFont="1" applyFill="1" applyBorder="1" applyAlignment="1">
      <alignment horizontal="center" vertical="center" wrapText="1"/>
    </xf>
    <xf numFmtId="14" fontId="16" fillId="3" borderId="57" xfId="0" applyNumberFormat="1" applyFont="1" applyFill="1" applyBorder="1" applyAlignment="1">
      <alignment horizontal="center" vertical="center"/>
    </xf>
    <xf numFmtId="38" fontId="13" fillId="3" borderId="90" xfId="0" applyNumberFormat="1" applyFont="1" applyFill="1" applyBorder="1" applyAlignment="1">
      <alignment vertical="center"/>
    </xf>
    <xf numFmtId="0" fontId="70" fillId="0" borderId="13" xfId="2" applyFont="1" applyBorder="1">
      <alignment vertical="center"/>
    </xf>
    <xf numFmtId="167" fontId="60" fillId="0" borderId="15" xfId="1" applyFont="1" applyFill="1" applyBorder="1">
      <alignment vertical="center"/>
    </xf>
    <xf numFmtId="0" fontId="88" fillId="26" borderId="6" xfId="0" applyFont="1" applyFill="1" applyBorder="1" applyAlignment="1">
      <alignment horizontal="left" vertical="center"/>
    </xf>
    <xf numFmtId="167" fontId="132" fillId="24" borderId="103" xfId="1" applyFont="1" applyFill="1" applyBorder="1" applyAlignment="1">
      <alignment horizontal="center" vertical="center"/>
    </xf>
    <xf numFmtId="167" fontId="132" fillId="24" borderId="104" xfId="1" applyFont="1" applyFill="1" applyBorder="1">
      <alignment vertical="center"/>
    </xf>
    <xf numFmtId="167" fontId="132" fillId="24" borderId="105" xfId="1" applyFont="1" applyFill="1" applyBorder="1">
      <alignment vertical="center"/>
    </xf>
    <xf numFmtId="167" fontId="132" fillId="24" borderId="106" xfId="1" applyFont="1" applyFill="1" applyBorder="1">
      <alignment vertical="center"/>
    </xf>
    <xf numFmtId="167" fontId="132" fillId="24" borderId="104" xfId="1" applyFont="1" applyFill="1" applyBorder="1" applyAlignment="1">
      <alignment horizontal="center" vertical="center"/>
    </xf>
    <xf numFmtId="167" fontId="132" fillId="3" borderId="105" xfId="1" applyFont="1" applyFill="1" applyBorder="1">
      <alignment vertical="center"/>
    </xf>
    <xf numFmtId="167" fontId="132" fillId="0" borderId="0" xfId="1" applyFont="1" applyFill="1">
      <alignment vertical="center"/>
    </xf>
    <xf numFmtId="167" fontId="132" fillId="23" borderId="103" xfId="1" applyFont="1" applyFill="1" applyBorder="1" applyAlignment="1">
      <alignment horizontal="center" vertical="center"/>
    </xf>
    <xf numFmtId="167" fontId="132" fillId="29" borderId="109" xfId="1" applyFont="1" applyFill="1" applyBorder="1" applyAlignment="1">
      <alignment horizontal="center" vertical="center"/>
    </xf>
    <xf numFmtId="167" fontId="132" fillId="23" borderId="109" xfId="1" applyFont="1" applyFill="1" applyBorder="1" applyAlignment="1">
      <alignment horizontal="center" vertical="center"/>
    </xf>
    <xf numFmtId="167" fontId="132" fillId="23" borderId="104" xfId="1" applyFont="1" applyFill="1" applyBorder="1">
      <alignment vertical="center"/>
    </xf>
    <xf numFmtId="167" fontId="132" fillId="29" borderId="104" xfId="1" applyFont="1" applyFill="1" applyBorder="1">
      <alignment vertical="center"/>
    </xf>
    <xf numFmtId="167" fontId="132" fillId="23" borderId="105" xfId="1" applyFont="1" applyFill="1" applyBorder="1">
      <alignment vertical="center"/>
    </xf>
    <xf numFmtId="167" fontId="132" fillId="29" borderId="105" xfId="1" applyFont="1" applyFill="1" applyBorder="1">
      <alignment vertical="center"/>
    </xf>
    <xf numFmtId="167" fontId="132" fillId="23" borderId="105" xfId="1" applyFont="1" applyFill="1" applyBorder="1" applyAlignment="1">
      <alignment horizontal="center" vertical="center"/>
    </xf>
    <xf numFmtId="167" fontId="132" fillId="29" borderId="105" xfId="1" applyFont="1" applyFill="1" applyBorder="1" applyAlignment="1">
      <alignment horizontal="center" vertical="center"/>
    </xf>
    <xf numFmtId="167" fontId="132" fillId="24" borderId="105" xfId="1" applyFont="1" applyFill="1" applyBorder="1" applyAlignment="1">
      <alignment vertical="center"/>
    </xf>
    <xf numFmtId="167" fontId="132" fillId="23" borderId="106" xfId="1" applyFont="1" applyFill="1" applyBorder="1">
      <alignment vertical="center"/>
    </xf>
    <xf numFmtId="167" fontId="132" fillId="23" borderId="106" xfId="1" applyFont="1" applyFill="1" applyBorder="1" applyAlignment="1">
      <alignment horizontal="center" vertical="center"/>
    </xf>
    <xf numFmtId="167" fontId="132" fillId="29" borderId="106" xfId="1" applyFont="1" applyFill="1" applyBorder="1" applyAlignment="1">
      <alignment horizontal="center" vertical="center"/>
    </xf>
    <xf numFmtId="167" fontId="132" fillId="23" borderId="104" xfId="1" applyFont="1" applyFill="1" applyBorder="1" applyAlignment="1">
      <alignment horizontal="center" vertical="center"/>
    </xf>
    <xf numFmtId="167" fontId="132" fillId="29" borderId="104" xfId="1" applyFont="1" applyFill="1" applyBorder="1" applyAlignment="1">
      <alignment horizontal="center" vertical="center"/>
    </xf>
    <xf numFmtId="167" fontId="132" fillId="22" borderId="105" xfId="1" applyFont="1" applyFill="1" applyBorder="1">
      <alignment vertical="center"/>
    </xf>
    <xf numFmtId="167" fontId="132" fillId="29" borderId="106" xfId="1" applyFont="1" applyFill="1" applyBorder="1">
      <alignment vertical="center"/>
    </xf>
    <xf numFmtId="167" fontId="132" fillId="24" borderId="107" xfId="1" applyFont="1" applyFill="1" applyBorder="1">
      <alignment vertical="center"/>
    </xf>
    <xf numFmtId="15" fontId="14" fillId="23" borderId="116" xfId="0" applyNumberFormat="1" applyFont="1" applyFill="1" applyBorder="1">
      <alignment vertical="center"/>
    </xf>
    <xf numFmtId="167" fontId="132" fillId="3" borderId="116" xfId="1" applyFont="1" applyFill="1" applyBorder="1">
      <alignment vertical="center"/>
    </xf>
    <xf numFmtId="167" fontId="132" fillId="25" borderId="116" xfId="1" applyFont="1" applyFill="1" applyBorder="1">
      <alignment vertical="center"/>
    </xf>
    <xf numFmtId="167" fontId="14" fillId="3" borderId="116" xfId="1" applyFont="1" applyFill="1" applyBorder="1">
      <alignment vertical="center"/>
    </xf>
    <xf numFmtId="15" fontId="14" fillId="23" borderId="117" xfId="0" applyNumberFormat="1" applyFont="1" applyFill="1" applyBorder="1">
      <alignment vertical="center"/>
    </xf>
    <xf numFmtId="167" fontId="132" fillId="3" borderId="117" xfId="1" applyFont="1" applyFill="1" applyBorder="1">
      <alignment vertical="center"/>
    </xf>
    <xf numFmtId="167" fontId="132" fillId="25" borderId="117" xfId="1" applyFont="1" applyFill="1" applyBorder="1">
      <alignment vertical="center"/>
    </xf>
    <xf numFmtId="167" fontId="14" fillId="3" borderId="117" xfId="1" applyFont="1" applyFill="1" applyBorder="1">
      <alignment vertical="center"/>
    </xf>
    <xf numFmtId="15" fontId="14" fillId="23" borderId="118" xfId="0" applyNumberFormat="1" applyFont="1" applyFill="1" applyBorder="1">
      <alignment vertical="center"/>
    </xf>
    <xf numFmtId="167" fontId="132" fillId="24" borderId="119" xfId="1" applyFont="1" applyFill="1" applyBorder="1">
      <alignment vertical="center"/>
    </xf>
    <xf numFmtId="167" fontId="132" fillId="23" borderId="119" xfId="1" applyFont="1" applyFill="1" applyBorder="1">
      <alignment vertical="center"/>
    </xf>
    <xf numFmtId="167" fontId="132" fillId="29" borderId="119" xfId="1" applyFont="1" applyFill="1" applyBorder="1">
      <alignment vertical="center"/>
    </xf>
    <xf numFmtId="167" fontId="132" fillId="24" borderId="120" xfId="1" applyFont="1" applyFill="1" applyBorder="1">
      <alignment vertical="center"/>
    </xf>
    <xf numFmtId="15" fontId="14" fillId="23" borderId="121" xfId="0" applyNumberFormat="1" applyFont="1" applyFill="1" applyBorder="1">
      <alignment vertical="center"/>
    </xf>
    <xf numFmtId="167" fontId="132" fillId="3" borderId="121" xfId="1" applyFont="1" applyFill="1" applyBorder="1">
      <alignment vertical="center"/>
    </xf>
    <xf numFmtId="167" fontId="132" fillId="25" borderId="121" xfId="1" applyFont="1" applyFill="1" applyBorder="1">
      <alignment vertical="center"/>
    </xf>
    <xf numFmtId="167" fontId="14" fillId="3" borderId="121" xfId="1" applyFont="1" applyFill="1" applyBorder="1">
      <alignment vertical="center"/>
    </xf>
    <xf numFmtId="171" fontId="133" fillId="0" borderId="2" xfId="0" applyNumberFormat="1" applyFont="1" applyFill="1" applyBorder="1" applyAlignment="1"/>
    <xf numFmtId="0" fontId="133" fillId="0" borderId="3" xfId="0" applyFont="1" applyFill="1" applyBorder="1" applyAlignment="1">
      <alignment vertical="center"/>
    </xf>
    <xf numFmtId="43" fontId="134" fillId="0" borderId="3" xfId="1" applyNumberFormat="1" applyFont="1" applyFill="1" applyBorder="1" applyAlignment="1">
      <alignment vertical="center" wrapText="1"/>
    </xf>
    <xf numFmtId="43" fontId="147" fillId="0" borderId="3" xfId="1" applyNumberFormat="1" applyFont="1" applyFill="1" applyBorder="1" applyAlignment="1">
      <alignment vertical="center" wrapText="1"/>
    </xf>
    <xf numFmtId="171" fontId="148" fillId="26" borderId="1" xfId="0" applyNumberFormat="1" applyFont="1" applyFill="1" applyBorder="1" applyAlignment="1"/>
    <xf numFmtId="0" fontId="148" fillId="26" borderId="1" xfId="0" applyFont="1" applyFill="1" applyBorder="1" applyAlignment="1">
      <alignment horizontal="center" vertical="center"/>
    </xf>
    <xf numFmtId="0" fontId="148" fillId="26" borderId="1" xfId="0" applyFont="1" applyFill="1" applyBorder="1" applyAlignment="1">
      <alignment vertical="center"/>
    </xf>
    <xf numFmtId="43" fontId="126" fillId="26" borderId="1" xfId="1" applyNumberFormat="1" applyFont="1" applyFill="1" applyBorder="1" applyAlignment="1">
      <alignment vertical="center" wrapText="1"/>
    </xf>
    <xf numFmtId="43" fontId="149" fillId="26" borderId="1" xfId="1" applyNumberFormat="1" applyFont="1" applyFill="1" applyBorder="1" applyAlignment="1">
      <alignment vertical="center" wrapText="1"/>
    </xf>
    <xf numFmtId="169" fontId="148" fillId="26" borderId="1" xfId="1" applyNumberFormat="1" applyFont="1" applyFill="1" applyBorder="1" applyAlignment="1"/>
    <xf numFmtId="0" fontId="137" fillId="0" borderId="0" xfId="0" applyFont="1" applyFill="1" applyBorder="1" applyAlignment="1">
      <alignment vertical="center"/>
    </xf>
    <xf numFmtId="0" fontId="137" fillId="0" borderId="0" xfId="0" applyFont="1" applyFill="1" applyBorder="1" applyAlignment="1">
      <alignment horizontal="center" vertical="center"/>
    </xf>
    <xf numFmtId="0" fontId="137" fillId="0" borderId="0" xfId="0" applyFont="1" applyFill="1" applyAlignment="1">
      <alignment vertical="center"/>
    </xf>
    <xf numFmtId="14" fontId="126" fillId="13" borderId="22" xfId="0" applyNumberFormat="1" applyFont="1" applyFill="1" applyBorder="1" applyAlignment="1">
      <alignment horizontal="center" vertical="center"/>
    </xf>
    <xf numFmtId="40" fontId="126" fillId="13" borderId="22" xfId="0" applyNumberFormat="1" applyFont="1" applyFill="1" applyBorder="1" applyAlignment="1">
      <alignment horizontal="right" vertical="center"/>
    </xf>
    <xf numFmtId="40" fontId="126" fillId="13" borderId="22" xfId="7" applyNumberFormat="1" applyFont="1" applyFill="1" applyBorder="1" applyAlignment="1">
      <alignment horizontal="right" vertical="center"/>
    </xf>
    <xf numFmtId="40" fontId="126" fillId="13" borderId="22" xfId="3" applyNumberFormat="1" applyFont="1" applyFill="1" applyBorder="1" applyAlignment="1">
      <alignment vertical="center"/>
    </xf>
    <xf numFmtId="40" fontId="126" fillId="13" borderId="37" xfId="3" applyNumberFormat="1" applyFont="1" applyFill="1" applyBorder="1" applyAlignment="1">
      <alignment vertical="center"/>
    </xf>
    <xf numFmtId="14" fontId="126" fillId="0" borderId="1" xfId="0" applyNumberFormat="1" applyFont="1" applyFill="1" applyBorder="1" applyAlignment="1">
      <alignment horizontal="center" vertical="center"/>
    </xf>
    <xf numFmtId="40" fontId="126" fillId="0" borderId="1" xfId="0" applyNumberFormat="1" applyFont="1" applyFill="1" applyBorder="1" applyAlignment="1">
      <alignment horizontal="right" vertical="center"/>
    </xf>
    <xf numFmtId="40" fontId="126" fillId="0" borderId="1" xfId="7" applyNumberFormat="1" applyFont="1" applyFill="1" applyBorder="1" applyAlignment="1">
      <alignment horizontal="right" vertical="center"/>
    </xf>
    <xf numFmtId="40" fontId="126" fillId="0" borderId="1" xfId="3" applyNumberFormat="1" applyFont="1" applyFill="1" applyBorder="1" applyAlignment="1">
      <alignment vertical="center"/>
    </xf>
    <xf numFmtId="43" fontId="134" fillId="0" borderId="54" xfId="158" applyFont="1" applyBorder="1" applyAlignment="1">
      <alignment vertical="center" wrapText="1"/>
    </xf>
    <xf numFmtId="43" fontId="135" fillId="0" borderId="54" xfId="158" applyFont="1" applyBorder="1" applyAlignment="1">
      <alignment vertical="center" wrapText="1"/>
    </xf>
    <xf numFmtId="43" fontId="147" fillId="0" borderId="54" xfId="158" applyFont="1" applyBorder="1" applyAlignment="1">
      <alignment vertical="center" wrapText="1"/>
    </xf>
    <xf numFmtId="43" fontId="134" fillId="0" borderId="55" xfId="158" applyFont="1" applyBorder="1" applyAlignment="1">
      <alignment vertical="center" wrapText="1"/>
    </xf>
    <xf numFmtId="43" fontId="135" fillId="0" borderId="55" xfId="158" applyFont="1" applyBorder="1" applyAlignment="1">
      <alignment vertical="center" wrapText="1"/>
    </xf>
    <xf numFmtId="43" fontId="134" fillId="0" borderId="3" xfId="158" applyFont="1" applyBorder="1" applyAlignment="1">
      <alignment vertical="center" wrapText="1"/>
    </xf>
    <xf numFmtId="0" fontId="133" fillId="0" borderId="122" xfId="0" applyFont="1" applyBorder="1" applyAlignment="1">
      <alignment horizontal="center" vertical="center"/>
    </xf>
    <xf numFmtId="171" fontId="133" fillId="3" borderId="1" xfId="0" applyNumberFormat="1" applyFont="1" applyFill="1" applyBorder="1" applyAlignment="1"/>
    <xf numFmtId="0" fontId="133" fillId="3" borderId="1" xfId="0" applyFont="1" applyFill="1" applyBorder="1" applyAlignment="1">
      <alignment horizontal="center" vertical="center"/>
    </xf>
    <xf numFmtId="0" fontId="133" fillId="3" borderId="1" xfId="0" applyFont="1" applyFill="1" applyBorder="1" applyAlignment="1">
      <alignment vertical="center"/>
    </xf>
    <xf numFmtId="43" fontId="134" fillId="3" borderId="1" xfId="1" applyNumberFormat="1" applyFont="1" applyFill="1" applyBorder="1" applyAlignment="1">
      <alignment vertical="center" wrapText="1"/>
    </xf>
    <xf numFmtId="43" fontId="147" fillId="3" borderId="1" xfId="1" applyNumberFormat="1" applyFont="1" applyFill="1" applyBorder="1" applyAlignment="1">
      <alignment vertical="center" wrapText="1"/>
    </xf>
    <xf numFmtId="0" fontId="92" fillId="0" borderId="1" xfId="0" applyFont="1" applyFill="1" applyBorder="1" applyAlignment="1">
      <alignment vertical="center"/>
    </xf>
    <xf numFmtId="0" fontId="89" fillId="0" borderId="0" xfId="0" applyFont="1" applyFill="1" applyBorder="1" applyAlignment="1">
      <alignment horizontal="left" vertical="center"/>
    </xf>
    <xf numFmtId="0" fontId="90" fillId="0" borderId="0" xfId="0" applyFont="1" applyFill="1" applyBorder="1" applyAlignment="1">
      <alignment horizontal="left" vertical="center"/>
    </xf>
    <xf numFmtId="0" fontId="93" fillId="0" borderId="0" xfId="0" applyFont="1" applyFill="1" applyBorder="1" applyAlignment="1">
      <alignment horizontal="left" vertical="center"/>
    </xf>
    <xf numFmtId="165" fontId="90" fillId="0" borderId="0" xfId="1" applyNumberFormat="1" applyFont="1" applyFill="1" applyBorder="1">
      <alignment vertical="center"/>
    </xf>
    <xf numFmtId="165" fontId="91" fillId="0" borderId="0" xfId="1" applyNumberFormat="1" applyFont="1" applyFill="1" applyBorder="1">
      <alignment vertical="center"/>
    </xf>
    <xf numFmtId="0" fontId="90" fillId="0" borderId="0" xfId="0" applyFont="1" applyFill="1" applyBorder="1" applyAlignment="1">
      <alignment horizontal="center" vertical="center"/>
    </xf>
    <xf numFmtId="0" fontId="92" fillId="0" borderId="0" xfId="0" applyFont="1" applyFill="1" applyBorder="1">
      <alignment vertical="center"/>
    </xf>
    <xf numFmtId="0" fontId="89" fillId="3" borderId="1" xfId="0" applyFont="1" applyFill="1" applyBorder="1" applyAlignment="1">
      <alignment horizontal="left" vertical="center"/>
    </xf>
    <xf numFmtId="0" fontId="90" fillId="3" borderId="1" xfId="0" applyFont="1" applyFill="1" applyBorder="1" applyAlignment="1">
      <alignment horizontal="left" vertical="center"/>
    </xf>
    <xf numFmtId="0" fontId="93" fillId="3" borderId="1" xfId="0" applyFont="1" applyFill="1" applyBorder="1" applyAlignment="1">
      <alignment horizontal="left" vertical="center"/>
    </xf>
    <xf numFmtId="165" fontId="90" fillId="3" borderId="1" xfId="1" applyNumberFormat="1" applyFont="1" applyFill="1" applyBorder="1">
      <alignment vertical="center"/>
    </xf>
    <xf numFmtId="165" fontId="91" fillId="3" borderId="1" xfId="1" applyNumberFormat="1" applyFont="1" applyFill="1" applyBorder="1">
      <alignment vertical="center"/>
    </xf>
    <xf numFmtId="0" fontId="90" fillId="3" borderId="1" xfId="0" applyFont="1" applyFill="1" applyBorder="1" applyAlignment="1">
      <alignment horizontal="center" vertical="center"/>
    </xf>
    <xf numFmtId="0" fontId="92" fillId="3" borderId="1" xfId="0" applyFont="1" applyFill="1" applyBorder="1">
      <alignment vertical="center"/>
    </xf>
    <xf numFmtId="167" fontId="134" fillId="0" borderId="54" xfId="1" applyFont="1" applyBorder="1" applyAlignment="1">
      <alignment vertical="center" wrapText="1"/>
    </xf>
    <xf numFmtId="167" fontId="147" fillId="0" borderId="54" xfId="1" applyFont="1" applyBorder="1" applyAlignment="1">
      <alignment vertical="center" wrapText="1"/>
    </xf>
    <xf numFmtId="171" fontId="133" fillId="12" borderId="62" xfId="0" applyNumberFormat="1" applyFont="1" applyFill="1" applyBorder="1" applyAlignment="1"/>
    <xf numFmtId="0" fontId="133" fillId="12" borderId="55" xfId="0" applyFont="1" applyFill="1" applyBorder="1" applyAlignment="1">
      <alignment horizontal="center" vertical="center"/>
    </xf>
    <xf numFmtId="0" fontId="133" fillId="12" borderId="122" xfId="0" applyFont="1" applyFill="1" applyBorder="1" applyAlignment="1">
      <alignment horizontal="center" vertical="center"/>
    </xf>
    <xf numFmtId="0" fontId="133" fillId="12" borderId="55" xfId="0" applyFont="1" applyFill="1" applyBorder="1" applyAlignment="1">
      <alignment vertical="center"/>
    </xf>
    <xf numFmtId="43" fontId="134" fillId="12" borderId="55" xfId="158" applyFont="1" applyFill="1" applyBorder="1" applyAlignment="1">
      <alignment vertical="center" wrapText="1"/>
    </xf>
    <xf numFmtId="43" fontId="134" fillId="12" borderId="54" xfId="158" applyFont="1" applyFill="1" applyBorder="1" applyAlignment="1">
      <alignment vertical="center" wrapText="1"/>
    </xf>
    <xf numFmtId="43" fontId="147" fillId="12" borderId="54" xfId="158" applyFont="1" applyFill="1" applyBorder="1" applyAlignment="1">
      <alignment vertical="center" wrapText="1"/>
    </xf>
    <xf numFmtId="167" fontId="140" fillId="8" borderId="8" xfId="1" applyFont="1" applyFill="1" applyBorder="1" applyAlignment="1">
      <alignment horizontal="center" vertical="center"/>
    </xf>
    <xf numFmtId="167" fontId="135" fillId="0" borderId="54" xfId="1" applyFont="1" applyBorder="1" applyAlignment="1">
      <alignment vertical="center" wrapText="1"/>
    </xf>
    <xf numFmtId="0" fontId="133" fillId="0" borderId="54" xfId="0" applyFont="1" applyBorder="1" applyAlignment="1">
      <alignment horizontal="left" vertical="center"/>
    </xf>
    <xf numFmtId="49" fontId="99" fillId="8" borderId="1" xfId="0" quotePrefix="1" applyNumberFormat="1" applyFont="1" applyFill="1" applyBorder="1" applyAlignment="1">
      <alignment horizontal="center" vertical="center"/>
    </xf>
    <xf numFmtId="16" fontId="99" fillId="8" borderId="1" xfId="0" applyNumberFormat="1" applyFont="1" applyFill="1" applyBorder="1" applyAlignment="1">
      <alignment horizontal="center" vertical="center"/>
    </xf>
    <xf numFmtId="0" fontId="99" fillId="8" borderId="1" xfId="0" applyFont="1" applyFill="1" applyBorder="1" applyAlignment="1">
      <alignment horizontal="center" vertical="center"/>
    </xf>
    <xf numFmtId="0" fontId="100" fillId="8" borderId="1" xfId="0" applyFont="1" applyFill="1" applyBorder="1" applyAlignment="1">
      <alignment vertical="center" wrapText="1"/>
    </xf>
    <xf numFmtId="0" fontId="100" fillId="8" borderId="1" xfId="0" applyFont="1" applyFill="1" applyBorder="1" applyAlignment="1">
      <alignment vertical="center"/>
    </xf>
    <xf numFmtId="169" fontId="99" fillId="8" borderId="1" xfId="7" applyNumberFormat="1" applyFont="1" applyFill="1" applyBorder="1" applyAlignment="1">
      <alignment vertical="center"/>
    </xf>
    <xf numFmtId="169" fontId="142" fillId="8" borderId="1" xfId="7" applyNumberFormat="1" applyFont="1" applyFill="1" applyBorder="1" applyAlignment="1">
      <alignment vertical="center"/>
    </xf>
    <xf numFmtId="38" fontId="99" fillId="8" borderId="41" xfId="0" applyNumberFormat="1" applyFont="1" applyFill="1" applyBorder="1" applyAlignment="1">
      <alignment vertical="center"/>
    </xf>
    <xf numFmtId="171" fontId="133" fillId="0" borderId="2" xfId="0" applyNumberFormat="1" applyFont="1" applyBorder="1" applyAlignment="1"/>
    <xf numFmtId="0" fontId="133" fillId="0" borderId="3" xfId="0" applyFont="1" applyBorder="1" applyAlignment="1">
      <alignment horizontal="left" vertical="center"/>
    </xf>
    <xf numFmtId="0" fontId="133" fillId="0" borderId="3" xfId="0" applyFont="1" applyBorder="1" applyAlignment="1">
      <alignment vertical="center"/>
    </xf>
    <xf numFmtId="167" fontId="134" fillId="0" borderId="3" xfId="1" applyFont="1" applyBorder="1" applyAlignment="1">
      <alignment vertical="center" wrapText="1"/>
    </xf>
    <xf numFmtId="167" fontId="135" fillId="0" borderId="3" xfId="1" applyFont="1" applyBorder="1" applyAlignment="1">
      <alignment vertical="center" wrapText="1"/>
    </xf>
    <xf numFmtId="169" fontId="133" fillId="0" borderId="3" xfId="1" applyNumberFormat="1" applyFont="1" applyFill="1" applyBorder="1" applyAlignment="1"/>
    <xf numFmtId="169" fontId="133" fillId="0" borderId="3" xfId="158" applyNumberFormat="1" applyFont="1" applyBorder="1"/>
    <xf numFmtId="169" fontId="153" fillId="12" borderId="3" xfId="158" applyNumberFormat="1" applyFont="1" applyFill="1" applyBorder="1"/>
    <xf numFmtId="169" fontId="152" fillId="0" borderId="3" xfId="158" applyNumberFormat="1" applyFont="1" applyBorder="1"/>
    <xf numFmtId="167" fontId="133" fillId="0" borderId="3" xfId="1" applyFont="1" applyBorder="1" applyAlignment="1"/>
    <xf numFmtId="169" fontId="133" fillId="0" borderId="3" xfId="1" applyNumberFormat="1" applyFont="1" applyBorder="1" applyAlignment="1"/>
    <xf numFmtId="169" fontId="152" fillId="0" borderId="3" xfId="1" applyNumberFormat="1" applyFont="1" applyBorder="1" applyAlignment="1">
      <alignment horizontal="left"/>
    </xf>
    <xf numFmtId="169" fontId="152" fillId="0" borderId="3" xfId="1" applyNumberFormat="1" applyFont="1" applyBorder="1" applyAlignment="1">
      <alignment horizontal="left" wrapText="1"/>
    </xf>
    <xf numFmtId="169" fontId="152" fillId="0" borderId="3" xfId="1" applyNumberFormat="1" applyFont="1" applyBorder="1" applyAlignment="1"/>
    <xf numFmtId="38" fontId="99" fillId="5" borderId="1" xfId="160" applyNumberFormat="1" applyFont="1" applyFill="1" applyBorder="1" applyAlignment="1">
      <alignment vertical="center"/>
    </xf>
    <xf numFmtId="0" fontId="100" fillId="5" borderId="1" xfId="160" applyFont="1" applyFill="1" applyBorder="1" applyAlignment="1">
      <alignment vertical="center"/>
    </xf>
    <xf numFmtId="169" fontId="99" fillId="5" borderId="1" xfId="161" applyNumberFormat="1" applyFont="1" applyFill="1" applyBorder="1" applyAlignment="1">
      <alignment vertical="center"/>
    </xf>
    <xf numFmtId="16" fontId="99" fillId="5" borderId="1" xfId="160" applyNumberFormat="1" applyFont="1" applyFill="1" applyBorder="1" applyAlignment="1">
      <alignment horizontal="left" vertical="center"/>
    </xf>
    <xf numFmtId="16" fontId="99" fillId="5" borderId="1" xfId="160" applyNumberFormat="1" applyFont="1" applyFill="1" applyBorder="1" applyAlignment="1">
      <alignment horizontal="center" vertical="center"/>
    </xf>
    <xf numFmtId="0" fontId="99" fillId="5" borderId="1" xfId="160" applyFont="1" applyFill="1" applyBorder="1" applyAlignment="1">
      <alignment horizontal="center" vertical="center"/>
    </xf>
    <xf numFmtId="169" fontId="142" fillId="0" borderId="30" xfId="161" applyNumberFormat="1" applyFont="1" applyFill="1" applyBorder="1" applyAlignment="1">
      <alignment vertical="center"/>
    </xf>
    <xf numFmtId="49" fontId="99" fillId="5" borderId="1" xfId="160" quotePrefix="1" applyNumberFormat="1" applyFont="1" applyFill="1" applyBorder="1" applyAlignment="1">
      <alignment horizontal="center" vertical="center"/>
    </xf>
    <xf numFmtId="0" fontId="88" fillId="0" borderId="19" xfId="0" applyFont="1" applyFill="1" applyBorder="1" applyAlignment="1">
      <alignment horizontal="center" vertical="center"/>
    </xf>
    <xf numFmtId="0" fontId="92" fillId="0" borderId="19" xfId="0" applyFont="1" applyFill="1" applyBorder="1" applyAlignment="1">
      <alignment horizontal="center" vertical="center"/>
    </xf>
    <xf numFmtId="0" fontId="92" fillId="0" borderId="19" xfId="0" applyFont="1" applyFill="1" applyBorder="1" applyAlignment="1">
      <alignment vertical="center"/>
    </xf>
    <xf numFmtId="165" fontId="41" fillId="0" borderId="19" xfId="1" applyNumberFormat="1" applyFont="1" applyFill="1" applyBorder="1">
      <alignment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vertical="center"/>
    </xf>
    <xf numFmtId="165" fontId="43" fillId="0" borderId="48" xfId="1" applyNumberFormat="1" applyFont="1" applyBorder="1">
      <alignment vertical="center"/>
    </xf>
    <xf numFmtId="165" fontId="43" fillId="0" borderId="98" xfId="1" applyNumberFormat="1" applyFont="1" applyBorder="1">
      <alignment vertical="center"/>
    </xf>
    <xf numFmtId="16" fontId="94" fillId="0" borderId="0" xfId="1" applyNumberFormat="1" applyFont="1">
      <alignment vertical="center"/>
    </xf>
    <xf numFmtId="167" fontId="154" fillId="0" borderId="13" xfId="1" applyFont="1" applyFill="1" applyBorder="1">
      <alignment vertical="center"/>
    </xf>
    <xf numFmtId="49" fontId="99" fillId="5" borderId="123" xfId="0" applyNumberFormat="1" applyFont="1" applyFill="1" applyBorder="1" applyAlignment="1">
      <alignment horizontal="center" vertical="center"/>
    </xf>
    <xf numFmtId="16" fontId="99" fillId="5" borderId="19" xfId="0" applyNumberFormat="1" applyFont="1" applyFill="1" applyBorder="1" applyAlignment="1">
      <alignment horizontal="center" vertical="center"/>
    </xf>
    <xf numFmtId="16" fontId="99" fillId="5" borderId="19" xfId="0" applyNumberFormat="1" applyFont="1" applyFill="1" applyBorder="1" applyAlignment="1">
      <alignment horizontal="left" vertical="center"/>
    </xf>
    <xf numFmtId="0" fontId="100" fillId="5" borderId="19" xfId="0" applyFont="1" applyFill="1" applyBorder="1" applyAlignment="1">
      <alignment vertical="center"/>
    </xf>
    <xf numFmtId="169" fontId="99" fillId="5" borderId="19" xfId="7" applyNumberFormat="1" applyFont="1" applyFill="1" applyBorder="1" applyAlignment="1">
      <alignment vertical="center"/>
    </xf>
    <xf numFmtId="38" fontId="99" fillId="5" borderId="20" xfId="0" applyNumberFormat="1" applyFont="1" applyFill="1" applyBorder="1" applyAlignment="1">
      <alignment vertical="center"/>
    </xf>
    <xf numFmtId="169" fontId="133" fillId="0" borderId="0" xfId="1" applyNumberFormat="1" applyFont="1" applyAlignment="1"/>
    <xf numFmtId="167" fontId="133" fillId="0" borderId="0" xfId="1" applyFont="1" applyAlignment="1"/>
    <xf numFmtId="0" fontId="0" fillId="12" borderId="0" xfId="0" applyFill="1" applyAlignment="1"/>
    <xf numFmtId="167" fontId="99" fillId="5" borderId="0" xfId="1" applyFont="1" applyFill="1" applyAlignment="1">
      <alignment vertical="center"/>
    </xf>
    <xf numFmtId="16" fontId="99" fillId="8" borderId="1" xfId="0" applyNumberFormat="1" applyFont="1" applyFill="1" applyBorder="1" applyAlignment="1">
      <alignment horizontal="left" vertical="center"/>
    </xf>
    <xf numFmtId="16" fontId="99" fillId="12" borderId="1" xfId="0" applyNumberFormat="1" applyFont="1" applyFill="1" applyBorder="1" applyAlignment="1">
      <alignment horizontal="left" vertical="center"/>
    </xf>
    <xf numFmtId="0" fontId="93" fillId="26" borderId="1" xfId="0" applyFont="1" applyFill="1" applyBorder="1" applyAlignment="1">
      <alignment horizontal="left" vertical="center"/>
    </xf>
    <xf numFmtId="0" fontId="155" fillId="26" borderId="1" xfId="0" applyFont="1" applyFill="1" applyBorder="1" applyAlignment="1">
      <alignment horizontal="left" vertical="center"/>
    </xf>
    <xf numFmtId="165" fontId="93" fillId="26" borderId="1" xfId="1" applyNumberFormat="1" applyFont="1" applyFill="1" applyBorder="1">
      <alignment vertical="center"/>
    </xf>
    <xf numFmtId="165" fontId="141" fillId="26" borderId="1" xfId="1" applyNumberFormat="1" applyFont="1" applyFill="1" applyBorder="1">
      <alignment vertical="center"/>
    </xf>
    <xf numFmtId="0" fontId="93" fillId="26" borderId="1" xfId="0" applyFont="1" applyFill="1" applyBorder="1" applyAlignment="1">
      <alignment horizontal="center" vertical="center"/>
    </xf>
    <xf numFmtId="0" fontId="87" fillId="26" borderId="1" xfId="0" applyFont="1" applyFill="1" applyBorder="1">
      <alignment vertical="center"/>
    </xf>
    <xf numFmtId="0" fontId="87" fillId="0" borderId="0" xfId="0" applyFont="1" applyFill="1">
      <alignment vertical="center"/>
    </xf>
    <xf numFmtId="0" fontId="88" fillId="0" borderId="3" xfId="0" applyFont="1" applyFill="1" applyBorder="1" applyAlignment="1">
      <alignment horizontal="center" vertical="center"/>
    </xf>
    <xf numFmtId="0" fontId="92" fillId="0" borderId="3" xfId="0" applyFont="1" applyFill="1" applyBorder="1" applyAlignment="1">
      <alignment horizontal="center" vertical="center"/>
    </xf>
    <xf numFmtId="0" fontId="92" fillId="0" borderId="3" xfId="0" applyFont="1" applyFill="1" applyBorder="1" applyAlignment="1">
      <alignment vertical="center"/>
    </xf>
    <xf numFmtId="165" fontId="41" fillId="0" borderId="3" xfId="1" applyNumberFormat="1" applyFont="1" applyFill="1" applyBorder="1">
      <alignment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0" fontId="155" fillId="3" borderId="19" xfId="0" applyFont="1" applyFill="1" applyBorder="1" applyAlignment="1">
      <alignment horizontal="left" vertical="center"/>
    </xf>
    <xf numFmtId="0" fontId="93" fillId="3" borderId="19" xfId="0" applyFont="1" applyFill="1" applyBorder="1" applyAlignment="1">
      <alignment horizontal="left" vertical="center"/>
    </xf>
    <xf numFmtId="165" fontId="93" fillId="3" borderId="19" xfId="1" applyNumberFormat="1" applyFont="1" applyFill="1" applyBorder="1">
      <alignment vertical="center"/>
    </xf>
    <xf numFmtId="165" fontId="141" fillId="3" borderId="19" xfId="1" applyNumberFormat="1" applyFont="1" applyFill="1" applyBorder="1">
      <alignment vertical="center"/>
    </xf>
    <xf numFmtId="0" fontId="93" fillId="3" borderId="19" xfId="0" applyFont="1" applyFill="1" applyBorder="1" applyAlignment="1">
      <alignment horizontal="center" vertical="center"/>
    </xf>
    <xf numFmtId="0" fontId="87" fillId="3" borderId="19" xfId="0" applyFont="1" applyFill="1" applyBorder="1">
      <alignment vertical="center"/>
    </xf>
    <xf numFmtId="0" fontId="92" fillId="26" borderId="5" xfId="0" applyFont="1" applyFill="1" applyBorder="1" applyAlignment="1">
      <alignment horizontal="left" vertical="center"/>
    </xf>
    <xf numFmtId="165" fontId="87" fillId="26" borderId="5" xfId="1" applyNumberFormat="1" applyFont="1" applyFill="1" applyBorder="1">
      <alignment vertical="center"/>
    </xf>
    <xf numFmtId="165" fontId="141" fillId="26" borderId="5" xfId="1" applyNumberFormat="1" applyFont="1" applyFill="1" applyBorder="1">
      <alignment vertical="center"/>
    </xf>
    <xf numFmtId="0" fontId="92" fillId="26" borderId="7" xfId="0" applyFont="1" applyFill="1" applyBorder="1">
      <alignment vertical="center"/>
    </xf>
    <xf numFmtId="0" fontId="51" fillId="0" borderId="41" xfId="0" applyFont="1" applyFill="1" applyBorder="1" applyAlignment="1">
      <alignment horizontal="center" vertical="center"/>
    </xf>
    <xf numFmtId="0" fontId="47" fillId="3" borderId="5" xfId="0" applyFont="1" applyFill="1" applyBorder="1" applyAlignment="1">
      <alignment horizontal="center" vertical="center"/>
    </xf>
    <xf numFmtId="0" fontId="41" fillId="0" borderId="57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43" fillId="9" borderId="57" xfId="0" applyFont="1" applyFill="1" applyBorder="1" applyAlignment="1">
      <alignment horizontal="center" vertical="center"/>
    </xf>
    <xf numFmtId="0" fontId="41" fillId="3" borderId="57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51" fillId="0" borderId="57" xfId="0" applyFont="1" applyFill="1" applyBorder="1" applyAlignment="1">
      <alignment horizontal="center" vertical="center"/>
    </xf>
    <xf numFmtId="0" fontId="52" fillId="0" borderId="57" xfId="0" applyFont="1" applyFill="1" applyBorder="1" applyAlignment="1">
      <alignment horizontal="center" vertical="center"/>
    </xf>
    <xf numFmtId="0" fontId="45" fillId="9" borderId="5" xfId="0" applyFont="1" applyFill="1" applyBorder="1" applyAlignment="1">
      <alignment vertical="center"/>
    </xf>
    <xf numFmtId="0" fontId="45" fillId="3" borderId="124" xfId="0" applyFont="1" applyFill="1" applyBorder="1" applyAlignment="1">
      <alignment vertical="center"/>
    </xf>
    <xf numFmtId="0" fontId="41" fillId="0" borderId="41" xfId="0" applyFont="1" applyFill="1" applyBorder="1" applyAlignment="1">
      <alignment horizontal="left" vertical="center"/>
    </xf>
    <xf numFmtId="0" fontId="27" fillId="0" borderId="50" xfId="0" applyFont="1" applyFill="1" applyBorder="1" applyAlignment="1">
      <alignment horizontal="left" vertical="center"/>
    </xf>
    <xf numFmtId="0" fontId="57" fillId="0" borderId="41" xfId="0" applyFont="1" applyFill="1" applyBorder="1" applyAlignment="1">
      <alignment horizontal="left" vertical="center"/>
    </xf>
    <xf numFmtId="0" fontId="27" fillId="0" borderId="41" xfId="0" applyFont="1" applyFill="1" applyBorder="1" applyAlignment="1">
      <alignment horizontal="left" vertical="center"/>
    </xf>
    <xf numFmtId="0" fontId="43" fillId="3" borderId="125" xfId="0" applyFont="1" applyFill="1" applyBorder="1" applyAlignment="1">
      <alignment vertical="center"/>
    </xf>
    <xf numFmtId="0" fontId="45" fillId="9" borderId="76" xfId="0" applyFont="1" applyFill="1" applyBorder="1" applyAlignment="1">
      <alignment vertical="center"/>
    </xf>
    <xf numFmtId="0" fontId="45" fillId="3" borderId="75" xfId="0" applyFont="1" applyFill="1" applyBorder="1" applyAlignment="1">
      <alignment vertical="center"/>
    </xf>
    <xf numFmtId="0" fontId="41" fillId="26" borderId="46" xfId="0" applyFont="1" applyFill="1" applyBorder="1" applyAlignment="1">
      <alignment horizontal="left" vertical="center"/>
    </xf>
    <xf numFmtId="0" fontId="41" fillId="3" borderId="50" xfId="0" applyFont="1" applyFill="1" applyBorder="1" applyAlignment="1">
      <alignment horizontal="left" vertical="center"/>
    </xf>
    <xf numFmtId="0" fontId="47" fillId="3" borderId="75" xfId="0" applyFont="1" applyFill="1" applyBorder="1" applyAlignment="1">
      <alignment horizontal="center" vertical="center"/>
    </xf>
    <xf numFmtId="0" fontId="41" fillId="0" borderId="46" xfId="0" applyFont="1" applyFill="1" applyBorder="1" applyAlignment="1">
      <alignment horizontal="center" vertical="center"/>
    </xf>
    <xf numFmtId="0" fontId="41" fillId="0" borderId="76" xfId="0" applyFont="1" applyFill="1" applyBorder="1" applyAlignment="1">
      <alignment horizontal="center" vertical="center"/>
    </xf>
    <xf numFmtId="0" fontId="41" fillId="0" borderId="50" xfId="0" applyFont="1" applyFill="1" applyBorder="1" applyAlignment="1">
      <alignment horizontal="center" vertical="center"/>
    </xf>
    <xf numFmtId="0" fontId="41" fillId="0" borderId="76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3" fillId="9" borderId="46" xfId="0" applyFont="1" applyFill="1" applyBorder="1" applyAlignment="1">
      <alignment horizontal="center" vertical="center"/>
    </xf>
    <xf numFmtId="0" fontId="41" fillId="3" borderId="46" xfId="0" applyFont="1" applyFill="1" applyBorder="1" applyAlignment="1">
      <alignment horizontal="center" vertical="center"/>
    </xf>
    <xf numFmtId="0" fontId="41" fillId="0" borderId="75" xfId="0" applyFont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/>
    </xf>
    <xf numFmtId="0" fontId="51" fillId="0" borderId="46" xfId="0" applyFont="1" applyFill="1" applyBorder="1" applyAlignment="1">
      <alignment horizontal="center" vertical="center"/>
    </xf>
    <xf numFmtId="0" fontId="46" fillId="0" borderId="46" xfId="0" applyFont="1" applyFill="1" applyBorder="1" applyAlignment="1">
      <alignment horizontal="center" vertical="center"/>
    </xf>
    <xf numFmtId="0" fontId="52" fillId="0" borderId="46" xfId="0" applyFont="1" applyFill="1" applyBorder="1" applyAlignment="1">
      <alignment horizontal="center" vertical="center"/>
    </xf>
    <xf numFmtId="0" fontId="51" fillId="0" borderId="46" xfId="0" applyFont="1" applyFill="1" applyBorder="1" applyAlignment="1">
      <alignment horizontal="right" vertical="center"/>
    </xf>
    <xf numFmtId="0" fontId="45" fillId="9" borderId="75" xfId="0" applyFont="1" applyFill="1" applyBorder="1" applyAlignment="1">
      <alignment vertical="center"/>
    </xf>
    <xf numFmtId="0" fontId="45" fillId="3" borderId="6" xfId="0" applyFont="1" applyFill="1" applyBorder="1" applyAlignment="1">
      <alignment vertical="center"/>
    </xf>
    <xf numFmtId="0" fontId="87" fillId="3" borderId="19" xfId="0" applyFont="1" applyFill="1" applyBorder="1" applyAlignment="1">
      <alignment horizontal="left" vertical="center"/>
    </xf>
    <xf numFmtId="0" fontId="46" fillId="3" borderId="5" xfId="0" applyFont="1" applyFill="1" applyBorder="1" applyAlignment="1">
      <alignment horizontal="center" vertical="center"/>
    </xf>
    <xf numFmtId="0" fontId="45" fillId="9" borderId="5" xfId="0" applyFont="1" applyFill="1" applyBorder="1" applyAlignment="1">
      <alignment horizontal="center" vertical="center"/>
    </xf>
    <xf numFmtId="0" fontId="43" fillId="3" borderId="33" xfId="0" applyFont="1" applyFill="1" applyBorder="1" applyAlignment="1">
      <alignment vertical="center"/>
    </xf>
    <xf numFmtId="0" fontId="45" fillId="9" borderId="25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vertical="center"/>
    </xf>
    <xf numFmtId="0" fontId="87" fillId="26" borderId="57" xfId="0" applyFont="1" applyFill="1" applyBorder="1" applyAlignment="1">
      <alignment horizontal="center" vertical="center"/>
    </xf>
    <xf numFmtId="0" fontId="41" fillId="3" borderId="19" xfId="0" applyFont="1" applyFill="1" applyBorder="1" applyAlignment="1">
      <alignment horizontal="left" vertical="center"/>
    </xf>
    <xf numFmtId="0" fontId="51" fillId="0" borderId="101" xfId="0" applyFont="1" applyFill="1" applyBorder="1" applyAlignment="1">
      <alignment horizontal="center" vertical="center"/>
    </xf>
    <xf numFmtId="0" fontId="52" fillId="0" borderId="101" xfId="0" applyFont="1" applyFill="1" applyBorder="1" applyAlignment="1">
      <alignment horizontal="center" vertical="center"/>
    </xf>
    <xf numFmtId="0" fontId="41" fillId="9" borderId="41" xfId="0" applyFont="1" applyFill="1" applyBorder="1" applyAlignment="1">
      <alignment vertical="center"/>
    </xf>
    <xf numFmtId="0" fontId="41" fillId="0" borderId="41" xfId="0" applyFont="1" applyFill="1" applyBorder="1">
      <alignment vertical="center"/>
    </xf>
    <xf numFmtId="0" fontId="41" fillId="3" borderId="41" xfId="0" applyFont="1" applyFill="1" applyBorder="1" applyAlignment="1">
      <alignment vertical="center"/>
    </xf>
    <xf numFmtId="0" fontId="43" fillId="9" borderId="75" xfId="0" applyFont="1" applyFill="1" applyBorder="1" applyAlignment="1">
      <alignment horizontal="center" vertical="center"/>
    </xf>
    <xf numFmtId="0" fontId="44" fillId="0" borderId="46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41" fillId="9" borderId="46" xfId="0" applyFont="1" applyFill="1" applyBorder="1" applyAlignment="1">
      <alignment horizontal="center" vertical="center"/>
    </xf>
    <xf numFmtId="0" fontId="41" fillId="3" borderId="76" xfId="0" applyFont="1" applyFill="1" applyBorder="1" applyAlignment="1">
      <alignment horizontal="center" vertical="center"/>
    </xf>
    <xf numFmtId="0" fontId="41" fillId="0" borderId="50" xfId="0" applyFont="1" applyBorder="1">
      <alignment vertical="center"/>
    </xf>
    <xf numFmtId="0" fontId="41" fillId="9" borderId="95" xfId="0" applyFont="1" applyFill="1" applyBorder="1" applyAlignment="1">
      <alignment horizontal="center" vertical="center"/>
    </xf>
    <xf numFmtId="165" fontId="51" fillId="0" borderId="41" xfId="1" applyNumberFormat="1" applyFont="1" applyFill="1" applyBorder="1" applyAlignment="1">
      <alignment horizontal="center" vertical="center"/>
    </xf>
    <xf numFmtId="165" fontId="41" fillId="0" borderId="41" xfId="1" applyNumberFormat="1" applyFont="1" applyFill="1" applyBorder="1">
      <alignment vertical="center"/>
    </xf>
    <xf numFmtId="165" fontId="53" fillId="0" borderId="41" xfId="1" applyNumberFormat="1" applyFont="1" applyFill="1" applyBorder="1">
      <alignment vertical="center"/>
    </xf>
    <xf numFmtId="165" fontId="57" fillId="0" borderId="41" xfId="1" applyNumberFormat="1" applyFont="1" applyFill="1" applyBorder="1">
      <alignment vertical="center"/>
    </xf>
    <xf numFmtId="165" fontId="47" fillId="3" borderId="75" xfId="1" applyNumberFormat="1" applyFont="1" applyFill="1" applyBorder="1" applyAlignment="1">
      <alignment horizontal="center" vertical="center"/>
    </xf>
    <xf numFmtId="165" fontId="41" fillId="0" borderId="46" xfId="1" applyNumberFormat="1" applyFont="1" applyBorder="1">
      <alignment vertical="center"/>
    </xf>
    <xf numFmtId="165" fontId="41" fillId="0" borderId="76" xfId="1" applyNumberFormat="1" applyFont="1" applyBorder="1">
      <alignment vertical="center"/>
    </xf>
    <xf numFmtId="169" fontId="42" fillId="0" borderId="50" xfId="1" applyNumberFormat="1" applyFont="1" applyBorder="1" applyAlignment="1"/>
    <xf numFmtId="165" fontId="41" fillId="0" borderId="50" xfId="1" applyNumberFormat="1" applyFont="1" applyBorder="1">
      <alignment vertical="center"/>
    </xf>
    <xf numFmtId="165" fontId="43" fillId="9" borderId="46" xfId="1" applyNumberFormat="1" applyFont="1" applyFill="1" applyBorder="1">
      <alignment vertical="center"/>
    </xf>
    <xf numFmtId="165" fontId="41" fillId="3" borderId="46" xfId="1" applyNumberFormat="1" applyFont="1" applyFill="1" applyBorder="1">
      <alignment vertical="center"/>
    </xf>
    <xf numFmtId="165" fontId="41" fillId="0" borderId="75" xfId="1" applyNumberFormat="1" applyFont="1" applyBorder="1">
      <alignment vertical="center"/>
    </xf>
    <xf numFmtId="0" fontId="44" fillId="0" borderId="41" xfId="0" applyFont="1" applyBorder="1" applyAlignment="1">
      <alignment horizontal="center" vertical="center"/>
    </xf>
    <xf numFmtId="0" fontId="41" fillId="0" borderId="41" xfId="0" applyFont="1" applyFill="1" applyBorder="1" applyAlignment="1">
      <alignment horizontal="center" vertical="center"/>
    </xf>
    <xf numFmtId="0" fontId="41" fillId="3" borderId="41" xfId="0" applyFont="1" applyFill="1" applyBorder="1" applyAlignment="1">
      <alignment horizontal="center" vertical="center"/>
    </xf>
    <xf numFmtId="0" fontId="27" fillId="0" borderId="95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1" fillId="26" borderId="46" xfId="0" applyFont="1" applyFill="1" applyBorder="1" applyAlignment="1">
      <alignment horizontal="center" vertical="center"/>
    </xf>
    <xf numFmtId="0" fontId="41" fillId="3" borderId="50" xfId="0" applyFont="1" applyFill="1" applyBorder="1" applyAlignment="1">
      <alignment horizontal="center" vertical="center"/>
    </xf>
    <xf numFmtId="165" fontId="47" fillId="3" borderId="5" xfId="1" applyNumberFormat="1" applyFont="1" applyFill="1" applyBorder="1" applyAlignment="1">
      <alignment horizontal="center" vertical="center"/>
    </xf>
    <xf numFmtId="165" fontId="41" fillId="0" borderId="57" xfId="1" applyNumberFormat="1" applyFont="1" applyBorder="1">
      <alignment vertical="center"/>
    </xf>
    <xf numFmtId="165" fontId="41" fillId="0" borderId="25" xfId="1" applyNumberFormat="1" applyFont="1" applyBorder="1">
      <alignment vertical="center"/>
    </xf>
    <xf numFmtId="169" fontId="49" fillId="0" borderId="3" xfId="1" applyNumberFormat="1" applyFont="1" applyBorder="1" applyAlignment="1"/>
    <xf numFmtId="165" fontId="41" fillId="0" borderId="3" xfId="1" applyNumberFormat="1" applyFont="1" applyBorder="1">
      <alignment vertical="center"/>
    </xf>
    <xf numFmtId="165" fontId="43" fillId="9" borderId="57" xfId="1" applyNumberFormat="1" applyFont="1" applyFill="1" applyBorder="1">
      <alignment vertical="center"/>
    </xf>
    <xf numFmtId="165" fontId="41" fillId="3" borderId="57" xfId="1" applyNumberFormat="1" applyFont="1" applyFill="1" applyBorder="1">
      <alignment vertical="center"/>
    </xf>
    <xf numFmtId="165" fontId="41" fillId="0" borderId="5" xfId="1" applyNumberFormat="1" applyFont="1" applyBorder="1">
      <alignment vertical="center"/>
    </xf>
    <xf numFmtId="165" fontId="51" fillId="0" borderId="57" xfId="1" applyNumberFormat="1" applyFont="1" applyFill="1" applyBorder="1" applyAlignment="1">
      <alignment horizontal="center" vertical="center"/>
    </xf>
    <xf numFmtId="165" fontId="52" fillId="0" borderId="57" xfId="1" applyNumberFormat="1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vertical="center"/>
    </xf>
    <xf numFmtId="165" fontId="43" fillId="9" borderId="22" xfId="1" applyNumberFormat="1" applyFont="1" applyFill="1" applyBorder="1">
      <alignment vertical="center"/>
    </xf>
    <xf numFmtId="165" fontId="55" fillId="3" borderId="19" xfId="1" applyNumberFormat="1" applyFont="1" applyFill="1" applyBorder="1">
      <alignment vertical="center"/>
    </xf>
    <xf numFmtId="165" fontId="51" fillId="0" borderId="46" xfId="1" applyNumberFormat="1" applyFont="1" applyFill="1" applyBorder="1" applyAlignment="1">
      <alignment horizontal="center" vertical="center"/>
    </xf>
    <xf numFmtId="165" fontId="46" fillId="0" borderId="46" xfId="1" applyNumberFormat="1" applyFont="1" applyFill="1" applyBorder="1" applyAlignment="1">
      <alignment horizontal="center" vertical="center"/>
    </xf>
    <xf numFmtId="165" fontId="52" fillId="0" borderId="46" xfId="1" applyNumberFormat="1" applyFont="1" applyFill="1" applyBorder="1" applyAlignment="1">
      <alignment horizontal="center" vertical="center"/>
    </xf>
    <xf numFmtId="165" fontId="43" fillId="3" borderId="76" xfId="1" applyNumberFormat="1" applyFont="1" applyFill="1" applyBorder="1">
      <alignment vertical="center"/>
    </xf>
    <xf numFmtId="165" fontId="43" fillId="9" borderId="95" xfId="1" applyNumberFormat="1" applyFont="1" applyFill="1" applyBorder="1">
      <alignment vertical="center"/>
    </xf>
    <xf numFmtId="165" fontId="27" fillId="0" borderId="95" xfId="1" applyNumberFormat="1" applyFont="1" applyFill="1" applyBorder="1">
      <alignment vertical="center"/>
    </xf>
    <xf numFmtId="165" fontId="27" fillId="0" borderId="41" xfId="1" applyNumberFormat="1" applyFont="1" applyFill="1" applyBorder="1">
      <alignment vertical="center"/>
    </xf>
    <xf numFmtId="165" fontId="87" fillId="3" borderId="123" xfId="1" applyNumberFormat="1" applyFont="1" applyFill="1" applyBorder="1">
      <alignment vertical="center"/>
    </xf>
    <xf numFmtId="0" fontId="42" fillId="0" borderId="57" xfId="0" applyFont="1" applyFill="1" applyBorder="1" applyAlignment="1">
      <alignment vertical="center"/>
    </xf>
    <xf numFmtId="0" fontId="41" fillId="0" borderId="25" xfId="0" applyFont="1" applyFill="1" applyBorder="1" applyAlignment="1">
      <alignment vertical="center"/>
    </xf>
    <xf numFmtId="0" fontId="41" fillId="0" borderId="57" xfId="0" applyFont="1" applyFill="1" applyBorder="1" applyAlignment="1">
      <alignment vertical="center"/>
    </xf>
    <xf numFmtId="0" fontId="41" fillId="0" borderId="25" xfId="0" applyFont="1" applyFill="1" applyBorder="1" applyAlignment="1">
      <alignment vertical="center" wrapText="1"/>
    </xf>
    <xf numFmtId="0" fontId="41" fillId="0" borderId="3" xfId="0" applyFont="1" applyFill="1" applyBorder="1" applyAlignment="1">
      <alignment vertical="center" wrapText="1"/>
    </xf>
    <xf numFmtId="0" fontId="41" fillId="0" borderId="25" xfId="0" applyFont="1" applyBorder="1" applyAlignment="1">
      <alignment vertical="center" wrapText="1"/>
    </xf>
    <xf numFmtId="0" fontId="41" fillId="0" borderId="57" xfId="0" applyFont="1" applyBorder="1" applyAlignment="1">
      <alignment vertical="center" wrapText="1"/>
    </xf>
    <xf numFmtId="0" fontId="43" fillId="9" borderId="57" xfId="0" applyFont="1" applyFill="1" applyBorder="1" applyAlignment="1">
      <alignment vertical="center" wrapText="1"/>
    </xf>
    <xf numFmtId="0" fontId="41" fillId="3" borderId="57" xfId="0" applyFont="1" applyFill="1" applyBorder="1" applyAlignment="1">
      <alignment vertical="center" wrapText="1"/>
    </xf>
    <xf numFmtId="0" fontId="41" fillId="0" borderId="5" xfId="0" applyFont="1" applyBorder="1" applyAlignment="1">
      <alignment vertical="center" wrapText="1"/>
    </xf>
    <xf numFmtId="0" fontId="41" fillId="0" borderId="3" xfId="0" applyFont="1" applyBorder="1">
      <alignment vertical="center"/>
    </xf>
    <xf numFmtId="0" fontId="88" fillId="9" borderId="25" xfId="0" applyFont="1" applyFill="1" applyBorder="1" applyAlignment="1">
      <alignment vertical="center"/>
    </xf>
    <xf numFmtId="0" fontId="87" fillId="26" borderId="57" xfId="0" applyFont="1" applyFill="1" applyBorder="1" applyAlignment="1">
      <alignment horizontal="left" vertical="center"/>
    </xf>
    <xf numFmtId="0" fontId="43" fillId="3" borderId="19" xfId="0" applyFont="1" applyFill="1" applyBorder="1" applyAlignment="1">
      <alignment horizontal="left" vertical="center"/>
    </xf>
    <xf numFmtId="0" fontId="140" fillId="25" borderId="21" xfId="0" applyFont="1" applyFill="1" applyBorder="1" applyAlignment="1">
      <alignment horizontal="center" vertical="center"/>
    </xf>
    <xf numFmtId="167" fontId="140" fillId="25" borderId="21" xfId="1" applyFont="1" applyFill="1" applyBorder="1" applyAlignment="1">
      <alignment horizontal="center" vertical="center"/>
    </xf>
    <xf numFmtId="167" fontId="140" fillId="25" borderId="8" xfId="1" applyFont="1" applyFill="1" applyBorder="1" applyAlignment="1">
      <alignment horizontal="center" vertical="center"/>
    </xf>
    <xf numFmtId="0" fontId="97" fillId="5" borderId="0" xfId="0" applyFont="1" applyFill="1" applyBorder="1" applyAlignment="1">
      <alignment horizontal="center" vertical="center"/>
    </xf>
    <xf numFmtId="3" fontId="97" fillId="5" borderId="0" xfId="0" applyNumberFormat="1" applyFont="1" applyFill="1" applyBorder="1" applyAlignment="1">
      <alignment horizontal="center" vertical="center"/>
    </xf>
    <xf numFmtId="0" fontId="99" fillId="0" borderId="0" xfId="0" applyFont="1" applyFill="1" applyBorder="1" applyAlignment="1">
      <alignment vertical="center"/>
    </xf>
    <xf numFmtId="0" fontId="97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 wrapText="1"/>
    </xf>
    <xf numFmtId="0" fontId="99" fillId="5" borderId="1" xfId="5" applyFont="1" applyFill="1" applyBorder="1" applyAlignment="1">
      <alignment vertical="center"/>
    </xf>
    <xf numFmtId="38" fontId="97" fillId="5" borderId="1" xfId="0" applyNumberFormat="1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vertical="center"/>
    </xf>
    <xf numFmtId="0" fontId="97" fillId="2" borderId="1" xfId="0" applyFont="1" applyFill="1" applyBorder="1" applyAlignment="1">
      <alignment horizontal="center" vertical="center"/>
    </xf>
    <xf numFmtId="0" fontId="97" fillId="25" borderId="1" xfId="0" applyFont="1" applyFill="1" applyBorder="1" applyAlignment="1">
      <alignment horizontal="center" vertical="center"/>
    </xf>
    <xf numFmtId="0" fontId="99" fillId="25" borderId="1" xfId="0" applyFont="1" applyFill="1" applyBorder="1" applyAlignment="1">
      <alignment vertical="center"/>
    </xf>
    <xf numFmtId="0" fontId="97" fillId="2" borderId="1" xfId="0" applyFont="1" applyFill="1" applyBorder="1" applyAlignment="1">
      <alignment vertical="center"/>
    </xf>
    <xf numFmtId="14" fontId="126" fillId="0" borderId="1" xfId="0" applyNumberFormat="1" applyFont="1" applyFill="1" applyBorder="1" applyAlignment="1">
      <alignment horizontal="left" vertical="center"/>
    </xf>
    <xf numFmtId="14" fontId="97" fillId="0" borderId="1" xfId="0" applyNumberFormat="1" applyFont="1" applyFill="1" applyBorder="1" applyAlignment="1">
      <alignment horizontal="center" vertical="center" wrapText="1"/>
    </xf>
    <xf numFmtId="0" fontId="97" fillId="0" borderId="0" xfId="0" applyFont="1" applyFill="1" applyBorder="1" applyAlignment="1">
      <alignment horizontal="center" vertical="center"/>
    </xf>
    <xf numFmtId="3" fontId="97" fillId="0" borderId="0" xfId="0" applyNumberFormat="1" applyFont="1" applyFill="1" applyBorder="1" applyAlignment="1">
      <alignment horizontal="center" vertical="center"/>
    </xf>
    <xf numFmtId="0" fontId="99" fillId="0" borderId="0" xfId="5" applyFont="1" applyFill="1" applyAlignment="1">
      <alignment vertical="center"/>
    </xf>
    <xf numFmtId="14" fontId="134" fillId="25" borderId="1" xfId="0" applyNumberFormat="1" applyFont="1" applyFill="1" applyBorder="1" applyAlignment="1">
      <alignment horizontal="left" vertical="center"/>
    </xf>
    <xf numFmtId="16" fontId="142" fillId="5" borderId="1" xfId="0" applyNumberFormat="1" applyFont="1" applyFill="1" applyBorder="1" applyAlignment="1">
      <alignment horizontal="left" vertical="center"/>
    </xf>
    <xf numFmtId="38" fontId="101" fillId="5" borderId="50" xfId="0" applyNumberFormat="1" applyFont="1" applyFill="1" applyBorder="1" applyAlignment="1">
      <alignment vertical="center"/>
    </xf>
    <xf numFmtId="169" fontId="97" fillId="30" borderId="1" xfId="7" applyNumberFormat="1" applyFont="1" applyFill="1" applyBorder="1" applyAlignment="1">
      <alignment vertical="center"/>
    </xf>
    <xf numFmtId="169" fontId="142" fillId="30" borderId="1" xfId="7" applyNumberFormat="1" applyFont="1" applyFill="1" applyBorder="1" applyAlignment="1">
      <alignment vertical="center"/>
    </xf>
    <xf numFmtId="172" fontId="97" fillId="2" borderId="1" xfId="5" applyNumberFormat="1" applyFont="1" applyFill="1" applyBorder="1" applyAlignment="1">
      <alignment vertical="center"/>
    </xf>
    <xf numFmtId="172" fontId="97" fillId="25" borderId="1" xfId="5" applyNumberFormat="1" applyFont="1" applyFill="1" applyBorder="1" applyAlignment="1">
      <alignment vertical="center"/>
    </xf>
    <xf numFmtId="0" fontId="97" fillId="2" borderId="1" xfId="0" applyFont="1" applyFill="1" applyBorder="1" applyAlignment="1">
      <alignment horizontal="center" vertical="center" wrapText="1"/>
    </xf>
    <xf numFmtId="3" fontId="97" fillId="25" borderId="1" xfId="0" applyNumberFormat="1" applyFont="1" applyFill="1" applyBorder="1" applyAlignment="1">
      <alignment horizontal="center" vertical="center" wrapText="1"/>
    </xf>
    <xf numFmtId="172" fontId="97" fillId="0" borderId="0" xfId="0" applyNumberFormat="1" applyFont="1" applyFill="1" applyAlignment="1">
      <alignment vertical="center"/>
    </xf>
    <xf numFmtId="171" fontId="156" fillId="0" borderId="62" xfId="0" applyNumberFormat="1" applyFont="1" applyBorder="1" applyAlignment="1"/>
    <xf numFmtId="0" fontId="156" fillId="0" borderId="55" xfId="0" applyFont="1" applyBorder="1" applyAlignment="1">
      <alignment horizontal="center" vertical="center"/>
    </xf>
    <xf numFmtId="0" fontId="156" fillId="0" borderId="122" xfId="0" applyFont="1" applyBorder="1" applyAlignment="1">
      <alignment horizontal="center" vertical="center"/>
    </xf>
    <xf numFmtId="0" fontId="156" fillId="0" borderId="54" xfId="0" applyFont="1" applyBorder="1" applyAlignment="1">
      <alignment horizontal="center" vertical="center"/>
    </xf>
    <xf numFmtId="0" fontId="156" fillId="0" borderId="54" xfId="0" applyFont="1" applyBorder="1" applyAlignment="1">
      <alignment vertical="center"/>
    </xf>
    <xf numFmtId="167" fontId="156" fillId="0" borderId="54" xfId="1" applyFont="1" applyBorder="1" applyAlignment="1">
      <alignment vertical="center" wrapText="1"/>
    </xf>
    <xf numFmtId="167" fontId="157" fillId="0" borderId="54" xfId="1" applyFont="1" applyBorder="1" applyAlignment="1">
      <alignment vertical="center" wrapText="1"/>
    </xf>
    <xf numFmtId="167" fontId="158" fillId="0" borderId="0" xfId="1" applyFont="1" applyAlignment="1"/>
    <xf numFmtId="0" fontId="156" fillId="0" borderId="55" xfId="0" applyFont="1" applyBorder="1" applyAlignment="1">
      <alignment vertical="center"/>
    </xf>
    <xf numFmtId="167" fontId="156" fillId="0" borderId="55" xfId="1" applyFont="1" applyBorder="1" applyAlignment="1">
      <alignment vertical="center" wrapText="1"/>
    </xf>
    <xf numFmtId="16" fontId="97" fillId="5" borderId="0" xfId="0" applyNumberFormat="1" applyFont="1" applyFill="1" applyBorder="1" applyAlignment="1">
      <alignment horizontal="center" vertical="center"/>
    </xf>
    <xf numFmtId="49" fontId="99" fillId="3" borderId="9" xfId="0" applyNumberFormat="1" applyFont="1" applyFill="1" applyBorder="1" applyAlignment="1">
      <alignment horizontal="center" vertical="center"/>
    </xf>
    <xf numFmtId="16" fontId="99" fillId="3" borderId="10" xfId="0" applyNumberFormat="1" applyFont="1" applyFill="1" applyBorder="1" applyAlignment="1">
      <alignment horizontal="center" vertical="center"/>
    </xf>
    <xf numFmtId="16" fontId="97" fillId="3" borderId="10" xfId="0" applyNumberFormat="1" applyFont="1" applyFill="1" applyBorder="1" applyAlignment="1">
      <alignment horizontal="center" vertical="center"/>
    </xf>
    <xf numFmtId="0" fontId="100" fillId="3" borderId="10" xfId="0" applyFont="1" applyFill="1" applyBorder="1" applyAlignment="1">
      <alignment vertical="center"/>
    </xf>
    <xf numFmtId="169" fontId="99" fillId="3" borderId="10" xfId="7" applyNumberFormat="1" applyFont="1" applyFill="1" applyBorder="1" applyAlignment="1">
      <alignment vertical="center"/>
    </xf>
    <xf numFmtId="38" fontId="99" fillId="3" borderId="39" xfId="0" applyNumberFormat="1" applyFont="1" applyFill="1" applyBorder="1" applyAlignment="1">
      <alignment vertical="center"/>
    </xf>
    <xf numFmtId="172" fontId="72" fillId="0" borderId="14" xfId="1" applyNumberFormat="1" applyFont="1" applyFill="1" applyBorder="1" applyAlignment="1">
      <alignment vertical="center"/>
    </xf>
    <xf numFmtId="167" fontId="73" fillId="0" borderId="0" xfId="1" applyFont="1" applyFill="1" applyBorder="1" applyAlignment="1">
      <alignment horizontal="right" vertical="top" wrapText="1"/>
    </xf>
    <xf numFmtId="167" fontId="73" fillId="0" borderId="14" xfId="1" applyFont="1" applyFill="1" applyBorder="1" applyAlignment="1">
      <alignment horizontal="right" vertical="top" wrapText="1"/>
    </xf>
    <xf numFmtId="167" fontId="73" fillId="0" borderId="17" xfId="1" applyFont="1" applyFill="1" applyBorder="1" applyAlignment="1">
      <alignment horizontal="right" vertical="top" wrapText="1"/>
    </xf>
    <xf numFmtId="167" fontId="140" fillId="8" borderId="16" xfId="1" applyFont="1" applyFill="1" applyBorder="1" applyAlignment="1">
      <alignment horizontal="center" vertical="center"/>
    </xf>
    <xf numFmtId="166" fontId="60" fillId="0" borderId="78" xfId="1" applyNumberFormat="1" applyFont="1" applyBorder="1">
      <alignment vertical="center"/>
    </xf>
    <xf numFmtId="0" fontId="95" fillId="0" borderId="0" xfId="162"/>
    <xf numFmtId="0" fontId="100" fillId="5" borderId="1" xfId="162" applyFont="1" applyFill="1" applyBorder="1" applyAlignment="1">
      <alignment vertical="center"/>
    </xf>
    <xf numFmtId="169" fontId="99" fillId="5" borderId="1" xfId="163" applyNumberFormat="1" applyFont="1" applyFill="1" applyBorder="1" applyAlignment="1">
      <alignment vertical="center"/>
    </xf>
    <xf numFmtId="16" fontId="99" fillId="5" borderId="1" xfId="162" applyNumberFormat="1" applyFont="1" applyFill="1" applyBorder="1" applyAlignment="1">
      <alignment horizontal="center" vertical="center"/>
    </xf>
    <xf numFmtId="0" fontId="99" fillId="5" borderId="1" xfId="162" applyFont="1" applyFill="1" applyBorder="1" applyAlignment="1">
      <alignment horizontal="center" vertical="center"/>
    </xf>
    <xf numFmtId="0" fontId="100" fillId="5" borderId="1" xfId="162" applyFont="1" applyFill="1" applyBorder="1" applyAlignment="1">
      <alignment vertical="center" wrapText="1"/>
    </xf>
    <xf numFmtId="49" fontId="99" fillId="5" borderId="1" xfId="162" quotePrefix="1" applyNumberFormat="1" applyFont="1" applyFill="1" applyBorder="1" applyAlignment="1">
      <alignment horizontal="center" vertical="center"/>
    </xf>
    <xf numFmtId="38" fontId="99" fillId="5" borderId="41" xfId="162" applyNumberFormat="1" applyFont="1" applyFill="1" applyBorder="1" applyAlignment="1">
      <alignment vertical="center"/>
    </xf>
    <xf numFmtId="169" fontId="142" fillId="0" borderId="1" xfId="163" applyNumberFormat="1" applyFont="1" applyFill="1" applyBorder="1" applyAlignment="1">
      <alignment vertical="center"/>
    </xf>
    <xf numFmtId="0" fontId="95" fillId="0" borderId="0" xfId="164"/>
    <xf numFmtId="38" fontId="99" fillId="5" borderId="1" xfId="164" applyNumberFormat="1" applyFont="1" applyFill="1" applyBorder="1" applyAlignment="1">
      <alignment vertical="center"/>
    </xf>
    <xf numFmtId="0" fontId="100" fillId="5" borderId="1" xfId="164" applyFont="1" applyFill="1" applyBorder="1" applyAlignment="1">
      <alignment vertical="center"/>
    </xf>
    <xf numFmtId="169" fontId="99" fillId="5" borderId="1" xfId="220" applyNumberFormat="1" applyFont="1" applyFill="1" applyBorder="1" applyAlignment="1">
      <alignment vertical="center"/>
    </xf>
    <xf numFmtId="16" fontId="99" fillId="5" borderId="1" xfId="164" applyNumberFormat="1" applyFont="1" applyFill="1" applyBorder="1" applyAlignment="1">
      <alignment horizontal="left" vertical="center"/>
    </xf>
    <xf numFmtId="49" fontId="99" fillId="5" borderId="1" xfId="164" applyNumberFormat="1" applyFont="1" applyFill="1" applyBorder="1" applyAlignment="1">
      <alignment horizontal="center" vertical="center"/>
    </xf>
    <xf numFmtId="16" fontId="99" fillId="5" borderId="1" xfId="164" applyNumberFormat="1" applyFont="1" applyFill="1" applyBorder="1" applyAlignment="1">
      <alignment horizontal="center" vertical="center"/>
    </xf>
    <xf numFmtId="167" fontId="14" fillId="3" borderId="128" xfId="1" applyFont="1" applyFill="1" applyBorder="1">
      <alignment vertical="center"/>
    </xf>
    <xf numFmtId="167" fontId="132" fillId="25" borderId="127" xfId="1" applyFont="1" applyFill="1" applyBorder="1">
      <alignment vertical="center"/>
    </xf>
    <xf numFmtId="167" fontId="132" fillId="3" borderId="127" xfId="1" applyFont="1" applyFill="1" applyBorder="1">
      <alignment vertical="center"/>
    </xf>
    <xf numFmtId="15" fontId="14" fillId="23" borderId="126" xfId="0" applyNumberFormat="1" applyFont="1" applyFill="1" applyBorder="1">
      <alignment vertical="center"/>
    </xf>
    <xf numFmtId="0" fontId="95" fillId="0" borderId="0" xfId="234"/>
    <xf numFmtId="38" fontId="99" fillId="5" borderId="1" xfId="234" applyNumberFormat="1" applyFont="1" applyFill="1" applyBorder="1" applyAlignment="1">
      <alignment vertical="center"/>
    </xf>
    <xf numFmtId="0" fontId="100" fillId="5" borderId="1" xfId="234" applyFont="1" applyFill="1" applyBorder="1" applyAlignment="1">
      <alignment vertical="center"/>
    </xf>
    <xf numFmtId="169" fontId="99" fillId="5" borderId="1" xfId="243" applyNumberFormat="1" applyFont="1" applyFill="1" applyBorder="1" applyAlignment="1">
      <alignment vertical="center"/>
    </xf>
    <xf numFmtId="16" fontId="99" fillId="5" borderId="1" xfId="234" applyNumberFormat="1" applyFont="1" applyFill="1" applyBorder="1" applyAlignment="1">
      <alignment horizontal="left" vertical="center"/>
    </xf>
    <xf numFmtId="49" fontId="99" fillId="5" borderId="1" xfId="234" applyNumberFormat="1" applyFont="1" applyFill="1" applyBorder="1" applyAlignment="1">
      <alignment horizontal="center" vertical="center"/>
    </xf>
    <xf numFmtId="16" fontId="99" fillId="5" borderId="1" xfId="234" applyNumberFormat="1" applyFont="1" applyFill="1" applyBorder="1" applyAlignment="1">
      <alignment horizontal="center" vertical="center"/>
    </xf>
    <xf numFmtId="171" fontId="156" fillId="0" borderId="2" xfId="0" applyNumberFormat="1" applyFont="1" applyBorder="1" applyAlignment="1"/>
    <xf numFmtId="0" fontId="156" fillId="0" borderId="3" xfId="0" applyFont="1" applyBorder="1" applyAlignment="1">
      <alignment horizontal="center" vertical="center"/>
    </xf>
    <xf numFmtId="0" fontId="156" fillId="0" borderId="50" xfId="0" applyFont="1" applyBorder="1" applyAlignment="1">
      <alignment horizontal="center" vertical="center"/>
    </xf>
    <xf numFmtId="0" fontId="156" fillId="0" borderId="3" xfId="0" applyFont="1" applyBorder="1" applyAlignment="1">
      <alignment vertical="center"/>
    </xf>
    <xf numFmtId="167" fontId="156" fillId="0" borderId="3" xfId="1" applyFont="1" applyBorder="1" applyAlignment="1">
      <alignment vertical="center" wrapText="1"/>
    </xf>
    <xf numFmtId="167" fontId="157" fillId="0" borderId="3" xfId="1" applyFont="1" applyBorder="1" applyAlignment="1">
      <alignment vertical="center" wrapText="1"/>
    </xf>
    <xf numFmtId="0" fontId="133" fillId="0" borderId="0" xfId="244" applyFont="1"/>
    <xf numFmtId="171" fontId="156" fillId="0" borderId="62" xfId="244" applyNumberFormat="1" applyFont="1" applyBorder="1" applyAlignment="1"/>
    <xf numFmtId="0" fontId="156" fillId="0" borderId="55" xfId="244" applyFont="1" applyBorder="1" applyAlignment="1">
      <alignment horizontal="center" vertical="center"/>
    </xf>
    <xf numFmtId="0" fontId="156" fillId="0" borderId="122" xfId="244" applyFont="1" applyBorder="1" applyAlignment="1">
      <alignment horizontal="center" vertical="center"/>
    </xf>
    <xf numFmtId="0" fontId="156" fillId="0" borderId="54" xfId="244" applyFont="1" applyBorder="1" applyAlignment="1">
      <alignment horizontal="center" vertical="center"/>
    </xf>
    <xf numFmtId="0" fontId="156" fillId="0" borderId="54" xfId="244" applyFont="1" applyBorder="1" applyAlignment="1">
      <alignment vertical="center"/>
    </xf>
    <xf numFmtId="43" fontId="156" fillId="0" borderId="54" xfId="245" applyFont="1" applyBorder="1" applyAlignment="1">
      <alignment vertical="center" wrapText="1"/>
    </xf>
    <xf numFmtId="43" fontId="157" fillId="0" borderId="54" xfId="245" applyFont="1" applyBorder="1" applyAlignment="1">
      <alignment vertical="center" wrapText="1"/>
    </xf>
    <xf numFmtId="0" fontId="156" fillId="0" borderId="55" xfId="244" applyFont="1" applyBorder="1" applyAlignment="1">
      <alignment vertical="center"/>
    </xf>
    <xf numFmtId="0" fontId="95" fillId="0" borderId="0" xfId="246"/>
    <xf numFmtId="0" fontId="100" fillId="5" borderId="1" xfId="246" applyFont="1" applyFill="1" applyBorder="1" applyAlignment="1">
      <alignment vertical="center"/>
    </xf>
    <xf numFmtId="169" fontId="99" fillId="5" borderId="1" xfId="249" applyNumberFormat="1" applyFont="1" applyFill="1" applyBorder="1" applyAlignment="1">
      <alignment vertical="center"/>
    </xf>
    <xf numFmtId="16" fontId="99" fillId="5" borderId="1" xfId="246" applyNumberFormat="1" applyFont="1" applyFill="1" applyBorder="1" applyAlignment="1">
      <alignment horizontal="center" vertical="center"/>
    </xf>
    <xf numFmtId="0" fontId="99" fillId="5" borderId="1" xfId="246" applyFont="1" applyFill="1" applyBorder="1" applyAlignment="1">
      <alignment horizontal="center" vertical="center"/>
    </xf>
    <xf numFmtId="0" fontId="100" fillId="5" borderId="1" xfId="246" applyFont="1" applyFill="1" applyBorder="1" applyAlignment="1">
      <alignment vertical="center" wrapText="1"/>
    </xf>
    <xf numFmtId="49" fontId="99" fillId="5" borderId="1" xfId="246" quotePrefix="1" applyNumberFormat="1" applyFont="1" applyFill="1" applyBorder="1" applyAlignment="1">
      <alignment horizontal="center" vertical="center"/>
    </xf>
    <xf numFmtId="169" fontId="97" fillId="5" borderId="1" xfId="249" applyNumberFormat="1" applyFont="1" applyFill="1" applyBorder="1" applyAlignment="1">
      <alignment vertical="center"/>
    </xf>
    <xf numFmtId="38" fontId="99" fillId="5" borderId="41" xfId="246" applyNumberFormat="1" applyFont="1" applyFill="1" applyBorder="1" applyAlignment="1">
      <alignment vertical="center"/>
    </xf>
    <xf numFmtId="169" fontId="142" fillId="0" borderId="1" xfId="249" applyNumberFormat="1" applyFont="1" applyFill="1" applyBorder="1" applyAlignment="1">
      <alignment vertical="center"/>
    </xf>
    <xf numFmtId="0" fontId="97" fillId="5" borderId="8" xfId="251" applyFont="1" applyFill="1" applyBorder="1" applyAlignment="1">
      <alignment horizontal="center" vertical="center"/>
    </xf>
    <xf numFmtId="3" fontId="97" fillId="5" borderId="8" xfId="251" applyNumberFormat="1" applyFont="1" applyFill="1" applyBorder="1" applyAlignment="1">
      <alignment horizontal="center" vertical="center"/>
    </xf>
    <xf numFmtId="0" fontId="95" fillId="0" borderId="0" xfId="252"/>
    <xf numFmtId="0" fontId="100" fillId="5" borderId="1" xfId="252" applyFont="1" applyFill="1" applyBorder="1" applyAlignment="1">
      <alignment vertical="center"/>
    </xf>
    <xf numFmtId="16" fontId="99" fillId="5" borderId="1" xfId="252" applyNumberFormat="1" applyFont="1" applyFill="1" applyBorder="1" applyAlignment="1">
      <alignment horizontal="center" vertical="center"/>
    </xf>
    <xf numFmtId="0" fontId="99" fillId="5" borderId="1" xfId="252" applyFont="1" applyFill="1" applyBorder="1" applyAlignment="1">
      <alignment horizontal="center" vertical="center"/>
    </xf>
    <xf numFmtId="0" fontId="100" fillId="5" borderId="1" xfId="252" applyFont="1" applyFill="1" applyBorder="1" applyAlignment="1">
      <alignment vertical="center" wrapText="1"/>
    </xf>
    <xf numFmtId="49" fontId="99" fillId="5" borderId="1" xfId="252" quotePrefix="1" applyNumberFormat="1" applyFont="1" applyFill="1" applyBorder="1" applyAlignment="1">
      <alignment horizontal="center" vertical="center"/>
    </xf>
    <xf numFmtId="169" fontId="97" fillId="18" borderId="1" xfId="250" applyNumberFormat="1" applyFont="1" applyFill="1" applyBorder="1" applyAlignment="1">
      <alignment vertical="center"/>
    </xf>
    <xf numFmtId="38" fontId="99" fillId="5" borderId="41" xfId="252" applyNumberFormat="1" applyFont="1" applyFill="1" applyBorder="1" applyAlignment="1">
      <alignment vertical="center"/>
    </xf>
    <xf numFmtId="169" fontId="99" fillId="18" borderId="1" xfId="250" applyNumberFormat="1" applyFont="1" applyFill="1" applyBorder="1" applyAlignment="1">
      <alignment vertical="center"/>
    </xf>
    <xf numFmtId="0" fontId="155" fillId="0" borderId="1" xfId="0" applyFont="1" applyFill="1" applyBorder="1" applyAlignment="1">
      <alignment horizontal="center" vertical="center"/>
    </xf>
    <xf numFmtId="0" fontId="156" fillId="0" borderId="3" xfId="244" applyFont="1" applyBorder="1" applyAlignment="1">
      <alignment horizontal="center" vertical="center"/>
    </xf>
    <xf numFmtId="0" fontId="156" fillId="0" borderId="50" xfId="244" applyFont="1" applyBorder="1" applyAlignment="1">
      <alignment horizontal="center" vertical="center"/>
    </xf>
    <xf numFmtId="0" fontId="156" fillId="0" borderId="3" xfId="244" applyFont="1" applyBorder="1" applyAlignment="1">
      <alignment vertical="center"/>
    </xf>
    <xf numFmtId="43" fontId="156" fillId="0" borderId="3" xfId="245" applyFont="1" applyBorder="1" applyAlignment="1">
      <alignment vertical="center" wrapText="1"/>
    </xf>
    <xf numFmtId="43" fontId="157" fillId="0" borderId="3" xfId="245" applyFont="1" applyBorder="1" applyAlignment="1">
      <alignment vertical="center" wrapText="1"/>
    </xf>
    <xf numFmtId="43" fontId="157" fillId="0" borderId="0" xfId="245" applyFont="1" applyBorder="1" applyAlignment="1">
      <alignment vertical="center" wrapText="1"/>
    </xf>
    <xf numFmtId="0" fontId="133" fillId="0" borderId="0" xfId="254" applyFont="1"/>
    <xf numFmtId="0" fontId="100" fillId="5" borderId="1" xfId="253" applyFont="1" applyFill="1" applyBorder="1" applyAlignment="1">
      <alignment vertical="center"/>
    </xf>
    <xf numFmtId="169" fontId="99" fillId="5" borderId="1" xfId="265" applyNumberFormat="1" applyFont="1" applyFill="1" applyBorder="1" applyAlignment="1">
      <alignment vertical="center"/>
    </xf>
    <xf numFmtId="16" fontId="99" fillId="5" borderId="1" xfId="253" applyNumberFormat="1" applyFont="1" applyFill="1" applyBorder="1" applyAlignment="1">
      <alignment horizontal="left" vertical="center"/>
    </xf>
    <xf numFmtId="16" fontId="99" fillId="5" borderId="1" xfId="253" applyNumberFormat="1" applyFont="1" applyFill="1" applyBorder="1" applyAlignment="1">
      <alignment horizontal="center" vertical="center"/>
    </xf>
    <xf numFmtId="0" fontId="99" fillId="5" borderId="1" xfId="253" applyFont="1" applyFill="1" applyBorder="1" applyAlignment="1">
      <alignment horizontal="center" vertical="center"/>
    </xf>
    <xf numFmtId="0" fontId="100" fillId="5" borderId="1" xfId="253" applyFont="1" applyFill="1" applyBorder="1" applyAlignment="1">
      <alignment vertical="center" wrapText="1"/>
    </xf>
    <xf numFmtId="49" fontId="99" fillId="5" borderId="1" xfId="253" quotePrefix="1" applyNumberFormat="1" applyFont="1" applyFill="1" applyBorder="1" applyAlignment="1">
      <alignment horizontal="center" vertical="center"/>
    </xf>
    <xf numFmtId="38" fontId="99" fillId="5" borderId="41" xfId="253" applyNumberFormat="1" applyFont="1" applyFill="1" applyBorder="1" applyAlignment="1">
      <alignment vertical="center"/>
    </xf>
    <xf numFmtId="169" fontId="142" fillId="0" borderId="1" xfId="265" applyNumberFormat="1" applyFont="1" applyFill="1" applyBorder="1" applyAlignment="1">
      <alignment vertical="center"/>
    </xf>
    <xf numFmtId="38" fontId="101" fillId="5" borderId="41" xfId="253" applyNumberFormat="1" applyFont="1" applyFill="1" applyBorder="1" applyAlignment="1">
      <alignment vertical="center"/>
    </xf>
    <xf numFmtId="171" fontId="156" fillId="0" borderId="2" xfId="244" applyNumberFormat="1" applyFont="1" applyBorder="1" applyAlignment="1"/>
    <xf numFmtId="0" fontId="95" fillId="0" borderId="0" xfId="266"/>
    <xf numFmtId="38" fontId="99" fillId="5" borderId="1" xfId="266" applyNumberFormat="1" applyFont="1" applyFill="1" applyBorder="1" applyAlignment="1">
      <alignment vertical="center"/>
    </xf>
    <xf numFmtId="0" fontId="100" fillId="5" borderId="1" xfId="266" applyFont="1" applyFill="1" applyBorder="1" applyAlignment="1">
      <alignment vertical="center"/>
    </xf>
    <xf numFmtId="169" fontId="99" fillId="5" borderId="1" xfId="256" applyNumberFormat="1" applyFont="1" applyFill="1" applyBorder="1" applyAlignment="1">
      <alignment vertical="center"/>
    </xf>
    <xf numFmtId="16" fontId="99" fillId="5" borderId="1" xfId="266" applyNumberFormat="1" applyFont="1" applyFill="1" applyBorder="1" applyAlignment="1">
      <alignment horizontal="left" vertical="center"/>
    </xf>
    <xf numFmtId="49" fontId="99" fillId="5" borderId="1" xfId="266" applyNumberFormat="1" applyFont="1" applyFill="1" applyBorder="1" applyAlignment="1">
      <alignment horizontal="center" vertical="center"/>
    </xf>
    <xf numFmtId="16" fontId="99" fillId="5" borderId="1" xfId="266" applyNumberFormat="1" applyFont="1" applyFill="1" applyBorder="1" applyAlignment="1">
      <alignment horizontal="center" vertical="center"/>
    </xf>
    <xf numFmtId="171" fontId="156" fillId="0" borderId="62" xfId="254" applyNumberFormat="1" applyFont="1" applyBorder="1" applyAlignment="1"/>
    <xf numFmtId="0" fontId="156" fillId="0" borderId="55" xfId="254" applyFont="1" applyBorder="1" applyAlignment="1">
      <alignment horizontal="center" vertical="center"/>
    </xf>
    <xf numFmtId="0" fontId="156" fillId="0" borderId="122" xfId="254" applyFont="1" applyBorder="1" applyAlignment="1">
      <alignment horizontal="center" vertical="center"/>
    </xf>
    <xf numFmtId="0" fontId="156" fillId="0" borderId="54" xfId="254" applyFont="1" applyBorder="1" applyAlignment="1">
      <alignment horizontal="center" vertical="center"/>
    </xf>
    <xf numFmtId="0" fontId="156" fillId="0" borderId="54" xfId="254" applyFont="1" applyBorder="1" applyAlignment="1">
      <alignment vertical="center"/>
    </xf>
    <xf numFmtId="43" fontId="156" fillId="0" borderId="54" xfId="255" applyFont="1" applyBorder="1" applyAlignment="1">
      <alignment vertical="center" wrapText="1"/>
    </xf>
    <xf numFmtId="43" fontId="157" fillId="0" borderId="54" xfId="255" applyFont="1" applyBorder="1" applyAlignment="1">
      <alignment vertical="center" wrapText="1"/>
    </xf>
    <xf numFmtId="43" fontId="158" fillId="0" borderId="0" xfId="255" applyFont="1"/>
    <xf numFmtId="0" fontId="95" fillId="0" borderId="0" xfId="267"/>
    <xf numFmtId="38" fontId="99" fillId="5" borderId="1" xfId="267" applyNumberFormat="1" applyFont="1" applyFill="1" applyBorder="1" applyAlignment="1">
      <alignment vertical="center"/>
    </xf>
    <xf numFmtId="0" fontId="100" fillId="5" borderId="1" xfId="267" applyFont="1" applyFill="1" applyBorder="1" applyAlignment="1">
      <alignment vertical="center"/>
    </xf>
    <xf numFmtId="169" fontId="99" fillId="5" borderId="1" xfId="276" applyNumberFormat="1" applyFont="1" applyFill="1" applyBorder="1" applyAlignment="1">
      <alignment vertical="center"/>
    </xf>
    <xf numFmtId="16" fontId="99" fillId="5" borderId="1" xfId="267" applyNumberFormat="1" applyFont="1" applyFill="1" applyBorder="1" applyAlignment="1">
      <alignment horizontal="left" vertical="center"/>
    </xf>
    <xf numFmtId="49" fontId="99" fillId="5" borderId="1" xfId="267" applyNumberFormat="1" applyFont="1" applyFill="1" applyBorder="1" applyAlignment="1">
      <alignment horizontal="center" vertical="center"/>
    </xf>
    <xf numFmtId="16" fontId="99" fillId="5" borderId="1" xfId="267" applyNumberFormat="1" applyFont="1" applyFill="1" applyBorder="1" applyAlignment="1">
      <alignment horizontal="center" vertical="center"/>
    </xf>
    <xf numFmtId="169" fontId="21" fillId="0" borderId="1" xfId="1" applyNumberFormat="1" applyFont="1" applyFill="1" applyBorder="1" applyAlignment="1">
      <alignment vertical="center"/>
    </xf>
    <xf numFmtId="38" fontId="13" fillId="5" borderId="41" xfId="0" applyNumberFormat="1" applyFont="1" applyFill="1" applyBorder="1" applyAlignment="1">
      <alignment vertical="center"/>
    </xf>
    <xf numFmtId="169" fontId="23" fillId="18" borderId="1" xfId="1" applyNumberFormat="1" applyFont="1" applyFill="1" applyBorder="1" applyAlignment="1">
      <alignment vertical="center"/>
    </xf>
    <xf numFmtId="49" fontId="99" fillId="5" borderId="123" xfId="267" applyNumberFormat="1" applyFont="1" applyFill="1" applyBorder="1" applyAlignment="1">
      <alignment horizontal="center" vertical="center"/>
    </xf>
    <xf numFmtId="16" fontId="99" fillId="5" borderId="19" xfId="267" applyNumberFormat="1" applyFont="1" applyFill="1" applyBorder="1" applyAlignment="1">
      <alignment horizontal="center" vertical="center"/>
    </xf>
    <xf numFmtId="16" fontId="99" fillId="5" borderId="19" xfId="267" applyNumberFormat="1" applyFont="1" applyFill="1" applyBorder="1" applyAlignment="1">
      <alignment horizontal="left" vertical="center"/>
    </xf>
    <xf numFmtId="0" fontId="100" fillId="5" borderId="19" xfId="267" applyFont="1" applyFill="1" applyBorder="1" applyAlignment="1">
      <alignment vertical="center"/>
    </xf>
    <xf numFmtId="169" fontId="99" fillId="5" borderId="19" xfId="276" applyNumberFormat="1" applyFont="1" applyFill="1" applyBorder="1" applyAlignment="1">
      <alignment vertical="center"/>
    </xf>
    <xf numFmtId="38" fontId="99" fillId="5" borderId="20" xfId="267" applyNumberFormat="1" applyFont="1" applyFill="1" applyBorder="1" applyAlignment="1">
      <alignment vertical="center"/>
    </xf>
    <xf numFmtId="0" fontId="63" fillId="0" borderId="0" xfId="0" applyFont="1" applyFill="1" applyAlignment="1">
      <alignment horizontal="left"/>
    </xf>
    <xf numFmtId="0" fontId="64" fillId="0" borderId="0" xfId="0" applyFont="1" applyFill="1" applyAlignment="1">
      <alignment horizontal="left"/>
    </xf>
    <xf numFmtId="0" fontId="65" fillId="0" borderId="97" xfId="0" applyFont="1" applyFill="1" applyBorder="1" applyAlignment="1">
      <alignment horizontal="center" vertical="top"/>
    </xf>
    <xf numFmtId="0" fontId="65" fillId="0" borderId="97" xfId="0" applyFont="1" applyFill="1" applyBorder="1" applyAlignment="1">
      <alignment horizontal="center" vertical="center"/>
    </xf>
    <xf numFmtId="0" fontId="64" fillId="0" borderId="97" xfId="0" quotePrefix="1" applyFont="1" applyFill="1" applyBorder="1" applyAlignment="1">
      <alignment horizontal="left"/>
    </xf>
    <xf numFmtId="0" fontId="64" fillId="0" borderId="97" xfId="0" applyFont="1" applyFill="1" applyBorder="1" applyAlignment="1">
      <alignment horizontal="left"/>
    </xf>
    <xf numFmtId="0" fontId="61" fillId="0" borderId="0" xfId="0" applyFont="1" applyAlignment="1">
      <alignment horizontal="center" vertical="top"/>
    </xf>
    <xf numFmtId="0" fontId="61" fillId="0" borderId="0" xfId="0" applyFont="1" applyAlignment="1">
      <alignment horizontal="center" vertical="center"/>
    </xf>
    <xf numFmtId="167" fontId="61" fillId="0" borderId="0" xfId="1" applyFont="1" applyAlignment="1">
      <alignment horizontal="center" vertical="center"/>
    </xf>
    <xf numFmtId="0" fontId="62" fillId="0" borderId="0" xfId="0" applyFont="1" applyFill="1" applyAlignment="1">
      <alignment horizontal="center" vertical="top"/>
    </xf>
    <xf numFmtId="0" fontId="62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3" fillId="5" borderId="0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96" fillId="5" borderId="0" xfId="0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7" xfId="0" applyNumberFormat="1" applyFont="1" applyFill="1" applyBorder="1" applyAlignment="1">
      <alignment horizontal="left" vertical="center"/>
    </xf>
    <xf numFmtId="14" fontId="13" fillId="3" borderId="16" xfId="0" applyNumberFormat="1" applyFont="1" applyFill="1" applyBorder="1" applyAlignment="1">
      <alignment horizontal="left" vertical="center"/>
    </xf>
    <xf numFmtId="49" fontId="99" fillId="3" borderId="29" xfId="0" applyNumberFormat="1" applyFont="1" applyFill="1" applyBorder="1" applyAlignment="1">
      <alignment horizontal="left" vertical="center"/>
    </xf>
    <xf numFmtId="49" fontId="99" fillId="3" borderId="42" xfId="0" applyNumberFormat="1" applyFont="1" applyFill="1" applyBorder="1" applyAlignment="1">
      <alignment horizontal="left" vertical="center"/>
    </xf>
    <xf numFmtId="49" fontId="99" fillId="3" borderId="41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14" fontId="39" fillId="3" borderId="25" xfId="0" applyNumberFormat="1" applyFont="1" applyFill="1" applyBorder="1" applyAlignment="1">
      <alignment horizontal="left" vertical="center"/>
    </xf>
    <xf numFmtId="1" fontId="126" fillId="3" borderId="4" xfId="0" applyNumberFormat="1" applyFont="1" applyFill="1" applyBorder="1" applyAlignment="1">
      <alignment horizontal="left" vertical="center"/>
    </xf>
    <xf numFmtId="1" fontId="126" fillId="3" borderId="74" xfId="0" applyNumberFormat="1" applyFont="1" applyFill="1" applyBorder="1" applyAlignment="1">
      <alignment horizontal="left" vertical="center"/>
    </xf>
    <xf numFmtId="1" fontId="126" fillId="3" borderId="75" xfId="0" applyNumberFormat="1" applyFont="1" applyFill="1" applyBorder="1" applyAlignment="1">
      <alignment horizontal="left" vertical="center"/>
    </xf>
    <xf numFmtId="14" fontId="134" fillId="25" borderId="48" xfId="0" applyNumberFormat="1" applyFont="1" applyFill="1" applyBorder="1" applyAlignment="1">
      <alignment horizontal="left" vertical="center"/>
    </xf>
    <xf numFmtId="14" fontId="134" fillId="25" borderId="49" xfId="0" applyNumberFormat="1" applyFont="1" applyFill="1" applyBorder="1" applyAlignment="1">
      <alignment horizontal="left" vertical="center"/>
    </xf>
    <xf numFmtId="0" fontId="126" fillId="5" borderId="0" xfId="5" applyFont="1" applyFill="1" applyBorder="1" applyAlignment="1">
      <alignment horizontal="left" vertical="center"/>
    </xf>
    <xf numFmtId="0" fontId="126" fillId="5" borderId="50" xfId="5" applyFont="1" applyFill="1" applyBorder="1" applyAlignment="1">
      <alignment horizontal="left" vertical="center"/>
    </xf>
    <xf numFmtId="0" fontId="126" fillId="5" borderId="0" xfId="5" applyFont="1" applyFill="1" applyBorder="1" applyAlignment="1">
      <alignment horizontal="center" vertical="center"/>
    </xf>
    <xf numFmtId="0" fontId="126" fillId="5" borderId="50" xfId="5" applyFont="1" applyFill="1" applyBorder="1" applyAlignment="1">
      <alignment horizontal="center" vertical="center"/>
    </xf>
    <xf numFmtId="14" fontId="98" fillId="5" borderId="16" xfId="5" applyNumberFormat="1" applyFont="1" applyFill="1" applyBorder="1" applyAlignment="1">
      <alignment horizontal="left" vertical="center"/>
    </xf>
    <xf numFmtId="14" fontId="97" fillId="2" borderId="29" xfId="0" applyNumberFormat="1" applyFont="1" applyFill="1" applyBorder="1" applyAlignment="1">
      <alignment horizontal="left" vertical="center"/>
    </xf>
    <xf numFmtId="14" fontId="97" fillId="2" borderId="42" xfId="0" applyNumberFormat="1" applyFont="1" applyFill="1" applyBorder="1" applyAlignment="1">
      <alignment horizontal="left" vertical="center"/>
    </xf>
    <xf numFmtId="0" fontId="99" fillId="5" borderId="0" xfId="5" applyFont="1" applyFill="1" applyAlignment="1">
      <alignment horizontal="left" vertical="center"/>
    </xf>
    <xf numFmtId="172" fontId="99" fillId="5" borderId="0" xfId="5" applyNumberFormat="1" applyFont="1" applyFill="1" applyAlignment="1">
      <alignment horizontal="center" vertical="center"/>
    </xf>
    <xf numFmtId="0" fontId="99" fillId="5" borderId="0" xfId="5" applyFont="1" applyFill="1" applyAlignment="1">
      <alignment horizontal="center" vertical="center"/>
    </xf>
    <xf numFmtId="0" fontId="96" fillId="5" borderId="0" xfId="5" applyFont="1" applyFill="1" applyBorder="1" applyAlignment="1">
      <alignment horizontal="left" vertical="center"/>
    </xf>
    <xf numFmtId="14" fontId="97" fillId="2" borderId="29" xfId="5" applyNumberFormat="1" applyFont="1" applyFill="1" applyBorder="1" applyAlignment="1">
      <alignment horizontal="left" vertical="center"/>
    </xf>
    <xf numFmtId="14" fontId="97" fillId="2" borderId="42" xfId="5" applyNumberFormat="1" applyFont="1" applyFill="1" applyBorder="1" applyAlignment="1">
      <alignment horizontal="left" vertical="center"/>
    </xf>
    <xf numFmtId="14" fontId="99" fillId="3" borderId="44" xfId="5" applyNumberFormat="1" applyFont="1" applyFill="1" applyBorder="1" applyAlignment="1">
      <alignment horizontal="left" vertical="center"/>
    </xf>
    <xf numFmtId="14" fontId="99" fillId="3" borderId="45" xfId="5" applyNumberFormat="1" applyFont="1" applyFill="1" applyBorder="1" applyAlignment="1">
      <alignment horizontal="left" vertical="center"/>
    </xf>
    <xf numFmtId="14" fontId="134" fillId="13" borderId="48" xfId="0" applyNumberFormat="1" applyFont="1" applyFill="1" applyBorder="1" applyAlignment="1">
      <alignment horizontal="left" vertical="center"/>
    </xf>
    <xf numFmtId="14" fontId="134" fillId="13" borderId="49" xfId="0" applyNumberFormat="1" applyFont="1" applyFill="1" applyBorder="1" applyAlignment="1">
      <alignment horizontal="left" vertical="center"/>
    </xf>
    <xf numFmtId="14" fontId="134" fillId="13" borderId="95" xfId="0" applyNumberFormat="1" applyFont="1" applyFill="1" applyBorder="1" applyAlignment="1">
      <alignment horizontal="left" vertical="center"/>
    </xf>
    <xf numFmtId="0" fontId="96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67" fontId="32" fillId="0" borderId="0" xfId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center" vertical="center"/>
    </xf>
    <xf numFmtId="14" fontId="146" fillId="0" borderId="16" xfId="0" applyNumberFormat="1" applyFont="1" applyFill="1" applyBorder="1" applyAlignment="1">
      <alignment horizontal="left" vertical="center"/>
    </xf>
    <xf numFmtId="14" fontId="33" fillId="0" borderId="16" xfId="0" applyNumberFormat="1" applyFont="1" applyFill="1" applyBorder="1" applyAlignment="1">
      <alignment horizontal="left" vertical="center"/>
    </xf>
    <xf numFmtId="14" fontId="34" fillId="13" borderId="28" xfId="0" applyNumberFormat="1" applyFont="1" applyFill="1" applyBorder="1" applyAlignment="1">
      <alignment horizontal="left" vertical="center"/>
    </xf>
    <xf numFmtId="14" fontId="34" fillId="13" borderId="1" xfId="0" applyNumberFormat="1" applyFont="1" applyFill="1" applyBorder="1" applyAlignment="1">
      <alignment horizontal="left" vertical="center"/>
    </xf>
    <xf numFmtId="14" fontId="34" fillId="13" borderId="22" xfId="0" applyNumberFormat="1" applyFont="1" applyFill="1" applyBorder="1" applyAlignment="1">
      <alignment horizontal="left" vertical="center"/>
    </xf>
    <xf numFmtId="14" fontId="34" fillId="13" borderId="26" xfId="0" applyNumberFormat="1" applyFont="1" applyFill="1" applyBorder="1" applyAlignment="1">
      <alignment horizontal="left" vertical="center"/>
    </xf>
    <xf numFmtId="14" fontId="34" fillId="13" borderId="27" xfId="0" applyNumberFormat="1" applyFont="1" applyFill="1" applyBorder="1" applyAlignment="1">
      <alignment horizontal="left" vertical="center"/>
    </xf>
    <xf numFmtId="14" fontId="34" fillId="13" borderId="76" xfId="0" applyNumberFormat="1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center" vertical="center"/>
    </xf>
    <xf numFmtId="14" fontId="18" fillId="5" borderId="0" xfId="0" applyNumberFormat="1" applyFont="1" applyFill="1" applyBorder="1" applyAlignment="1">
      <alignment vertical="center"/>
    </xf>
    <xf numFmtId="14" fontId="13" fillId="3" borderId="44" xfId="0" applyNumberFormat="1" applyFont="1" applyFill="1" applyBorder="1" applyAlignment="1">
      <alignment horizontal="left" vertical="center"/>
    </xf>
    <xf numFmtId="14" fontId="13" fillId="3" borderId="45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</cellXfs>
  <cellStyles count="277">
    <cellStyle name=" " xfId="8"/>
    <cellStyle name="  2" xfId="165"/>
    <cellStyle name=" [0]_요약표해외" xfId="9"/>
    <cellStyle name=" _97연말" xfId="10"/>
    <cellStyle name=" _97연말 2" xfId="166"/>
    <cellStyle name=" _97연말_금속공사(구조틀-1)" xfId="11"/>
    <cellStyle name=" _97연말_금속공사(구조틀-1) 2" xfId="167"/>
    <cellStyle name=" _97연말_금속공사(물량산출근거)" xfId="12"/>
    <cellStyle name=" _97연말_금속공사(물량산출근거) 2" xfId="168"/>
    <cellStyle name=" _97연말_실행내역서" xfId="13"/>
    <cellStyle name=" _97연말_실행내역서 2" xfId="169"/>
    <cellStyle name=" _97연말_실행보고서-0814" xfId="14"/>
    <cellStyle name=" _97연말_실행보고서-0814 2" xfId="170"/>
    <cellStyle name=" _97연말_예상 실행(최초)" xfId="15"/>
    <cellStyle name=" _97연말_예상 실행(최초) 2" xfId="171"/>
    <cellStyle name=" _97연말_중간정산서(크럽하우스,그늘집리모델링)" xfId="16"/>
    <cellStyle name=" _97연말_중간정산서(크럽하우스,그늘집리모델링) 2" xfId="172"/>
    <cellStyle name=" _97연말1" xfId="17"/>
    <cellStyle name=" _97연말1 2" xfId="173"/>
    <cellStyle name=" _97연말1_금속공사(구조틀-1)" xfId="18"/>
    <cellStyle name=" _97연말1_금속공사(구조틀-1) 2" xfId="174"/>
    <cellStyle name=" _97연말1_금속공사(물량산출근거)" xfId="19"/>
    <cellStyle name=" _97연말1_금속공사(물량산출근거) 2" xfId="175"/>
    <cellStyle name=" _97연말1_실행내역서" xfId="20"/>
    <cellStyle name=" _97연말1_실행내역서 2" xfId="176"/>
    <cellStyle name=" _97연말1_실행보고서-0814" xfId="21"/>
    <cellStyle name=" _97연말1_실행보고서-0814 2" xfId="177"/>
    <cellStyle name=" _97연말1_예상 실행(최초)" xfId="22"/>
    <cellStyle name=" _97연말1_예상 실행(최초) 2" xfId="178"/>
    <cellStyle name=" _97연말1_중간정산서(크럽하우스,그늘집리모델링)" xfId="23"/>
    <cellStyle name=" _97연말1_중간정산서(크럽하우스,그늘집리모델링) 2" xfId="179"/>
    <cellStyle name=" _Book1" xfId="24"/>
    <cellStyle name=" _Book1 2" xfId="180"/>
    <cellStyle name=" _Book1_금속공사(구조틀-1)" xfId="25"/>
    <cellStyle name=" _Book1_금속공사(구조틀-1) 2" xfId="181"/>
    <cellStyle name=" _Book1_금속공사(물량산출근거)" xfId="26"/>
    <cellStyle name=" _Book1_금속공사(물량산출근거) 2" xfId="182"/>
    <cellStyle name=" _Book1_실행내역서" xfId="27"/>
    <cellStyle name=" _Book1_실행내역서 2" xfId="183"/>
    <cellStyle name=" _Book1_실행보고서-0814" xfId="28"/>
    <cellStyle name=" _Book1_실행보고서-0814 2" xfId="184"/>
    <cellStyle name=" _Book1_예상 실행(최초)" xfId="29"/>
    <cellStyle name=" _Book1_예상 실행(최초) 2" xfId="185"/>
    <cellStyle name=" _Book1_중간정산서(크럽하우스,그늘집리모델링)" xfId="30"/>
    <cellStyle name=" _Book1_중간정산서(크럽하우스,그늘집리모델링) 2" xfId="186"/>
    <cellStyle name=" _금속공사(구조틀-1)" xfId="31"/>
    <cellStyle name=" _금속공사(구조틀-1) 2" xfId="187"/>
    <cellStyle name=" _금속공사(물량산출근거)" xfId="32"/>
    <cellStyle name=" _금속공사(물량산출근거) 2" xfId="188"/>
    <cellStyle name=" _변경내역서" xfId="33"/>
    <cellStyle name=" _변경내역서 2" xfId="189"/>
    <cellStyle name=" _변경내역서(1차)-습식공사" xfId="34"/>
    <cellStyle name=" _실행내역서" xfId="35"/>
    <cellStyle name=" _실행내역서 2" xfId="190"/>
    <cellStyle name=" _실행보고서-0814" xfId="36"/>
    <cellStyle name=" _실행보고서-0814 2" xfId="191"/>
    <cellStyle name=" _예상 실행(최초)" xfId="37"/>
    <cellStyle name=" _예상 실행(최초) 2" xfId="192"/>
    <cellStyle name=" _정산내역서(안)" xfId="38"/>
    <cellStyle name=" _정산내역서(안) 2" xfId="193"/>
    <cellStyle name=" _중간정산서(크럽하우스,그늘집리모델링)" xfId="39"/>
    <cellStyle name=" _중간정산서(크럽하우스,그늘집리모델링) 2" xfId="194"/>
    <cellStyle name="#_목차 " xfId="40"/>
    <cellStyle name="#_목차  2" xfId="210"/>
    <cellStyle name="???­ [0]_INQUIRY ¿?¾÷?ß?ø " xfId="41"/>
    <cellStyle name="???­_INQUIRY ¿?¾÷?ß?ø " xfId="42"/>
    <cellStyle name="???Ø_??°???(2¿?) " xfId="43"/>
    <cellStyle name="??_????? " xfId="44"/>
    <cellStyle name="?Þ¸¶ [0]_INQUIRY ¿?¾÷?ß?ø " xfId="45"/>
    <cellStyle name="?Þ¸¶_INQUIRY ¿?¾÷?ß?ø " xfId="46"/>
    <cellStyle name="_(02.09.23  64,000평)인천 삼산1지구 2블럭 " xfId="47"/>
    <cellStyle name="_FLOW(1) " xfId="48"/>
    <cellStyle name="_검암2차사전공사(본사검토) " xfId="49"/>
    <cellStyle name="_검암2차사전공사(본사검토)  2" xfId="195"/>
    <cellStyle name="_발주내역 " xfId="50"/>
    <cellStyle name="_사전공사(토목본사검토) " xfId="51"/>
    <cellStyle name="_사전공사(토목본사검토)  2" xfId="196"/>
    <cellStyle name="_아미고터워 리모델링공사(계약,실행내역)9월.3일 " xfId="52"/>
    <cellStyle name="_인원계획표 " xfId="53"/>
    <cellStyle name="_인원계획표  2" xfId="197"/>
    <cellStyle name="_인원계획표 _검암2차사전공사(본사검토) " xfId="54"/>
    <cellStyle name="_인원계획표 _검암2차사전공사(본사검토)  2" xfId="198"/>
    <cellStyle name="_인원계획표 _사전공사(토목본사검토) " xfId="55"/>
    <cellStyle name="_인원계획표 _사전공사(토목본사검토)  2" xfId="199"/>
    <cellStyle name="_인원계획표 _적격 " xfId="56"/>
    <cellStyle name="_인원계획표 _적격  2" xfId="200"/>
    <cellStyle name="_입찰표지 " xfId="57"/>
    <cellStyle name="_입찰표지  2" xfId="201"/>
    <cellStyle name="_입찰표지 _검암2차사전공사(본사검토) " xfId="58"/>
    <cellStyle name="_입찰표지 _검암2차사전공사(본사검토)  2" xfId="202"/>
    <cellStyle name="_입찰표지 _사전공사(토목본사검토) " xfId="59"/>
    <cellStyle name="_입찰표지 _사전공사(토목본사검토)  2" xfId="203"/>
    <cellStyle name="_적격 " xfId="60"/>
    <cellStyle name="_적격  2" xfId="204"/>
    <cellStyle name="_적격 _집행갑지 " xfId="61"/>
    <cellStyle name="_적격 _집행갑지  2" xfId="205"/>
    <cellStyle name="_적격(화산) " xfId="62"/>
    <cellStyle name="_적격(화산)  2" xfId="206"/>
    <cellStyle name="_적격(화산) _검암2차사전공사(본사검토) " xfId="63"/>
    <cellStyle name="_적격(화산) _검암2차사전공사(본사검토)  2" xfId="207"/>
    <cellStyle name="_적격(화산) _사전공사(토목본사검토) " xfId="64"/>
    <cellStyle name="_적격(화산) _사전공사(토목본사검토)  2" xfId="208"/>
    <cellStyle name="_집행갑지 " xfId="65"/>
    <cellStyle name="_집행갑지  2" xfId="209"/>
    <cellStyle name="_홈플러스 대구칠성점 내역서 " xfId="66"/>
    <cellStyle name="¤@?e_TEST-1 " xfId="67"/>
    <cellStyle name="°ia¤¼o " xfId="68"/>
    <cellStyle name="°ia¤aa " xfId="69"/>
    <cellStyle name="¹eºÐA²_AIAIC°AuCoE² " xfId="70"/>
    <cellStyle name="A¨­￠￢￠O [0]_¨uoAa¨oCAu " xfId="71"/>
    <cellStyle name="A¨­￠￢￠O_¨uoAa¨oCAu " xfId="72"/>
    <cellStyle name="Aee­ " xfId="73"/>
    <cellStyle name="Aee­  2" xfId="211"/>
    <cellStyle name="AeE­ [0]_±a°e¼³ºn-AIA§¸n·I " xfId="74"/>
    <cellStyle name="ÅëÈ­ [0]_±â°è¼³ºñ-ÀÏÀ§¸ñ·Ï " xfId="75"/>
    <cellStyle name="AeE­ [0]_±a°e¼³ºn-AIA§¸n·I  2" xfId="212"/>
    <cellStyle name="ÅëÈ­ [0]_±â°è¼³ºñ-ÀÏÀ§¸ñ·Ï  2" xfId="213"/>
    <cellStyle name="AeE­ [0]_±a°e¼³ºn-AIA§¸n·I  3" xfId="235"/>
    <cellStyle name="ÅëÈ­ [0]_±â°è¼³ºñ-ÀÏÀ§¸ñ·Ï  3" xfId="236"/>
    <cellStyle name="AeE­ [0]_±a°e¼³ºn-AIA§¸n·I  4" xfId="264"/>
    <cellStyle name="ÅëÈ­ [0]_±â°è¼³ºñ-ÀÏÀ§¸ñ·Ï  4" xfId="263"/>
    <cellStyle name="AeE­ [0]_±a°e¼³ºn-AIA§¸n·I  5" xfId="268"/>
    <cellStyle name="ÅëÈ­ [0]_±â°è¼³ºñ-ÀÏÀ§¸ñ·Ï  5" xfId="269"/>
    <cellStyle name="AeE­ [0]_¼oAa½CAu " xfId="76"/>
    <cellStyle name="ÅëÈ­ [0]_2000¼ÕÈ® " xfId="77"/>
    <cellStyle name="AeE­ [0]_³≫ºI°eE¹´e AßA¤A÷AI " xfId="78"/>
    <cellStyle name="AeE­_  A¾  CO  " xfId="79"/>
    <cellStyle name="ÅëÈ­_¿¬ÁÖ Eng'g ÇÁ·ÎÁ§Æ®ÆÀ " xfId="80"/>
    <cellStyle name="AeE­_¼oAa½CAu " xfId="81"/>
    <cellStyle name="ÅëÈ­_2000¼ÕÈ® " xfId="82"/>
    <cellStyle name="AeE­_³≫ºI°eE¹´e AßA¤A÷AI " xfId="83"/>
    <cellStyle name="AeE¡ⓒ [0]_¨uoAa¨oCAu " xfId="84"/>
    <cellStyle name="AeE¡ⓒ_¨uoAa¨oCAu " xfId="85"/>
    <cellStyle name="Æu¼ " xfId="86"/>
    <cellStyle name="ÄÞ¸¶ [0]_¿¬ÁÖ Eng'g ÇÁ·ÎÁ§Æ®ÆÀ " xfId="87"/>
    <cellStyle name="AÞ¸¶ [0]_¿￢AO Eng'g CA·IA§ÆRÆA " xfId="88"/>
    <cellStyle name="AÞ¸¶_  A¾  CO  " xfId="89"/>
    <cellStyle name="ÄÞ¸¶_±â°è¼³ºñ-ÀÏÀ§¸ñ·Ï " xfId="90"/>
    <cellStyle name="AÞ¸¶_¼oAa½CAu " xfId="91"/>
    <cellStyle name="ÄÞ¸¶_2000¼ÕÈ® " xfId="92"/>
    <cellStyle name="AÞ¸¶_³≫ºI°eE¹´e AßA¤A÷AI " xfId="93"/>
    <cellStyle name="Au¸r " xfId="94"/>
    <cellStyle name="C¡IA¨ª_¡ic¨u¡A¨￢I¨￢¡Æ AN¡Æe " xfId="95"/>
    <cellStyle name="C￥AØ_´eºnC￥ (2)_1_ºI´eAa°ø " xfId="96"/>
    <cellStyle name="Ç¥ÁØ_´ëºñÇ¥ (2)_1_ºÎ´ëÅä°ø " xfId="97"/>
    <cellStyle name="C￥AØ_´eºnC￥ (2)_1_ºI´eAa°ø  2" xfId="214"/>
    <cellStyle name="Ç¥ÁØ_´ëºñÇ¥ (2)_1_ºÎ´ëÅä°ø  2" xfId="215"/>
    <cellStyle name="C￥AØ_´eºnC￥ (2)_1_ºI´eAa°ø  3" xfId="237"/>
    <cellStyle name="Ç¥ÁØ_´ëºñÇ¥ (2)_1_ºÎ´ëÅä°ø  3" xfId="238"/>
    <cellStyle name="C￥AØ_´eºnC￥ (2)_1_ºI´eAa°ø  4" xfId="262"/>
    <cellStyle name="Ç¥ÁØ_´ëºñÇ¥ (2)_1_ºÎ´ëÅä°ø  4" xfId="261"/>
    <cellStyle name="C￥AØ_´eºnC￥ (2)_1_ºI´eAa°ø  5" xfId="270"/>
    <cellStyle name="Ç¥ÁØ_´ëºñÇ¥ (2)_1_ºÎ´ëÅä°ø  5" xfId="271"/>
    <cellStyle name="C￥AØ_´eºnC￥ (2)_ºI´eAa°ø " xfId="98"/>
    <cellStyle name="Ç¥ÁØ_´ëºñÇ¥ (2)_ºÎ´ëÅä°ø " xfId="99"/>
    <cellStyle name="C￥AØ_´eºnC￥ (2)_ºI´eAa°ø  2" xfId="216"/>
    <cellStyle name="Ç¥ÁØ_´ëºñÇ¥ (2)_ºÎ´ëÅä°ø  2" xfId="217"/>
    <cellStyle name="C￥AØ_´eºnC￥ (2)_ºI´eAa°ø  3" xfId="239"/>
    <cellStyle name="Ç¥ÁØ_´ëºñÇ¥ (2)_ºÎ´ëÅä°ø  3" xfId="240"/>
    <cellStyle name="C￥AØ_´eºnC￥ (2)_ºI´eAa°ø  4" xfId="260"/>
    <cellStyle name="Ç¥ÁØ_´ëºñÇ¥ (2)_ºÎ´ëÅä°ø  4" xfId="259"/>
    <cellStyle name="C￥AØ_´eºnC￥ (2)_ºI´eAa°ø  5" xfId="272"/>
    <cellStyle name="Ç¥ÁØ_´ëºñÇ¥ (2)_ºÎ´ëÅä°ø  5" xfId="273"/>
    <cellStyle name="C￥AØ_¿￢AO Eng'g CA·IA§ÆRÆA " xfId="100"/>
    <cellStyle name="Ç¥ÁØ_±â°è¼³ºñ-ÀÏÀ§¸ñ·Ï " xfId="101"/>
    <cellStyle name="C￥AØ_≫c¾÷ºIº° AN°e " xfId="102"/>
    <cellStyle name="Ç¥ÁØ_0N-HANDLING " xfId="103"/>
    <cellStyle name="C￥AØ_¼±AoAc°i_1_³≫ºI°eE¹´e AßA¤A÷AI " xfId="104"/>
    <cellStyle name="Ç¥ÁØ_¼±ÅõÀç°í_³»ºÎ°èÈ¹´ë ÃßÁ¤Â÷ÀÌ " xfId="105"/>
    <cellStyle name="C￥AØ_¼±AoAc°i_³≫ºI°eE¹´e AßA¤A÷AI " xfId="106"/>
    <cellStyle name="Ç¥ÁØ_¼ÕÀÍÂ÷ (2)_³»ºÎ°èÈ¹´ë ÃßÁ¤Â÷ÀÌ " xfId="107"/>
    <cellStyle name="C￥AØ_A¸≫cºÐ_³≫ºI°eE¹´e AßA¤A÷AI " xfId="108"/>
    <cellStyle name="Ç¥ÁØ_Áý°èÇ¥(2¿ù) " xfId="109"/>
    <cellStyle name="C￥AØ_CoAa°u¸Rºn(Ao¹æ) " xfId="110"/>
    <cellStyle name="Ç¥ÁØ_Sheet1_0N-HANDLING " xfId="111"/>
    <cellStyle name="C￥AØ_Sheet1_Ay°eC￥(2¿u) " xfId="112"/>
    <cellStyle name="Ç¥ÁØ_Sheet1_Áý°èÇ¥(2¿ù) " xfId="113"/>
    <cellStyle name="C￥AØ_Sheet1_Ay°eC￥(2¿u)  2" xfId="218"/>
    <cellStyle name="Ç¥ÁØ_Sheet1_Áý°èÇ¥(2¿ù)  2" xfId="219"/>
    <cellStyle name="C￥AØ_Sheet1_Ay°eC￥(2¿u)  3" xfId="241"/>
    <cellStyle name="Ç¥ÁØ_Sheet1_Áý°èÇ¥(2¿ù)  3" xfId="242"/>
    <cellStyle name="C￥AØ_Sheet1_Ay°eC￥(2¿u)  4" xfId="258"/>
    <cellStyle name="Ç¥ÁØ_Sheet1_Áý°èÇ¥(2¿ù)  4" xfId="257"/>
    <cellStyle name="C￥AØ_Sheet1_Ay°eC￥(2¿u)  5" xfId="274"/>
    <cellStyle name="Ç¥ÁØ_Sheet1_Áý°èÇ¥(2¿ù)  5" xfId="275"/>
    <cellStyle name="category" xfId="114"/>
    <cellStyle name="Comma" xfId="1" builtinId="3"/>
    <cellStyle name="Comma [0] 2" xfId="115"/>
    <cellStyle name="Comma [0] 2 2" xfId="221"/>
    <cellStyle name="Comma [0] 3" xfId="116"/>
    <cellStyle name="Comma 10" xfId="3"/>
    <cellStyle name="Comma 11" xfId="249"/>
    <cellStyle name="Comma 12" xfId="248"/>
    <cellStyle name="Comma 13" xfId="250"/>
    <cellStyle name="Comma 14" xfId="265"/>
    <cellStyle name="Comma 15" xfId="256"/>
    <cellStyle name="Comma 16" xfId="255"/>
    <cellStyle name="Comma 17" xfId="276"/>
    <cellStyle name="Comma 2" xfId="4"/>
    <cellStyle name="Comma 2 2" xfId="7"/>
    <cellStyle name="Comma 2 3" xfId="159"/>
    <cellStyle name="Comma 3" xfId="6"/>
    <cellStyle name="Comma 4" xfId="158"/>
    <cellStyle name="Comma 5" xfId="161"/>
    <cellStyle name="Comma 6" xfId="163"/>
    <cellStyle name="Comma 7" xfId="220"/>
    <cellStyle name="Comma 8" xfId="243"/>
    <cellStyle name="Comma 9" xfId="245"/>
    <cellStyle name="Currency [0] 2" xfId="117"/>
    <cellStyle name="Currency [0] 2 2" xfId="222"/>
    <cellStyle name="Currency1" xfId="118"/>
    <cellStyle name="Currency1 2" xfId="223"/>
    <cellStyle name="Grey" xfId="119"/>
    <cellStyle name="HEADER" xfId="120"/>
    <cellStyle name="Header1" xfId="121"/>
    <cellStyle name="Header2" xfId="122"/>
    <cellStyle name="Hyperlink" xfId="2" builtinId="8"/>
    <cellStyle name="Hyperlink 2" xfId="247"/>
    <cellStyle name="Input [yellow]" xfId="123"/>
    <cellStyle name="Model" xfId="124"/>
    <cellStyle name="Normal" xfId="0" builtinId="0"/>
    <cellStyle name="Normal - Style1" xfId="125"/>
    <cellStyle name="Normal - Style1 2" xfId="224"/>
    <cellStyle name="Normal 10" xfId="251"/>
    <cellStyle name="Normal 11" xfId="252"/>
    <cellStyle name="Normal 12" xfId="253"/>
    <cellStyle name="Normal 13" xfId="266"/>
    <cellStyle name="Normal 14" xfId="254"/>
    <cellStyle name="Normal 15" xfId="267"/>
    <cellStyle name="Normal 2" xfId="5"/>
    <cellStyle name="Normal 2 2" xfId="126"/>
    <cellStyle name="Normal 2 3" xfId="127"/>
    <cellStyle name="Normal 3" xfId="157"/>
    <cellStyle name="Normal 3 2" xfId="128"/>
    <cellStyle name="Normal 3 3" xfId="129"/>
    <cellStyle name="Normal 4" xfId="160"/>
    <cellStyle name="Normal 5" xfId="162"/>
    <cellStyle name="Normal 6" xfId="164"/>
    <cellStyle name="Normal 7" xfId="234"/>
    <cellStyle name="Normal 8" xfId="244"/>
    <cellStyle name="Normal 9" xfId="246"/>
    <cellStyle name="Normal1" xfId="130"/>
    <cellStyle name="Normal2" xfId="131"/>
    <cellStyle name="Normal3" xfId="132"/>
    <cellStyle name="Normal4" xfId="133"/>
    <cellStyle name="Percent [2]" xfId="134"/>
    <cellStyle name="Percent 2" xfId="135"/>
    <cellStyle name="Percent 2 2" xfId="225"/>
    <cellStyle name="subhead" xfId="136"/>
    <cellStyle name="똿떓죶Ø괻 [0.00]_NT Server " xfId="137"/>
    <cellStyle name="똿떓죶Ø괻_NT Server " xfId="138"/>
    <cellStyle name="묮뎋 [0.00]_NT Server " xfId="139"/>
    <cellStyle name="묮뎋_NT Server " xfId="140"/>
    <cellStyle name="백 " xfId="141"/>
    <cellStyle name="백분율 2" xfId="142"/>
    <cellStyle name="백분율 2 2" xfId="226"/>
    <cellStyle name="쉼표 [0] 2" xfId="143"/>
    <cellStyle name="쉼표 [0] 2 2" xfId="144"/>
    <cellStyle name="쉼표 [0] 2 2 2" xfId="228"/>
    <cellStyle name="쉼표 [0] 2 3" xfId="227"/>
    <cellStyle name="쉼표 [0] 3" xfId="145"/>
    <cellStyle name="쉼표 [0] 3 2" xfId="146"/>
    <cellStyle name="쉼표 [0] 3 2 2" xfId="230"/>
    <cellStyle name="쉼표 [0] 3 3" xfId="229"/>
    <cellStyle name="쉼표 [0]_Steel fence Orion-1" xfId="147"/>
    <cellStyle name="쉼표 2" xfId="148"/>
    <cellStyle name="쉼표 2 2" xfId="231"/>
    <cellStyle name="쉼표_Steel fence Orion-1" xfId="149"/>
    <cellStyle name="콤냡?&lt;_x000f_$??: `1_1 " xfId="150"/>
    <cellStyle name="콤마 [0]_1" xfId="151"/>
    <cellStyle name="콤마_  종  합  " xfId="152"/>
    <cellStyle name="표준 2" xfId="153"/>
    <cellStyle name="표준 2 2" xfId="154"/>
    <cellStyle name="표준 2 3" xfId="232"/>
    <cellStyle name="표준 3" xfId="155"/>
    <cellStyle name="표준 3 2" xfId="233"/>
    <cellStyle name="표준_BOQ-orion(1)" xfId="156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87"/>
  <sheetViews>
    <sheetView tabSelected="1" view="pageBreakPreview" zoomScale="80" zoomScaleSheetLayoutView="80" workbookViewId="0">
      <pane ySplit="3" topLeftCell="A64" activePane="bottomLeft" state="frozen"/>
      <selection pane="bottomLeft" activeCell="J182" sqref="J182"/>
    </sheetView>
  </sheetViews>
  <sheetFormatPr defaultColWidth="8.7109375" defaultRowHeight="15" outlineLevelRow="1"/>
  <cols>
    <col min="1" max="1" width="6.5703125" style="817" customWidth="1"/>
    <col min="2" max="2" width="11.5703125" style="817" customWidth="1"/>
    <col min="3" max="3" width="18.42578125" style="1347" customWidth="1"/>
    <col min="4" max="5" width="20.42578125" style="1347" customWidth="1"/>
    <col min="6" max="6" width="16.5703125" style="1347" customWidth="1"/>
    <col min="7" max="7" width="22.140625" style="1347" customWidth="1"/>
    <col min="8" max="10" width="18.5703125" style="1347" customWidth="1"/>
    <col min="11" max="11" width="20.5703125" style="818" bestFit="1" customWidth="1"/>
    <col min="12" max="16384" width="8.7109375" style="817"/>
  </cols>
  <sheetData>
    <row r="1" spans="1:11">
      <c r="C1" s="1347" t="s">
        <v>0</v>
      </c>
      <c r="G1" s="1456"/>
    </row>
    <row r="2" spans="1:11" ht="15.75" thickBot="1">
      <c r="B2" s="817" t="s">
        <v>1</v>
      </c>
      <c r="C2" s="1347" t="s">
        <v>2</v>
      </c>
    </row>
    <row r="3" spans="1:11" s="816" customFormat="1" ht="15.75" thickBot="1">
      <c r="A3" s="816">
        <v>2018</v>
      </c>
      <c r="B3" s="819" t="s">
        <v>3</v>
      </c>
      <c r="C3" s="1450" t="s">
        <v>4</v>
      </c>
      <c r="D3" s="1457" t="s">
        <v>5</v>
      </c>
      <c r="E3" s="1450" t="s">
        <v>6</v>
      </c>
      <c r="F3" s="1457" t="s">
        <v>7</v>
      </c>
      <c r="G3" s="1450" t="s">
        <v>8</v>
      </c>
      <c r="H3" s="1457" t="s">
        <v>9</v>
      </c>
      <c r="I3" s="1458" t="s">
        <v>1632</v>
      </c>
      <c r="J3" s="1459" t="s">
        <v>1898</v>
      </c>
      <c r="K3" s="831" t="s">
        <v>10</v>
      </c>
    </row>
    <row r="4" spans="1:11" ht="15.75" hidden="1" outlineLevel="1" thickBot="1">
      <c r="B4" s="820">
        <v>43160</v>
      </c>
      <c r="C4" s="1451">
        <v>3952661</v>
      </c>
      <c r="D4" s="1460">
        <v>47383350</v>
      </c>
      <c r="E4" s="1451">
        <v>733662751.5</v>
      </c>
      <c r="F4" s="1460">
        <v>0</v>
      </c>
      <c r="G4" s="1451">
        <v>71631063</v>
      </c>
      <c r="H4" s="1460">
        <v>0</v>
      </c>
      <c r="I4" s="1461"/>
      <c r="J4" s="1460"/>
      <c r="K4" s="821">
        <f>SUM(C4:H4)</f>
        <v>856629825.5</v>
      </c>
    </row>
    <row r="5" spans="1:11" ht="15.75" hidden="1" outlineLevel="1" thickBot="1">
      <c r="B5" s="822">
        <v>43161</v>
      </c>
      <c r="C5" s="1452">
        <f t="shared" ref="C5:C8" si="0">SUM(A5:B5)</f>
        <v>43161</v>
      </c>
      <c r="D5" s="1462">
        <f t="shared" ref="D5:D8" si="1">SUM(B5:C5)</f>
        <v>86322</v>
      </c>
      <c r="E5" s="1452">
        <f t="shared" ref="E5:E9" si="2">SUM(C5:D5)</f>
        <v>129483</v>
      </c>
      <c r="F5" s="1462">
        <v>0</v>
      </c>
      <c r="G5" s="1452">
        <f t="shared" ref="G5:G8" si="3">SUM(E5:F5)</f>
        <v>129483</v>
      </c>
      <c r="H5" s="1462">
        <v>0</v>
      </c>
      <c r="I5" s="1463"/>
      <c r="J5" s="1462"/>
      <c r="K5" s="823">
        <f t="shared" ref="K5:K36" si="4">SUM(C5:H5)</f>
        <v>388449</v>
      </c>
    </row>
    <row r="6" spans="1:11" ht="15.75" hidden="1" outlineLevel="1" thickBot="1">
      <c r="B6" s="822">
        <v>43162</v>
      </c>
      <c r="C6" s="1452">
        <f t="shared" si="0"/>
        <v>43162</v>
      </c>
      <c r="D6" s="1462">
        <f t="shared" si="1"/>
        <v>86324</v>
      </c>
      <c r="E6" s="1452">
        <v>393899275.69999999</v>
      </c>
      <c r="F6" s="1462">
        <v>0</v>
      </c>
      <c r="G6" s="1452">
        <f t="shared" si="3"/>
        <v>393899275.69999999</v>
      </c>
      <c r="H6" s="1462">
        <v>0</v>
      </c>
      <c r="I6" s="1463"/>
      <c r="J6" s="1462"/>
      <c r="K6" s="823">
        <f t="shared" si="4"/>
        <v>787928037.39999998</v>
      </c>
    </row>
    <row r="7" spans="1:11" ht="15.75" hidden="1" outlineLevel="1" thickBot="1">
      <c r="B7" s="822">
        <v>43163</v>
      </c>
      <c r="C7" s="1452">
        <f t="shared" si="0"/>
        <v>43163</v>
      </c>
      <c r="D7" s="1462">
        <f t="shared" si="1"/>
        <v>86326</v>
      </c>
      <c r="E7" s="1452">
        <f t="shared" si="2"/>
        <v>129489</v>
      </c>
      <c r="F7" s="1462">
        <v>0</v>
      </c>
      <c r="G7" s="1452">
        <f t="shared" si="3"/>
        <v>129489</v>
      </c>
      <c r="H7" s="1462">
        <v>0</v>
      </c>
      <c r="I7" s="1463"/>
      <c r="J7" s="1462"/>
      <c r="K7" s="823">
        <f t="shared" si="4"/>
        <v>388467</v>
      </c>
    </row>
    <row r="8" spans="1:11" ht="15.75" hidden="1" outlineLevel="1" thickBot="1">
      <c r="B8" s="822">
        <v>43164</v>
      </c>
      <c r="C8" s="1452">
        <f t="shared" si="0"/>
        <v>43164</v>
      </c>
      <c r="D8" s="1462">
        <f t="shared" si="1"/>
        <v>86328</v>
      </c>
      <c r="E8" s="1452">
        <f t="shared" si="2"/>
        <v>129492</v>
      </c>
      <c r="F8" s="1462">
        <v>0</v>
      </c>
      <c r="G8" s="1452">
        <f t="shared" si="3"/>
        <v>129492</v>
      </c>
      <c r="H8" s="1462">
        <v>0</v>
      </c>
      <c r="I8" s="1463"/>
      <c r="J8" s="1462"/>
      <c r="K8" s="823">
        <f t="shared" si="4"/>
        <v>388476</v>
      </c>
    </row>
    <row r="9" spans="1:11" ht="15.75" hidden="1" outlineLevel="1" thickBot="1">
      <c r="B9" s="822">
        <v>43165</v>
      </c>
      <c r="C9" s="1452">
        <v>3860661</v>
      </c>
      <c r="D9" s="1462">
        <v>10323350</v>
      </c>
      <c r="E9" s="1452">
        <f t="shared" si="2"/>
        <v>14184011</v>
      </c>
      <c r="F9" s="1462">
        <v>0</v>
      </c>
      <c r="G9" s="1452">
        <v>9010063</v>
      </c>
      <c r="H9" s="1462">
        <v>0</v>
      </c>
      <c r="I9" s="1463"/>
      <c r="J9" s="1462"/>
      <c r="K9" s="823">
        <f t="shared" si="4"/>
        <v>37378085</v>
      </c>
    </row>
    <row r="10" spans="1:11" ht="15.75" hidden="1" outlineLevel="1" thickBot="1">
      <c r="B10" s="822">
        <v>43166</v>
      </c>
      <c r="C10" s="1452">
        <v>3860661</v>
      </c>
      <c r="D10" s="1462">
        <v>58253350</v>
      </c>
      <c r="E10" s="1452">
        <f>E4</f>
        <v>733662751.5</v>
      </c>
      <c r="F10" s="1462">
        <v>0</v>
      </c>
      <c r="G10" s="1452">
        <v>57434063</v>
      </c>
      <c r="H10" s="1462">
        <v>0</v>
      </c>
      <c r="I10" s="1463"/>
      <c r="J10" s="1462"/>
      <c r="K10" s="823">
        <f t="shared" si="4"/>
        <v>853210825.5</v>
      </c>
    </row>
    <row r="11" spans="1:11" ht="15.75" hidden="1" outlineLevel="1" thickBot="1">
      <c r="B11" s="822">
        <v>43167</v>
      </c>
      <c r="C11" s="1452">
        <v>2248685</v>
      </c>
      <c r="D11" s="1462">
        <v>50139450</v>
      </c>
      <c r="E11" s="1452">
        <v>75570865.572916597</v>
      </c>
      <c r="F11" s="1462">
        <v>0</v>
      </c>
      <c r="G11" s="1452">
        <v>22377663</v>
      </c>
      <c r="H11" s="1462">
        <v>0</v>
      </c>
      <c r="I11" s="1463"/>
      <c r="J11" s="1462"/>
      <c r="K11" s="823">
        <f t="shared" si="4"/>
        <v>150336663.5729166</v>
      </c>
    </row>
    <row r="12" spans="1:11" ht="15.75" hidden="1" outlineLevel="1" thickBot="1">
      <c r="B12" s="822">
        <v>43168</v>
      </c>
      <c r="C12" s="1452">
        <v>2248685</v>
      </c>
      <c r="D12" s="1462">
        <v>50139450</v>
      </c>
      <c r="E12" s="1452">
        <v>68259649.572916597</v>
      </c>
      <c r="F12" s="1462">
        <v>0</v>
      </c>
      <c r="G12" s="1452">
        <v>22377663</v>
      </c>
      <c r="H12" s="1462">
        <v>0</v>
      </c>
      <c r="I12" s="1463"/>
      <c r="J12" s="1462"/>
      <c r="K12" s="823">
        <f t="shared" si="4"/>
        <v>143025447.5729166</v>
      </c>
    </row>
    <row r="13" spans="1:11" ht="15.75" hidden="1" outlineLevel="1" thickBot="1">
      <c r="B13" s="822">
        <v>43169</v>
      </c>
      <c r="C13" s="1452">
        <v>2248685</v>
      </c>
      <c r="D13" s="1462">
        <v>50139450</v>
      </c>
      <c r="E13" s="1452">
        <v>68259649.572916597</v>
      </c>
      <c r="F13" s="1462">
        <v>0</v>
      </c>
      <c r="G13" s="1452">
        <v>22377663</v>
      </c>
      <c r="H13" s="1462">
        <v>0</v>
      </c>
      <c r="I13" s="1463"/>
      <c r="J13" s="1462"/>
      <c r="K13" s="823">
        <f t="shared" si="4"/>
        <v>143025447.5729166</v>
      </c>
    </row>
    <row r="14" spans="1:11" ht="15.75" hidden="1" outlineLevel="1" thickBot="1">
      <c r="B14" s="822">
        <v>43170</v>
      </c>
      <c r="C14" s="1452">
        <v>2248685</v>
      </c>
      <c r="D14" s="1462">
        <v>42369450</v>
      </c>
      <c r="E14" s="1452">
        <v>62692474.572916597</v>
      </c>
      <c r="F14" s="1462">
        <v>0</v>
      </c>
      <c r="G14" s="1452">
        <v>19757663</v>
      </c>
      <c r="H14" s="1462">
        <v>0</v>
      </c>
      <c r="I14" s="1463"/>
      <c r="J14" s="1462"/>
      <c r="K14" s="823">
        <f t="shared" si="4"/>
        <v>127068272.5729166</v>
      </c>
    </row>
    <row r="15" spans="1:11" ht="15.75" hidden="1" outlineLevel="1" thickBot="1">
      <c r="B15" s="822">
        <v>43171</v>
      </c>
      <c r="C15" s="1452">
        <v>1693685</v>
      </c>
      <c r="D15" s="1462">
        <v>40019450</v>
      </c>
      <c r="E15" s="1452">
        <v>60380025.572916597</v>
      </c>
      <c r="F15" s="1462">
        <v>0</v>
      </c>
      <c r="G15" s="1452">
        <v>15547663</v>
      </c>
      <c r="H15" s="1462">
        <v>0</v>
      </c>
      <c r="I15" s="1463"/>
      <c r="J15" s="1462"/>
      <c r="K15" s="823">
        <f t="shared" si="4"/>
        <v>117640823.5729166</v>
      </c>
    </row>
    <row r="16" spans="1:11" ht="15.75" hidden="1" outlineLevel="1" thickBot="1">
      <c r="B16" s="822">
        <v>43172</v>
      </c>
      <c r="C16" s="1452">
        <v>6693685</v>
      </c>
      <c r="D16" s="1462">
        <v>40019450</v>
      </c>
      <c r="E16" s="1452">
        <v>60380025.572916597</v>
      </c>
      <c r="F16" s="1462">
        <v>0</v>
      </c>
      <c r="G16" s="1452">
        <v>15047663</v>
      </c>
      <c r="H16" s="1462">
        <v>0</v>
      </c>
      <c r="I16" s="1463"/>
      <c r="J16" s="1462"/>
      <c r="K16" s="823">
        <f t="shared" si="4"/>
        <v>122140823.5729166</v>
      </c>
    </row>
    <row r="17" spans="2:11" ht="15.75" hidden="1" outlineLevel="1" thickBot="1">
      <c r="B17" s="822">
        <v>43173</v>
      </c>
      <c r="C17" s="1452">
        <v>6693685</v>
      </c>
      <c r="D17" s="1462">
        <v>37459450</v>
      </c>
      <c r="E17" s="1452">
        <v>60380025.572916597</v>
      </c>
      <c r="F17" s="1462">
        <v>0</v>
      </c>
      <c r="G17" s="1452">
        <v>10947663</v>
      </c>
      <c r="H17" s="1462">
        <v>0</v>
      </c>
      <c r="I17" s="1463"/>
      <c r="J17" s="1462"/>
      <c r="K17" s="823">
        <f t="shared" si="4"/>
        <v>115480823.5729166</v>
      </c>
    </row>
    <row r="18" spans="2:11" ht="15.75" hidden="1" outlineLevel="1" thickBot="1">
      <c r="B18" s="822">
        <v>43174</v>
      </c>
      <c r="C18" s="1452">
        <v>6693685</v>
      </c>
      <c r="D18" s="1462">
        <v>30459450</v>
      </c>
      <c r="E18" s="1452">
        <v>58645745.572916597</v>
      </c>
      <c r="F18" s="1462">
        <v>0</v>
      </c>
      <c r="G18" s="1452">
        <v>8367663</v>
      </c>
      <c r="H18" s="1464">
        <v>148754920</v>
      </c>
      <c r="I18" s="1465"/>
      <c r="J18" s="1464"/>
      <c r="K18" s="823">
        <f t="shared" si="4"/>
        <v>252921463.5729166</v>
      </c>
    </row>
    <row r="19" spans="2:11" ht="15.75" hidden="1" outlineLevel="1" thickBot="1">
      <c r="B19" s="822">
        <v>43175</v>
      </c>
      <c r="C19" s="1452">
        <v>6693685</v>
      </c>
      <c r="D19" s="1462">
        <v>28909450</v>
      </c>
      <c r="E19" s="1452">
        <v>58645745.572916597</v>
      </c>
      <c r="F19" s="1462">
        <v>0</v>
      </c>
      <c r="G19" s="1452">
        <v>7267663</v>
      </c>
      <c r="H19" s="1464">
        <v>148754920</v>
      </c>
      <c r="I19" s="1465"/>
      <c r="J19" s="1464"/>
      <c r="K19" s="823">
        <f t="shared" si="4"/>
        <v>250271463.5729166</v>
      </c>
    </row>
    <row r="20" spans="2:11" ht="15.75" hidden="1" outlineLevel="1" thickBot="1">
      <c r="B20" s="822">
        <v>43176</v>
      </c>
      <c r="C20" s="1452">
        <v>6693685</v>
      </c>
      <c r="D20" s="1462">
        <v>12909450</v>
      </c>
      <c r="E20" s="1452">
        <v>58645745.572916597</v>
      </c>
      <c r="F20" s="1462">
        <v>0</v>
      </c>
      <c r="G20" s="1466">
        <v>6561663</v>
      </c>
      <c r="H20" s="1464">
        <v>148754920</v>
      </c>
      <c r="I20" s="1465"/>
      <c r="J20" s="1464"/>
      <c r="K20" s="823">
        <f t="shared" si="4"/>
        <v>233565463.5729166</v>
      </c>
    </row>
    <row r="21" spans="2:11" ht="15.75" hidden="1" outlineLevel="1" thickBot="1">
      <c r="B21" s="822">
        <v>43177</v>
      </c>
      <c r="C21" s="1452">
        <v>6693685</v>
      </c>
      <c r="D21" s="1462">
        <v>12909450</v>
      </c>
      <c r="E21" s="1452">
        <v>58645745.572916597</v>
      </c>
      <c r="F21" s="1462">
        <v>0</v>
      </c>
      <c r="G21" s="1466">
        <v>3061663</v>
      </c>
      <c r="H21" s="1464">
        <v>148754920</v>
      </c>
      <c r="I21" s="1465"/>
      <c r="J21" s="1464"/>
      <c r="K21" s="823">
        <f t="shared" si="4"/>
        <v>230065463.5729166</v>
      </c>
    </row>
    <row r="22" spans="2:11" ht="15.75" hidden="1" outlineLevel="1" thickBot="1">
      <c r="B22" s="822">
        <v>43178</v>
      </c>
      <c r="C22" s="1452">
        <v>6468685</v>
      </c>
      <c r="D22" s="1462">
        <v>7627450</v>
      </c>
      <c r="E22" s="1452">
        <v>54605145.572916597</v>
      </c>
      <c r="F22" s="1462">
        <v>0</v>
      </c>
      <c r="G22" s="1452">
        <v>1761663</v>
      </c>
      <c r="H22" s="1464">
        <v>148587590</v>
      </c>
      <c r="I22" s="1465"/>
      <c r="J22" s="1464"/>
      <c r="K22" s="823">
        <f t="shared" si="4"/>
        <v>219050533.5729166</v>
      </c>
    </row>
    <row r="23" spans="2:11" ht="15.75" hidden="1" outlineLevel="1" thickBot="1">
      <c r="B23" s="822">
        <v>43179</v>
      </c>
      <c r="C23" s="1452">
        <v>6468685</v>
      </c>
      <c r="D23" s="1462">
        <v>6288450</v>
      </c>
      <c r="E23" s="1452">
        <v>54605145.572916597</v>
      </c>
      <c r="F23" s="1462">
        <v>0</v>
      </c>
      <c r="G23" s="1452">
        <v>1261663</v>
      </c>
      <c r="H23" s="1464">
        <v>148584400</v>
      </c>
      <c r="I23" s="1465"/>
      <c r="J23" s="1464"/>
      <c r="K23" s="823">
        <f t="shared" si="4"/>
        <v>217208343.5729166</v>
      </c>
    </row>
    <row r="24" spans="2:11" ht="15.75" hidden="1" outlineLevel="1" thickBot="1">
      <c r="B24" s="822">
        <v>43180</v>
      </c>
      <c r="C24" s="1452">
        <v>4059885</v>
      </c>
      <c r="D24" s="1462">
        <v>4738450</v>
      </c>
      <c r="E24" s="1452">
        <v>7869477.57291664</v>
      </c>
      <c r="F24" s="1462">
        <v>0</v>
      </c>
      <c r="G24" s="1452">
        <v>1261663</v>
      </c>
      <c r="H24" s="1464">
        <v>148584400</v>
      </c>
      <c r="I24" s="1465"/>
      <c r="J24" s="1464"/>
      <c r="K24" s="823">
        <f t="shared" si="4"/>
        <v>166513875.57291663</v>
      </c>
    </row>
    <row r="25" spans="2:11" ht="15.75" hidden="1" outlineLevel="1" thickBot="1">
      <c r="B25" s="822">
        <v>43181</v>
      </c>
      <c r="C25" s="1452">
        <v>4059885</v>
      </c>
      <c r="D25" s="1462">
        <v>3303450</v>
      </c>
      <c r="E25" s="1452">
        <v>780995157.57291698</v>
      </c>
      <c r="F25" s="1462">
        <v>0</v>
      </c>
      <c r="G25" s="1452">
        <v>1261663</v>
      </c>
      <c r="H25" s="1464">
        <v>148584400</v>
      </c>
      <c r="I25" s="1465"/>
      <c r="J25" s="1464"/>
      <c r="K25" s="823">
        <f t="shared" si="4"/>
        <v>938204555.57291698</v>
      </c>
    </row>
    <row r="26" spans="2:11" ht="15.75" hidden="1" outlineLevel="1" thickBot="1">
      <c r="B26" s="822">
        <v>43182</v>
      </c>
      <c r="C26" s="1452">
        <v>2429085</v>
      </c>
      <c r="D26" s="1462">
        <v>3303450</v>
      </c>
      <c r="E26" s="1452">
        <v>780935570.07291698</v>
      </c>
      <c r="F26" s="1462">
        <v>0</v>
      </c>
      <c r="G26" s="1452">
        <v>32548663</v>
      </c>
      <c r="H26" s="1464">
        <v>148584400</v>
      </c>
      <c r="I26" s="1465"/>
      <c r="J26" s="1464"/>
      <c r="K26" s="823">
        <f t="shared" si="4"/>
        <v>967801168.07291698</v>
      </c>
    </row>
    <row r="27" spans="2:11" ht="15.75" hidden="1" outlineLevel="1" thickBot="1">
      <c r="B27" s="822">
        <v>43183</v>
      </c>
      <c r="C27" s="1452">
        <v>2429085</v>
      </c>
      <c r="D27" s="1462">
        <v>3303450</v>
      </c>
      <c r="E27" s="1452">
        <v>780935570.07291698</v>
      </c>
      <c r="F27" s="1462">
        <v>0</v>
      </c>
      <c r="G27" s="1452">
        <v>32548663</v>
      </c>
      <c r="H27" s="1464">
        <v>148584400</v>
      </c>
      <c r="I27" s="1465"/>
      <c r="J27" s="1464"/>
      <c r="K27" s="823">
        <f t="shared" si="4"/>
        <v>967801168.07291698</v>
      </c>
    </row>
    <row r="28" spans="2:11" ht="15.75" hidden="1" outlineLevel="1" thickBot="1">
      <c r="B28" s="822">
        <v>43184</v>
      </c>
      <c r="C28" s="1452">
        <v>2429085</v>
      </c>
      <c r="D28" s="1462">
        <v>3303450</v>
      </c>
      <c r="E28" s="1452">
        <v>780935570.07291698</v>
      </c>
      <c r="F28" s="1462">
        <v>0</v>
      </c>
      <c r="G28" s="1452">
        <v>32548663</v>
      </c>
      <c r="H28" s="1464">
        <v>148584400</v>
      </c>
      <c r="I28" s="1465"/>
      <c r="J28" s="1464"/>
      <c r="K28" s="823">
        <f t="shared" si="4"/>
        <v>967801168.07291698</v>
      </c>
    </row>
    <row r="29" spans="2:11" ht="15.75" hidden="1" outlineLevel="1" thickBot="1">
      <c r="B29" s="822">
        <v>43185</v>
      </c>
      <c r="C29" s="1452">
        <v>1472985</v>
      </c>
      <c r="D29" s="1462">
        <v>3303450</v>
      </c>
      <c r="E29" s="1452">
        <v>780935570.07291698</v>
      </c>
      <c r="F29" s="1462">
        <v>0</v>
      </c>
      <c r="G29" s="1452">
        <v>32548663</v>
      </c>
      <c r="H29" s="1464">
        <v>148584400</v>
      </c>
      <c r="I29" s="1465"/>
      <c r="J29" s="1464"/>
      <c r="K29" s="823">
        <f t="shared" si="4"/>
        <v>966845068.07291698</v>
      </c>
    </row>
    <row r="30" spans="2:11" ht="15.75" hidden="1" outlineLevel="1" thickBot="1">
      <c r="B30" s="822">
        <v>43186</v>
      </c>
      <c r="C30" s="1452">
        <v>1465285</v>
      </c>
      <c r="D30" s="1462">
        <v>50573950</v>
      </c>
      <c r="E30" s="1452">
        <v>779596270.07291698</v>
      </c>
      <c r="F30" s="1462">
        <v>0</v>
      </c>
      <c r="G30" s="1452">
        <v>80741663</v>
      </c>
      <c r="H30" s="1464">
        <v>148584400</v>
      </c>
      <c r="I30" s="1465"/>
      <c r="J30" s="1464"/>
      <c r="K30" s="823">
        <f t="shared" si="4"/>
        <v>1060961568.072917</v>
      </c>
    </row>
    <row r="31" spans="2:11" ht="15.75" hidden="1" outlineLevel="1" thickBot="1">
      <c r="B31" s="822">
        <v>43187</v>
      </c>
      <c r="C31" s="1452">
        <v>1465285</v>
      </c>
      <c r="D31" s="1462">
        <v>97540950</v>
      </c>
      <c r="E31" s="1452">
        <v>836175793.07291698</v>
      </c>
      <c r="F31" s="1462">
        <v>0</v>
      </c>
      <c r="G31" s="1452">
        <v>76591663</v>
      </c>
      <c r="H31" s="1464">
        <v>148584400</v>
      </c>
      <c r="I31" s="1465"/>
      <c r="J31" s="1464"/>
      <c r="K31" s="823">
        <f t="shared" si="4"/>
        <v>1160358091.072917</v>
      </c>
    </row>
    <row r="32" spans="2:11" ht="15.75" hidden="1" outlineLevel="1" thickBot="1">
      <c r="B32" s="822">
        <v>43188</v>
      </c>
      <c r="C32" s="1452">
        <v>1465285</v>
      </c>
      <c r="D32" s="1462">
        <v>94405950</v>
      </c>
      <c r="E32" s="1452">
        <v>812491521.07291698</v>
      </c>
      <c r="F32" s="1462">
        <v>0</v>
      </c>
      <c r="G32" s="1452">
        <v>76531663</v>
      </c>
      <c r="H32" s="1464">
        <v>148584400</v>
      </c>
      <c r="I32" s="1465"/>
      <c r="J32" s="1464"/>
      <c r="K32" s="823">
        <f t="shared" si="4"/>
        <v>1133478819.072917</v>
      </c>
    </row>
    <row r="33" spans="2:11" ht="15.75" hidden="1" outlineLevel="1" thickBot="1">
      <c r="B33" s="824">
        <v>43189</v>
      </c>
      <c r="C33" s="1453">
        <v>1450285</v>
      </c>
      <c r="D33" s="1467">
        <v>86235950</v>
      </c>
      <c r="E33" s="1453">
        <v>810798101.07291698</v>
      </c>
      <c r="F33" s="1467">
        <v>0</v>
      </c>
      <c r="G33" s="1453">
        <v>76531663</v>
      </c>
      <c r="H33" s="1468">
        <v>148584400</v>
      </c>
      <c r="I33" s="1469"/>
      <c r="J33" s="1468"/>
      <c r="K33" s="829">
        <f t="shared" si="4"/>
        <v>1123600399.072917</v>
      </c>
    </row>
    <row r="34" spans="2:11" ht="15.75" collapsed="1" thickBot="1">
      <c r="B34" s="825">
        <v>43190</v>
      </c>
      <c r="C34" s="1043">
        <f>'GENERAL CASH BL'!H238</f>
        <v>1450285</v>
      </c>
      <c r="D34" s="1044">
        <f>'GENERAL CASH BL'!H239</f>
        <v>84135950</v>
      </c>
      <c r="E34" s="1043">
        <f>'GENERAL CASH BL'!H240</f>
        <v>775929652.57292008</v>
      </c>
      <c r="F34" s="1044">
        <f>'GENERAL CASH BL'!H241</f>
        <v>0</v>
      </c>
      <c r="G34" s="1043">
        <f>'GENERAL CASH BL'!H242</f>
        <v>71531663</v>
      </c>
      <c r="H34" s="1044">
        <f>'GENERAL CASH BL'!H243</f>
        <v>148584400</v>
      </c>
      <c r="I34" s="1276">
        <v>0</v>
      </c>
      <c r="J34" s="1045"/>
      <c r="K34" s="832">
        <f t="shared" si="4"/>
        <v>1081631950.5729201</v>
      </c>
    </row>
    <row r="35" spans="2:11" ht="15.75" hidden="1" outlineLevel="1" thickBot="1">
      <c r="B35" s="820">
        <v>43191</v>
      </c>
      <c r="C35" s="1454">
        <f>'GENERAL CASH BL'!H245</f>
        <v>1450285</v>
      </c>
      <c r="D35" s="1470">
        <f>'GENERAL CASH BL'!H246</f>
        <v>84135950</v>
      </c>
      <c r="E35" s="1454">
        <f>'GENERAL CASH BL'!H247</f>
        <v>775929652.57291675</v>
      </c>
      <c r="F35" s="1470">
        <f>'GENERAL CASH BL'!H248</f>
        <v>0</v>
      </c>
      <c r="G35" s="1454">
        <f>'GENERAL CASH BL'!H249</f>
        <v>71531663</v>
      </c>
      <c r="H35" s="1470">
        <f>'GENERAL CASH BL'!H250</f>
        <v>132344400</v>
      </c>
      <c r="I35" s="1471"/>
      <c r="J35" s="1470"/>
      <c r="K35" s="826">
        <f t="shared" si="4"/>
        <v>1065391950.5729167</v>
      </c>
    </row>
    <row r="36" spans="2:11" ht="15.75" hidden="1" outlineLevel="1" thickBot="1">
      <c r="B36" s="822">
        <v>43192</v>
      </c>
      <c r="C36" s="1452">
        <f>'GENERAL CASH BL'!H252</f>
        <v>1450285</v>
      </c>
      <c r="D36" s="1462">
        <f>'GENERAL CASH BL'!H253</f>
        <v>84135950</v>
      </c>
      <c r="E36" s="1452">
        <f>'GENERAL CASH BL'!H254</f>
        <v>819876852.57291579</v>
      </c>
      <c r="F36" s="1462">
        <f>'GENERAL CASH BL'!H255</f>
        <v>0</v>
      </c>
      <c r="G36" s="1452">
        <f>'GENERAL CASH BL'!H256</f>
        <v>71531663</v>
      </c>
      <c r="H36" s="1462">
        <f>'GENERAL CASH BL'!H257</f>
        <v>132344400</v>
      </c>
      <c r="I36" s="1463"/>
      <c r="J36" s="1462"/>
      <c r="K36" s="823">
        <f t="shared" si="4"/>
        <v>1109339150.5729158</v>
      </c>
    </row>
    <row r="37" spans="2:11" ht="15.75" hidden="1" outlineLevel="1" thickBot="1">
      <c r="B37" s="822">
        <v>43193</v>
      </c>
      <c r="C37" s="1452">
        <f>'GENERAL CASH BL'!H259</f>
        <v>1450285</v>
      </c>
      <c r="D37" s="1462">
        <f>'GENERAL CASH BL'!H260</f>
        <v>70016950</v>
      </c>
      <c r="E37" s="1452">
        <f>'GENERAL CASH BL'!H261</f>
        <v>819876852.57291579</v>
      </c>
      <c r="F37" s="1462">
        <f>'GENERAL CASH BL'!H262</f>
        <v>0</v>
      </c>
      <c r="G37" s="1452">
        <f>'GENERAL CASH BL'!H263</f>
        <v>70321663</v>
      </c>
      <c r="H37" s="1462">
        <f>'GENERAL CASH BL'!H264</f>
        <v>132344400</v>
      </c>
      <c r="I37" s="1463"/>
      <c r="J37" s="1462"/>
      <c r="K37" s="823">
        <f t="shared" ref="K37:K66" si="5">SUM(C37:H37)</f>
        <v>1094010150.5729158</v>
      </c>
    </row>
    <row r="38" spans="2:11" ht="15.75" hidden="1" outlineLevel="1" thickBot="1">
      <c r="B38" s="822">
        <v>43194</v>
      </c>
      <c r="C38" s="1452">
        <f>'GENERAL CASH BL'!H266</f>
        <v>2825285</v>
      </c>
      <c r="D38" s="1462">
        <f>'GENERAL CASH BL'!H267</f>
        <v>56016950</v>
      </c>
      <c r="E38" s="1452">
        <f>'GENERAL CASH BL'!H268</f>
        <v>819876852.57291579</v>
      </c>
      <c r="F38" s="1462">
        <f>'GENERAL CASH BL'!H269</f>
        <v>0</v>
      </c>
      <c r="G38" s="1452">
        <f>'GENERAL CASH BL'!H270</f>
        <v>70321663</v>
      </c>
      <c r="H38" s="1462">
        <f>'GENERAL CASH BL'!H271</f>
        <v>132344400</v>
      </c>
      <c r="I38" s="1463"/>
      <c r="J38" s="1462"/>
      <c r="K38" s="823">
        <f t="shared" si="5"/>
        <v>1081385150.5729158</v>
      </c>
    </row>
    <row r="39" spans="2:11" ht="15.75" hidden="1" outlineLevel="1" thickBot="1">
      <c r="B39" s="822">
        <v>43195</v>
      </c>
      <c r="C39" s="1452">
        <f>'GENERAL CASH BL'!H273</f>
        <v>2214785</v>
      </c>
      <c r="D39" s="1462">
        <f>'GENERAL CASH BL'!H274</f>
        <v>19437450</v>
      </c>
      <c r="E39" s="1452">
        <f>'GENERAL CASH BL'!H275</f>
        <v>819876852.57291579</v>
      </c>
      <c r="F39" s="1462">
        <f>'GENERAL CASH BL'!H276</f>
        <v>0</v>
      </c>
      <c r="G39" s="1452">
        <f>'GENERAL CASH BL'!H277</f>
        <v>64221663</v>
      </c>
      <c r="H39" s="1462">
        <f>'GENERAL CASH BL'!H278</f>
        <v>132344400</v>
      </c>
      <c r="I39" s="1463"/>
      <c r="J39" s="1462"/>
      <c r="K39" s="823">
        <f t="shared" si="5"/>
        <v>1038095150.5729158</v>
      </c>
    </row>
    <row r="40" spans="2:11" ht="15.75" hidden="1" outlineLevel="1" thickBot="1">
      <c r="B40" s="822">
        <v>43196</v>
      </c>
      <c r="C40" s="1452">
        <f>'GENERAL CASH BL'!H280</f>
        <v>24221836</v>
      </c>
      <c r="D40" s="1462">
        <f>'GENERAL CASH BL'!H281</f>
        <v>16867450</v>
      </c>
      <c r="E40" s="1452">
        <f>'GENERAL CASH BL'!H282</f>
        <v>819876852.57291579</v>
      </c>
      <c r="F40" s="1462">
        <f>'GENERAL CASH BL'!H283</f>
        <v>0</v>
      </c>
      <c r="G40" s="1452">
        <f>'GENERAL CASH BL'!H284</f>
        <v>54698663</v>
      </c>
      <c r="H40" s="1462">
        <f>'GENERAL CASH BL'!H285</f>
        <v>132344400</v>
      </c>
      <c r="I40" s="1463"/>
      <c r="J40" s="1462"/>
      <c r="K40" s="823">
        <f t="shared" si="5"/>
        <v>1048009201.5729158</v>
      </c>
    </row>
    <row r="41" spans="2:11" ht="15.75" hidden="1" outlineLevel="1" thickBot="1">
      <c r="B41" s="822">
        <v>43197</v>
      </c>
      <c r="C41" s="1452">
        <f>'GENERAL CASH BL'!H287</f>
        <v>24221836</v>
      </c>
      <c r="D41" s="1462">
        <f>'GENERAL CASH BL'!H288</f>
        <v>16867450</v>
      </c>
      <c r="E41" s="1452">
        <f>'GENERAL CASH BL'!H289</f>
        <v>819876852.57291579</v>
      </c>
      <c r="F41" s="1462">
        <f>'GENERAL CASH BL'!H290</f>
        <v>0</v>
      </c>
      <c r="G41" s="1452">
        <f>'GENERAL CASH BL'!H291</f>
        <v>54698663</v>
      </c>
      <c r="H41" s="1462">
        <f>'GENERAL CASH BL'!H292</f>
        <v>132344400</v>
      </c>
      <c r="I41" s="1463"/>
      <c r="J41" s="1462"/>
      <c r="K41" s="823">
        <f t="shared" si="5"/>
        <v>1048009201.5729158</v>
      </c>
    </row>
    <row r="42" spans="2:11" ht="15.75" hidden="1" outlineLevel="1" thickBot="1">
      <c r="B42" s="822">
        <v>43198</v>
      </c>
      <c r="C42" s="1452">
        <f>'GENERAL CASH BL'!H294</f>
        <v>24221836</v>
      </c>
      <c r="D42" s="1462">
        <f>'GENERAL CASH BL'!H295</f>
        <v>16867450</v>
      </c>
      <c r="E42" s="1452">
        <f>'GENERAL CASH BL'!H296</f>
        <v>819876852.57291579</v>
      </c>
      <c r="F42" s="1462">
        <f>'GENERAL CASH BL'!H297</f>
        <v>0</v>
      </c>
      <c r="G42" s="1452">
        <f>'GENERAL CASH BL'!H298</f>
        <v>54698663</v>
      </c>
      <c r="H42" s="1462">
        <f>'GENERAL CASH BL'!H299</f>
        <v>132344400</v>
      </c>
      <c r="I42" s="1463"/>
      <c r="J42" s="1462"/>
      <c r="K42" s="823">
        <f t="shared" si="5"/>
        <v>1048009201.5729158</v>
      </c>
    </row>
    <row r="43" spans="2:11" ht="15.75" hidden="1" outlineLevel="1" thickBot="1">
      <c r="B43" s="822">
        <v>43199</v>
      </c>
      <c r="C43" s="1452">
        <f>'GENERAL CASH BL'!H301</f>
        <v>20909836</v>
      </c>
      <c r="D43" s="1462">
        <f>'GENERAL CASH BL'!H302</f>
        <v>6382450</v>
      </c>
      <c r="E43" s="1452">
        <f>'GENERAL CASH BL'!H303</f>
        <v>607054123.95291674</v>
      </c>
      <c r="F43" s="1462">
        <f>'GENERAL CASH BL'!H304</f>
        <v>0</v>
      </c>
      <c r="G43" s="1452">
        <f>'GENERAL CASH BL'!H305</f>
        <v>54698663</v>
      </c>
      <c r="H43" s="1462">
        <f>'GENERAL CASH BL'!H306</f>
        <v>72484340</v>
      </c>
      <c r="I43" s="1463"/>
      <c r="J43" s="1462"/>
      <c r="K43" s="823">
        <f t="shared" si="5"/>
        <v>761529412.95291674</v>
      </c>
    </row>
    <row r="44" spans="2:11" ht="15.75" hidden="1" outlineLevel="1" thickBot="1">
      <c r="B44" s="822">
        <v>43200</v>
      </c>
      <c r="C44" s="1452">
        <f>'GENERAL CASH BL'!H308</f>
        <v>20909836</v>
      </c>
      <c r="D44" s="1462">
        <f>'GENERAL CASH BL'!H309</f>
        <v>6382450</v>
      </c>
      <c r="E44" s="1452">
        <f>'GENERAL CASH BL'!H310</f>
        <v>599811007.95291674</v>
      </c>
      <c r="F44" s="1462">
        <f>'GENERAL CASH BL'!H311</f>
        <v>0</v>
      </c>
      <c r="G44" s="1452">
        <f>'GENERAL CASH BL'!H312</f>
        <v>66348663</v>
      </c>
      <c r="H44" s="1462">
        <f>'GENERAL CASH BL'!H313</f>
        <v>72484340</v>
      </c>
      <c r="I44" s="1463"/>
      <c r="J44" s="1462"/>
      <c r="K44" s="823">
        <f t="shared" si="5"/>
        <v>765936296.95291674</v>
      </c>
    </row>
    <row r="45" spans="2:11" ht="15.75" hidden="1" outlineLevel="1" thickBot="1">
      <c r="B45" s="822">
        <v>43201</v>
      </c>
      <c r="C45" s="1452">
        <f>'GENERAL CASH BL'!H315</f>
        <v>17909836</v>
      </c>
      <c r="D45" s="1462">
        <f>'GENERAL CASH BL'!H316</f>
        <v>5232450</v>
      </c>
      <c r="E45" s="1452">
        <f>'GENERAL CASH BL'!H317</f>
        <v>558826157.95291674</v>
      </c>
      <c r="F45" s="1462">
        <f>'GENERAL CASH BL'!H318</f>
        <v>0</v>
      </c>
      <c r="G45" s="1452">
        <f>'GENERAL CASH BL'!H319</f>
        <v>63008663</v>
      </c>
      <c r="H45" s="1462">
        <f>'GENERAL CASH BL'!H320</f>
        <v>72484340</v>
      </c>
      <c r="I45" s="1463"/>
      <c r="J45" s="1462"/>
      <c r="K45" s="823">
        <f t="shared" si="5"/>
        <v>717461446.95291674</v>
      </c>
    </row>
    <row r="46" spans="2:11" ht="15.75" hidden="1" outlineLevel="1" thickBot="1">
      <c r="B46" s="822">
        <v>43202</v>
      </c>
      <c r="C46" s="1452">
        <f>'GENERAL CASH BL'!H322</f>
        <v>17909836</v>
      </c>
      <c r="D46" s="1462">
        <f>'GENERAL CASH BL'!H323</f>
        <v>3832450</v>
      </c>
      <c r="E46" s="1452">
        <f>'GENERAL CASH BL'!H324</f>
        <v>542364798.95291674</v>
      </c>
      <c r="F46" s="1462">
        <f>'GENERAL CASH BL'!H325</f>
        <v>0</v>
      </c>
      <c r="G46" s="1452">
        <f>'GENERAL CASH BL'!H326</f>
        <v>63008663</v>
      </c>
      <c r="H46" s="1462">
        <f>'GENERAL CASH BL'!H327</f>
        <v>72309702</v>
      </c>
      <c r="I46" s="1463"/>
      <c r="J46" s="1462"/>
      <c r="K46" s="823">
        <f t="shared" si="5"/>
        <v>699425449.95291674</v>
      </c>
    </row>
    <row r="47" spans="2:11" ht="15.75" hidden="1" outlineLevel="1" thickBot="1">
      <c r="B47" s="822">
        <v>43203</v>
      </c>
      <c r="C47" s="1452">
        <f>'GENERAL CASH BL'!H329</f>
        <v>17909836</v>
      </c>
      <c r="D47" s="1462">
        <f>'GENERAL CASH BL'!H330</f>
        <v>40207450</v>
      </c>
      <c r="E47" s="1452">
        <f>'GENERAL CASH BL'!H331</f>
        <v>542364798.95291674</v>
      </c>
      <c r="F47" s="1462">
        <f>'GENERAL CASH BL'!H332</f>
        <v>0</v>
      </c>
      <c r="G47" s="1452">
        <f>'GENERAL CASH BL'!H333</f>
        <v>63008663</v>
      </c>
      <c r="H47" s="1462">
        <f>'GENERAL CASH BL'!H334</f>
        <v>72309702</v>
      </c>
      <c r="I47" s="1463"/>
      <c r="J47" s="1462"/>
      <c r="K47" s="823">
        <f t="shared" si="5"/>
        <v>735800449.95291674</v>
      </c>
    </row>
    <row r="48" spans="2:11" ht="15.75" hidden="1" outlineLevel="1" thickBot="1">
      <c r="B48" s="822">
        <v>43204</v>
      </c>
      <c r="C48" s="1452">
        <f>'GENERAL CASH BL'!H336</f>
        <v>17909836</v>
      </c>
      <c r="D48" s="1462">
        <f>'GENERAL CASH BL'!H337</f>
        <v>40207450</v>
      </c>
      <c r="E48" s="1452">
        <f>'GENERAL CASH BL'!H338</f>
        <v>542364798.95291674</v>
      </c>
      <c r="F48" s="1462">
        <f>'GENERAL CASH BL'!H339</f>
        <v>0</v>
      </c>
      <c r="G48" s="1452">
        <f>'GENERAL CASH BL'!H340</f>
        <v>63008663</v>
      </c>
      <c r="H48" s="1462">
        <f>'GENERAL CASH BL'!H341</f>
        <v>72309702</v>
      </c>
      <c r="I48" s="1463"/>
      <c r="J48" s="1462"/>
      <c r="K48" s="823">
        <f t="shared" si="5"/>
        <v>735800449.95291674</v>
      </c>
    </row>
    <row r="49" spans="2:11" ht="15.75" hidden="1" outlineLevel="1" thickBot="1">
      <c r="B49" s="822">
        <v>43205</v>
      </c>
      <c r="C49" s="1452">
        <f>'GENERAL CASH BL'!H343</f>
        <v>17909836</v>
      </c>
      <c r="D49" s="1462">
        <f>'GENERAL CASH BL'!H344</f>
        <v>40207450</v>
      </c>
      <c r="E49" s="1452">
        <f>'GENERAL CASH BL'!H345</f>
        <v>542364798.95291674</v>
      </c>
      <c r="F49" s="1462">
        <f>'GENERAL CASH BL'!H346</f>
        <v>0</v>
      </c>
      <c r="G49" s="1452">
        <f>'GENERAL CASH BL'!H347</f>
        <v>63008663</v>
      </c>
      <c r="H49" s="1462">
        <f>'GENERAL CASH BL'!H348</f>
        <v>72309702</v>
      </c>
      <c r="I49" s="1463"/>
      <c r="J49" s="1462"/>
      <c r="K49" s="823">
        <f t="shared" si="5"/>
        <v>735800449.95291674</v>
      </c>
    </row>
    <row r="50" spans="2:11" s="3" customFormat="1" ht="15.75" hidden="1" outlineLevel="1" thickBot="1">
      <c r="B50" s="822">
        <v>43206</v>
      </c>
      <c r="C50" s="1452">
        <f>'GENERAL CASH BL'!H350</f>
        <v>17909836</v>
      </c>
      <c r="D50" s="1462">
        <f>'GENERAL CASH BL'!H351</f>
        <v>24707450</v>
      </c>
      <c r="E50" s="1452">
        <f>'GENERAL CASH BL'!H352</f>
        <v>542364798.95291674</v>
      </c>
      <c r="F50" s="1462">
        <f>'GENERAL CASH BL'!H353</f>
        <v>0</v>
      </c>
      <c r="G50" s="1452">
        <f>'GENERAL CASH BL'!H354</f>
        <v>62808663</v>
      </c>
      <c r="H50" s="1462">
        <f>'GENERAL CASH BL'!H355</f>
        <v>72309702</v>
      </c>
      <c r="I50" s="1463"/>
      <c r="J50" s="1462"/>
      <c r="K50" s="823">
        <f t="shared" si="5"/>
        <v>720100449.95291674</v>
      </c>
    </row>
    <row r="51" spans="2:11" s="3" customFormat="1" ht="15.75" hidden="1" outlineLevel="1" thickBot="1">
      <c r="B51" s="822">
        <v>43207</v>
      </c>
      <c r="C51" s="1452">
        <f>'GENERAL CASH BL'!H357</f>
        <v>17909836</v>
      </c>
      <c r="D51" s="1462">
        <f>'GENERAL CASH BL'!H358</f>
        <v>22577450</v>
      </c>
      <c r="E51" s="1452">
        <f>'GENERAL CASH BL'!H359</f>
        <v>542364798.95291674</v>
      </c>
      <c r="F51" s="1462">
        <f>'GENERAL CASH BL'!H360</f>
        <v>0</v>
      </c>
      <c r="G51" s="1452">
        <f>'GENERAL CASH BL'!H361</f>
        <v>51432563</v>
      </c>
      <c r="H51" s="1462">
        <f>'GENERAL CASH BL'!H362</f>
        <v>72309702</v>
      </c>
      <c r="I51" s="1463"/>
      <c r="J51" s="1462"/>
      <c r="K51" s="823">
        <f t="shared" si="5"/>
        <v>706594349.95291674</v>
      </c>
    </row>
    <row r="52" spans="2:11" s="3" customFormat="1" ht="15.75" hidden="1" outlineLevel="1" thickBot="1">
      <c r="B52" s="822">
        <v>43208</v>
      </c>
      <c r="C52" s="1452">
        <f>'GENERAL CASH BL'!H364</f>
        <v>17743836</v>
      </c>
      <c r="D52" s="1462">
        <f>'GENERAL CASH BL'!H365</f>
        <v>19917450</v>
      </c>
      <c r="E52" s="1452">
        <f>'GENERAL CASH BL'!H366</f>
        <v>542364798.95291674</v>
      </c>
      <c r="F52" s="1462">
        <f>'GENERAL CASH BL'!H367</f>
        <v>0</v>
      </c>
      <c r="G52" s="1452">
        <f>'GENERAL CASH BL'!H368</f>
        <v>51432563</v>
      </c>
      <c r="H52" s="1462">
        <f>'GENERAL CASH BL'!H369</f>
        <v>72309702</v>
      </c>
      <c r="I52" s="1463"/>
      <c r="J52" s="1462"/>
      <c r="K52" s="823">
        <f t="shared" si="5"/>
        <v>703768349.95291674</v>
      </c>
    </row>
    <row r="53" spans="2:11" s="3" customFormat="1" ht="15.75" hidden="1" outlineLevel="1" thickBot="1">
      <c r="B53" s="827">
        <v>43209</v>
      </c>
      <c r="C53" s="1455">
        <f>'GENERAL CASH BL'!H371</f>
        <v>17743836</v>
      </c>
      <c r="D53" s="1472">
        <f>'GENERAL CASH BL'!H372</f>
        <v>29917450</v>
      </c>
      <c r="E53" s="1455">
        <f>'GENERAL CASH BL'!H373</f>
        <v>542364798.95291674</v>
      </c>
      <c r="F53" s="1472">
        <f>'GENERAL CASH BL'!H374</f>
        <v>0</v>
      </c>
      <c r="G53" s="1455">
        <f>'GENERAL CASH BL'!H375</f>
        <v>49089563</v>
      </c>
      <c r="H53" s="1472">
        <f>'GENERAL CASH BL'!H376</f>
        <v>70757332</v>
      </c>
      <c r="I53" s="1455"/>
      <c r="J53" s="1472"/>
      <c r="K53" s="828">
        <f t="shared" si="5"/>
        <v>709872979.95291674</v>
      </c>
    </row>
    <row r="54" spans="2:11" ht="15.75" hidden="1" outlineLevel="1" thickBot="1">
      <c r="B54" s="822">
        <v>43210</v>
      </c>
      <c r="C54" s="1452">
        <f>'GENERAL CASH BL'!H378</f>
        <v>17743836</v>
      </c>
      <c r="D54" s="1462">
        <f>'GENERAL CASH BL'!H379</f>
        <v>29917450</v>
      </c>
      <c r="E54" s="1452">
        <f>'GENERAL CASH BL'!H380</f>
        <v>364519378.95291674</v>
      </c>
      <c r="F54" s="1462">
        <f>'GENERAL CASH BL'!H381</f>
        <v>0</v>
      </c>
      <c r="G54" s="1452">
        <f>'GENERAL CASH BL'!H382</f>
        <v>34511563</v>
      </c>
      <c r="H54" s="1462">
        <f>'GENERAL CASH BL'!H383</f>
        <v>70757332</v>
      </c>
      <c r="I54" s="1463"/>
      <c r="J54" s="1462"/>
      <c r="K54" s="823">
        <f t="shared" si="5"/>
        <v>517449559.95291674</v>
      </c>
    </row>
    <row r="55" spans="2:11" ht="15.75" hidden="1" outlineLevel="1" thickBot="1">
      <c r="B55" s="822">
        <v>43211</v>
      </c>
      <c r="C55" s="1452">
        <f>'GENERAL CASH BL'!H385</f>
        <v>17743836</v>
      </c>
      <c r="D55" s="1462">
        <f>'GENERAL CASH BL'!H386</f>
        <v>29917450</v>
      </c>
      <c r="E55" s="1452">
        <f>'GENERAL CASH BL'!H387</f>
        <v>364519378.95291674</v>
      </c>
      <c r="F55" s="1462">
        <f>'GENERAL CASH BL'!H388</f>
        <v>0</v>
      </c>
      <c r="G55" s="1452">
        <f>'GENERAL CASH BL'!H389</f>
        <v>34098563</v>
      </c>
      <c r="H55" s="1462">
        <f>'GENERAL CASH BL'!H390</f>
        <v>70757332</v>
      </c>
      <c r="I55" s="1463"/>
      <c r="J55" s="1462"/>
      <c r="K55" s="823">
        <f t="shared" si="5"/>
        <v>517036559.95291674</v>
      </c>
    </row>
    <row r="56" spans="2:11" ht="15.75" hidden="1" outlineLevel="1" thickBot="1">
      <c r="B56" s="822">
        <v>43212</v>
      </c>
      <c r="C56" s="1452">
        <f>'GENERAL CASH BL'!H392</f>
        <v>17743836</v>
      </c>
      <c r="D56" s="1462">
        <f>'GENERAL CASH BL'!H393</f>
        <v>29917450</v>
      </c>
      <c r="E56" s="1452">
        <f>'GENERAL CASH BL'!H394</f>
        <v>364519378.95291674</v>
      </c>
      <c r="F56" s="1462">
        <f>'GENERAL CASH BL'!H395</f>
        <v>0</v>
      </c>
      <c r="G56" s="1452">
        <f>'GENERAL CASH BL'!H396</f>
        <v>34098563</v>
      </c>
      <c r="H56" s="1462">
        <f>'GENERAL CASH BL'!H397</f>
        <v>70757332</v>
      </c>
      <c r="I56" s="1463"/>
      <c r="J56" s="1462"/>
      <c r="K56" s="823">
        <f t="shared" si="5"/>
        <v>517036559.95291674</v>
      </c>
    </row>
    <row r="57" spans="2:11" ht="15.75" hidden="1" outlineLevel="1" thickBot="1">
      <c r="B57" s="822">
        <v>43213</v>
      </c>
      <c r="C57" s="1452">
        <f>'GENERAL CASH BL'!H399</f>
        <v>12343836</v>
      </c>
      <c r="D57" s="1462">
        <f>'GENERAL CASH BL'!H400</f>
        <v>27003150</v>
      </c>
      <c r="E57" s="1452">
        <f>'GENERAL CASH BL'!H401</f>
        <v>362323153.95291674</v>
      </c>
      <c r="F57" s="1462">
        <f>'GENERAL CASH BL'!H402</f>
        <v>0</v>
      </c>
      <c r="G57" s="1452">
        <f>'GENERAL CASH BL'!H403</f>
        <v>24298563</v>
      </c>
      <c r="H57" s="1462">
        <f>'GENERAL CASH BL'!H404</f>
        <v>70757332</v>
      </c>
      <c r="I57" s="1463"/>
      <c r="J57" s="1462"/>
      <c r="K57" s="823">
        <f t="shared" si="5"/>
        <v>496726034.95291674</v>
      </c>
    </row>
    <row r="58" spans="2:11" ht="15.75" hidden="1" outlineLevel="1" thickBot="1">
      <c r="B58" s="822">
        <v>43214</v>
      </c>
      <c r="C58" s="1452">
        <f>'GENERAL CASH BL'!H406</f>
        <v>12343836</v>
      </c>
      <c r="D58" s="1462">
        <f>'GENERAL CASH BL'!H407</f>
        <v>27003150</v>
      </c>
      <c r="E58" s="1452">
        <f>'GENERAL CASH BL'!H408</f>
        <v>361471903.95291674</v>
      </c>
      <c r="F58" s="1462">
        <f>'GENERAL CASH BL'!H409</f>
        <v>0</v>
      </c>
      <c r="G58" s="1452">
        <f>'GENERAL CASH BL'!H410</f>
        <v>24298563</v>
      </c>
      <c r="H58" s="1462">
        <f>'GENERAL CASH BL'!H411</f>
        <v>25695972</v>
      </c>
      <c r="I58" s="1463"/>
      <c r="J58" s="1462"/>
      <c r="K58" s="823">
        <f t="shared" si="5"/>
        <v>450813424.95291674</v>
      </c>
    </row>
    <row r="59" spans="2:11" ht="15.75" hidden="1" outlineLevel="1" thickBot="1">
      <c r="B59" s="822">
        <v>43215</v>
      </c>
      <c r="C59" s="1452">
        <f>'GENERAL CASH BL'!H413</f>
        <v>12343836</v>
      </c>
      <c r="D59" s="1462">
        <f>'GENERAL CASH BL'!H414</f>
        <v>27003150</v>
      </c>
      <c r="E59" s="1452">
        <f>'GENERAL CASH BL'!H415</f>
        <v>360700784.95291674</v>
      </c>
      <c r="F59" s="1462">
        <f>'GENERAL CASH BL'!H416</f>
        <v>0</v>
      </c>
      <c r="G59" s="1452">
        <f>'GENERAL CASH BL'!H417</f>
        <v>24298563</v>
      </c>
      <c r="H59" s="1462">
        <f>'GENERAL CASH BL'!H418</f>
        <v>14095972</v>
      </c>
      <c r="I59" s="1463"/>
      <c r="J59" s="1462"/>
      <c r="K59" s="823">
        <f t="shared" si="5"/>
        <v>438442305.95291674</v>
      </c>
    </row>
    <row r="60" spans="2:11" ht="15.75" hidden="1" outlineLevel="1" thickBot="1">
      <c r="B60" s="822">
        <v>43216</v>
      </c>
      <c r="C60" s="1452">
        <f>'GENERAL CASH BL'!H420</f>
        <v>12343836</v>
      </c>
      <c r="D60" s="1462">
        <f>'GENERAL CASH BL'!H421</f>
        <v>27003150</v>
      </c>
      <c r="E60" s="1452">
        <f>'GENERAL CASH BL'!H422</f>
        <v>356717388.95291674</v>
      </c>
      <c r="F60" s="1462">
        <f>'GENERAL CASH BL'!H423</f>
        <v>0</v>
      </c>
      <c r="G60" s="1452">
        <f>'GENERAL CASH BL'!H424</f>
        <v>30348563</v>
      </c>
      <c r="H60" s="1462">
        <f>'GENERAL CASH BL'!H425</f>
        <v>8129976</v>
      </c>
      <c r="I60" s="1463"/>
      <c r="J60" s="1462"/>
      <c r="K60" s="823">
        <f t="shared" si="5"/>
        <v>434542913.95291674</v>
      </c>
    </row>
    <row r="61" spans="2:11" ht="15.75" hidden="1" outlineLevel="1" thickBot="1">
      <c r="B61" s="822">
        <v>43217</v>
      </c>
      <c r="C61" s="1452">
        <f>'GENERAL CASH BL'!H427</f>
        <v>12343836</v>
      </c>
      <c r="D61" s="1462">
        <f>'GENERAL CASH BL'!H428</f>
        <v>27003150</v>
      </c>
      <c r="E61" s="1452">
        <f>'GENERAL CASH BL'!H429</f>
        <v>355117038.95291674</v>
      </c>
      <c r="F61" s="1462">
        <f>'GENERAL CASH BL'!H430</f>
        <v>0</v>
      </c>
      <c r="G61" s="1452">
        <f>'GENERAL CASH BL'!H431</f>
        <v>29995863</v>
      </c>
      <c r="H61" s="1462">
        <f>'GENERAL CASH BL'!H432</f>
        <v>7168452</v>
      </c>
      <c r="I61" s="1463"/>
      <c r="J61" s="1462"/>
      <c r="K61" s="823">
        <f t="shared" si="5"/>
        <v>431628339.95291674</v>
      </c>
    </row>
    <row r="62" spans="2:11" ht="15.75" hidden="1" outlineLevel="1" thickBot="1">
      <c r="B62" s="822">
        <v>43218</v>
      </c>
      <c r="C62" s="1452">
        <f>'GENERAL CASH BL'!H434</f>
        <v>12343836</v>
      </c>
      <c r="D62" s="1462">
        <f>'GENERAL CASH BL'!H435</f>
        <v>5368150</v>
      </c>
      <c r="E62" s="1452">
        <f>'GENERAL CASH BL'!H436</f>
        <v>341789868.95291674</v>
      </c>
      <c r="F62" s="1462">
        <f>'GENERAL CASH BL'!H437</f>
        <v>0</v>
      </c>
      <c r="G62" s="1452">
        <f>'GENERAL CASH BL'!H438</f>
        <v>29995863</v>
      </c>
      <c r="H62" s="1462">
        <f>'GENERAL CASH BL'!H439</f>
        <v>7168452</v>
      </c>
      <c r="I62" s="1463"/>
      <c r="J62" s="1462"/>
      <c r="K62" s="823">
        <f t="shared" si="5"/>
        <v>396666169.95291674</v>
      </c>
    </row>
    <row r="63" spans="2:11" ht="15.75" hidden="1" outlineLevel="1" thickBot="1">
      <c r="B63" s="824">
        <v>43219</v>
      </c>
      <c r="C63" s="1453">
        <f>'GENERAL CASH BL'!H441</f>
        <v>12343836</v>
      </c>
      <c r="D63" s="1467">
        <f>'GENERAL CASH BL'!H442</f>
        <v>5368150</v>
      </c>
      <c r="E63" s="1453">
        <f>'GENERAL CASH BL'!H443</f>
        <v>341789868.95291674</v>
      </c>
      <c r="F63" s="1467">
        <f>'GENERAL CASH BL'!H444</f>
        <v>0</v>
      </c>
      <c r="G63" s="1453">
        <f>'GENERAL CASH BL'!H445</f>
        <v>29995863</v>
      </c>
      <c r="H63" s="1467">
        <f>'GENERAL CASH BL'!H446</f>
        <v>7168452</v>
      </c>
      <c r="I63" s="1473"/>
      <c r="J63" s="1467"/>
      <c r="K63" s="829">
        <f t="shared" si="5"/>
        <v>396666169.95291674</v>
      </c>
    </row>
    <row r="64" spans="2:11" ht="15.75" collapsed="1" thickBot="1">
      <c r="B64" s="830">
        <v>43220</v>
      </c>
      <c r="C64" s="1474">
        <f>'GENERAL CASH BL'!H448</f>
        <v>12343836</v>
      </c>
      <c r="D64" s="1044">
        <f>'YOUJIN HP H2'!G166</f>
        <v>5368150</v>
      </c>
      <c r="E64" s="1043">
        <f>'GENERAL CASH BL'!H450</f>
        <v>308185583.45291674</v>
      </c>
      <c r="F64" s="1044">
        <f>'GENERAL CASH BL'!H451</f>
        <v>0</v>
      </c>
      <c r="G64" s="1043">
        <f>'GENERAL CASH BL'!H452</f>
        <v>29995863</v>
      </c>
      <c r="H64" s="1044">
        <f>'GENERAL CASH BL'!H453</f>
        <v>7168452</v>
      </c>
      <c r="I64" s="1276">
        <v>0</v>
      </c>
      <c r="J64" s="1045"/>
      <c r="K64" s="832">
        <f t="shared" si="5"/>
        <v>363061884.45291674</v>
      </c>
    </row>
    <row r="65" spans="2:11" hidden="1" outlineLevel="1">
      <c r="B65" s="822">
        <v>43221</v>
      </c>
      <c r="C65" s="1452">
        <f>'GENERAL CASH BL'!H455</f>
        <v>12343836</v>
      </c>
      <c r="D65" s="1462">
        <f>'GENERAL CASH BL'!H456</f>
        <v>5368150</v>
      </c>
      <c r="E65" s="1452">
        <f>'GENERAL CASH BL'!H457</f>
        <v>306982483.45291674</v>
      </c>
      <c r="F65" s="1462">
        <f>'GENERAL CASH BL'!H458</f>
        <v>0</v>
      </c>
      <c r="G65" s="1452">
        <f>'GENERAL CASH BL'!H459</f>
        <v>29995863</v>
      </c>
      <c r="H65" s="1462">
        <f>'GENERAL CASH BL'!H460</f>
        <v>7168452</v>
      </c>
      <c r="I65" s="1463"/>
      <c r="J65" s="1462"/>
      <c r="K65" s="823">
        <f t="shared" si="5"/>
        <v>361858784.45291674</v>
      </c>
    </row>
    <row r="66" spans="2:11" hidden="1" outlineLevel="1">
      <c r="B66" s="822">
        <v>43222</v>
      </c>
      <c r="C66" s="1452">
        <f>'GENERAL CASH BL'!H462</f>
        <v>12303836</v>
      </c>
      <c r="D66" s="1462">
        <f>'GENERAL CASH BL'!H463</f>
        <v>5368150</v>
      </c>
      <c r="E66" s="1452">
        <f>'GENERAL CASH BL'!H464</f>
        <v>280946718.45291674</v>
      </c>
      <c r="F66" s="1462">
        <f>'GENERAL CASH BL'!H465</f>
        <v>0</v>
      </c>
      <c r="G66" s="1452">
        <f>'GENERAL CASH BL'!H466</f>
        <v>29995863</v>
      </c>
      <c r="H66" s="1462">
        <f>'GENERAL CASH BL'!H467</f>
        <v>7168452</v>
      </c>
      <c r="I66" s="1463"/>
      <c r="J66" s="1462"/>
      <c r="K66" s="823">
        <f t="shared" si="5"/>
        <v>335783019.45291674</v>
      </c>
    </row>
    <row r="67" spans="2:11" hidden="1" outlineLevel="1">
      <c r="B67" s="822">
        <v>43223</v>
      </c>
      <c r="C67" s="1452">
        <f>'GENERAL CASH BL'!H469</f>
        <v>7403728</v>
      </c>
      <c r="D67" s="1462">
        <f>'GENERAL CASH BL'!H470</f>
        <v>5368150</v>
      </c>
      <c r="E67" s="1452">
        <f>'GENERAL CASH BL'!H471</f>
        <v>279444545.95291674</v>
      </c>
      <c r="F67" s="1462">
        <f>'GENERAL CASH BL'!H472</f>
        <v>0</v>
      </c>
      <c r="G67" s="1452">
        <f>'GENERAL CASH BL'!H473</f>
        <v>29995863</v>
      </c>
      <c r="H67" s="1462">
        <f>'GENERAL CASH BL'!H474</f>
        <v>7168452</v>
      </c>
      <c r="I67" s="1463"/>
      <c r="J67" s="1462"/>
      <c r="K67" s="823">
        <f t="shared" ref="K67:K95" si="6">SUM(C67:H67)</f>
        <v>329380738.95291674</v>
      </c>
    </row>
    <row r="68" spans="2:11" hidden="1" outlineLevel="1">
      <c r="B68" s="822">
        <v>43224</v>
      </c>
      <c r="C68" s="1452">
        <f>'GENERAL CASH BL'!H476</f>
        <v>7403728</v>
      </c>
      <c r="D68" s="1462">
        <f>'GENERAL CASH BL'!H477</f>
        <v>5368150</v>
      </c>
      <c r="E68" s="1452">
        <f>'GENERAL CASH BL'!H478</f>
        <v>279444545.95291674</v>
      </c>
      <c r="F68" s="1462">
        <f>'GENERAL CASH BL'!H479</f>
        <v>0</v>
      </c>
      <c r="G68" s="1452">
        <f>'GENERAL CASH BL'!H480</f>
        <v>29995863</v>
      </c>
      <c r="H68" s="1462">
        <f>'GENERAL CASH BL'!H481</f>
        <v>7168452</v>
      </c>
      <c r="I68" s="1463"/>
      <c r="J68" s="1462"/>
      <c r="K68" s="823">
        <f t="shared" si="6"/>
        <v>329380738.95291674</v>
      </c>
    </row>
    <row r="69" spans="2:11" hidden="1" outlineLevel="1">
      <c r="B69" s="822">
        <v>43225</v>
      </c>
      <c r="C69" s="1452">
        <f>'GENERAL CASH BL'!H483</f>
        <v>7403728</v>
      </c>
      <c r="D69" s="1462">
        <f>'GENERAL CASH BL'!H484</f>
        <v>5368150</v>
      </c>
      <c r="E69" s="1452">
        <f>'GENERAL CASH BL'!H485</f>
        <v>279444545.95291674</v>
      </c>
      <c r="F69" s="1462">
        <f>'GENERAL CASH BL'!H486</f>
        <v>0</v>
      </c>
      <c r="G69" s="1452">
        <f>'GENERAL CASH BL'!H487</f>
        <v>29995863</v>
      </c>
      <c r="H69" s="1462">
        <f>'GENERAL CASH BL'!H488</f>
        <v>7168452</v>
      </c>
      <c r="I69" s="1463"/>
      <c r="J69" s="1462"/>
      <c r="K69" s="823">
        <f t="shared" si="6"/>
        <v>329380738.95291674</v>
      </c>
    </row>
    <row r="70" spans="2:11" hidden="1" outlineLevel="1">
      <c r="B70" s="822">
        <v>43226</v>
      </c>
      <c r="C70" s="1452">
        <f>'GENERAL CASH BL'!H490</f>
        <v>7403728</v>
      </c>
      <c r="D70" s="1462">
        <f>'GENERAL CASH BL'!H491</f>
        <v>1574350</v>
      </c>
      <c r="E70" s="1452">
        <f>'GENERAL CASH BL'!H492</f>
        <v>279444545.95291674</v>
      </c>
      <c r="F70" s="1462">
        <f>'GENERAL CASH BL'!H493</f>
        <v>0</v>
      </c>
      <c r="G70" s="1452">
        <f>'GENERAL CASH BL'!H494</f>
        <v>29995863</v>
      </c>
      <c r="H70" s="1462">
        <f>'GENERAL CASH BL'!H495</f>
        <v>7168452</v>
      </c>
      <c r="I70" s="1463"/>
      <c r="J70" s="1462"/>
      <c r="K70" s="823">
        <f t="shared" si="6"/>
        <v>325586938.95291674</v>
      </c>
    </row>
    <row r="71" spans="2:11" hidden="1" outlineLevel="1">
      <c r="B71" s="822">
        <v>43227</v>
      </c>
      <c r="C71" s="1452">
        <f>'GENERAL CASH BL'!H497</f>
        <v>7372625</v>
      </c>
      <c r="D71" s="1462">
        <f>'GENERAL CASH BL'!H498</f>
        <v>1574350</v>
      </c>
      <c r="E71" s="1452">
        <f>'GENERAL CASH BL'!H499</f>
        <v>279444545.95291674</v>
      </c>
      <c r="F71" s="1462">
        <f>'GENERAL CASH BL'!H500</f>
        <v>0</v>
      </c>
      <c r="G71" s="1452">
        <f>'GENERAL CASH BL'!H501</f>
        <v>29995863</v>
      </c>
      <c r="H71" s="1462">
        <f>'GENERAL CASH BL'!H502</f>
        <v>93106820</v>
      </c>
      <c r="I71" s="1463"/>
      <c r="J71" s="1462"/>
      <c r="K71" s="823">
        <f t="shared" si="6"/>
        <v>411494203.95291674</v>
      </c>
    </row>
    <row r="72" spans="2:11" hidden="1" outlineLevel="1">
      <c r="B72" s="822">
        <v>43228</v>
      </c>
      <c r="C72" s="1452">
        <f>'GENERAL CASH BL'!H504</f>
        <v>7372625</v>
      </c>
      <c r="D72" s="1462">
        <f>'GENERAL CASH BL'!H505</f>
        <v>1574350</v>
      </c>
      <c r="E72" s="1452">
        <f>'GENERAL CASH BL'!H506</f>
        <v>200954611.96194774</v>
      </c>
      <c r="F72" s="1462">
        <f>'GENERAL CASH BL'!H507</f>
        <v>0</v>
      </c>
      <c r="G72" s="1452">
        <f>'GENERAL CASH BL'!H508</f>
        <v>29995863</v>
      </c>
      <c r="H72" s="1462">
        <f>'GENERAL CASH BL'!H509</f>
        <v>93106820</v>
      </c>
      <c r="I72" s="1463"/>
      <c r="J72" s="1462"/>
      <c r="K72" s="823">
        <f t="shared" si="6"/>
        <v>333004269.96194774</v>
      </c>
    </row>
    <row r="73" spans="2:11" hidden="1" outlineLevel="1">
      <c r="B73" s="822">
        <v>43229</v>
      </c>
      <c r="C73" s="1452">
        <f>'GENERAL CASH BL'!H511</f>
        <v>3834325</v>
      </c>
      <c r="D73" s="1462">
        <f>'GENERAL CASH BL'!H512</f>
        <v>29074350</v>
      </c>
      <c r="E73" s="1452">
        <f>'GENERAL CASH BL'!H513</f>
        <v>200954611.96194774</v>
      </c>
      <c r="F73" s="1462">
        <f>'GENERAL CASH BL'!H514</f>
        <v>0</v>
      </c>
      <c r="G73" s="1452">
        <f>'GENERAL CASH BL'!H515</f>
        <v>29995863</v>
      </c>
      <c r="H73" s="1462">
        <f>'GENERAL CASH BL'!H516</f>
        <v>93106820</v>
      </c>
      <c r="I73" s="1463"/>
      <c r="J73" s="1462"/>
      <c r="K73" s="823">
        <f t="shared" si="6"/>
        <v>356965969.96194774</v>
      </c>
    </row>
    <row r="74" spans="2:11" hidden="1" outlineLevel="1">
      <c r="B74" s="822">
        <v>43230</v>
      </c>
      <c r="C74" s="1452">
        <f>'GENERAL CASH BL'!H518</f>
        <v>2664325</v>
      </c>
      <c r="D74" s="1462">
        <f>'GENERAL CASH BL'!H519</f>
        <v>28889350</v>
      </c>
      <c r="E74" s="1452">
        <f>'GENERAL CASH BL'!H520</f>
        <v>190163599.46194774</v>
      </c>
      <c r="F74" s="1462">
        <f>'GENERAL CASH BL'!H521</f>
        <v>0</v>
      </c>
      <c r="G74" s="1452">
        <f>'GENERAL CASH BL'!H522</f>
        <v>29995863</v>
      </c>
      <c r="H74" s="1462">
        <f>'GENERAL CASH BL'!H523</f>
        <v>69906820</v>
      </c>
      <c r="I74" s="1463"/>
      <c r="J74" s="1462"/>
      <c r="K74" s="823">
        <f t="shared" si="6"/>
        <v>321619957.46194774</v>
      </c>
    </row>
    <row r="75" spans="2:11" hidden="1" outlineLevel="1">
      <c r="B75" s="822">
        <v>43231</v>
      </c>
      <c r="C75" s="1452">
        <f>'GENERAL CASH BL'!H525</f>
        <v>2664325</v>
      </c>
      <c r="D75" s="1462">
        <f>'GENERAL CASH BL'!H526</f>
        <v>27249350</v>
      </c>
      <c r="E75" s="1452">
        <f>'GENERAL CASH BL'!H527</f>
        <v>173462528.46194774</v>
      </c>
      <c r="F75" s="1462">
        <f>'GENERAL CASH BL'!H528</f>
        <v>0</v>
      </c>
      <c r="G75" s="1452">
        <f>'GENERAL CASH BL'!H529</f>
        <v>4608863</v>
      </c>
      <c r="H75" s="1462">
        <f>'GENERAL CASH BL'!H530</f>
        <v>69906820</v>
      </c>
      <c r="I75" s="1463"/>
      <c r="J75" s="1462"/>
      <c r="K75" s="823">
        <f t="shared" si="6"/>
        <v>277891886.46194774</v>
      </c>
    </row>
    <row r="76" spans="2:11" hidden="1" outlineLevel="1">
      <c r="B76" s="822">
        <v>43232</v>
      </c>
      <c r="C76" s="1452">
        <f>'GENERAL CASH BL'!H532</f>
        <v>2664325</v>
      </c>
      <c r="D76" s="1462">
        <f>'GENERAL CASH BL'!H533</f>
        <v>27249350</v>
      </c>
      <c r="E76" s="1452">
        <f>'GENERAL CASH BL'!H534</f>
        <v>170806628.46194774</v>
      </c>
      <c r="F76" s="1462">
        <f>'GENERAL CASH BL'!H535</f>
        <v>0</v>
      </c>
      <c r="G76" s="1452">
        <f>'GENERAL CASH BL'!H536</f>
        <v>4608863</v>
      </c>
      <c r="H76" s="1462">
        <f>'GENERAL CASH BL'!H537</f>
        <v>69906820</v>
      </c>
      <c r="I76" s="1463"/>
      <c r="J76" s="1462"/>
      <c r="K76" s="823">
        <f t="shared" si="6"/>
        <v>275235986.46194774</v>
      </c>
    </row>
    <row r="77" spans="2:11" hidden="1" outlineLevel="1">
      <c r="B77" s="822">
        <v>43233</v>
      </c>
      <c r="C77" s="1452">
        <f>'GENERAL CASH BL'!H539</f>
        <v>2664325</v>
      </c>
      <c r="D77" s="1462">
        <f>'GENERAL CASH BL'!H540</f>
        <v>27249350</v>
      </c>
      <c r="E77" s="1452">
        <f>'GENERAL CASH BL'!H541</f>
        <v>170806628.46194774</v>
      </c>
      <c r="F77" s="1462">
        <f>'GENERAL CASH BL'!H542</f>
        <v>0</v>
      </c>
      <c r="G77" s="1452">
        <f>'GENERAL CASH BL'!H543</f>
        <v>4608863</v>
      </c>
      <c r="H77" s="1462">
        <f>'GENERAL CASH BL'!H544</f>
        <v>69906820</v>
      </c>
      <c r="I77" s="1463"/>
      <c r="J77" s="1462"/>
      <c r="K77" s="823">
        <f t="shared" si="6"/>
        <v>275235986.46194774</v>
      </c>
    </row>
    <row r="78" spans="2:11" hidden="1" outlineLevel="1">
      <c r="B78" s="822">
        <v>43234</v>
      </c>
      <c r="C78" s="1452">
        <f>'GENERAL CASH BL'!H546</f>
        <v>2664325</v>
      </c>
      <c r="D78" s="1462">
        <f>'GENERAL CASH BL'!H547</f>
        <v>27249350</v>
      </c>
      <c r="E78" s="1452">
        <f>'GENERAL CASH BL'!H548</f>
        <v>170806628.46194774</v>
      </c>
      <c r="F78" s="1462">
        <f>'GENERAL CASH BL'!H549</f>
        <v>0</v>
      </c>
      <c r="G78" s="1452">
        <f>'GENERAL CASH BL'!H550</f>
        <v>3108863</v>
      </c>
      <c r="H78" s="1462">
        <f>'GENERAL CASH BL'!H551</f>
        <v>55260660</v>
      </c>
      <c r="I78" s="1463"/>
      <c r="J78" s="1462"/>
      <c r="K78" s="823">
        <f t="shared" si="6"/>
        <v>259089826.46194774</v>
      </c>
    </row>
    <row r="79" spans="2:11" hidden="1" outlineLevel="1">
      <c r="B79" s="822">
        <v>43235</v>
      </c>
      <c r="C79" s="1452">
        <f>'GENERAL CASH BL'!H553</f>
        <v>2664325</v>
      </c>
      <c r="D79" s="1462">
        <f>'GENERAL CASH BL'!H554</f>
        <v>27249350</v>
      </c>
      <c r="E79" s="1452">
        <f>'GENERAL CASH BL'!H555</f>
        <v>170806628.46194774</v>
      </c>
      <c r="F79" s="1462">
        <f>'GENERAL CASH BL'!H556</f>
        <v>0</v>
      </c>
      <c r="G79" s="1452">
        <f>'GENERAL CASH BL'!H557</f>
        <v>3108863</v>
      </c>
      <c r="H79" s="1462">
        <f>'GENERAL CASH BL'!H558</f>
        <v>42354500</v>
      </c>
      <c r="I79" s="1463"/>
      <c r="J79" s="1462"/>
      <c r="K79" s="823">
        <f t="shared" si="6"/>
        <v>246183666.46194774</v>
      </c>
    </row>
    <row r="80" spans="2:11" hidden="1" outlineLevel="1">
      <c r="B80" s="822">
        <v>43236</v>
      </c>
      <c r="C80" s="1452">
        <f>'GENERAL CASH BL'!H560</f>
        <v>2664325</v>
      </c>
      <c r="D80" s="1462">
        <f>'GENERAL CASH BL'!H561</f>
        <v>23374350</v>
      </c>
      <c r="E80" s="1452">
        <f>'GENERAL CASH BL'!H562</f>
        <v>166756494.46194774</v>
      </c>
      <c r="F80" s="1462">
        <f>'GENERAL CASH BL'!H563</f>
        <v>0</v>
      </c>
      <c r="G80" s="1452">
        <f>'GENERAL CASH BL'!H564</f>
        <v>-3803137</v>
      </c>
      <c r="H80" s="1462">
        <f>'GENERAL CASH BL'!H565</f>
        <v>42354500</v>
      </c>
      <c r="I80" s="1463"/>
      <c r="J80" s="1462"/>
      <c r="K80" s="823">
        <f t="shared" si="6"/>
        <v>231346532.46194774</v>
      </c>
    </row>
    <row r="81" spans="2:11" hidden="1" outlineLevel="1">
      <c r="B81" s="822">
        <v>43237</v>
      </c>
      <c r="C81" s="1452">
        <f>'GENERAL CASH BL'!H567</f>
        <v>2664325</v>
      </c>
      <c r="D81" s="1462">
        <f>'GENERAL CASH BL'!H568</f>
        <v>23374350</v>
      </c>
      <c r="E81" s="1452">
        <f>'GENERAL CASH BL'!H569</f>
        <v>166756494.46194774</v>
      </c>
      <c r="F81" s="1462">
        <f>'GENERAL CASH BL'!H570</f>
        <v>0</v>
      </c>
      <c r="G81" s="1452">
        <f>'GENERAL CASH BL'!H571</f>
        <v>-3803137</v>
      </c>
      <c r="H81" s="1462">
        <f>'GENERAL CASH BL'!H572</f>
        <v>18889498</v>
      </c>
      <c r="I81" s="1463"/>
      <c r="J81" s="1462"/>
      <c r="K81" s="823">
        <f t="shared" si="6"/>
        <v>207881530.46194774</v>
      </c>
    </row>
    <row r="82" spans="2:11" hidden="1" outlineLevel="1">
      <c r="B82" s="822">
        <v>43238</v>
      </c>
      <c r="C82" s="1452">
        <f>'GENERAL CASH BL'!H574</f>
        <v>2664325</v>
      </c>
      <c r="D82" s="1462">
        <f>'GENERAL CASH BL'!H575</f>
        <v>14269350</v>
      </c>
      <c r="E82" s="1452">
        <f>'GENERAL CASH BL'!H576</f>
        <v>133990406.46194774</v>
      </c>
      <c r="F82" s="1462">
        <f>'GENERAL CASH BL'!H577</f>
        <v>0</v>
      </c>
      <c r="G82" s="1452">
        <f>'GENERAL CASH BL'!H578</f>
        <v>15691863</v>
      </c>
      <c r="H82" s="1462">
        <f>'GENERAL CASH BL'!H579</f>
        <v>18889498</v>
      </c>
      <c r="I82" s="1463"/>
      <c r="J82" s="1462"/>
      <c r="K82" s="823">
        <f t="shared" si="6"/>
        <v>185505442.46194774</v>
      </c>
    </row>
    <row r="83" spans="2:11" hidden="1" outlineLevel="1">
      <c r="B83" s="822">
        <v>43239</v>
      </c>
      <c r="C83" s="1452">
        <f>'GENERAL CASH BL'!H581</f>
        <v>2664325</v>
      </c>
      <c r="D83" s="1462">
        <f>'GENERAL CASH BL'!H582</f>
        <v>14269350</v>
      </c>
      <c r="E83" s="1452">
        <f>'GENERAL CASH BL'!H583</f>
        <v>133990406.46194774</v>
      </c>
      <c r="F83" s="1462">
        <f>'GENERAL CASH BL'!H584</f>
        <v>0</v>
      </c>
      <c r="G83" s="1452">
        <f>'GENERAL CASH BL'!H585</f>
        <v>15691863</v>
      </c>
      <c r="H83" s="1462">
        <f>'GENERAL CASH BL'!H586</f>
        <v>18889498</v>
      </c>
      <c r="I83" s="1463"/>
      <c r="J83" s="1462"/>
      <c r="K83" s="823">
        <f t="shared" si="6"/>
        <v>185505442.46194774</v>
      </c>
    </row>
    <row r="84" spans="2:11" hidden="1" outlineLevel="1">
      <c r="B84" s="822">
        <v>43240</v>
      </c>
      <c r="C84" s="1452">
        <f>'GENERAL CASH BL'!H588</f>
        <v>2664325</v>
      </c>
      <c r="D84" s="1462">
        <f>'GENERAL CASH BL'!H589</f>
        <v>14269350</v>
      </c>
      <c r="E84" s="1452">
        <f>'GENERAL CASH BL'!H590</f>
        <v>133990406.46194774</v>
      </c>
      <c r="F84" s="1462">
        <f>'GENERAL CASH BL'!H591</f>
        <v>0</v>
      </c>
      <c r="G84" s="1452">
        <f>'GENERAL CASH BL'!H592</f>
        <v>15691863</v>
      </c>
      <c r="H84" s="1462">
        <f>'GENERAL CASH BL'!H593</f>
        <v>18889498</v>
      </c>
      <c r="I84" s="1463">
        <f>'GENERAL CASH BL'!H594</f>
        <v>21932000</v>
      </c>
      <c r="J84" s="1462"/>
      <c r="K84" s="823">
        <f t="shared" si="6"/>
        <v>185505442.46194774</v>
      </c>
    </row>
    <row r="85" spans="2:11" hidden="1" outlineLevel="1">
      <c r="B85" s="822">
        <v>43241</v>
      </c>
      <c r="C85" s="1452">
        <f>'GENERAL CASH BL'!H596</f>
        <v>2477325</v>
      </c>
      <c r="D85" s="1462">
        <f>'GENERAL CASH BL'!H597</f>
        <v>22834350</v>
      </c>
      <c r="E85" s="1452">
        <f>'GENERAL CASH BL'!H598</f>
        <v>131947406.46194759</v>
      </c>
      <c r="F85" s="1462">
        <f>'GENERAL CASH BL'!H599</f>
        <v>0</v>
      </c>
      <c r="G85" s="1452">
        <f>'GENERAL CASH BL'!H600</f>
        <v>14896863</v>
      </c>
      <c r="H85" s="1462">
        <f>'GENERAL CASH BL'!H601</f>
        <v>18889498</v>
      </c>
      <c r="I85" s="1463">
        <f>'GENERAL CASH BL'!H602</f>
        <v>18659000</v>
      </c>
      <c r="J85" s="1462"/>
      <c r="K85" s="823">
        <f t="shared" si="6"/>
        <v>191045442.46194759</v>
      </c>
    </row>
    <row r="86" spans="2:11" hidden="1" outlineLevel="1">
      <c r="B86" s="822">
        <v>43242</v>
      </c>
      <c r="C86" s="1452">
        <f>'GENERAL CASH BL'!H604</f>
        <v>2477325</v>
      </c>
      <c r="D86" s="1462">
        <f>'GENERAL CASH BL'!H605</f>
        <v>22834350</v>
      </c>
      <c r="E86" s="1452">
        <f>'GENERAL CASH BL'!H606</f>
        <v>266499386.46194756</v>
      </c>
      <c r="F86" s="1462">
        <f>'GENERAL CASH BL'!H607</f>
        <v>0</v>
      </c>
      <c r="G86" s="1452">
        <f>'GENERAL CASH BL'!H608</f>
        <v>14896863</v>
      </c>
      <c r="H86" s="1462">
        <f>'GENERAL CASH BL'!H609</f>
        <v>18889498</v>
      </c>
      <c r="I86" s="1463">
        <f>'GENERAL CASH BL'!H610</f>
        <v>17329000</v>
      </c>
      <c r="J86" s="1462"/>
      <c r="K86" s="823">
        <f t="shared" si="6"/>
        <v>325597422.46194756</v>
      </c>
    </row>
    <row r="87" spans="2:11" hidden="1" outlineLevel="1">
      <c r="B87" s="822">
        <v>43243</v>
      </c>
      <c r="C87" s="1452">
        <f>'GENERAL CASH BL'!H612</f>
        <v>2477325</v>
      </c>
      <c r="D87" s="1462">
        <f>'GENERAL CASH BL'!H613</f>
        <v>22834350</v>
      </c>
      <c r="E87" s="1452">
        <f>'GENERAL CASH BL'!H614</f>
        <v>266499386.46194756</v>
      </c>
      <c r="F87" s="1462">
        <f>'GENERAL CASH BL'!H615</f>
        <v>0</v>
      </c>
      <c r="G87" s="1452">
        <f>'GENERAL CASH BL'!H616</f>
        <v>14896863</v>
      </c>
      <c r="H87" s="1462">
        <f>'GENERAL CASH BL'!H617</f>
        <v>18019962</v>
      </c>
      <c r="I87" s="1463">
        <f>'GENERAL CASH BL'!H618</f>
        <v>6134000</v>
      </c>
      <c r="J87" s="1462"/>
      <c r="K87" s="823">
        <f t="shared" si="6"/>
        <v>324727886.46194756</v>
      </c>
    </row>
    <row r="88" spans="2:11" hidden="1" outlineLevel="1">
      <c r="B88" s="822">
        <v>43244</v>
      </c>
      <c r="C88" s="1452">
        <f>'GENERAL CASH BL'!H620</f>
        <v>2477325</v>
      </c>
      <c r="D88" s="1462">
        <f>'GENERAL CASH BL'!H621</f>
        <v>22075350</v>
      </c>
      <c r="E88" s="1452">
        <f>'GENERAL CASH BL'!H622</f>
        <v>266499386.46194756</v>
      </c>
      <c r="F88" s="1462">
        <f>'GENERAL CASH BL'!H623</f>
        <v>0</v>
      </c>
      <c r="G88" s="1452">
        <f>'GENERAL CASH BL'!H624</f>
        <v>14896863</v>
      </c>
      <c r="H88" s="1462">
        <f>'GENERAL CASH BL'!H625</f>
        <v>18019962</v>
      </c>
      <c r="I88" s="1463">
        <f>'GENERAL CASH BL'!H626</f>
        <v>5741000</v>
      </c>
      <c r="J88" s="1462"/>
      <c r="K88" s="823">
        <f t="shared" si="6"/>
        <v>323968886.46194756</v>
      </c>
    </row>
    <row r="89" spans="2:11" hidden="1" outlineLevel="1">
      <c r="B89" s="822">
        <v>43245</v>
      </c>
      <c r="C89" s="1452">
        <f>'GENERAL CASH BL'!H628</f>
        <v>2477325</v>
      </c>
      <c r="D89" s="1462">
        <f>'GENERAL CASH BL'!H629</f>
        <v>16325350</v>
      </c>
      <c r="E89" s="1452">
        <f>'GENERAL CASH BL'!H630</f>
        <v>266499386.46194756</v>
      </c>
      <c r="F89" s="1462">
        <f>'GENERAL CASH BL'!H631</f>
        <v>0</v>
      </c>
      <c r="G89" s="1452">
        <f>'GENERAL CASH BL'!H632</f>
        <v>14896863</v>
      </c>
      <c r="H89" s="1462">
        <f>'GENERAL CASH BL'!H633</f>
        <v>18019962</v>
      </c>
      <c r="I89" s="1463">
        <f>'GENERAL CASH BL'!H634</f>
        <v>5741000</v>
      </c>
      <c r="J89" s="1462"/>
      <c r="K89" s="823">
        <f t="shared" si="6"/>
        <v>318218886.46194756</v>
      </c>
    </row>
    <row r="90" spans="2:11" hidden="1" outlineLevel="1">
      <c r="B90" s="822">
        <v>43246</v>
      </c>
      <c r="C90" s="1452">
        <f>'GENERAL CASH BL'!H636</f>
        <v>2477325</v>
      </c>
      <c r="D90" s="1462">
        <f>'GENERAL CASH BL'!H637</f>
        <v>16325350</v>
      </c>
      <c r="E90" s="1452">
        <f>'GENERAL CASH BL'!H638</f>
        <v>266499386.46194756</v>
      </c>
      <c r="F90" s="1462">
        <f>'GENERAL CASH BL'!H639</f>
        <v>0</v>
      </c>
      <c r="G90" s="1452">
        <f>'GENERAL CASH BL'!H640</f>
        <v>14896863</v>
      </c>
      <c r="H90" s="1462">
        <f>'GENERAL CASH BL'!H641</f>
        <v>18019962</v>
      </c>
      <c r="I90" s="1463">
        <f>'GENERAL CASH BL'!H642</f>
        <v>13447863</v>
      </c>
      <c r="J90" s="1462"/>
      <c r="K90" s="823">
        <f t="shared" si="6"/>
        <v>318218886.46194756</v>
      </c>
    </row>
    <row r="91" spans="2:11" hidden="1" outlineLevel="1">
      <c r="B91" s="822">
        <v>43247</v>
      </c>
      <c r="C91" s="1452">
        <f>'GENERAL CASH BL'!H644</f>
        <v>2477325</v>
      </c>
      <c r="D91" s="1462">
        <f>'GENERAL CASH BL'!H645</f>
        <v>16325350</v>
      </c>
      <c r="E91" s="1452">
        <f>'GENERAL CASH BL'!H646</f>
        <v>266499386.46194756</v>
      </c>
      <c r="F91" s="1462">
        <f>'GENERAL CASH BL'!H647</f>
        <v>0</v>
      </c>
      <c r="G91" s="1452">
        <f>'GENERAL CASH BL'!H648</f>
        <v>14896863</v>
      </c>
      <c r="H91" s="1462">
        <f>'GENERAL CASH BL'!H649</f>
        <v>18019962</v>
      </c>
      <c r="I91" s="1463">
        <f>'GENERAL CASH BL'!H650</f>
        <v>11872863</v>
      </c>
      <c r="J91" s="1462"/>
      <c r="K91" s="823">
        <f t="shared" si="6"/>
        <v>318218886.46194756</v>
      </c>
    </row>
    <row r="92" spans="2:11" hidden="1" outlineLevel="1">
      <c r="B92" s="822">
        <v>43248</v>
      </c>
      <c r="C92" s="1452">
        <f>'GENERAL CASH BL'!H652</f>
        <v>2477325</v>
      </c>
      <c r="D92" s="1462">
        <f>'GENERAL CASH BL'!H653</f>
        <v>16325350</v>
      </c>
      <c r="E92" s="1452">
        <f>'GENERAL CASH BL'!H654</f>
        <v>266499386.46194756</v>
      </c>
      <c r="F92" s="1462">
        <f>'GENERAL CASH BL'!H655</f>
        <v>0</v>
      </c>
      <c r="G92" s="1452">
        <f>'GENERAL CASH BL'!H656</f>
        <v>14896863</v>
      </c>
      <c r="H92" s="1462">
        <f>'GENERAL CASH BL'!H657</f>
        <v>18019962</v>
      </c>
      <c r="I92" s="1463">
        <f>'GENERAL CASH BL'!H658</f>
        <v>11102863</v>
      </c>
      <c r="J92" s="1462"/>
      <c r="K92" s="823">
        <f t="shared" si="6"/>
        <v>318218886.46194756</v>
      </c>
    </row>
    <row r="93" spans="2:11" hidden="1" outlineLevel="1">
      <c r="B93" s="822">
        <v>43249</v>
      </c>
      <c r="C93" s="1452">
        <f>'GENERAL CASH BL'!H660</f>
        <v>2477325</v>
      </c>
      <c r="D93" s="1462">
        <f>'GENERAL CASH BL'!H661</f>
        <v>16325350</v>
      </c>
      <c r="E93" s="1452">
        <f>'GENERAL CASH BL'!H662</f>
        <v>266499386.46194756</v>
      </c>
      <c r="F93" s="1462">
        <f>'GENERAL CASH BL'!H663</f>
        <v>0</v>
      </c>
      <c r="G93" s="1452">
        <f>'GENERAL CASH BL'!H664</f>
        <v>14896863</v>
      </c>
      <c r="H93" s="1462">
        <f>'GENERAL CASH BL'!H665</f>
        <v>18019962</v>
      </c>
      <c r="I93" s="1463">
        <f>'GENERAL CASH BL'!H666</f>
        <v>11102863</v>
      </c>
      <c r="J93" s="1462"/>
      <c r="K93" s="823">
        <f t="shared" si="6"/>
        <v>318218886.46194756</v>
      </c>
    </row>
    <row r="94" spans="2:11" ht="15.75" hidden="1" outlineLevel="1" thickBot="1">
      <c r="B94" s="824">
        <v>43250</v>
      </c>
      <c r="C94" s="1453">
        <f>'GENERAL CASH BL'!H668</f>
        <v>5268525</v>
      </c>
      <c r="D94" s="1467">
        <f>'GENERAL CASH BL'!H669</f>
        <v>16325350</v>
      </c>
      <c r="E94" s="1453">
        <f>'GENERAL CASH BL'!H670</f>
        <v>131625066.46194756</v>
      </c>
      <c r="F94" s="1467">
        <f>'GENERAL CASH BL'!H671</f>
        <v>0</v>
      </c>
      <c r="G94" s="1453">
        <f>'GENERAL CASH BL'!H672</f>
        <v>14896863</v>
      </c>
      <c r="H94" s="1467">
        <f>'GENERAL CASH BL'!H673</f>
        <v>18019962</v>
      </c>
      <c r="I94" s="1473">
        <f>'GENERAL CASH BL'!H674</f>
        <v>7212863</v>
      </c>
      <c r="J94" s="1467"/>
      <c r="K94" s="829">
        <f t="shared" si="6"/>
        <v>186135766.46194756</v>
      </c>
    </row>
    <row r="95" spans="2:11" ht="15.75" collapsed="1" thickBot="1">
      <c r="B95" s="1483">
        <v>43251</v>
      </c>
      <c r="C95" s="1484">
        <f>'GENERAL CASH BL'!H676</f>
        <v>5268525</v>
      </c>
      <c r="D95" s="1485">
        <f>'GENERAL CASH BL'!H677</f>
        <v>3661350</v>
      </c>
      <c r="E95" s="1484">
        <f>'GENERAL CASH BL'!H678</f>
        <v>131625066.46194756</v>
      </c>
      <c r="F95" s="1485">
        <f>'GENERAL CASH BL'!H679</f>
        <v>0</v>
      </c>
      <c r="G95" s="1484">
        <f>'GENERAL CASH BL'!H680</f>
        <v>14896863</v>
      </c>
      <c r="H95" s="1485">
        <f>'GENERAL CASH BL'!H681</f>
        <v>18019962</v>
      </c>
      <c r="I95" s="1486">
        <f>'GENERAL CASH BL'!H682</f>
        <v>7117863</v>
      </c>
      <c r="J95" s="1485"/>
      <c r="K95" s="1487">
        <f t="shared" si="6"/>
        <v>173471766.46194756</v>
      </c>
    </row>
    <row r="96" spans="2:11" hidden="1" outlineLevel="1">
      <c r="B96" s="1479">
        <v>43252</v>
      </c>
      <c r="C96" s="1480">
        <f>'GENERAL CASH BL'!H684</f>
        <v>4668525</v>
      </c>
      <c r="D96" s="1481">
        <f>'GENERAL CASH BL'!H685</f>
        <v>3661350</v>
      </c>
      <c r="E96" s="1480">
        <f>'GENERAL CASH BL'!H686</f>
        <v>131625066.46194756</v>
      </c>
      <c r="F96" s="1481"/>
      <c r="G96" s="1480">
        <f>'GENERAL CASH BL'!H688</f>
        <v>14896863</v>
      </c>
      <c r="H96" s="1481">
        <f>'GENERAL CASH BL'!H689</f>
        <v>99806922</v>
      </c>
      <c r="I96" s="1480">
        <f>'GENERAL CASH BL'!H690</f>
        <v>6589863</v>
      </c>
      <c r="J96" s="1481"/>
      <c r="K96" s="1482"/>
    </row>
    <row r="97" spans="2:11" hidden="1" outlineLevel="1">
      <c r="B97" s="1475">
        <v>43253</v>
      </c>
      <c r="C97" s="1476">
        <f>'GENERAL CASH BL'!H692</f>
        <v>4558525</v>
      </c>
      <c r="D97" s="1477">
        <f>'GENERAL CASH BL'!H693</f>
        <v>3661350</v>
      </c>
      <c r="E97" s="1476">
        <f>'GENERAL CASH BL'!H694</f>
        <v>131625066.46194756</v>
      </c>
      <c r="F97" s="1477"/>
      <c r="G97" s="1476">
        <f>'GENERAL CASH BL'!H696</f>
        <v>14896863</v>
      </c>
      <c r="H97" s="1477">
        <f>'GENERAL CASH BL'!H697</f>
        <v>99806922</v>
      </c>
      <c r="I97" s="1476">
        <f>'GENERAL CASH BL'!H698</f>
        <v>6589863</v>
      </c>
      <c r="J97" s="1477"/>
      <c r="K97" s="1478"/>
    </row>
    <row r="98" spans="2:11" hidden="1" outlineLevel="1">
      <c r="B98" s="1475">
        <v>43254</v>
      </c>
      <c r="C98" s="1476">
        <f>'GENERAL CASH BL'!H700</f>
        <v>4527225</v>
      </c>
      <c r="D98" s="1477">
        <f>'GENERAL CASH BL'!H701</f>
        <v>3661350</v>
      </c>
      <c r="E98" s="1476">
        <f>'GENERAL CASH BL'!H702</f>
        <v>131625066.46194756</v>
      </c>
      <c r="F98" s="1477"/>
      <c r="G98" s="1476">
        <f>'GENERAL CASH BL'!H704</f>
        <v>14896863</v>
      </c>
      <c r="H98" s="1477">
        <f>'GENERAL CASH BL'!H705</f>
        <v>99806922</v>
      </c>
      <c r="I98" s="1476">
        <f>'GENERAL CASH BL'!H706</f>
        <v>6589863</v>
      </c>
      <c r="J98" s="1477"/>
      <c r="K98" s="1478"/>
    </row>
    <row r="99" spans="2:11" hidden="1" outlineLevel="1">
      <c r="B99" s="1475">
        <v>43255</v>
      </c>
      <c r="C99" s="1476">
        <f>'GENERAL CASH BL'!H708</f>
        <v>4527225</v>
      </c>
      <c r="D99" s="1477">
        <f>'GENERAL CASH BL'!H709</f>
        <v>3661350</v>
      </c>
      <c r="E99" s="1476">
        <f>'GENERAL CASH BL'!H710</f>
        <v>131625066.46194756</v>
      </c>
      <c r="F99" s="1477"/>
      <c r="G99" s="1476">
        <f>'GENERAL CASH BL'!H712</f>
        <v>14896863</v>
      </c>
      <c r="H99" s="1477">
        <f>'GENERAL CASH BL'!H713</f>
        <v>81246342</v>
      </c>
      <c r="I99" s="1476">
        <f>'GENERAL CASH BL'!H714</f>
        <v>5084493</v>
      </c>
      <c r="J99" s="1477"/>
      <c r="K99" s="1478"/>
    </row>
    <row r="100" spans="2:11" hidden="1" outlineLevel="1">
      <c r="B100" s="1475">
        <v>43256</v>
      </c>
      <c r="C100" s="1476">
        <f>'GENERAL CASH BL'!H716</f>
        <v>4527225</v>
      </c>
      <c r="D100" s="1477">
        <f>'GENERAL CASH BL'!H717</f>
        <v>3661350</v>
      </c>
      <c r="E100" s="1476">
        <f>'GENERAL CASH BL'!H718</f>
        <v>131625066.46194756</v>
      </c>
      <c r="F100" s="1477"/>
      <c r="G100" s="1476">
        <f>'GENERAL CASH BL'!H720</f>
        <v>14896863</v>
      </c>
      <c r="H100" s="1477">
        <f>'GENERAL CASH BL'!H721</f>
        <v>81246342</v>
      </c>
      <c r="I100" s="1476">
        <f>'GENERAL CASH BL'!H722</f>
        <v>5084493</v>
      </c>
      <c r="J100" s="1477"/>
      <c r="K100" s="1478"/>
    </row>
    <row r="101" spans="2:11" hidden="1" outlineLevel="1">
      <c r="B101" s="1475">
        <v>43257</v>
      </c>
      <c r="C101" s="1476">
        <f>'GENERAL CASH BL'!H724</f>
        <v>4527225</v>
      </c>
      <c r="D101" s="1477">
        <f>'GENERAL CASH BL'!H725</f>
        <v>0</v>
      </c>
      <c r="E101" s="1476">
        <f>'GENERAL CASH BL'!H726</f>
        <v>131625066.46194756</v>
      </c>
      <c r="F101" s="1477"/>
      <c r="G101" s="1476">
        <f>'GENERAL CASH BL'!H728</f>
        <v>14896863</v>
      </c>
      <c r="H101" s="1477">
        <f>'GENERAL CASH BL'!H729</f>
        <v>81246342</v>
      </c>
      <c r="I101" s="1476">
        <f>'GENERAL CASH BL'!H730</f>
        <v>5084493</v>
      </c>
      <c r="J101" s="1477"/>
      <c r="K101" s="1478"/>
    </row>
    <row r="102" spans="2:11" hidden="1" outlineLevel="1">
      <c r="B102" s="1475">
        <v>43258</v>
      </c>
      <c r="C102" s="1476">
        <f>'GENERAL CASH BL'!H732</f>
        <v>4527225</v>
      </c>
      <c r="D102" s="1477">
        <f>'GENERAL CASH BL'!H733</f>
        <v>0</v>
      </c>
      <c r="E102" s="1476">
        <f>'GENERAL CASH BL'!H734</f>
        <v>131625066.46194756</v>
      </c>
      <c r="F102" s="1477"/>
      <c r="G102" s="1476">
        <f>'GENERAL CASH BL'!H736</f>
        <v>14896863</v>
      </c>
      <c r="H102" s="1477">
        <f>'GENERAL CASH BL'!H737</f>
        <v>81246342</v>
      </c>
      <c r="I102" s="1476">
        <f>'GENERAL CASH BL'!H738</f>
        <v>22262843</v>
      </c>
      <c r="J102" s="1477"/>
      <c r="K102" s="1478"/>
    </row>
    <row r="103" spans="2:11" hidden="1" outlineLevel="1">
      <c r="B103" s="1475">
        <v>43259</v>
      </c>
      <c r="C103" s="1476">
        <f>'GENERAL CASH BL'!H740</f>
        <v>4527225</v>
      </c>
      <c r="D103" s="1477">
        <f>'GENERAL CASH BL'!H741</f>
        <v>0</v>
      </c>
      <c r="E103" s="1476">
        <f>'GENERAL CASH BL'!H734</f>
        <v>131625066.46194756</v>
      </c>
      <c r="F103" s="1477"/>
      <c r="G103" s="1476">
        <f>'GENERAL CASH BL'!H744</f>
        <v>14896863</v>
      </c>
      <c r="H103" s="1477">
        <f>'GENERAL CASH BL'!H745</f>
        <v>81246342</v>
      </c>
      <c r="I103" s="1476">
        <f>'GENERAL CASH BL'!H746</f>
        <v>22262843</v>
      </c>
      <c r="J103" s="1477"/>
      <c r="K103" s="1478"/>
    </row>
    <row r="104" spans="2:11" hidden="1" outlineLevel="1">
      <c r="B104" s="1475">
        <v>43260</v>
      </c>
      <c r="C104" s="1476">
        <f>'GENERAL CASH BL'!H748</f>
        <v>4527225</v>
      </c>
      <c r="D104" s="1477">
        <f>'GENERAL CASH BL'!H749</f>
        <v>0</v>
      </c>
      <c r="E104" s="1476">
        <f>'GENERAL CASH BL'!H742</f>
        <v>131625066.46194756</v>
      </c>
      <c r="F104" s="1477"/>
      <c r="G104" s="1476">
        <f>'GENERAL CASH BL'!H752</f>
        <v>14896863</v>
      </c>
      <c r="H104" s="1477">
        <f>'GENERAL CASH BL'!H753</f>
        <v>81246342</v>
      </c>
      <c r="I104" s="1476">
        <f>'GENERAL CASH BL'!H754</f>
        <v>22262843</v>
      </c>
      <c r="J104" s="1477"/>
      <c r="K104" s="1478"/>
    </row>
    <row r="105" spans="2:11" hidden="1" outlineLevel="1">
      <c r="B105" s="1475">
        <v>43261</v>
      </c>
      <c r="C105" s="1476">
        <f>'GENERAL CASH BL'!H756</f>
        <v>4527225</v>
      </c>
      <c r="D105" s="1477">
        <f>'GENERAL CASH BL'!H757</f>
        <v>0</v>
      </c>
      <c r="E105" s="1476">
        <f>'GENERAL CASH BL'!H758</f>
        <v>131625066.46194756</v>
      </c>
      <c r="F105" s="1477"/>
      <c r="G105" s="1476">
        <f>'GENERAL CASH BL'!H760</f>
        <v>14896863</v>
      </c>
      <c r="H105" s="1477">
        <f>'GENERAL CASH BL'!H761</f>
        <v>81246342</v>
      </c>
      <c r="I105" s="1476">
        <f>'GENERAL CASH BL'!H762</f>
        <v>22262843</v>
      </c>
      <c r="J105" s="1477"/>
      <c r="K105" s="1478"/>
    </row>
    <row r="106" spans="2:11" hidden="1" outlineLevel="1">
      <c r="B106" s="1475">
        <v>43262</v>
      </c>
      <c r="C106" s="1476">
        <f>'GENERAL CASH BL'!H764</f>
        <v>4527225</v>
      </c>
      <c r="D106" s="1477">
        <f>'GENERAL CASH BL'!H765</f>
        <v>0</v>
      </c>
      <c r="E106" s="1476">
        <f>'GENERAL CASH BL'!H766</f>
        <v>131625066.46194756</v>
      </c>
      <c r="F106" s="1477"/>
      <c r="G106" s="1476">
        <f>'GENERAL CASH BL'!H768</f>
        <v>14896863</v>
      </c>
      <c r="H106" s="1477">
        <f>'GENERAL CASH BL'!H769</f>
        <v>81246342</v>
      </c>
      <c r="I106" s="1476">
        <f>'GENERAL CASH BL'!H770</f>
        <v>22262843</v>
      </c>
      <c r="J106" s="1477"/>
      <c r="K106" s="1478"/>
    </row>
    <row r="107" spans="2:11" hidden="1" outlineLevel="1">
      <c r="B107" s="1475">
        <v>43263</v>
      </c>
      <c r="C107" s="1476">
        <f>'GENERAL CASH BL'!H772</f>
        <v>4527225</v>
      </c>
      <c r="D107" s="1477">
        <f>'GENERAL CASH BL'!H773</f>
        <v>0</v>
      </c>
      <c r="E107" s="1476">
        <f>'GENERAL CASH BL'!H774</f>
        <v>131625066.46194756</v>
      </c>
      <c r="F107" s="1477"/>
      <c r="G107" s="1476">
        <f>'GENERAL CASH BL'!H776</f>
        <v>14896863</v>
      </c>
      <c r="H107" s="1477">
        <f>'GENERAL CASH BL'!H777</f>
        <v>81246342</v>
      </c>
      <c r="I107" s="1476">
        <f>'GENERAL CASH BL'!H778</f>
        <v>22262843</v>
      </c>
      <c r="J107" s="1477"/>
      <c r="K107" s="1478"/>
    </row>
    <row r="108" spans="2:11" hidden="1" outlineLevel="1">
      <c r="B108" s="1475">
        <v>43264</v>
      </c>
      <c r="C108" s="1476">
        <f>'GENERAL CASH BL'!H780</f>
        <v>4527225</v>
      </c>
      <c r="D108" s="1477">
        <f>'GENERAL CASH BL'!H781</f>
        <v>0</v>
      </c>
      <c r="E108" s="1476">
        <f>'GENERAL CASH BL'!H782</f>
        <v>131625066.46194756</v>
      </c>
      <c r="F108" s="1477"/>
      <c r="G108" s="1476">
        <f>'GENERAL CASH BL'!H784</f>
        <v>14896863</v>
      </c>
      <c r="H108" s="1477">
        <f>'GENERAL CASH BL'!H785</f>
        <v>81246342</v>
      </c>
      <c r="I108" s="1476">
        <f>'GENERAL CASH BL'!H786</f>
        <v>22262843</v>
      </c>
      <c r="J108" s="1477">
        <f>'GENERAL CASH BL'!H787</f>
        <v>20000000</v>
      </c>
      <c r="K108" s="1478"/>
    </row>
    <row r="109" spans="2:11" hidden="1" outlineLevel="1">
      <c r="B109" s="1475">
        <v>43265</v>
      </c>
      <c r="C109" s="1476">
        <f>'GENERAL CASH BL'!H789</f>
        <v>4527225</v>
      </c>
      <c r="D109" s="1477">
        <f>'GENERAL CASH BL'!H790</f>
        <v>0</v>
      </c>
      <c r="E109" s="1476">
        <f>'GENERAL CASH BL'!H791</f>
        <v>131625066.46194756</v>
      </c>
      <c r="F109" s="1477"/>
      <c r="G109" s="1476">
        <f>'GENERAL CASH BL'!H793</f>
        <v>14896863</v>
      </c>
      <c r="H109" s="1477">
        <f>'GENERAL CASH BL'!H794</f>
        <v>81246342</v>
      </c>
      <c r="I109" s="1476">
        <f>'GENERAL CASH BL'!H795</f>
        <v>22262843</v>
      </c>
      <c r="J109" s="1477">
        <f>'GENERAL CASH BL'!H796</f>
        <v>20000000</v>
      </c>
      <c r="K109" s="1478"/>
    </row>
    <row r="110" spans="2:11" hidden="1" outlineLevel="1">
      <c r="B110" s="1475">
        <v>43266</v>
      </c>
      <c r="C110" s="1476">
        <f>'GENERAL CASH BL'!H798</f>
        <v>4527225</v>
      </c>
      <c r="D110" s="1477">
        <f>'GENERAL CASH BL'!H799</f>
        <v>0</v>
      </c>
      <c r="E110" s="1476">
        <f>'GENERAL CASH BL'!H800</f>
        <v>131625066.46194756</v>
      </c>
      <c r="F110" s="1477"/>
      <c r="G110" s="1476">
        <f>'GENERAL CASH BL'!H802</f>
        <v>14896863</v>
      </c>
      <c r="H110" s="1477">
        <f>'GENERAL CASH BL'!H803</f>
        <v>81246342</v>
      </c>
      <c r="I110" s="1476">
        <f>'GENERAL CASH BL'!H804</f>
        <v>22262843</v>
      </c>
      <c r="J110" s="1477">
        <f>'GENERAL CASH BL'!H805</f>
        <v>20000000</v>
      </c>
      <c r="K110" s="1478"/>
    </row>
    <row r="111" spans="2:11" hidden="1" outlineLevel="1">
      <c r="B111" s="1475">
        <v>43267</v>
      </c>
      <c r="C111" s="1476">
        <f>'GENERAL CASH BL'!H807</f>
        <v>4527225</v>
      </c>
      <c r="D111" s="1477">
        <f>'GENERAL CASH BL'!H808</f>
        <v>0</v>
      </c>
      <c r="E111" s="1476">
        <f>'GENERAL CASH BL'!H809</f>
        <v>131625066.46194756</v>
      </c>
      <c r="F111" s="1477"/>
      <c r="G111" s="1476">
        <f>'GENERAL CASH BL'!H811</f>
        <v>14896863</v>
      </c>
      <c r="H111" s="1477">
        <f>'GENERAL CASH BL'!H812</f>
        <v>81246342</v>
      </c>
      <c r="I111" s="1476">
        <f>'GENERAL CASH BL'!H813</f>
        <v>22262843</v>
      </c>
      <c r="J111" s="1477">
        <f>'GENERAL CASH BL'!H814</f>
        <v>20000000</v>
      </c>
      <c r="K111" s="1478"/>
    </row>
    <row r="112" spans="2:11" hidden="1" outlineLevel="1">
      <c r="B112" s="1475">
        <v>43268</v>
      </c>
      <c r="C112" s="1476">
        <f>'GENERAL CASH BL'!H816</f>
        <v>4527225</v>
      </c>
      <c r="D112" s="1477">
        <f>'GENERAL CASH BL'!H817</f>
        <v>0</v>
      </c>
      <c r="E112" s="1476">
        <f>'GENERAL CASH BL'!H818</f>
        <v>131625066.46194756</v>
      </c>
      <c r="F112" s="1477"/>
      <c r="G112" s="1476">
        <f>'GENERAL CASH BL'!H820</f>
        <v>14896863</v>
      </c>
      <c r="H112" s="1477">
        <f>'GENERAL CASH BL'!H821</f>
        <v>81246342</v>
      </c>
      <c r="I112" s="1476">
        <f>'GENERAL CASH BL'!H822</f>
        <v>22262843</v>
      </c>
      <c r="J112" s="1477">
        <f>'GENERAL CASH BL'!H823</f>
        <v>20000000</v>
      </c>
      <c r="K112" s="1478"/>
    </row>
    <row r="113" spans="2:11" hidden="1" outlineLevel="1">
      <c r="B113" s="1475">
        <v>43269</v>
      </c>
      <c r="C113" s="1476">
        <f>'GENERAL CASH BL'!H825</f>
        <v>4527225</v>
      </c>
      <c r="D113" s="1477">
        <f>'GENERAL CASH BL'!H826</f>
        <v>0</v>
      </c>
      <c r="E113" s="1476">
        <f>'GENERAL CASH BL'!H836</f>
        <v>131625066.46194756</v>
      </c>
      <c r="F113" s="1477"/>
      <c r="G113" s="1476">
        <f>'GENERAL CASH BL'!H829</f>
        <v>14896863</v>
      </c>
      <c r="H113" s="1477">
        <f>'GENERAL CASH BL'!H830</f>
        <v>81246342</v>
      </c>
      <c r="I113" s="1476">
        <f>'GENERAL CASH BL'!H831</f>
        <v>22262843</v>
      </c>
      <c r="J113" s="1477">
        <f>'GENERAL CASH BL'!H832</f>
        <v>20000000</v>
      </c>
      <c r="K113" s="1478"/>
    </row>
    <row r="114" spans="2:11" hidden="1" outlineLevel="1">
      <c r="B114" s="1475">
        <v>43270</v>
      </c>
      <c r="C114" s="1476">
        <f>'GENERAL CASH BL'!H834</f>
        <v>4527225</v>
      </c>
      <c r="D114" s="1477">
        <f>'GENERAL CASH BL'!H835</f>
        <v>0</v>
      </c>
      <c r="E114" s="1476">
        <f>'GENERAL CASH BL'!H836</f>
        <v>131625066.46194756</v>
      </c>
      <c r="F114" s="1477"/>
      <c r="G114" s="1476">
        <f>'GENERAL CASH BL'!H838</f>
        <v>14896863</v>
      </c>
      <c r="H114" s="1477">
        <f>'GENERAL CASH BL'!H839</f>
        <v>81246342</v>
      </c>
      <c r="I114" s="1476">
        <f>'GENERAL CASH BL'!H840</f>
        <v>22262843</v>
      </c>
      <c r="J114" s="1477">
        <f>'GENERAL CASH BL'!H841</f>
        <v>20000000</v>
      </c>
      <c r="K114" s="1478"/>
    </row>
    <row r="115" spans="2:11" hidden="1" outlineLevel="1">
      <c r="B115" s="1475">
        <v>43271</v>
      </c>
      <c r="C115" s="1476">
        <f>'GENERAL CASH BL'!H843</f>
        <v>4527225</v>
      </c>
      <c r="D115" s="1477">
        <f>'GENERAL CASH BL'!H844</f>
        <v>0</v>
      </c>
      <c r="E115" s="1476">
        <f>'GENERAL CASH BL'!H845</f>
        <v>131625066.46194756</v>
      </c>
      <c r="F115" s="1477"/>
      <c r="G115" s="1476">
        <f>'GENERAL CASH BL'!H847</f>
        <v>14896863</v>
      </c>
      <c r="H115" s="1477">
        <f>'GENERAL CASH BL'!H848</f>
        <v>81246342</v>
      </c>
      <c r="I115" s="1476">
        <f>'GENERAL CASH BL'!H849</f>
        <v>22262843</v>
      </c>
      <c r="J115" s="1477">
        <f>'GENERAL CASH BL'!H850</f>
        <v>20000000</v>
      </c>
      <c r="K115" s="1478"/>
    </row>
    <row r="116" spans="2:11" hidden="1" outlineLevel="1">
      <c r="B116" s="1475">
        <v>43272</v>
      </c>
      <c r="C116" s="1476">
        <f>'GENERAL CASH BL'!H852</f>
        <v>4527225</v>
      </c>
      <c r="D116" s="1477">
        <f>'GENERAL CASH BL'!H853</f>
        <v>0</v>
      </c>
      <c r="E116" s="1476">
        <f>'GENERAL CASH BL'!H854</f>
        <v>131625066.46194756</v>
      </c>
      <c r="F116" s="1477"/>
      <c r="G116" s="1476">
        <f>'GENERAL CASH BL'!H856</f>
        <v>14896863</v>
      </c>
      <c r="H116" s="1477">
        <f>'GENERAL CASH BL'!H857</f>
        <v>81246342</v>
      </c>
      <c r="I116" s="1476">
        <f>'GENERAL CASH BL'!H858</f>
        <v>22262843</v>
      </c>
      <c r="J116" s="1477">
        <f>'GENERAL CASH BL'!H859</f>
        <v>20000000</v>
      </c>
      <c r="K116" s="1478"/>
    </row>
    <row r="117" spans="2:11" hidden="1" outlineLevel="1">
      <c r="B117" s="1475">
        <v>43273</v>
      </c>
      <c r="C117" s="1476">
        <f>'GENERAL CASH BL'!H861</f>
        <v>4527225</v>
      </c>
      <c r="D117" s="1477">
        <f>'GENERAL CASH BL'!H862</f>
        <v>0</v>
      </c>
      <c r="E117" s="1476">
        <f>'GENERAL CASH BL'!H863</f>
        <v>131625066.46194756</v>
      </c>
      <c r="F117" s="1477"/>
      <c r="G117" s="1476">
        <f>'GENERAL CASH BL'!H865</f>
        <v>14896863</v>
      </c>
      <c r="H117" s="1477">
        <f>'GENERAL CASH BL'!H866</f>
        <v>81246342</v>
      </c>
      <c r="I117" s="1476">
        <f>'GENERAL CASH BL'!H867</f>
        <v>22262843</v>
      </c>
      <c r="J117" s="1477">
        <f>'GENERAL CASH BL'!H868</f>
        <v>20000000</v>
      </c>
      <c r="K117" s="1478"/>
    </row>
    <row r="118" spans="2:11" hidden="1" outlineLevel="1">
      <c r="B118" s="1475">
        <v>43274</v>
      </c>
      <c r="C118" s="1476">
        <f>'GENERAL CASH BL'!H870</f>
        <v>4527225</v>
      </c>
      <c r="D118" s="1477">
        <f>'GENERAL CASH BL'!H871</f>
        <v>0</v>
      </c>
      <c r="E118" s="1476">
        <f>'GENERAL CASH BL'!H872</f>
        <v>131625066.46194756</v>
      </c>
      <c r="F118" s="1477"/>
      <c r="G118" s="1476">
        <f>'GENERAL CASH BL'!H874</f>
        <v>14896863</v>
      </c>
      <c r="H118" s="1477">
        <f>'GENERAL CASH BL'!H875</f>
        <v>81246342</v>
      </c>
      <c r="I118" s="1476">
        <f>'GENERAL CASH BL'!H876</f>
        <v>22262843</v>
      </c>
      <c r="J118" s="1477">
        <f>'GENERAL CASH BL'!H877</f>
        <v>20000000</v>
      </c>
      <c r="K118" s="1478"/>
    </row>
    <row r="119" spans="2:11" hidden="1" outlineLevel="1">
      <c r="B119" s="1475">
        <v>43275</v>
      </c>
      <c r="C119" s="1476">
        <f>'GENERAL CASH BL'!H879</f>
        <v>4527225</v>
      </c>
      <c r="D119" s="1477">
        <f>'GENERAL CASH BL'!H880</f>
        <v>0</v>
      </c>
      <c r="E119" s="1476">
        <f>'GENERAL CASH BL'!H881</f>
        <v>131625066.46194756</v>
      </c>
      <c r="F119" s="1477"/>
      <c r="G119" s="1476">
        <f>'GENERAL CASH BL'!H883</f>
        <v>14896863</v>
      </c>
      <c r="H119" s="1477">
        <f>'GENERAL CASH BL'!H884</f>
        <v>81246342</v>
      </c>
      <c r="I119" s="1476">
        <f>'GENERAL CASH BL'!H885</f>
        <v>22262843</v>
      </c>
      <c r="J119" s="1477">
        <f>'GENERAL CASH BL'!H886</f>
        <v>20000000</v>
      </c>
      <c r="K119" s="1478"/>
    </row>
    <row r="120" spans="2:11" hidden="1" outlineLevel="1">
      <c r="B120" s="1475">
        <v>43276</v>
      </c>
      <c r="C120" s="1476">
        <f>'GENERAL CASH BL'!H888</f>
        <v>4527225</v>
      </c>
      <c r="D120" s="1477">
        <f>'GENERAL CASH BL'!H889</f>
        <v>0</v>
      </c>
      <c r="E120" s="1476">
        <f>'GENERAL CASH BL'!H890</f>
        <v>131625066.46194756</v>
      </c>
      <c r="F120" s="1477"/>
      <c r="G120" s="1476">
        <f>'GENERAL CASH BL'!H892</f>
        <v>14896863</v>
      </c>
      <c r="H120" s="1477">
        <f>'GENERAL CASH BL'!H893</f>
        <v>81246342</v>
      </c>
      <c r="I120" s="1476">
        <f>'GENERAL CASH BL'!H894</f>
        <v>22262843</v>
      </c>
      <c r="J120" s="1477">
        <f>'GENERAL CASH BL'!H895</f>
        <v>20000000</v>
      </c>
      <c r="K120" s="1478"/>
    </row>
    <row r="121" spans="2:11" hidden="1" outlineLevel="1">
      <c r="B121" s="1475">
        <v>43277</v>
      </c>
      <c r="C121" s="1476">
        <f>'GENERAL CASH BL'!H897</f>
        <v>4527225</v>
      </c>
      <c r="D121" s="1477">
        <f>'GENERAL CASH BL'!H898</f>
        <v>0</v>
      </c>
      <c r="E121" s="1476">
        <f>'GENERAL CASH BL'!H899</f>
        <v>131625066.46194756</v>
      </c>
      <c r="F121" s="1477"/>
      <c r="G121" s="1476">
        <f>'GENERAL CASH BL'!H901</f>
        <v>14896863</v>
      </c>
      <c r="H121" s="1477">
        <f>'GENERAL CASH BL'!H902</f>
        <v>81246342</v>
      </c>
      <c r="I121" s="1476">
        <f>'GENERAL CASH BL'!H903</f>
        <v>22262843</v>
      </c>
      <c r="J121" s="1477">
        <f>'GENERAL CASH BL'!H904</f>
        <v>0</v>
      </c>
      <c r="K121" s="1478"/>
    </row>
    <row r="122" spans="2:11" hidden="1" outlineLevel="1">
      <c r="B122" s="1475">
        <v>43278</v>
      </c>
      <c r="C122" s="1476">
        <f>'GENERAL CASH BL'!H906</f>
        <v>4847779</v>
      </c>
      <c r="D122" s="1477">
        <f>'GENERAL CASH BL'!H907</f>
        <v>0</v>
      </c>
      <c r="E122" s="1476">
        <f>'GENERAL CASH BL'!H908</f>
        <v>131625066.46194756</v>
      </c>
      <c r="F122" s="1477"/>
      <c r="G122" s="1476">
        <f>'GENERAL CASH BL'!H910</f>
        <v>14896863</v>
      </c>
      <c r="H122" s="1477">
        <f>'GENERAL CASH BL'!H911</f>
        <v>81246342</v>
      </c>
      <c r="I122" s="1476">
        <f>'GENERAL CASH BL'!H912</f>
        <v>22262843</v>
      </c>
      <c r="J122" s="1477">
        <f>'GENERAL CASH BL'!H913</f>
        <v>0</v>
      </c>
      <c r="K122" s="1478"/>
    </row>
    <row r="123" spans="2:11" hidden="1" outlineLevel="1">
      <c r="B123" s="1475">
        <v>43279</v>
      </c>
      <c r="C123" s="1476">
        <f>'GENERAL CASH BL'!H915</f>
        <v>4847779</v>
      </c>
      <c r="D123" s="1477">
        <f>'GENERAL CASH BL'!H916</f>
        <v>0</v>
      </c>
      <c r="E123" s="1476">
        <f>'GENERAL CASH BL'!H917</f>
        <v>131625066.46194756</v>
      </c>
      <c r="F123" s="1477"/>
      <c r="G123" s="1476">
        <f>'GENERAL CASH BL'!H919</f>
        <v>14896863</v>
      </c>
      <c r="H123" s="1477">
        <f>'GENERAL CASH BL'!H920</f>
        <v>81246342</v>
      </c>
      <c r="I123" s="1476">
        <f>'GENERAL CASH BL'!H921</f>
        <v>22262843</v>
      </c>
      <c r="J123" s="1477">
        <f>'GENERAL CASH BL'!H922</f>
        <v>20000000</v>
      </c>
      <c r="K123" s="1478"/>
    </row>
    <row r="124" spans="2:11" ht="15.75" hidden="1" outlineLevel="1" thickBot="1">
      <c r="B124" s="1488">
        <v>43280</v>
      </c>
      <c r="C124" s="1489">
        <f>'GENERAL CASH BL'!H924</f>
        <v>4847779</v>
      </c>
      <c r="D124" s="1490">
        <f>'GENERAL CASH BL'!H925</f>
        <v>0</v>
      </c>
      <c r="E124" s="1489">
        <f>'GENERAL CASH BL'!H926</f>
        <v>131625066.46194756</v>
      </c>
      <c r="F124" s="1490"/>
      <c r="G124" s="1489">
        <f>'GENERAL CASH BL'!H928</f>
        <v>14896863</v>
      </c>
      <c r="H124" s="1490">
        <f>'GENERAL CASH BL'!H929</f>
        <v>81246342</v>
      </c>
      <c r="I124" s="1489">
        <f>'GENERAL CASH BL'!H930</f>
        <v>22262843</v>
      </c>
      <c r="J124" s="1490">
        <f>'GENERAL CASH BL'!H931</f>
        <v>20000000</v>
      </c>
      <c r="K124" s="1491"/>
    </row>
    <row r="125" spans="2:11" s="1347" customFormat="1" ht="15.75" collapsed="1" thickBot="1">
      <c r="B125" s="830">
        <v>43281</v>
      </c>
      <c r="C125" s="1344">
        <f>'GENERAL CASH BL'!H933</f>
        <v>4847779</v>
      </c>
      <c r="D125" s="1345">
        <f>'GENERAL CASH BL'!H934</f>
        <v>0</v>
      </c>
      <c r="E125" s="1344">
        <f>'GENERAL CASH BL'!H935</f>
        <v>33373355.621947572</v>
      </c>
      <c r="F125" s="1345">
        <f>'GENERAL CASH BL'!H936</f>
        <v>0</v>
      </c>
      <c r="G125" s="1344">
        <f>'GENERAL CASH BL'!H937</f>
        <v>14896863</v>
      </c>
      <c r="H125" s="1345">
        <f>'GENERAL CASH BL'!H938</f>
        <v>17676312.00000006</v>
      </c>
      <c r="I125" s="1344">
        <f>'GENERAL CASH BL'!H939</f>
        <v>21782003</v>
      </c>
      <c r="J125" s="1345">
        <f>'GENERAL CASH BL'!H940</f>
        <v>6153000</v>
      </c>
      <c r="K125" s="1346">
        <f>SUM(C125:J125)</f>
        <v>98729312.621947631</v>
      </c>
    </row>
    <row r="126" spans="2:11" hidden="1" outlineLevel="1">
      <c r="B126" s="1479">
        <v>43282</v>
      </c>
      <c r="C126" s="1480">
        <f>'GENERAL CASH BL'!H942</f>
        <v>4847779</v>
      </c>
      <c r="D126" s="1481">
        <f>'GENERAL CASH BL'!H943</f>
        <v>0</v>
      </c>
      <c r="E126" s="1480">
        <f>'GENERAL CASH BL'!H944</f>
        <v>33373355.621947572</v>
      </c>
      <c r="F126" s="1481">
        <f>'GENERAL CASH BL'!H945</f>
        <v>0</v>
      </c>
      <c r="G126" s="1480">
        <f>'GENERAL CASH BL'!H946</f>
        <v>14896863</v>
      </c>
      <c r="H126" s="1481">
        <f>'GENERAL CASH BL'!H947</f>
        <v>17676312.00000006</v>
      </c>
      <c r="I126" s="1480">
        <f>'GENERAL CASH BL'!H948</f>
        <v>16872543</v>
      </c>
      <c r="J126" s="1481">
        <f>'GENERAL CASH BL'!H949</f>
        <v>6153000</v>
      </c>
      <c r="K126" s="1482">
        <f>SUM(C126:J126)</f>
        <v>93819852.621947631</v>
      </c>
    </row>
    <row r="127" spans="2:11" hidden="1" outlineLevel="1">
      <c r="B127" s="1475">
        <v>43283</v>
      </c>
      <c r="C127" s="1476">
        <f>'GENERAL CASH BL'!H951</f>
        <v>4106479</v>
      </c>
      <c r="D127" s="1477">
        <f>'GENERAL CASH BL'!H952</f>
        <v>0</v>
      </c>
      <c r="E127" s="1476">
        <f>'GENERAL CASH BL'!H953</f>
        <v>33373355.621947572</v>
      </c>
      <c r="F127" s="1477">
        <f>'GENERAL CASH BL'!H954</f>
        <v>0</v>
      </c>
      <c r="G127" s="1476">
        <f>'GENERAL CASH BL'!H955</f>
        <v>14896863</v>
      </c>
      <c r="H127" s="1477">
        <f>'GENERAL CASH BL'!H956</f>
        <v>17676312.00000006</v>
      </c>
      <c r="I127" s="1476">
        <f>'GENERAL CASH BL'!H957</f>
        <v>16872543</v>
      </c>
      <c r="J127" s="1477">
        <f>'GENERAL CASH BL'!H958</f>
        <v>6153000</v>
      </c>
      <c r="K127" s="1478">
        <f>SUM(C127:J127)</f>
        <v>93078552.621947631</v>
      </c>
    </row>
    <row r="128" spans="2:11" hidden="1" outlineLevel="1">
      <c r="B128" s="1475">
        <v>43284</v>
      </c>
      <c r="C128" s="1476">
        <f>'GENERAL CASH BL'!H960</f>
        <v>4106479</v>
      </c>
      <c r="D128" s="1477">
        <f>'GENERAL CASH BL'!H961</f>
        <v>0</v>
      </c>
      <c r="E128" s="1476">
        <f>'GENERAL CASH BL'!H962</f>
        <v>33373355.621947572</v>
      </c>
      <c r="F128" s="1477">
        <f>'GENERAL CASH BL'!H963</f>
        <v>0</v>
      </c>
      <c r="G128" s="1476">
        <f>'GENERAL CASH BL'!H964</f>
        <v>14896863</v>
      </c>
      <c r="H128" s="1477">
        <f>'GENERAL CASH BL'!H965</f>
        <v>1436312.0000000596</v>
      </c>
      <c r="I128" s="1476">
        <f>'GENERAL CASH BL'!H966</f>
        <v>16872543</v>
      </c>
      <c r="J128" s="1477">
        <f>'GENERAL CASH BL'!H967</f>
        <v>6153000</v>
      </c>
      <c r="K128" s="1478">
        <f t="shared" ref="K128:K156" si="7">SUM(C128:J128)</f>
        <v>76838552.621947631</v>
      </c>
    </row>
    <row r="129" spans="2:11" hidden="1" outlineLevel="1">
      <c r="B129" s="1475">
        <v>43285</v>
      </c>
      <c r="C129" s="1476">
        <f>'GENERAL CASH BL'!H969</f>
        <v>4106479</v>
      </c>
      <c r="D129" s="1477">
        <f>'GENERAL CASH BL'!H970</f>
        <v>0</v>
      </c>
      <c r="E129" s="1476">
        <f>'GENERAL CASH BL'!H971</f>
        <v>33373355.621947572</v>
      </c>
      <c r="F129" s="1477">
        <f>'GENERAL CASH BL'!H972</f>
        <v>0</v>
      </c>
      <c r="G129" s="1476">
        <f>'GENERAL CASH BL'!H973</f>
        <v>14896863</v>
      </c>
      <c r="H129" s="1477">
        <f>'GENERAL CASH BL'!H974</f>
        <v>1436312.0000000596</v>
      </c>
      <c r="I129" s="1476">
        <f>'GENERAL CASH BL'!H975</f>
        <v>10962543</v>
      </c>
      <c r="J129" s="1477">
        <f>'GENERAL CASH BL'!H976</f>
        <v>6153000</v>
      </c>
      <c r="K129" s="1478">
        <f t="shared" si="7"/>
        <v>70928552.621947631</v>
      </c>
    </row>
    <row r="130" spans="2:11" hidden="1" outlineLevel="1">
      <c r="B130" s="1475">
        <v>43286</v>
      </c>
      <c r="C130" s="1476">
        <f>'GENERAL CASH BL'!H978</f>
        <v>4106479</v>
      </c>
      <c r="D130" s="1477">
        <f>'GENERAL CASH BL'!H979</f>
        <v>0</v>
      </c>
      <c r="E130" s="1476">
        <f>'GENERAL CASH BL'!H980</f>
        <v>33373355.621947572</v>
      </c>
      <c r="F130" s="1477">
        <f>'GENERAL CASH BL'!H981</f>
        <v>0</v>
      </c>
      <c r="G130" s="1476">
        <f>'GENERAL CASH BL'!H982</f>
        <v>14896863</v>
      </c>
      <c r="H130" s="1477">
        <f>'GENERAL CASH BL'!H983</f>
        <v>1436312.0000000596</v>
      </c>
      <c r="I130" s="1476">
        <f>'GENERAL CASH BL'!H984</f>
        <v>27237543</v>
      </c>
      <c r="J130" s="1477">
        <f>'GENERAL CASH BL'!H985</f>
        <v>-631000</v>
      </c>
      <c r="K130" s="1478">
        <f t="shared" si="7"/>
        <v>80419552.621947631</v>
      </c>
    </row>
    <row r="131" spans="2:11" hidden="1" outlineLevel="1">
      <c r="B131" s="1475">
        <v>43287</v>
      </c>
      <c r="C131" s="1476">
        <f>'GENERAL CASH BL'!H987</f>
        <v>4106479</v>
      </c>
      <c r="D131" s="1477">
        <f>'GENERAL CASH BL'!H988</f>
        <v>0</v>
      </c>
      <c r="E131" s="1476">
        <f>'GENERAL CASH BL'!H989</f>
        <v>33373355.621947572</v>
      </c>
      <c r="F131" s="1477">
        <f>'GENERAL CASH BL'!H990</f>
        <v>0</v>
      </c>
      <c r="G131" s="1476">
        <f>'GENERAL CASH BL'!H991</f>
        <v>14896863</v>
      </c>
      <c r="H131" s="1477">
        <f>'GENERAL CASH BL'!H992</f>
        <v>1436312.0000000596</v>
      </c>
      <c r="I131" s="1476">
        <f>'GENERAL CASH BL'!H993</f>
        <v>27237543</v>
      </c>
      <c r="J131" s="1477">
        <f>'GENERAL CASH BL'!H994</f>
        <v>-631000</v>
      </c>
      <c r="K131" s="1478">
        <f t="shared" si="7"/>
        <v>80419552.621947631</v>
      </c>
    </row>
    <row r="132" spans="2:11" hidden="1" outlineLevel="1">
      <c r="B132" s="1475">
        <v>43288</v>
      </c>
      <c r="C132" s="1476">
        <f>'GENERAL CASH BL'!H996</f>
        <v>4106479</v>
      </c>
      <c r="D132" s="1477">
        <f>'GENERAL CASH BL'!H997</f>
        <v>0</v>
      </c>
      <c r="E132" s="1476">
        <f>'GENERAL CASH BL'!H998</f>
        <v>33373355.621947572</v>
      </c>
      <c r="F132" s="1477">
        <f>'GENERAL CASH BL'!H999</f>
        <v>0</v>
      </c>
      <c r="G132" s="1476">
        <f>'GENERAL CASH BL'!H1000</f>
        <v>14896863</v>
      </c>
      <c r="H132" s="1477">
        <f>'GENERAL CASH BL'!H1001</f>
        <v>1436312.0000000596</v>
      </c>
      <c r="I132" s="1476">
        <f>'GENERAL CASH BL'!H1002</f>
        <v>27237543</v>
      </c>
      <c r="J132" s="1477">
        <f>'GENERAL CASH BL'!H1003</f>
        <v>-631000</v>
      </c>
      <c r="K132" s="1478">
        <f t="shared" si="7"/>
        <v>80419552.621947631</v>
      </c>
    </row>
    <row r="133" spans="2:11" hidden="1" outlineLevel="1">
      <c r="B133" s="1475">
        <v>43289</v>
      </c>
      <c r="C133" s="1476">
        <f>'GENERAL CASH BL'!H1005</f>
        <v>4106479</v>
      </c>
      <c r="D133" s="1477">
        <f>'GENERAL CASH BL'!H1006</f>
        <v>0</v>
      </c>
      <c r="E133" s="1476">
        <f>'GENERAL CASH BL'!H1007</f>
        <v>33373355.621947572</v>
      </c>
      <c r="F133" s="1477">
        <f>'GENERAL CASH BL'!H1008</f>
        <v>0</v>
      </c>
      <c r="G133" s="1476">
        <f>'GENERAL CASH BL'!H1009</f>
        <v>14896863</v>
      </c>
      <c r="H133" s="1477">
        <f>'GENERAL CASH BL'!H1010</f>
        <v>1436312.0000000596</v>
      </c>
      <c r="I133" s="1476">
        <f>'GENERAL CASH BL'!H1011</f>
        <v>27237543</v>
      </c>
      <c r="J133" s="1477">
        <f>'GENERAL CASH BL'!H1012</f>
        <v>-631000</v>
      </c>
      <c r="K133" s="1478">
        <f t="shared" si="7"/>
        <v>80419552.621947631</v>
      </c>
    </row>
    <row r="134" spans="2:11" hidden="1" outlineLevel="1">
      <c r="B134" s="1475">
        <v>43290</v>
      </c>
      <c r="C134" s="1476">
        <f>'GENERAL CASH BL'!H1014</f>
        <v>4106479</v>
      </c>
      <c r="D134" s="1477">
        <f>'GENERAL CASH BL'!H1015</f>
        <v>0</v>
      </c>
      <c r="E134" s="1476">
        <f>'GENERAL CASH BL'!H1016</f>
        <v>33373355.621947572</v>
      </c>
      <c r="F134" s="1477">
        <f>'GENERAL CASH BL'!H1017</f>
        <v>0</v>
      </c>
      <c r="G134" s="1476">
        <f>'GENERAL CASH BL'!H1018</f>
        <v>14896863</v>
      </c>
      <c r="H134" s="1477">
        <f>'GENERAL CASH BL'!H1019</f>
        <v>1436312.0000000596</v>
      </c>
      <c r="I134" s="1476">
        <f>'GENERAL CASH BL'!H1020</f>
        <v>27237543</v>
      </c>
      <c r="J134" s="1477">
        <f>'GENERAL CASH BL'!H1021</f>
        <v>-631000</v>
      </c>
      <c r="K134" s="1478">
        <f t="shared" si="7"/>
        <v>80419552.621947631</v>
      </c>
    </row>
    <row r="135" spans="2:11" hidden="1" outlineLevel="1">
      <c r="B135" s="1475">
        <v>43291</v>
      </c>
      <c r="C135" s="1476">
        <f>'GENERAL CASH BL'!H1023</f>
        <v>17813779</v>
      </c>
      <c r="D135" s="1477">
        <f>'GENERAL CASH BL'!H1024</f>
        <v>0</v>
      </c>
      <c r="E135" s="1476">
        <f>'GENERAL CASH BL'!H1025</f>
        <v>33373355.621947572</v>
      </c>
      <c r="F135" s="1477">
        <f>'GENERAL CASH BL'!H1026</f>
        <v>0</v>
      </c>
      <c r="G135" s="1476">
        <f>'GENERAL CASH BL'!H1027</f>
        <v>14896863</v>
      </c>
      <c r="H135" s="1477">
        <f>'GENERAL CASH BL'!H1028</f>
        <v>87226896.00000006</v>
      </c>
      <c r="I135" s="1476">
        <f>'GENERAL CASH BL'!H1029</f>
        <v>7420093</v>
      </c>
      <c r="J135" s="1477">
        <f>'GENERAL CASH BL'!H1030</f>
        <v>30519000</v>
      </c>
      <c r="K135" s="1478">
        <f t="shared" si="7"/>
        <v>191249986.62194765</v>
      </c>
    </row>
    <row r="136" spans="2:11" hidden="1" outlineLevel="1">
      <c r="B136" s="1475">
        <v>43292</v>
      </c>
      <c r="C136" s="1476">
        <f>'GENERAL CASH BL'!H1032</f>
        <v>7725779</v>
      </c>
      <c r="D136" s="1477">
        <f>'GENERAL CASH BL'!H1033</f>
        <v>0</v>
      </c>
      <c r="E136" s="1476">
        <f>'GENERAL CASH BL'!H1034</f>
        <v>33373355.621947572</v>
      </c>
      <c r="F136" s="1477">
        <f>'GENERAL CASH BL'!H1035</f>
        <v>0</v>
      </c>
      <c r="G136" s="1476">
        <f>'GENERAL CASH BL'!H1036</f>
        <v>14896863</v>
      </c>
      <c r="H136" s="1477">
        <f>'GENERAL CASH BL'!H1037</f>
        <v>63430830.00000006</v>
      </c>
      <c r="I136" s="1476">
        <f>'GENERAL CASH BL'!H1038</f>
        <v>51715493</v>
      </c>
      <c r="J136" s="1477">
        <f>'GENERAL CASH BL'!H1039</f>
        <v>30519000</v>
      </c>
      <c r="K136" s="1478">
        <f t="shared" si="7"/>
        <v>201661320.62194765</v>
      </c>
    </row>
    <row r="137" spans="2:11" hidden="1" outlineLevel="1">
      <c r="B137" s="1475">
        <v>43293</v>
      </c>
      <c r="C137" s="1476">
        <f>'GENERAL CASH BL'!H1041</f>
        <v>7725779</v>
      </c>
      <c r="D137" s="1477">
        <f>'GENERAL CASH BL'!H1042</f>
        <v>0</v>
      </c>
      <c r="E137" s="1476">
        <f>'GENERAL CASH BL'!H1043</f>
        <v>33373355.621947572</v>
      </c>
      <c r="F137" s="1477">
        <f>'GENERAL CASH BL'!H1044</f>
        <v>0</v>
      </c>
      <c r="G137" s="1476">
        <f>'GENERAL CASH BL'!H1045</f>
        <v>14896863</v>
      </c>
      <c r="H137" s="1477">
        <f>'GENERAL CASH BL'!H1046</f>
        <v>47518530.000000089</v>
      </c>
      <c r="I137" s="1476">
        <f>'GENERAL CASH BL'!H1047</f>
        <v>51715493</v>
      </c>
      <c r="J137" s="1477">
        <f>'GENERAL CASH BL'!H1048</f>
        <v>30519000</v>
      </c>
      <c r="K137" s="1478">
        <f t="shared" si="7"/>
        <v>185749020.62194765</v>
      </c>
    </row>
    <row r="138" spans="2:11" hidden="1" outlineLevel="1">
      <c r="B138" s="1475">
        <v>43294</v>
      </c>
      <c r="C138" s="1476">
        <f>'GENERAL CASH BL'!H1050</f>
        <v>7725779</v>
      </c>
      <c r="D138" s="1477">
        <f>'GENERAL CASH BL'!H1051</f>
        <v>0</v>
      </c>
      <c r="E138" s="1476">
        <f>'GENERAL CASH BL'!H1052</f>
        <v>33373355.621947572</v>
      </c>
      <c r="F138" s="1477">
        <f>'GENERAL CASH BL'!H1053</f>
        <v>0</v>
      </c>
      <c r="G138" s="1476">
        <f>'GENERAL CASH BL'!H1054</f>
        <v>14896863</v>
      </c>
      <c r="H138" s="1477">
        <f>'GENERAL CASH BL'!H1055</f>
        <v>47518530.000000089</v>
      </c>
      <c r="I138" s="1476">
        <f>'GENERAL CASH BL'!H1056</f>
        <v>38480593</v>
      </c>
      <c r="J138" s="1477">
        <f>'GENERAL CASH BL'!H1057</f>
        <v>30519000</v>
      </c>
      <c r="K138" s="1478">
        <f t="shared" si="7"/>
        <v>172514120.62194765</v>
      </c>
    </row>
    <row r="139" spans="2:11" hidden="1" outlineLevel="1">
      <c r="B139" s="1475">
        <v>43295</v>
      </c>
      <c r="C139" s="1476">
        <f>'GENERAL CASH BL'!H1059</f>
        <v>7725779</v>
      </c>
      <c r="D139" s="1477">
        <f>'GENERAL CASH BL'!H1060</f>
        <v>0</v>
      </c>
      <c r="E139" s="1476">
        <f>'GENERAL CASH BL'!H1061</f>
        <v>33373355.621947572</v>
      </c>
      <c r="F139" s="1477">
        <f>'GENERAL CASH BL'!H1062</f>
        <v>0</v>
      </c>
      <c r="G139" s="1476">
        <f>'GENERAL CASH BL'!H1063</f>
        <v>14896863</v>
      </c>
      <c r="H139" s="1477">
        <f>'GENERAL CASH BL'!H1064</f>
        <v>47518530.000000089</v>
      </c>
      <c r="I139" s="1476">
        <f>'GENERAL CASH BL'!H1065</f>
        <v>38480593</v>
      </c>
      <c r="J139" s="1477">
        <f>'GENERAL CASH BL'!H1066</f>
        <v>30519000</v>
      </c>
      <c r="K139" s="1478">
        <f t="shared" si="7"/>
        <v>172514120.62194765</v>
      </c>
    </row>
    <row r="140" spans="2:11" hidden="1" outlineLevel="1">
      <c r="B140" s="1475">
        <v>43296</v>
      </c>
      <c r="C140" s="1476">
        <f>'GENERAL CASH BL'!H1068</f>
        <v>7725779</v>
      </c>
      <c r="D140" s="1477">
        <f>'GENERAL CASH BL'!H1069</f>
        <v>0</v>
      </c>
      <c r="E140" s="1476">
        <f>'GENERAL CASH BL'!H1070</f>
        <v>33373355.621947572</v>
      </c>
      <c r="F140" s="1477">
        <f>'GENERAL CASH BL'!H1071</f>
        <v>0</v>
      </c>
      <c r="G140" s="1476">
        <f>'GENERAL CASH BL'!H1072</f>
        <v>14896863</v>
      </c>
      <c r="H140" s="1477">
        <f>'GENERAL CASH BL'!H1073</f>
        <v>47518530.000000089</v>
      </c>
      <c r="I140" s="1476">
        <f>'GENERAL CASH BL'!H1074</f>
        <v>38480593</v>
      </c>
      <c r="J140" s="1477">
        <f>'GENERAL CASH BL'!H1075</f>
        <v>30519000</v>
      </c>
      <c r="K140" s="1478">
        <f t="shared" si="7"/>
        <v>172514120.62194765</v>
      </c>
    </row>
    <row r="141" spans="2:11" hidden="1" outlineLevel="1">
      <c r="B141" s="1475">
        <v>43297</v>
      </c>
      <c r="C141" s="1476">
        <f>'GENERAL CASH BL'!H1077</f>
        <v>7725779</v>
      </c>
      <c r="D141" s="1477">
        <f>'GENERAL CASH BL'!H1078</f>
        <v>0</v>
      </c>
      <c r="E141" s="1476">
        <f>'GENERAL CASH BL'!H1079</f>
        <v>33373355.621947572</v>
      </c>
      <c r="F141" s="1477">
        <f>'GENERAL CASH BL'!H1080</f>
        <v>0</v>
      </c>
      <c r="G141" s="1476">
        <f>'GENERAL CASH BL'!H1081</f>
        <v>14896863</v>
      </c>
      <c r="H141" s="1477">
        <f>'GENERAL CASH BL'!H1082</f>
        <v>46613730.000000089</v>
      </c>
      <c r="I141" s="1476">
        <f>'GENERAL CASH BL'!H1083</f>
        <v>36715593</v>
      </c>
      <c r="J141" s="1477">
        <f>'GENERAL CASH BL'!H1084</f>
        <v>-10207640</v>
      </c>
      <c r="K141" s="1478">
        <f t="shared" si="7"/>
        <v>129117680.62194765</v>
      </c>
    </row>
    <row r="142" spans="2:11" hidden="1" outlineLevel="1">
      <c r="B142" s="1475">
        <v>43298</v>
      </c>
      <c r="C142" s="1476">
        <f>'GENERAL CASH BL'!H1086</f>
        <v>6696779</v>
      </c>
      <c r="D142" s="1477">
        <f>'GENERAL CASH BL'!H1087</f>
        <v>0</v>
      </c>
      <c r="E142" s="1476">
        <f>'GENERAL CASH BL'!H1088</f>
        <v>33373355.621947572</v>
      </c>
      <c r="F142" s="1477">
        <f>'GENERAL CASH BL'!H1089</f>
        <v>0</v>
      </c>
      <c r="G142" s="1476">
        <f>'GENERAL CASH BL'!H1090</f>
        <v>14896863</v>
      </c>
      <c r="H142" s="1477">
        <f>'GENERAL CASH BL'!H1091</f>
        <v>46613730.000000089</v>
      </c>
      <c r="I142" s="1476">
        <f>'GENERAL CASH BL'!H1092</f>
        <v>36715593</v>
      </c>
      <c r="J142" s="1477">
        <f>'GENERAL CASH BL'!H1093</f>
        <v>-10207640</v>
      </c>
      <c r="K142" s="1478">
        <f t="shared" si="7"/>
        <v>128088680.62194765</v>
      </c>
    </row>
    <row r="143" spans="2:11" hidden="1" outlineLevel="1">
      <c r="B143" s="1475">
        <v>43299</v>
      </c>
      <c r="C143" s="1476">
        <f>'GENERAL CASH BL'!H1095</f>
        <v>6537979</v>
      </c>
      <c r="D143" s="1477">
        <f>'GENERAL CASH BL'!H1096</f>
        <v>0</v>
      </c>
      <c r="E143" s="1476">
        <f>'GENERAL CASH BL'!H1097</f>
        <v>33373355.621947572</v>
      </c>
      <c r="F143" s="1477">
        <f>'GENERAL CASH BL'!H1098</f>
        <v>0</v>
      </c>
      <c r="G143" s="1476">
        <f>'GENERAL CASH BL'!H1099</f>
        <v>14896863</v>
      </c>
      <c r="H143" s="1477">
        <f>'GENERAL CASH BL'!H1100</f>
        <v>12897576.00000006</v>
      </c>
      <c r="I143" s="1476">
        <f>'GENERAL CASH BL'!H1101</f>
        <v>22957820</v>
      </c>
      <c r="J143" s="1477">
        <f>'GENERAL CASH BL'!H1102</f>
        <v>-10207640</v>
      </c>
      <c r="K143" s="1478">
        <f t="shared" si="7"/>
        <v>80455953.621947631</v>
      </c>
    </row>
    <row r="144" spans="2:11" hidden="1" outlineLevel="1">
      <c r="B144" s="1475">
        <v>43300</v>
      </c>
      <c r="C144" s="1476">
        <f>'GENERAL CASH BL'!H1104</f>
        <v>5229179</v>
      </c>
      <c r="D144" s="1477">
        <f>'GENERAL CASH BL'!H1105</f>
        <v>0</v>
      </c>
      <c r="E144" s="1476">
        <f>'GENERAL CASH BL'!H1106</f>
        <v>33373355.621947572</v>
      </c>
      <c r="F144" s="1477">
        <f>'GENERAL CASH BL'!H1107</f>
        <v>0</v>
      </c>
      <c r="G144" s="1476">
        <f>'GENERAL CASH BL'!H1108</f>
        <v>14896863</v>
      </c>
      <c r="H144" s="1477">
        <f>'GENERAL CASH BL'!H1109</f>
        <v>10113576.00000006</v>
      </c>
      <c r="I144" s="1476">
        <f>'GENERAL CASH BL'!H1110</f>
        <v>21847820</v>
      </c>
      <c r="J144" s="1477">
        <f>'GENERAL CASH BL'!H1111</f>
        <v>-10207640</v>
      </c>
      <c r="K144" s="1478">
        <f t="shared" si="7"/>
        <v>75253153.621947631</v>
      </c>
    </row>
    <row r="145" spans="2:11" hidden="1" outlineLevel="1">
      <c r="B145" s="1475">
        <v>43301</v>
      </c>
      <c r="C145" s="1476">
        <f>'GENERAL CASH BL'!H1113</f>
        <v>5229179</v>
      </c>
      <c r="D145" s="1477">
        <f>'GENERAL CASH BL'!H1114</f>
        <v>0</v>
      </c>
      <c r="E145" s="1476">
        <f>'GENERAL CASH BL'!H1115</f>
        <v>33373355.621947572</v>
      </c>
      <c r="F145" s="1477">
        <f>'GENERAL CASH BL'!H1116</f>
        <v>0</v>
      </c>
      <c r="G145" s="1476">
        <f>'GENERAL CASH BL'!H1117</f>
        <v>14896863</v>
      </c>
      <c r="H145" s="1477">
        <f>'GENERAL CASH BL'!H1118</f>
        <v>10113576.00000006</v>
      </c>
      <c r="I145" s="1476">
        <f>'GENERAL CASH BL'!H1119</f>
        <v>10047820</v>
      </c>
      <c r="J145" s="1477">
        <f>'GENERAL CASH BL'!H1120</f>
        <v>-10207640</v>
      </c>
      <c r="K145" s="1478">
        <f t="shared" si="7"/>
        <v>63453153.621947631</v>
      </c>
    </row>
    <row r="146" spans="2:11" hidden="1" outlineLevel="1">
      <c r="B146" s="1475">
        <v>43302</v>
      </c>
      <c r="C146" s="1476">
        <f>'GENERAL CASH BL'!H1122</f>
        <v>5229179</v>
      </c>
      <c r="D146" s="1477">
        <f>'GENERAL CASH BL'!H1123</f>
        <v>0</v>
      </c>
      <c r="E146" s="1476">
        <f>'GENERAL CASH BL'!H1124</f>
        <v>33373355.621947572</v>
      </c>
      <c r="F146" s="1477">
        <f>'GENERAL CASH BL'!H1125</f>
        <v>0</v>
      </c>
      <c r="G146" s="1476">
        <f>'GENERAL CASH BL'!H1126</f>
        <v>14896863</v>
      </c>
      <c r="H146" s="1477">
        <f>'GENERAL CASH BL'!H1127</f>
        <v>10113576.00000006</v>
      </c>
      <c r="I146" s="1476">
        <f>'GENERAL CASH BL'!H1128</f>
        <v>10047820</v>
      </c>
      <c r="J146" s="1477">
        <f>'GENERAL CASH BL'!H1129</f>
        <v>-10207640</v>
      </c>
      <c r="K146" s="1478">
        <f t="shared" si="7"/>
        <v>63453153.621947631</v>
      </c>
    </row>
    <row r="147" spans="2:11" hidden="1" outlineLevel="1">
      <c r="B147" s="1475">
        <v>43303</v>
      </c>
      <c r="C147" s="1476">
        <f>'GENERAL CASH BL'!H1131</f>
        <v>4604179</v>
      </c>
      <c r="D147" s="1477">
        <f>'GENERAL CASH BL'!H1132</f>
        <v>0</v>
      </c>
      <c r="E147" s="1476">
        <f>'GENERAL CASH BL'!H1133</f>
        <v>33373355.621947572</v>
      </c>
      <c r="F147" s="1477">
        <f>'GENERAL CASH BL'!H1134</f>
        <v>0</v>
      </c>
      <c r="G147" s="1476">
        <f>'GENERAL CASH BL'!H1135</f>
        <v>14896863</v>
      </c>
      <c r="H147" s="1477">
        <f>'GENERAL CASH BL'!H1136</f>
        <v>10113576.00000006</v>
      </c>
      <c r="I147" s="1476">
        <f>'GENERAL CASH BL'!H1137</f>
        <v>10047820</v>
      </c>
      <c r="J147" s="1477">
        <f>'GENERAL CASH BL'!H1138</f>
        <v>-10207640</v>
      </c>
      <c r="K147" s="1478">
        <f t="shared" si="7"/>
        <v>62828153.621947631</v>
      </c>
    </row>
    <row r="148" spans="2:11" hidden="1" outlineLevel="1">
      <c r="B148" s="1475">
        <v>43304</v>
      </c>
      <c r="C148" s="1476">
        <f>'GENERAL CASH BL'!H1140</f>
        <v>4604179</v>
      </c>
      <c r="D148" s="1477">
        <f>'GENERAL CASH BL'!H1141</f>
        <v>0</v>
      </c>
      <c r="E148" s="1476">
        <f>'GENERAL CASH BL'!H1142</f>
        <v>33373355.621947572</v>
      </c>
      <c r="F148" s="1477">
        <f>'GENERAL CASH BL'!H1143</f>
        <v>0</v>
      </c>
      <c r="G148" s="1476">
        <f>'GENERAL CASH BL'!H1144</f>
        <v>14896863</v>
      </c>
      <c r="H148" s="1477">
        <f>'GENERAL CASH BL'!H1145</f>
        <v>10113576.00000006</v>
      </c>
      <c r="I148" s="1476">
        <f>'GENERAL CASH BL'!H1146</f>
        <v>10047820</v>
      </c>
      <c r="J148" s="1477">
        <f>'GENERAL CASH BL'!H1147</f>
        <v>-10899640</v>
      </c>
      <c r="K148" s="1478">
        <f t="shared" si="7"/>
        <v>62136153.621947631</v>
      </c>
    </row>
    <row r="149" spans="2:11" hidden="1" outlineLevel="1">
      <c r="B149" s="1475">
        <v>43305</v>
      </c>
      <c r="C149" s="1476">
        <f>'GENERAL CASH BL'!H1149</f>
        <v>4604179</v>
      </c>
      <c r="D149" s="1477">
        <f>'GENERAL CASH BL'!H1150</f>
        <v>0</v>
      </c>
      <c r="E149" s="1476">
        <f>'GENERAL CASH BL'!H1151</f>
        <v>33373355.621947572</v>
      </c>
      <c r="F149" s="1477">
        <f>'GENERAL CASH BL'!H1152</f>
        <v>0</v>
      </c>
      <c r="G149" s="1476">
        <f>'GENERAL CASH BL'!H1153</f>
        <v>14896863</v>
      </c>
      <c r="H149" s="1477">
        <f>'GENERAL CASH BL'!H1154</f>
        <v>10113576.00000006</v>
      </c>
      <c r="I149" s="1476">
        <f>'GENERAL CASH BL'!H1155</f>
        <v>10047820</v>
      </c>
      <c r="J149" s="1477">
        <f>'GENERAL CASH BL'!H1156</f>
        <v>-10899640</v>
      </c>
      <c r="K149" s="1478">
        <f t="shared" si="7"/>
        <v>62136153.621947631</v>
      </c>
    </row>
    <row r="150" spans="2:11" hidden="1" outlineLevel="1">
      <c r="B150" s="1475">
        <v>43306</v>
      </c>
      <c r="C150" s="1476">
        <f>'GENERAL CASH BL'!H1158</f>
        <v>4604179</v>
      </c>
      <c r="D150" s="1477">
        <f>'GENERAL CASH BL'!H1159</f>
        <v>0</v>
      </c>
      <c r="E150" s="1476">
        <f>'GENERAL CASH BL'!H1160</f>
        <v>33373355.621947572</v>
      </c>
      <c r="F150" s="1477">
        <f>'GENERAL CASH BL'!H1161</f>
        <v>0</v>
      </c>
      <c r="G150" s="1476">
        <f>'GENERAL CASH BL'!H1162</f>
        <v>14896863</v>
      </c>
      <c r="H150" s="1477">
        <f>'GENERAL CASH BL'!H1163</f>
        <v>10113576.00000006</v>
      </c>
      <c r="I150" s="1476">
        <f>'GENERAL CASH BL'!H1164</f>
        <v>40203340</v>
      </c>
      <c r="J150" s="1477">
        <f>'GENERAL CASH BL'!H1165</f>
        <v>-10899640</v>
      </c>
      <c r="K150" s="1478">
        <f t="shared" si="7"/>
        <v>92291673.621947631</v>
      </c>
    </row>
    <row r="151" spans="2:11" hidden="1" outlineLevel="1">
      <c r="B151" s="1475">
        <v>43307</v>
      </c>
      <c r="C151" s="1476">
        <f>'GENERAL CASH BL'!H1167</f>
        <v>3471179</v>
      </c>
      <c r="D151" s="1477">
        <f>'GENERAL CASH BL'!H1168</f>
        <v>0</v>
      </c>
      <c r="E151" s="1476">
        <f>'GENERAL CASH BL'!H1169</f>
        <v>33373355.621947572</v>
      </c>
      <c r="F151" s="1477">
        <f>'GENERAL CASH BL'!H1170</f>
        <v>0</v>
      </c>
      <c r="G151" s="1476">
        <f>'GENERAL CASH BL'!H1171</f>
        <v>14896863</v>
      </c>
      <c r="H151" s="1477">
        <f>'GENERAL CASH BL'!H1172</f>
        <v>10113576.00000006</v>
      </c>
      <c r="I151" s="1476">
        <f>'GENERAL CASH BL'!H1173</f>
        <v>40203340</v>
      </c>
      <c r="J151" s="1477">
        <f>'GENERAL CASH BL'!H1174</f>
        <v>9100360</v>
      </c>
      <c r="K151" s="1478">
        <f t="shared" si="7"/>
        <v>111158673.62194763</v>
      </c>
    </row>
    <row r="152" spans="2:11" hidden="1" outlineLevel="1">
      <c r="B152" s="1475">
        <v>43308</v>
      </c>
      <c r="C152" s="1476">
        <f>'GENERAL CASH BL'!H1176</f>
        <v>3471179</v>
      </c>
      <c r="D152" s="1477">
        <f>'GENERAL CASH BL'!H1177</f>
        <v>0</v>
      </c>
      <c r="E152" s="1476">
        <f>'GENERAL CASH BL'!H1178</f>
        <v>33373355.621947572</v>
      </c>
      <c r="F152" s="1477">
        <f>'GENERAL CASH BL'!H1179</f>
        <v>0</v>
      </c>
      <c r="G152" s="1476">
        <f>'GENERAL CASH BL'!H1180</f>
        <v>14896863</v>
      </c>
      <c r="H152" s="1477">
        <f>'GENERAL CASH BL'!H1181</f>
        <v>10113576.00000006</v>
      </c>
      <c r="I152" s="1476">
        <f>'GENERAL CASH BL'!H1182</f>
        <v>40203340</v>
      </c>
      <c r="J152" s="1477">
        <f>'GENERAL CASH BL'!H1183</f>
        <v>4720360</v>
      </c>
      <c r="K152" s="1478">
        <f t="shared" si="7"/>
        <v>106778673.62194763</v>
      </c>
    </row>
    <row r="153" spans="2:11" hidden="1" outlineLevel="1">
      <c r="B153" s="1475">
        <v>43309</v>
      </c>
      <c r="C153" s="1476">
        <f>'GENERAL CASH BL'!H1185</f>
        <v>3471179</v>
      </c>
      <c r="D153" s="1477">
        <f>'GENERAL CASH BL'!H1186</f>
        <v>0</v>
      </c>
      <c r="E153" s="1476">
        <f>'GENERAL CASH BL'!H1187</f>
        <v>33373355.621947572</v>
      </c>
      <c r="F153" s="1477">
        <f>'GENERAL CASH BL'!H1188</f>
        <v>0</v>
      </c>
      <c r="G153" s="1476">
        <f>'GENERAL CASH BL'!H1189</f>
        <v>14896863</v>
      </c>
      <c r="H153" s="1477">
        <f>'GENERAL CASH BL'!H1190</f>
        <v>10113576.00000006</v>
      </c>
      <c r="I153" s="1476">
        <f>'GENERAL CASH BL'!H1191</f>
        <v>39203340</v>
      </c>
      <c r="J153" s="1477">
        <f>'GENERAL CASH BL'!H1192</f>
        <v>4720360</v>
      </c>
      <c r="K153" s="1478">
        <f t="shared" si="7"/>
        <v>105778673.62194763</v>
      </c>
    </row>
    <row r="154" spans="2:11" hidden="1" outlineLevel="1">
      <c r="B154" s="1475">
        <v>43310</v>
      </c>
      <c r="C154" s="1476">
        <f>'GENERAL CASH BL'!H1194</f>
        <v>3471179</v>
      </c>
      <c r="D154" s="1477">
        <f>'GENERAL CASH BL'!H1195</f>
        <v>0</v>
      </c>
      <c r="E154" s="1476">
        <f>'GENERAL CASH BL'!H1196</f>
        <v>33373355.621947572</v>
      </c>
      <c r="F154" s="1477">
        <f>'GENERAL CASH BL'!H1197</f>
        <v>0</v>
      </c>
      <c r="G154" s="1476">
        <f>'GENERAL CASH BL'!H1198</f>
        <v>14896863</v>
      </c>
      <c r="H154" s="1477">
        <f>'GENERAL CASH BL'!H1199</f>
        <v>10113576.00000006</v>
      </c>
      <c r="I154" s="1476">
        <f>'GENERAL CASH BL'!H1200</f>
        <v>39203340</v>
      </c>
      <c r="J154" s="1477">
        <f>'GENERAL CASH BL'!H1201</f>
        <v>4720360</v>
      </c>
      <c r="K154" s="1478">
        <f t="shared" si="7"/>
        <v>105778673.62194763</v>
      </c>
    </row>
    <row r="155" spans="2:11" ht="15.75" hidden="1" outlineLevel="1" thickBot="1">
      <c r="B155" s="1488">
        <v>43311</v>
      </c>
      <c r="C155" s="1489">
        <f>'GENERAL CASH BL'!H1203</f>
        <v>3471179</v>
      </c>
      <c r="D155" s="1490">
        <f>'GENERAL CASH BL'!H1204</f>
        <v>0</v>
      </c>
      <c r="E155" s="1489">
        <f>'GENERAL CASH BL'!H1205</f>
        <v>33373355.621947572</v>
      </c>
      <c r="F155" s="1490">
        <f>'GENERAL CASH BL'!H1206</f>
        <v>0</v>
      </c>
      <c r="G155" s="1489">
        <f>'GENERAL CASH BL'!H1207</f>
        <v>14896863</v>
      </c>
      <c r="H155" s="1490">
        <f>'GENERAL CASH BL'!H1208</f>
        <v>10113576.00000006</v>
      </c>
      <c r="I155" s="1489">
        <f>'GENERAL CASH BL'!H1209</f>
        <v>39203340</v>
      </c>
      <c r="J155" s="1490">
        <f>'GENERAL CASH BL'!H1210</f>
        <v>4720360</v>
      </c>
      <c r="K155" s="1491">
        <f t="shared" si="7"/>
        <v>105778673.62194763</v>
      </c>
    </row>
    <row r="156" spans="2:11" ht="15.75" collapsed="1" thickBot="1">
      <c r="B156" s="1812">
        <v>43312</v>
      </c>
      <c r="C156" s="1811">
        <f>'GENERAL CASH BL'!H1212</f>
        <v>5539179</v>
      </c>
      <c r="D156" s="1810">
        <f>'GENERAL CASH BL'!H1213</f>
        <v>0</v>
      </c>
      <c r="E156" s="1811">
        <f>'GENERAL CASH BL'!H1214</f>
        <v>33373355.621947572</v>
      </c>
      <c r="F156" s="1810">
        <f>'GENERAL CASH BL'!H1215</f>
        <v>0</v>
      </c>
      <c r="G156" s="1811">
        <f>'GENERAL CASH BL'!H1216</f>
        <v>14896863</v>
      </c>
      <c r="H156" s="1810">
        <f>'GENERAL CASH BL'!H1217</f>
        <v>6451166.0000000894</v>
      </c>
      <c r="I156" s="1811">
        <f>'GENERAL CASH BL'!H1218</f>
        <v>33025640</v>
      </c>
      <c r="J156" s="1810">
        <f>'GENERAL CASH BL'!H1219</f>
        <v>5520360</v>
      </c>
      <c r="K156" s="1809">
        <f t="shared" si="7"/>
        <v>98806563.621947661</v>
      </c>
    </row>
    <row r="157" spans="2:11" outlineLevel="1">
      <c r="B157" s="1479">
        <v>43313</v>
      </c>
      <c r="C157" s="1480">
        <f>'GENERAL CASH BL'!H1221</f>
        <v>5539179</v>
      </c>
      <c r="D157" s="1481"/>
      <c r="E157" s="1480">
        <f>'GENERAL CASH BL'!H1222</f>
        <v>33373355.621947572</v>
      </c>
      <c r="F157" s="1481"/>
      <c r="G157" s="1480">
        <f>'GENERAL CASH BL'!H1223</f>
        <v>14896863</v>
      </c>
      <c r="H157" s="1481">
        <f>'GENERAL CASH BL'!H1224</f>
        <v>6451166.0000000894</v>
      </c>
      <c r="I157" s="1480">
        <f>'GENERAL CASH BL'!H1225</f>
        <v>33025640</v>
      </c>
      <c r="J157" s="1481">
        <f>'GENERAL CASH BL'!H1226</f>
        <v>5520360</v>
      </c>
      <c r="K157" s="1482">
        <f t="shared" ref="K157:K187" si="8">SUM(C157:J157)</f>
        <v>98806563.621947661</v>
      </c>
    </row>
    <row r="158" spans="2:11" outlineLevel="1">
      <c r="B158" s="1475">
        <v>43314</v>
      </c>
      <c r="C158" s="1476">
        <f>'GENERAL CASH BL'!H1228</f>
        <v>5539179</v>
      </c>
      <c r="D158" s="1477"/>
      <c r="E158" s="1476">
        <f>'GENERAL CASH BL'!H1229</f>
        <v>33373355.621947572</v>
      </c>
      <c r="F158" s="1477"/>
      <c r="G158" s="1476">
        <f>'GENERAL CASH BL'!H1230</f>
        <v>14896863</v>
      </c>
      <c r="H158" s="1477">
        <f>'GENERAL CASH BL'!H1231</f>
        <v>6451166.0000000894</v>
      </c>
      <c r="I158" s="1476">
        <f>'GENERAL CASH BL'!H1232</f>
        <v>33025640</v>
      </c>
      <c r="J158" s="1477">
        <f>'GENERAL CASH BL'!H1233</f>
        <v>5520360</v>
      </c>
      <c r="K158" s="1478">
        <f t="shared" si="8"/>
        <v>98806563.621947661</v>
      </c>
    </row>
    <row r="159" spans="2:11" outlineLevel="1">
      <c r="B159" s="1475">
        <v>43315</v>
      </c>
      <c r="C159" s="1476">
        <f>'GENERAL CASH BL'!H1235</f>
        <v>5539179</v>
      </c>
      <c r="D159" s="1477"/>
      <c r="E159" s="1476">
        <f>'GENERAL CASH BL'!H1236</f>
        <v>33373355.621947572</v>
      </c>
      <c r="F159" s="1477"/>
      <c r="G159" s="1476">
        <f>'GENERAL CASH BL'!H1237</f>
        <v>14896863</v>
      </c>
      <c r="H159" s="1477">
        <f>'GENERAL CASH BL'!H1238</f>
        <v>6451166.0000000894</v>
      </c>
      <c r="I159" s="1476">
        <f>'GENERAL CASH BL'!H1239</f>
        <v>33025640</v>
      </c>
      <c r="J159" s="1477">
        <f>'GENERAL CASH BL'!H1240</f>
        <v>5520360</v>
      </c>
      <c r="K159" s="1478">
        <f t="shared" si="8"/>
        <v>98806563.621947661</v>
      </c>
    </row>
    <row r="160" spans="2:11" outlineLevel="1">
      <c r="B160" s="1475">
        <v>43316</v>
      </c>
      <c r="C160" s="1476">
        <f>'GENERAL CASH BL'!H1242</f>
        <v>5539179</v>
      </c>
      <c r="D160" s="1477"/>
      <c r="E160" s="1476">
        <f>'GENERAL CASH BL'!H1243</f>
        <v>33373355.621947572</v>
      </c>
      <c r="F160" s="1477"/>
      <c r="G160" s="1476">
        <f>'GENERAL CASH BL'!H1244</f>
        <v>14896863</v>
      </c>
      <c r="H160" s="1477">
        <f>'GENERAL CASH BL'!H1245</f>
        <v>6451166.0000000894</v>
      </c>
      <c r="I160" s="1476">
        <f>'GENERAL CASH BL'!H1246</f>
        <v>33025640</v>
      </c>
      <c r="J160" s="1477">
        <f>'GENERAL CASH BL'!H1247</f>
        <v>5520360</v>
      </c>
      <c r="K160" s="1478">
        <f t="shared" si="8"/>
        <v>98806563.621947661</v>
      </c>
    </row>
    <row r="161" spans="2:11" outlineLevel="1">
      <c r="B161" s="1475">
        <v>43317</v>
      </c>
      <c r="C161" s="1476">
        <f>'GENERAL CASH BL'!H1249</f>
        <v>5539179</v>
      </c>
      <c r="D161" s="1477"/>
      <c r="E161" s="1476">
        <f>'GENERAL CASH BL'!H1250</f>
        <v>33373355.621947572</v>
      </c>
      <c r="F161" s="1477"/>
      <c r="G161" s="1476">
        <f>'GENERAL CASH BL'!H1251</f>
        <v>14896863</v>
      </c>
      <c r="H161" s="1477">
        <f>'GENERAL CASH BL'!H1252</f>
        <v>6451166.0000000894</v>
      </c>
      <c r="I161" s="1476">
        <f>'GENERAL CASH BL'!H1253</f>
        <v>33025640</v>
      </c>
      <c r="J161" s="1477">
        <f>'GENERAL CASH BL'!H1254</f>
        <v>5520360</v>
      </c>
      <c r="K161" s="1478">
        <f t="shared" si="8"/>
        <v>98806563.621947661</v>
      </c>
    </row>
    <row r="162" spans="2:11" outlineLevel="1">
      <c r="B162" s="1475">
        <v>43318</v>
      </c>
      <c r="C162" s="1476">
        <f>'GENERAL CASH BL'!H1256</f>
        <v>5539179</v>
      </c>
      <c r="D162" s="1477"/>
      <c r="E162" s="1476">
        <f>'GENERAL CASH BL'!H1257</f>
        <v>33373355.621947572</v>
      </c>
      <c r="F162" s="1477"/>
      <c r="G162" s="1476">
        <f>'GENERAL CASH BL'!H1258</f>
        <v>14896863</v>
      </c>
      <c r="H162" s="1477">
        <f>'GENERAL CASH BL'!H1259</f>
        <v>6451166.0000000894</v>
      </c>
      <c r="I162" s="1476">
        <f>'GENERAL CASH BL'!H1260</f>
        <v>33025640</v>
      </c>
      <c r="J162" s="1477">
        <f>'GENERAL CASH BL'!H1261</f>
        <v>1550360</v>
      </c>
      <c r="K162" s="1478">
        <f t="shared" si="8"/>
        <v>94836563.621947661</v>
      </c>
    </row>
    <row r="163" spans="2:11" outlineLevel="1">
      <c r="B163" s="1475">
        <v>43319</v>
      </c>
      <c r="C163" s="1476">
        <f>'GENERAL CASH BL'!H1263</f>
        <v>5539179</v>
      </c>
      <c r="D163" s="1477"/>
      <c r="E163" s="1476">
        <f>'GENERAL CASH BL'!H1264</f>
        <v>33373355.621947572</v>
      </c>
      <c r="F163" s="1477"/>
      <c r="G163" s="1476">
        <f>'GENERAL CASH BL'!H1265</f>
        <v>14896863</v>
      </c>
      <c r="H163" s="1477">
        <f>'GENERAL CASH BL'!H1266</f>
        <v>6451166.0000000894</v>
      </c>
      <c r="I163" s="1476">
        <f>'GENERAL CASH BL'!H1267</f>
        <v>33025640</v>
      </c>
      <c r="J163" s="1477">
        <f>'GENERAL CASH BL'!H1268</f>
        <v>1550360</v>
      </c>
      <c r="K163" s="1478">
        <f t="shared" si="8"/>
        <v>94836563.621947661</v>
      </c>
    </row>
    <row r="164" spans="2:11" outlineLevel="1">
      <c r="B164" s="1475">
        <v>43320</v>
      </c>
      <c r="C164" s="1476">
        <f>'GENERAL CASH BL'!H1270</f>
        <v>5539179</v>
      </c>
      <c r="D164" s="1477"/>
      <c r="E164" s="1476">
        <f>'GENERAL CASH BL'!H1271</f>
        <v>33373355.621947572</v>
      </c>
      <c r="F164" s="1477"/>
      <c r="G164" s="1476">
        <f>'GENERAL CASH BL'!H1272</f>
        <v>14896863</v>
      </c>
      <c r="H164" s="1477">
        <f>'GENERAL CASH BL'!H1273</f>
        <v>2724086.0000000894</v>
      </c>
      <c r="I164" s="1476">
        <f>'GENERAL CASH BL'!H1274</f>
        <v>33025640</v>
      </c>
      <c r="J164" s="1477">
        <f>'GENERAL CASH BL'!H1275</f>
        <v>1550360</v>
      </c>
      <c r="K164" s="1478">
        <f t="shared" si="8"/>
        <v>91109483.621947661</v>
      </c>
    </row>
    <row r="165" spans="2:11" outlineLevel="1">
      <c r="B165" s="1475">
        <v>43321</v>
      </c>
      <c r="C165" s="1476">
        <f>'GENERAL CASH BL'!H1277</f>
        <v>2235567</v>
      </c>
      <c r="D165" s="1477"/>
      <c r="E165" s="1476">
        <f>'GENERAL CASH BL'!H1278</f>
        <v>33373355.621947572</v>
      </c>
      <c r="F165" s="1477"/>
      <c r="G165" s="1476">
        <f>'GENERAL CASH BL'!H1279</f>
        <v>14896863</v>
      </c>
      <c r="H165" s="1477">
        <f>'GENERAL CASH BL'!H1280</f>
        <v>2724086.0000000894</v>
      </c>
      <c r="I165" s="1476">
        <f>'GENERAL CASH BL'!H1281</f>
        <v>9311362</v>
      </c>
      <c r="J165" s="1477">
        <f>'GENERAL CASH BL'!H1282</f>
        <v>50360</v>
      </c>
      <c r="K165" s="1478">
        <f t="shared" si="8"/>
        <v>62591593.621947661</v>
      </c>
    </row>
    <row r="166" spans="2:11" outlineLevel="1">
      <c r="B166" s="1475">
        <v>43322</v>
      </c>
      <c r="C166" s="1476">
        <f>'GENERAL CASH BL'!H1284</f>
        <v>2235567</v>
      </c>
      <c r="D166" s="1477"/>
      <c r="E166" s="1476">
        <f>'GENERAL CASH BL'!H1285</f>
        <v>33373355.621947572</v>
      </c>
      <c r="F166" s="1477"/>
      <c r="G166" s="1476">
        <f>'GENERAL CASH BL'!H1286</f>
        <v>14896863</v>
      </c>
      <c r="H166" s="1477">
        <f>'GENERAL CASH BL'!H1287</f>
        <v>2724086.0000000894</v>
      </c>
      <c r="I166" s="1476">
        <f>'GENERAL CASH BL'!H1288</f>
        <v>774362</v>
      </c>
      <c r="J166" s="1477">
        <f>'GENERAL CASH BL'!H1289</f>
        <v>20008360</v>
      </c>
      <c r="K166" s="1478">
        <f t="shared" si="8"/>
        <v>74012593.621947661</v>
      </c>
    </row>
    <row r="167" spans="2:11" outlineLevel="1">
      <c r="B167" s="1475">
        <v>43323</v>
      </c>
      <c r="C167" s="1476">
        <f>'GENERAL CASH BL'!H1291</f>
        <v>2235567</v>
      </c>
      <c r="D167" s="1477"/>
      <c r="E167" s="1476">
        <f>'GENERAL CASH BL'!H1292</f>
        <v>33373355.621947572</v>
      </c>
      <c r="F167" s="1477"/>
      <c r="G167" s="1476">
        <f>'GENERAL CASH BL'!H1293</f>
        <v>14896863</v>
      </c>
      <c r="H167" s="1477">
        <f>'GENERAL CASH BL'!H1294</f>
        <v>2724086.0000000894</v>
      </c>
      <c r="I167" s="1476">
        <f>'GENERAL CASH BL'!H1295</f>
        <v>9311362</v>
      </c>
      <c r="J167" s="1477">
        <f>'GENERAL CASH BL'!H1296</f>
        <v>20008360</v>
      </c>
      <c r="K167" s="1478">
        <f t="shared" si="8"/>
        <v>82549593.621947661</v>
      </c>
    </row>
    <row r="168" spans="2:11" outlineLevel="1">
      <c r="B168" s="1475">
        <v>43324</v>
      </c>
      <c r="C168" s="1476">
        <f>'GENERAL CASH BL'!H1298</f>
        <v>2235567</v>
      </c>
      <c r="D168" s="1477"/>
      <c r="E168" s="1476">
        <f>'GENERAL CASH BL'!H1299</f>
        <v>33373355.621947572</v>
      </c>
      <c r="F168" s="1477"/>
      <c r="G168" s="1476">
        <f>'GENERAL CASH BL'!H1300</f>
        <v>14896863</v>
      </c>
      <c r="H168" s="1477">
        <f>'GENERAL CASH BL'!H1301</f>
        <v>2724086.0000000894</v>
      </c>
      <c r="I168" s="1476">
        <f>'GENERAL CASH BL'!H1302</f>
        <v>9311362</v>
      </c>
      <c r="J168" s="1477">
        <f>'GENERAL CASH BL'!H1303</f>
        <v>20008360</v>
      </c>
      <c r="K168" s="1478">
        <f t="shared" si="8"/>
        <v>82549593.621947661</v>
      </c>
    </row>
    <row r="169" spans="2:11" outlineLevel="1">
      <c r="B169" s="1475">
        <v>43325</v>
      </c>
      <c r="C169" s="1476">
        <f>'GENERAL CASH BL'!H1305</f>
        <v>2235567</v>
      </c>
      <c r="D169" s="1477"/>
      <c r="E169" s="1476">
        <f>'GENERAL CASH BL'!H1306</f>
        <v>33373355.621947572</v>
      </c>
      <c r="F169" s="1477"/>
      <c r="G169" s="1476">
        <f>'GENERAL CASH BL'!H1307</f>
        <v>14896863</v>
      </c>
      <c r="H169" s="1477">
        <f>'GENERAL CASH BL'!H1308</f>
        <v>2724086.0000000894</v>
      </c>
      <c r="I169" s="1476">
        <f>'GENERAL CASH BL'!H1309</f>
        <v>9311362</v>
      </c>
      <c r="J169" s="1477">
        <f>'GENERAL CASH BL'!H1310</f>
        <v>20008360</v>
      </c>
      <c r="K169" s="1478">
        <f t="shared" si="8"/>
        <v>82549593.621947661</v>
      </c>
    </row>
    <row r="170" spans="2:11" outlineLevel="1">
      <c r="B170" s="1475">
        <v>43326</v>
      </c>
      <c r="C170" s="1476">
        <f>'GENERAL CASH BL'!H1312</f>
        <v>2235567</v>
      </c>
      <c r="D170" s="1477"/>
      <c r="E170" s="1476">
        <f>'GENERAL CASH BL'!H1313</f>
        <v>33373355.621947572</v>
      </c>
      <c r="F170" s="1477"/>
      <c r="G170" s="1476">
        <f>'GENERAL CASH BL'!H1314</f>
        <v>14896863</v>
      </c>
      <c r="H170" s="1477">
        <f>'GENERAL CASH BL'!H1315</f>
        <v>1338176.0000000894</v>
      </c>
      <c r="I170" s="1476">
        <f>'GENERAL CASH BL'!H1316</f>
        <v>9311362</v>
      </c>
      <c r="J170" s="1477">
        <f>'GENERAL CASH BL'!H1317</f>
        <v>20008360</v>
      </c>
      <c r="K170" s="1478">
        <f t="shared" si="8"/>
        <v>81163683.621947661</v>
      </c>
    </row>
    <row r="171" spans="2:11" outlineLevel="1">
      <c r="B171" s="1475">
        <v>43327</v>
      </c>
      <c r="C171" s="1476">
        <f>'GENERAL CASH BL'!H1319</f>
        <v>2235567</v>
      </c>
      <c r="D171" s="1477"/>
      <c r="E171" s="1476">
        <f>'GENERAL CASH BL'!H1320</f>
        <v>33373355.621947572</v>
      </c>
      <c r="F171" s="1477"/>
      <c r="G171" s="1476">
        <f>'GENERAL CASH BL'!H1321</f>
        <v>14896863</v>
      </c>
      <c r="H171" s="1477">
        <f>'GENERAL CASH BL'!H1322</f>
        <v>1338176.0000000894</v>
      </c>
      <c r="I171" s="1476">
        <f>'GENERAL CASH BL'!H1323</f>
        <v>27894362</v>
      </c>
      <c r="J171" s="1477">
        <f>'GENERAL CASH BL'!H1324</f>
        <v>6334360</v>
      </c>
      <c r="K171" s="1478">
        <f t="shared" si="8"/>
        <v>86072683.621947661</v>
      </c>
    </row>
    <row r="172" spans="2:11" outlineLevel="1">
      <c r="B172" s="1475">
        <v>43328</v>
      </c>
      <c r="C172" s="1476">
        <f>'GENERAL CASH BL'!H1326</f>
        <v>2235567</v>
      </c>
      <c r="D172" s="1477"/>
      <c r="E172" s="1476">
        <f>'GENERAL CASH BL'!H1327</f>
        <v>33373355.621947572</v>
      </c>
      <c r="F172" s="1477"/>
      <c r="G172" s="1476">
        <f>'GENERAL CASH BL'!H1328</f>
        <v>14896863</v>
      </c>
      <c r="H172" s="1477">
        <f>'GENERAL CASH BL'!H1329</f>
        <v>1338176.0000000894</v>
      </c>
      <c r="I172" s="1476">
        <f>'GENERAL CASH BL'!H1330</f>
        <v>27894362</v>
      </c>
      <c r="J172" s="1477">
        <f>'GENERAL CASH BL'!H1331</f>
        <v>6334360</v>
      </c>
      <c r="K172" s="1478">
        <f t="shared" si="8"/>
        <v>86072683.621947661</v>
      </c>
    </row>
    <row r="173" spans="2:11" outlineLevel="1">
      <c r="B173" s="1475">
        <v>43329</v>
      </c>
      <c r="C173" s="1476">
        <f>'GENERAL CASH BL'!H1333</f>
        <v>2235567</v>
      </c>
      <c r="D173" s="1477"/>
      <c r="E173" s="1476">
        <f>'GENERAL CASH BL'!H1334</f>
        <v>33373355.621947572</v>
      </c>
      <c r="F173" s="1477"/>
      <c r="G173" s="1476">
        <f>'GENERAL CASH BL'!H1335</f>
        <v>14896863</v>
      </c>
      <c r="H173" s="1477">
        <f>'GENERAL CASH BL'!H1336</f>
        <v>1338176.0000000894</v>
      </c>
      <c r="I173" s="1476">
        <f>'GENERAL CASH BL'!H1337</f>
        <v>27894362</v>
      </c>
      <c r="J173" s="1477">
        <f>'GENERAL CASH BL'!H1338</f>
        <v>6334360</v>
      </c>
      <c r="K173" s="1478">
        <f t="shared" si="8"/>
        <v>86072683.621947661</v>
      </c>
    </row>
    <row r="174" spans="2:11" outlineLevel="1">
      <c r="B174" s="1475">
        <v>43330</v>
      </c>
      <c r="C174" s="1476">
        <f>'GENERAL CASH BL'!H1340</f>
        <v>2235567</v>
      </c>
      <c r="D174" s="1477"/>
      <c r="E174" s="1476">
        <f>'GENERAL CASH BL'!H1341</f>
        <v>33373355.621947572</v>
      </c>
      <c r="F174" s="1477"/>
      <c r="G174" s="1476">
        <f>'GENERAL CASH BL'!H1342</f>
        <v>14896863</v>
      </c>
      <c r="H174" s="1477">
        <f>'GENERAL CASH BL'!H1343</f>
        <v>1110816.0000000894</v>
      </c>
      <c r="I174" s="1476">
        <f>'GENERAL CASH BL'!H1344</f>
        <v>27894362</v>
      </c>
      <c r="J174" s="1477">
        <f>'GENERAL CASH BL'!H1345</f>
        <v>6334360</v>
      </c>
      <c r="K174" s="1478">
        <f t="shared" si="8"/>
        <v>85845323.621947661</v>
      </c>
    </row>
    <row r="175" spans="2:11" outlineLevel="1">
      <c r="B175" s="1475">
        <v>43331</v>
      </c>
      <c r="C175" s="1476">
        <f>'GENERAL CASH BL'!H1347</f>
        <v>2235567</v>
      </c>
      <c r="D175" s="1477"/>
      <c r="E175" s="1476">
        <f>'GENERAL CASH BL'!H1348</f>
        <v>33373355.621947572</v>
      </c>
      <c r="F175" s="1477"/>
      <c r="G175" s="1476">
        <f>'GENERAL CASH BL'!H1349</f>
        <v>14896863</v>
      </c>
      <c r="H175" s="1477">
        <f>'GENERAL CASH BL'!H1350</f>
        <v>1110816.0000000894</v>
      </c>
      <c r="I175" s="1476">
        <f>'GENERAL CASH BL'!H1344</f>
        <v>27894362</v>
      </c>
      <c r="J175" s="1477">
        <f>'GENERAL CASH BL'!H1352</f>
        <v>6334360</v>
      </c>
      <c r="K175" s="1478">
        <f t="shared" si="8"/>
        <v>85845323.621947661</v>
      </c>
    </row>
    <row r="176" spans="2:11" outlineLevel="1">
      <c r="B176" s="1475">
        <v>43332</v>
      </c>
      <c r="C176" s="1476">
        <f>'GENERAL CASH BL'!H1354</f>
        <v>1464820</v>
      </c>
      <c r="D176" s="1477"/>
      <c r="E176" s="1476">
        <f>'GENERAL CASH BL'!H1355</f>
        <v>33373355.621947572</v>
      </c>
      <c r="F176" s="1477"/>
      <c r="G176" s="1476">
        <f>'GENERAL CASH BL'!H1356</f>
        <v>14896863</v>
      </c>
      <c r="H176" s="1477">
        <f>'GENERAL CASH BL'!H1357</f>
        <v>1110816.0000000894</v>
      </c>
      <c r="I176" s="1476">
        <f>'GENERAL CASH BL'!H1351</f>
        <v>27894362</v>
      </c>
      <c r="J176" s="1477">
        <f>'GENERAL CASH BL'!H1359</f>
        <v>7014360</v>
      </c>
      <c r="K176" s="1478">
        <f t="shared" si="8"/>
        <v>85754576.621947661</v>
      </c>
    </row>
    <row r="177" spans="2:11" outlineLevel="1">
      <c r="B177" s="1475">
        <v>43333</v>
      </c>
      <c r="C177" s="1476">
        <f>'GENERAL CASH BL'!H1361</f>
        <v>1464820</v>
      </c>
      <c r="D177" s="1477"/>
      <c r="E177" s="1476">
        <f>'GENERAL CASH BL'!H1362</f>
        <v>33373355.621947572</v>
      </c>
      <c r="F177" s="1477"/>
      <c r="G177" s="1476">
        <f>'GENERAL CASH BL'!H1363</f>
        <v>14896863</v>
      </c>
      <c r="H177" s="1477">
        <f>'GENERAL CASH BL'!H1364</f>
        <v>1110816.0000000894</v>
      </c>
      <c r="I177" s="1476">
        <f>'GENERAL CASH BL'!H1365</f>
        <v>24119362</v>
      </c>
      <c r="J177" s="1477">
        <f>'GENERAL CASH BL'!H1366</f>
        <v>7014360</v>
      </c>
      <c r="K177" s="1478">
        <f t="shared" si="8"/>
        <v>81979576.621947661</v>
      </c>
    </row>
    <row r="178" spans="2:11" outlineLevel="1">
      <c r="B178" s="1475">
        <v>43334</v>
      </c>
      <c r="C178" s="1476">
        <f>'GENERAL CASH BL'!H1368</f>
        <v>1464820</v>
      </c>
      <c r="D178" s="1477"/>
      <c r="E178" s="1476">
        <f>'GENERAL CASH BL'!H1369</f>
        <v>33373355.621947572</v>
      </c>
      <c r="F178" s="1477"/>
      <c r="G178" s="1476">
        <f>'GENERAL CASH BL'!H1370</f>
        <v>14896863</v>
      </c>
      <c r="H178" s="1477">
        <f>'GENERAL CASH BL'!H1371</f>
        <v>1110816.0000000894</v>
      </c>
      <c r="I178" s="1476">
        <f>'GENERAL CASH BL'!H1372</f>
        <v>24119362</v>
      </c>
      <c r="J178" s="1477">
        <f>'GENERAL CASH BL'!H1373</f>
        <v>7014360</v>
      </c>
      <c r="K178" s="1478">
        <f t="shared" si="8"/>
        <v>81979576.621947661</v>
      </c>
    </row>
    <row r="179" spans="2:11" outlineLevel="1">
      <c r="B179" s="1475">
        <v>43335</v>
      </c>
      <c r="C179" s="1476">
        <f>'GENERAL CASH BL'!H1375</f>
        <v>1464820</v>
      </c>
      <c r="D179" s="1477"/>
      <c r="E179" s="1476">
        <f>'GENERAL CASH BL'!H1376</f>
        <v>33373355.621947572</v>
      </c>
      <c r="F179" s="1477"/>
      <c r="G179" s="1476">
        <f>'GENERAL CASH BL'!H1377</f>
        <v>14896863</v>
      </c>
      <c r="H179" s="1477">
        <f>'GENERAL CASH BL'!H1378</f>
        <v>1110816.0000000894</v>
      </c>
      <c r="I179" s="1476">
        <f>'GENERAL CASH BL'!H1379</f>
        <v>24119362</v>
      </c>
      <c r="J179" s="1477">
        <f>'GENERAL CASH BL'!H1380</f>
        <v>7014360</v>
      </c>
      <c r="K179" s="1478">
        <f t="shared" si="8"/>
        <v>81979576.621947661</v>
      </c>
    </row>
    <row r="180" spans="2:11" outlineLevel="1">
      <c r="B180" s="1475">
        <v>43336</v>
      </c>
      <c r="C180" s="1476">
        <f>'GENERAL CASH BL'!H1382</f>
        <v>1464820</v>
      </c>
      <c r="D180" s="1477"/>
      <c r="E180" s="1476">
        <f>'GENERAL CASH BL'!H1383</f>
        <v>33373355.621947572</v>
      </c>
      <c r="F180" s="1477"/>
      <c r="G180" s="1476">
        <f>'GENERAL CASH BL'!H1384</f>
        <v>14896863</v>
      </c>
      <c r="H180" s="1477">
        <f>'GENERAL CASH BL'!H1385</f>
        <v>1110816.0000000894</v>
      </c>
      <c r="I180" s="1476">
        <f>'GENERAL CASH BL'!H1386</f>
        <v>21680362</v>
      </c>
      <c r="J180" s="1477">
        <f>'GENERAL CASH BL'!H1387</f>
        <v>4504360</v>
      </c>
      <c r="K180" s="1478">
        <f t="shared" si="8"/>
        <v>77030576.621947661</v>
      </c>
    </row>
    <row r="181" spans="2:11" outlineLevel="1">
      <c r="B181" s="1475">
        <v>43337</v>
      </c>
      <c r="C181" s="1476">
        <f>'GENERAL CASH BL'!H1389</f>
        <v>1464820</v>
      </c>
      <c r="D181" s="1477"/>
      <c r="E181" s="1476">
        <f>'GENERAL CASH BL'!H1390</f>
        <v>33373355.621947572</v>
      </c>
      <c r="F181" s="1477"/>
      <c r="G181" s="1476">
        <f>'GENERAL CASH BL'!H1391</f>
        <v>14896863</v>
      </c>
      <c r="H181" s="1477">
        <f>'GENERAL CASH BL'!H1392</f>
        <v>1110816.0000000894</v>
      </c>
      <c r="I181" s="1476">
        <f>'GENERAL CASH BL'!H1393</f>
        <v>21680362</v>
      </c>
      <c r="J181" s="1477">
        <f>'GENERAL CASH BL'!H1394</f>
        <v>4504360</v>
      </c>
      <c r="K181" s="1478">
        <f t="shared" si="8"/>
        <v>77030576.621947661</v>
      </c>
    </row>
    <row r="182" spans="2:11" outlineLevel="1">
      <c r="B182" s="1475">
        <v>43338</v>
      </c>
      <c r="C182" s="1476"/>
      <c r="D182" s="1477"/>
      <c r="E182" s="1476"/>
      <c r="F182" s="1477"/>
      <c r="G182" s="1476"/>
      <c r="H182" s="1477"/>
      <c r="I182" s="1476"/>
      <c r="J182" s="1477"/>
      <c r="K182" s="1478">
        <f t="shared" si="8"/>
        <v>0</v>
      </c>
    </row>
    <row r="183" spans="2:11" outlineLevel="1">
      <c r="B183" s="1475">
        <v>43339</v>
      </c>
      <c r="C183" s="1476"/>
      <c r="D183" s="1477"/>
      <c r="E183" s="1476"/>
      <c r="F183" s="1477"/>
      <c r="G183" s="1476"/>
      <c r="H183" s="1477"/>
      <c r="I183" s="1476"/>
      <c r="J183" s="1477"/>
      <c r="K183" s="1478">
        <f t="shared" si="8"/>
        <v>0</v>
      </c>
    </row>
    <row r="184" spans="2:11" outlineLevel="1">
      <c r="B184" s="1475">
        <v>43340</v>
      </c>
      <c r="C184" s="1476"/>
      <c r="D184" s="1477"/>
      <c r="E184" s="1476"/>
      <c r="F184" s="1477"/>
      <c r="G184" s="1476"/>
      <c r="H184" s="1477"/>
      <c r="I184" s="1476"/>
      <c r="J184" s="1477"/>
      <c r="K184" s="1478">
        <f t="shared" si="8"/>
        <v>0</v>
      </c>
    </row>
    <row r="185" spans="2:11" outlineLevel="1">
      <c r="B185" s="1475">
        <v>43341</v>
      </c>
      <c r="C185" s="1476"/>
      <c r="D185" s="1477"/>
      <c r="E185" s="1476"/>
      <c r="F185" s="1477"/>
      <c r="G185" s="1476"/>
      <c r="H185" s="1477"/>
      <c r="I185" s="1476"/>
      <c r="J185" s="1477"/>
      <c r="K185" s="1478">
        <f t="shared" si="8"/>
        <v>0</v>
      </c>
    </row>
    <row r="186" spans="2:11" ht="15.75" outlineLevel="1" thickBot="1">
      <c r="B186" s="1488">
        <v>43342</v>
      </c>
      <c r="C186" s="1489"/>
      <c r="D186" s="1490"/>
      <c r="E186" s="1489"/>
      <c r="F186" s="1490"/>
      <c r="G186" s="1489"/>
      <c r="H186" s="1490"/>
      <c r="I186" s="1489"/>
      <c r="J186" s="1490"/>
      <c r="K186" s="1491">
        <f t="shared" si="8"/>
        <v>0</v>
      </c>
    </row>
    <row r="187" spans="2:11" ht="15.75" thickBot="1">
      <c r="B187" s="1812">
        <v>43343</v>
      </c>
      <c r="C187" s="1811"/>
      <c r="D187" s="1810"/>
      <c r="E187" s="1811"/>
      <c r="F187" s="1810"/>
      <c r="G187" s="1811"/>
      <c r="H187" s="1810"/>
      <c r="I187" s="1811"/>
      <c r="J187" s="1810"/>
      <c r="K187" s="1809">
        <f t="shared" si="8"/>
        <v>0</v>
      </c>
    </row>
  </sheetData>
  <autoFilter ref="B3:H95"/>
  <hyperlinks>
    <hyperlink ref="C3" location="'HCM OFFICE CASH'!A1" display="HCM OFFICE -VND"/>
    <hyperlink ref="D3" location="'YOUJIN HP H2'!A40" display="YOUJIN HP H2 - VND"/>
    <hyperlink ref="E3" location="'AEON MALL II'!A211" display="AEON MALL II - USD"/>
    <hyperlink ref="G3" location="'YOUJIN INNOTEK'!A41" display="YOUJIN INNOTEK - VND"/>
    <hyperlink ref="H3" location="'KUALA '!A1" display="KL LUMPUA OFFICE - RM"/>
  </hyperlinks>
  <pageMargins left="0.75" right="0.75" top="1" bottom="1" header="0.51180555555555596" footer="0.51180555555555596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workbookViewId="0">
      <selection activeCell="E11" sqref="E11"/>
    </sheetView>
  </sheetViews>
  <sheetFormatPr defaultColWidth="8.7109375" defaultRowHeight="15"/>
  <sheetData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3"/>
  <sheetViews>
    <sheetView view="pageBreakPreview" zoomScale="95" zoomScaleNormal="80" zoomScaleSheetLayoutView="95" workbookViewId="0">
      <pane ySplit="5" topLeftCell="A6" activePane="bottomLeft" state="frozen"/>
      <selection pane="bottomLeft" activeCell="H18" sqref="H18"/>
    </sheetView>
  </sheetViews>
  <sheetFormatPr defaultColWidth="8.7109375" defaultRowHeight="15.75" outlineLevelRow="1"/>
  <cols>
    <col min="1" max="1" width="7.28515625" style="5" customWidth="1"/>
    <col min="2" max="2" width="19.42578125" style="1" customWidth="1"/>
    <col min="3" max="3" width="22.42578125" style="6" bestFit="1" customWidth="1"/>
    <col min="4" max="4" width="28.140625" style="1" bestFit="1" customWidth="1"/>
    <col min="5" max="5" width="12.85546875" style="7" customWidth="1"/>
    <col min="6" max="6" width="12.42578125" style="7" customWidth="1"/>
    <col min="7" max="7" width="15.85546875" style="6" customWidth="1"/>
    <col min="8" max="8" width="14.7109375" style="1" customWidth="1"/>
    <col min="9" max="16384" width="8.7109375" style="1"/>
  </cols>
  <sheetData>
    <row r="1" spans="1:249">
      <c r="A1" s="1970" t="s">
        <v>1556</v>
      </c>
      <c r="B1" s="1971"/>
      <c r="C1" s="1971"/>
      <c r="D1" s="1971"/>
      <c r="E1" s="1971"/>
      <c r="F1" s="1971"/>
      <c r="G1" s="1971"/>
    </row>
    <row r="2" spans="1:249">
      <c r="D2" s="10">
        <v>43199</v>
      </c>
      <c r="G2" s="11" t="s">
        <v>123</v>
      </c>
      <c r="H2" s="12" t="s">
        <v>124</v>
      </c>
    </row>
    <row r="3" spans="1:249">
      <c r="A3" s="8" t="s">
        <v>1557</v>
      </c>
      <c r="B3" s="4" t="s">
        <v>222</v>
      </c>
      <c r="E3" s="1"/>
      <c r="F3" s="1"/>
      <c r="G3" s="13"/>
      <c r="H3" s="14"/>
    </row>
    <row r="4" spans="1:249">
      <c r="A4" s="8" t="s">
        <v>19</v>
      </c>
      <c r="B4" s="15" t="s">
        <v>1558</v>
      </c>
      <c r="C4" s="7" t="s">
        <v>128</v>
      </c>
      <c r="D4" s="7" t="s">
        <v>21</v>
      </c>
      <c r="G4" s="16"/>
      <c r="H4" s="14"/>
    </row>
    <row r="5" spans="1:249">
      <c r="A5" s="17" t="s">
        <v>129</v>
      </c>
      <c r="B5" s="18" t="s">
        <v>130</v>
      </c>
      <c r="C5" s="19" t="s">
        <v>131</v>
      </c>
      <c r="D5" s="18" t="s">
        <v>133</v>
      </c>
      <c r="E5" s="20" t="s">
        <v>134</v>
      </c>
      <c r="F5" s="21" t="s">
        <v>135</v>
      </c>
      <c r="G5" s="22" t="s">
        <v>136</v>
      </c>
      <c r="H5" s="23" t="s">
        <v>137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</row>
    <row r="6" spans="1:249">
      <c r="A6" s="1972" t="s">
        <v>1559</v>
      </c>
      <c r="B6" s="1973"/>
      <c r="C6" s="1973"/>
      <c r="D6" s="1974"/>
      <c r="E6" s="24"/>
      <c r="F6" s="25"/>
      <c r="G6" s="26"/>
      <c r="H6" s="25"/>
    </row>
    <row r="7" spans="1:249" s="2" customFormat="1" ht="15" outlineLevel="1">
      <c r="A7" s="27">
        <v>1.4</v>
      </c>
      <c r="B7" s="28" t="s">
        <v>1560</v>
      </c>
      <c r="C7" s="29" t="s">
        <v>222</v>
      </c>
      <c r="D7" s="29" t="s">
        <v>1561</v>
      </c>
      <c r="E7" s="30"/>
      <c r="F7" s="30">
        <v>343000</v>
      </c>
      <c r="G7" s="31" t="s">
        <v>1562</v>
      </c>
      <c r="H7" s="32" t="s">
        <v>1563</v>
      </c>
    </row>
    <row r="8" spans="1:249" s="2" customFormat="1" ht="15" outlineLevel="1">
      <c r="A8" s="27">
        <v>2.4</v>
      </c>
      <c r="B8" s="28" t="s">
        <v>1564</v>
      </c>
      <c r="C8" s="29" t="s">
        <v>222</v>
      </c>
      <c r="D8" s="29" t="s">
        <v>1565</v>
      </c>
      <c r="E8" s="30"/>
      <c r="F8" s="30">
        <v>143000</v>
      </c>
      <c r="G8" s="31" t="s">
        <v>1562</v>
      </c>
      <c r="H8" s="32"/>
    </row>
    <row r="9" spans="1:249" s="2" customFormat="1" ht="15" outlineLevel="1">
      <c r="A9" s="27">
        <v>2.4</v>
      </c>
      <c r="B9" s="28" t="s">
        <v>1566</v>
      </c>
      <c r="C9" s="29" t="s">
        <v>222</v>
      </c>
      <c r="D9" s="29" t="s">
        <v>1567</v>
      </c>
      <c r="E9" s="30"/>
      <c r="F9" s="30">
        <v>216000</v>
      </c>
      <c r="G9" s="31" t="s">
        <v>1562</v>
      </c>
      <c r="H9" s="32"/>
    </row>
    <row r="10" spans="1:249" s="3" customFormat="1" ht="15" outlineLevel="1">
      <c r="A10" s="27">
        <v>2.4</v>
      </c>
      <c r="B10" s="28" t="s">
        <v>1568</v>
      </c>
      <c r="C10" s="29" t="s">
        <v>222</v>
      </c>
      <c r="D10" s="29" t="s">
        <v>1569</v>
      </c>
      <c r="E10" s="30"/>
      <c r="F10" s="30">
        <v>140000</v>
      </c>
      <c r="G10" s="31" t="s">
        <v>1562</v>
      </c>
      <c r="H10" s="32"/>
    </row>
    <row r="11" spans="1:249" s="3" customFormat="1" ht="15" outlineLevel="1">
      <c r="A11" s="27">
        <v>3.4</v>
      </c>
      <c r="B11" s="28" t="s">
        <v>1566</v>
      </c>
      <c r="C11" s="29" t="s">
        <v>222</v>
      </c>
      <c r="D11" s="29" t="s">
        <v>1570</v>
      </c>
      <c r="E11" s="30"/>
      <c r="F11" s="30">
        <v>73000</v>
      </c>
      <c r="G11" s="31" t="s">
        <v>1562</v>
      </c>
      <c r="H11" s="32"/>
    </row>
    <row r="12" spans="1:249" s="2" customFormat="1" ht="15" outlineLevel="1">
      <c r="A12" s="27">
        <v>3.4</v>
      </c>
      <c r="B12" s="28" t="s">
        <v>1571</v>
      </c>
      <c r="C12" s="29" t="s">
        <v>222</v>
      </c>
      <c r="D12" s="29" t="s">
        <v>1569</v>
      </c>
      <c r="E12" s="30">
        <v>0</v>
      </c>
      <c r="F12" s="30">
        <v>200000</v>
      </c>
      <c r="G12" s="31" t="s">
        <v>1562</v>
      </c>
      <c r="H12" s="32"/>
    </row>
    <row r="13" spans="1:249" s="3" customFormat="1" ht="15" outlineLevel="1">
      <c r="A13" s="27">
        <v>4.4000000000000004</v>
      </c>
      <c r="B13" s="28" t="s">
        <v>1572</v>
      </c>
      <c r="C13" s="29" t="s">
        <v>222</v>
      </c>
      <c r="D13" s="29" t="s">
        <v>1573</v>
      </c>
      <c r="E13" s="30"/>
      <c r="F13" s="30">
        <v>780000</v>
      </c>
      <c r="G13" s="31" t="s">
        <v>1562</v>
      </c>
      <c r="H13" s="32"/>
    </row>
    <row r="14" spans="1:249" s="3" customFormat="1" ht="15" outlineLevel="1">
      <c r="A14" s="27">
        <v>5.4</v>
      </c>
      <c r="B14" s="28" t="s">
        <v>1574</v>
      </c>
      <c r="C14" s="29" t="s">
        <v>222</v>
      </c>
      <c r="D14" s="29" t="s">
        <v>1567</v>
      </c>
      <c r="E14" s="30"/>
      <c r="F14" s="30">
        <v>556600</v>
      </c>
      <c r="G14" s="31" t="s">
        <v>1562</v>
      </c>
      <c r="H14" s="32"/>
    </row>
    <row r="15" spans="1:249" s="3" customFormat="1" ht="15" outlineLevel="1">
      <c r="A15" s="27">
        <v>5.4</v>
      </c>
      <c r="B15" s="28" t="s">
        <v>1575</v>
      </c>
      <c r="C15" s="29" t="s">
        <v>222</v>
      </c>
      <c r="D15" s="29" t="s">
        <v>1569</v>
      </c>
      <c r="E15" s="30"/>
      <c r="F15" s="30">
        <v>160000</v>
      </c>
      <c r="G15" s="31" t="s">
        <v>1562</v>
      </c>
      <c r="H15" s="32"/>
    </row>
    <row r="16" spans="1:249" s="3" customFormat="1" ht="15" outlineLevel="1">
      <c r="A16" s="27">
        <v>7.4</v>
      </c>
      <c r="B16" s="28" t="s">
        <v>1576</v>
      </c>
      <c r="C16" s="29" t="s">
        <v>222</v>
      </c>
      <c r="D16" s="29" t="s">
        <v>1577</v>
      </c>
      <c r="E16" s="30"/>
      <c r="F16" s="30">
        <v>420000</v>
      </c>
      <c r="G16" s="31" t="s">
        <v>1562</v>
      </c>
      <c r="H16" s="32"/>
    </row>
    <row r="17" spans="1:8" s="3" customFormat="1" ht="15" outlineLevel="1">
      <c r="A17" s="27">
        <v>8.4</v>
      </c>
      <c r="B17" s="28" t="s">
        <v>1578</v>
      </c>
      <c r="C17" s="29" t="s">
        <v>222</v>
      </c>
      <c r="D17" s="29" t="s">
        <v>1569</v>
      </c>
      <c r="E17" s="30"/>
      <c r="F17" s="30">
        <v>150000</v>
      </c>
      <c r="G17" s="31" t="s">
        <v>1562</v>
      </c>
      <c r="H17" s="32"/>
    </row>
    <row r="18" spans="1:8" s="3" customFormat="1" ht="15" outlineLevel="1">
      <c r="A18" s="27">
        <v>9.4</v>
      </c>
      <c r="B18" s="28" t="s">
        <v>1579</v>
      </c>
      <c r="C18" s="29" t="s">
        <v>222</v>
      </c>
      <c r="D18" s="29" t="s">
        <v>1570</v>
      </c>
      <c r="E18" s="30"/>
      <c r="F18" s="30">
        <v>115000</v>
      </c>
      <c r="G18" s="31" t="s">
        <v>1562</v>
      </c>
      <c r="H18" s="32"/>
    </row>
    <row r="19" spans="1:8" s="3" customFormat="1" ht="15" outlineLevel="1">
      <c r="A19" s="33"/>
      <c r="B19" s="34"/>
      <c r="C19" s="35"/>
      <c r="D19" s="35"/>
      <c r="E19" s="36"/>
      <c r="F19" s="36"/>
      <c r="G19" s="37"/>
      <c r="H19" s="38"/>
    </row>
    <row r="20" spans="1:8" s="4" customFormat="1">
      <c r="A20" s="39"/>
      <c r="B20" s="40"/>
      <c r="C20" s="40"/>
      <c r="D20" s="41" t="s">
        <v>31</v>
      </c>
      <c r="E20" s="42">
        <f>SUM(E6:E9)</f>
        <v>0</v>
      </c>
      <c r="F20" s="43">
        <f>SUM(F7:F19)</f>
        <v>3296600</v>
      </c>
      <c r="G20" s="44"/>
      <c r="H20" s="45"/>
    </row>
    <row r="21" spans="1:8" s="4" customFormat="1">
      <c r="A21" s="46" t="s">
        <v>101</v>
      </c>
      <c r="B21" s="47"/>
      <c r="C21" s="47"/>
      <c r="D21" s="48" t="s">
        <v>257</v>
      </c>
      <c r="E21" s="49">
        <f>E20-F20</f>
        <v>-3296600</v>
      </c>
      <c r="F21" s="50"/>
      <c r="G21" s="51"/>
      <c r="H21" s="50" t="s">
        <v>226</v>
      </c>
    </row>
    <row r="22" spans="1:8">
      <c r="A22" s="8"/>
      <c r="B22" s="9"/>
      <c r="C22" s="9"/>
      <c r="D22" s="9"/>
    </row>
    <row r="23" spans="1:8">
      <c r="F23" s="52" t="s">
        <v>18</v>
      </c>
    </row>
  </sheetData>
  <autoFilter ref="A5:H23"/>
  <mergeCells count="2">
    <mergeCell ref="A1:G1"/>
    <mergeCell ref="A6:D6"/>
  </mergeCells>
  <pageMargins left="0.749305555555556" right="0.749305555555556" top="0.999305555555556" bottom="0.999305555555556" header="0.50902777777777797" footer="0.50902777777777797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K1395"/>
  <sheetViews>
    <sheetView view="pageBreakPreview" zoomScaleNormal="96" zoomScaleSheetLayoutView="100" workbookViewId="0">
      <pane ySplit="8" topLeftCell="A1373" activePane="bottomLeft" state="frozen"/>
      <selection pane="bottomLeft" activeCell="F1407" sqref="F1407"/>
    </sheetView>
  </sheetViews>
  <sheetFormatPr defaultColWidth="8.7109375" defaultRowHeight="12.75" outlineLevelRow="1"/>
  <cols>
    <col min="1" max="1" width="11" style="721" customWidth="1"/>
    <col min="2" max="2" width="25.85546875" style="719" customWidth="1"/>
    <col min="3" max="5" width="17.42578125" style="722" customWidth="1"/>
    <col min="6" max="7" width="18.7109375" style="722" customWidth="1"/>
    <col min="8" max="8" width="17" style="722" customWidth="1"/>
    <col min="9" max="9" width="17.42578125" style="722" customWidth="1"/>
    <col min="10" max="10" width="20.140625" style="720" customWidth="1"/>
    <col min="11" max="11" width="7.7109375" style="720" customWidth="1"/>
    <col min="12" max="12" width="12.28515625" style="719" customWidth="1"/>
    <col min="13" max="16384" width="8.7109375" style="719"/>
  </cols>
  <sheetData>
    <row r="1" spans="1:11" ht="15" hidden="1" outlineLevel="1">
      <c r="A1" s="1915" t="s">
        <v>11</v>
      </c>
      <c r="B1" s="1916"/>
      <c r="C1" s="1906" t="s">
        <v>12</v>
      </c>
      <c r="D1" s="1906"/>
      <c r="E1" s="1906"/>
      <c r="F1" s="1906"/>
    </row>
    <row r="2" spans="1:11" hidden="1" outlineLevel="1">
      <c r="A2" s="1915"/>
      <c r="B2" s="1916"/>
      <c r="C2" s="1907" t="s">
        <v>13</v>
      </c>
      <c r="D2" s="1907"/>
      <c r="E2" s="1907"/>
      <c r="F2" s="1907"/>
    </row>
    <row r="3" spans="1:11" ht="13.5" hidden="1" outlineLevel="1" thickBot="1">
      <c r="A3" s="1908" t="s">
        <v>14</v>
      </c>
      <c r="B3" s="1909"/>
      <c r="C3" s="1910" t="s">
        <v>15</v>
      </c>
      <c r="D3" s="1911"/>
      <c r="E3" s="1911"/>
      <c r="F3" s="1911"/>
    </row>
    <row r="4" spans="1:11" collapsed="1">
      <c r="A4" s="1912" t="s">
        <v>16</v>
      </c>
      <c r="B4" s="1913"/>
      <c r="C4" s="1914"/>
      <c r="D4" s="1914"/>
      <c r="E4" s="1914"/>
      <c r="F4" s="1914"/>
    </row>
    <row r="5" spans="1:11" ht="13.5" thickBot="1">
      <c r="A5" s="723" t="s">
        <v>17</v>
      </c>
      <c r="B5" s="717" t="s">
        <v>18</v>
      </c>
    </row>
    <row r="6" spans="1:11" ht="13.5" thickBot="1">
      <c r="A6" s="721" t="s">
        <v>19</v>
      </c>
      <c r="B6" s="719">
        <v>2018</v>
      </c>
      <c r="D6" s="1591">
        <v>43337</v>
      </c>
      <c r="E6" s="724" t="s">
        <v>20</v>
      </c>
      <c r="F6" s="725">
        <v>22700</v>
      </c>
    </row>
    <row r="7" spans="1:11" ht="13.5" thickBot="1">
      <c r="A7" s="721" t="s">
        <v>1</v>
      </c>
      <c r="B7" s="719" t="s">
        <v>21</v>
      </c>
      <c r="D7" s="722" t="s">
        <v>511</v>
      </c>
    </row>
    <row r="8" spans="1:11" s="716" customFormat="1" ht="26.25" thickBot="1">
      <c r="A8" s="726" t="s">
        <v>3</v>
      </c>
      <c r="B8" s="1226" t="s">
        <v>22</v>
      </c>
      <c r="C8" s="727" t="s">
        <v>23</v>
      </c>
      <c r="D8" s="727" t="s">
        <v>24</v>
      </c>
      <c r="E8" s="727" t="s">
        <v>25</v>
      </c>
      <c r="F8" s="728" t="s">
        <v>26</v>
      </c>
      <c r="G8" s="727" t="s">
        <v>27</v>
      </c>
      <c r="H8" s="728" t="s">
        <v>28</v>
      </c>
      <c r="I8" s="752" t="s">
        <v>29</v>
      </c>
      <c r="J8" s="1013"/>
      <c r="K8" s="1013"/>
    </row>
    <row r="9" spans="1:11" hidden="1" outlineLevel="1">
      <c r="A9" s="729" t="s">
        <v>30</v>
      </c>
      <c r="B9" s="1227" t="s">
        <v>4</v>
      </c>
      <c r="C9" s="753">
        <v>0</v>
      </c>
      <c r="D9" s="753">
        <f>'HCM OFFICE CASH'!F52</f>
        <v>18952661</v>
      </c>
      <c r="E9" s="753">
        <f>'HCM OFFICE CASH'!G52</f>
        <v>17502376</v>
      </c>
      <c r="F9" s="730">
        <f>'HCM OFFICE CASH'!G151</f>
        <v>0</v>
      </c>
      <c r="G9" s="753">
        <f>'HCM OFFICE CASH'!G153</f>
        <v>0</v>
      </c>
      <c r="H9" s="730"/>
      <c r="I9" s="753"/>
    </row>
    <row r="10" spans="1:11" hidden="1" outlineLevel="1">
      <c r="A10" s="731" t="s">
        <v>30</v>
      </c>
      <c r="B10" s="1228" t="s">
        <v>5</v>
      </c>
      <c r="C10" s="754">
        <f>'YOUJIN HP H2'!G5</f>
        <v>74072900</v>
      </c>
      <c r="D10" s="754">
        <f>SUM('YOUJIN HP H2'!G6:G30)</f>
        <v>100000000</v>
      </c>
      <c r="E10" s="754">
        <f>SUM('YOUJIN HP H2'!H6:H30)</f>
        <v>64179050</v>
      </c>
      <c r="F10" s="732">
        <v>0</v>
      </c>
      <c r="G10" s="754">
        <v>109893850</v>
      </c>
      <c r="H10" s="732"/>
      <c r="I10" s="754"/>
    </row>
    <row r="11" spans="1:11" ht="13.5" hidden="1" outlineLevel="1" thickBot="1">
      <c r="A11" s="731" t="s">
        <v>30</v>
      </c>
      <c r="B11" s="1229" t="s">
        <v>6</v>
      </c>
      <c r="C11" s="769">
        <f>'AEON MALL II'!G5*F6</f>
        <v>378820778</v>
      </c>
      <c r="D11" s="769">
        <f>SUM('AEON MALL II'!I6:I205)</f>
        <v>1351921200</v>
      </c>
      <c r="E11" s="769">
        <f>SUM('AEON MALL II'!J6:J205)</f>
        <v>992080686.5</v>
      </c>
      <c r="F11" s="733">
        <v>738661291.5</v>
      </c>
      <c r="G11" s="769">
        <v>0</v>
      </c>
      <c r="H11" s="732"/>
      <c r="I11" s="754"/>
    </row>
    <row r="12" spans="1:11" s="717" customFormat="1" ht="13.5" hidden="1" outlineLevel="1" thickBot="1">
      <c r="A12" s="734" t="s">
        <v>30</v>
      </c>
      <c r="B12" s="1230" t="s">
        <v>31</v>
      </c>
      <c r="C12" s="1219">
        <f>SUM(C9:C11)</f>
        <v>452893678</v>
      </c>
      <c r="D12" s="1219">
        <f>SUM(D9:D11)</f>
        <v>1470873861</v>
      </c>
      <c r="E12" s="1219">
        <f>SUM(E9:E11)</f>
        <v>1073762112.5</v>
      </c>
      <c r="F12" s="735">
        <f>SUM(F9:F11)</f>
        <v>738661291.5</v>
      </c>
      <c r="G12" s="1219">
        <f>SUM(G9:G11)</f>
        <v>109893850</v>
      </c>
      <c r="H12" s="735"/>
      <c r="I12" s="755"/>
      <c r="J12" s="1014"/>
      <c r="K12" s="1014"/>
    </row>
    <row r="13" spans="1:11" hidden="1" outlineLevel="1">
      <c r="A13" s="729" t="s">
        <v>32</v>
      </c>
      <c r="B13" s="1227" t="s">
        <v>4</v>
      </c>
      <c r="C13" s="753">
        <f>C9</f>
        <v>0</v>
      </c>
      <c r="D13" s="753">
        <f>'HCM OFFICE CASH'!F52</f>
        <v>18952661</v>
      </c>
      <c r="E13" s="753">
        <f>SUM('HCM OFFICE CASH'!G8:G18)</f>
        <v>1647339</v>
      </c>
      <c r="F13" s="730">
        <f>C13+D13-E13</f>
        <v>17305322</v>
      </c>
      <c r="G13" s="753">
        <v>0</v>
      </c>
      <c r="H13" s="732"/>
      <c r="I13" s="754"/>
    </row>
    <row r="14" spans="1:11" hidden="1" outlineLevel="1">
      <c r="A14" s="731" t="s">
        <v>32</v>
      </c>
      <c r="B14" s="1228" t="s">
        <v>5</v>
      </c>
      <c r="C14" s="754">
        <f>C10</f>
        <v>74072900</v>
      </c>
      <c r="D14" s="754">
        <f>D10+SUM('YOUJIN HP H2'!G31)</f>
        <v>100000000</v>
      </c>
      <c r="E14" s="754">
        <f>E10+SUM('YOUJIN HP H2'!H31)</f>
        <v>64529050</v>
      </c>
      <c r="F14" s="732">
        <v>0</v>
      </c>
      <c r="G14" s="754">
        <v>109543850</v>
      </c>
      <c r="H14" s="732"/>
      <c r="I14" s="754"/>
    </row>
    <row r="15" spans="1:11" hidden="1" outlineLevel="1">
      <c r="A15" s="731" t="s">
        <v>32</v>
      </c>
      <c r="B15" s="1231" t="s">
        <v>6</v>
      </c>
      <c r="C15" s="754">
        <f>C11</f>
        <v>378820778</v>
      </c>
      <c r="D15" s="754">
        <f>SUM('AEON MALL II'!I6:I210)</f>
        <v>1351921200</v>
      </c>
      <c r="E15" s="754">
        <f>SUM(E11,'AEON MALL II'!J206:J208)</f>
        <v>993215686.5</v>
      </c>
      <c r="F15" s="732">
        <f>C15+D15-E15</f>
        <v>737526291.5</v>
      </c>
      <c r="G15" s="754">
        <f>C15+D15-E15-F15</f>
        <v>0</v>
      </c>
      <c r="H15" s="732"/>
      <c r="I15" s="754"/>
    </row>
    <row r="16" spans="1:11" ht="13.5" hidden="1" outlineLevel="1" thickBot="1">
      <c r="A16" s="731" t="s">
        <v>32</v>
      </c>
      <c r="B16" s="1232" t="s">
        <v>8</v>
      </c>
      <c r="C16" s="769">
        <f>'YOUJIN INNOTEK'!G5</f>
        <v>63000563</v>
      </c>
      <c r="D16" s="769">
        <f>SUM('YOUJIN INNOTEK'!G6:G36)</f>
        <v>119500000</v>
      </c>
      <c r="E16" s="769">
        <f>SUM('YOUJIN INNOTEK'!H5:H36)</f>
        <v>109219500</v>
      </c>
      <c r="F16" s="733">
        <v>49500000</v>
      </c>
      <c r="G16" s="769">
        <f>C16+D16-E16-F16</f>
        <v>23781063</v>
      </c>
      <c r="H16" s="732"/>
      <c r="I16" s="754"/>
    </row>
    <row r="17" spans="1:11" s="717" customFormat="1" ht="13.5" hidden="1" outlineLevel="1" thickBot="1">
      <c r="A17" s="734" t="s">
        <v>32</v>
      </c>
      <c r="B17" s="1230" t="s">
        <v>31</v>
      </c>
      <c r="C17" s="1219">
        <f>SUM(C13:C15)</f>
        <v>452893678</v>
      </c>
      <c r="D17" s="1219">
        <f>SUM(D13:D16)</f>
        <v>1590373861</v>
      </c>
      <c r="E17" s="1219">
        <f>SUM(E13:E16)</f>
        <v>1168611575.5</v>
      </c>
      <c r="F17" s="735">
        <f>SUM(F13:F16)</f>
        <v>804331613.5</v>
      </c>
      <c r="G17" s="1219">
        <f>SUM(G13:G16)</f>
        <v>133324913</v>
      </c>
      <c r="H17" s="735"/>
      <c r="I17" s="755"/>
      <c r="J17" s="1014"/>
      <c r="K17" s="1014"/>
    </row>
    <row r="18" spans="1:11" hidden="1" outlineLevel="1">
      <c r="A18" s="729" t="s">
        <v>33</v>
      </c>
      <c r="B18" s="1233" t="s">
        <v>4</v>
      </c>
      <c r="C18" s="753">
        <f>C13</f>
        <v>0</v>
      </c>
      <c r="D18" s="753">
        <f>SUM('HCM OFFICE CASH'!F7:F18)</f>
        <v>10000000</v>
      </c>
      <c r="E18" s="753">
        <f>SUM('HCM OFFICE CASH'!G8:G18)</f>
        <v>1647339</v>
      </c>
      <c r="F18" s="730">
        <f>F13</f>
        <v>17305322</v>
      </c>
      <c r="G18" s="753">
        <f>C18+D18-E18-F18</f>
        <v>-8952661</v>
      </c>
      <c r="H18" s="732"/>
      <c r="I18" s="754"/>
    </row>
    <row r="19" spans="1:11" hidden="1" outlineLevel="1">
      <c r="A19" s="731" t="s">
        <v>33</v>
      </c>
      <c r="B19" s="920" t="s">
        <v>5</v>
      </c>
      <c r="C19" s="754">
        <f>C14</f>
        <v>74072900</v>
      </c>
      <c r="D19" s="754">
        <f>D14+SUM('YOUJIN HP H2'!G32)</f>
        <v>100000000</v>
      </c>
      <c r="E19" s="754">
        <f>E14+SUM('YOUJIN HP H2'!H32)</f>
        <v>66689050</v>
      </c>
      <c r="F19" s="732">
        <v>0</v>
      </c>
      <c r="G19" s="754">
        <v>107383850</v>
      </c>
      <c r="H19" s="732"/>
      <c r="I19" s="754"/>
    </row>
    <row r="20" spans="1:11" hidden="1" outlineLevel="1">
      <c r="A20" s="731" t="s">
        <v>33</v>
      </c>
      <c r="B20" s="920" t="s">
        <v>6</v>
      </c>
      <c r="C20" s="754">
        <v>378820778</v>
      </c>
      <c r="D20" s="754">
        <f>D15</f>
        <v>1351921200</v>
      </c>
      <c r="E20" s="754">
        <f>E15+SUM('AEON MALL II'!J209:J212)</f>
        <v>993574346.5</v>
      </c>
      <c r="F20" s="732">
        <f>C20+D20-E20</f>
        <v>737167631.5</v>
      </c>
      <c r="G20" s="754">
        <f>C20+D20-E20-F20</f>
        <v>0</v>
      </c>
      <c r="H20" s="732"/>
      <c r="I20" s="754"/>
    </row>
    <row r="21" spans="1:11" hidden="1" outlineLevel="1">
      <c r="A21" s="731" t="s">
        <v>33</v>
      </c>
      <c r="B21" s="920" t="s">
        <v>7</v>
      </c>
      <c r="C21" s="754">
        <v>0</v>
      </c>
      <c r="D21" s="754">
        <v>0</v>
      </c>
      <c r="E21" s="754">
        <v>0</v>
      </c>
      <c r="F21" s="732">
        <v>0</v>
      </c>
      <c r="G21" s="754">
        <v>0</v>
      </c>
      <c r="H21" s="732"/>
      <c r="I21" s="754"/>
    </row>
    <row r="22" spans="1:11" ht="13.5" hidden="1" outlineLevel="1" thickBot="1">
      <c r="A22" s="736" t="s">
        <v>33</v>
      </c>
      <c r="B22" s="926" t="s">
        <v>8</v>
      </c>
      <c r="C22" s="769">
        <v>63000563</v>
      </c>
      <c r="D22" s="769">
        <f>D16</f>
        <v>119500000</v>
      </c>
      <c r="E22" s="769">
        <f>E16</f>
        <v>109219500</v>
      </c>
      <c r="F22" s="733">
        <f>F16</f>
        <v>49500000</v>
      </c>
      <c r="G22" s="769">
        <f>G16</f>
        <v>23781063</v>
      </c>
      <c r="H22" s="732"/>
      <c r="I22" s="754"/>
    </row>
    <row r="23" spans="1:11" s="717" customFormat="1" ht="13.5" hidden="1" outlineLevel="1" thickBot="1">
      <c r="A23" s="734" t="s">
        <v>33</v>
      </c>
      <c r="B23" s="1230" t="s">
        <v>31</v>
      </c>
      <c r="C23" s="1219">
        <f>SUM(C18:C22)</f>
        <v>515894241</v>
      </c>
      <c r="D23" s="1219">
        <f>SUM(D18:D22)</f>
        <v>1581421200</v>
      </c>
      <c r="E23" s="1219">
        <f>SUM(E18:E22)</f>
        <v>1171130235.5</v>
      </c>
      <c r="F23" s="735">
        <f>SUM(F18:F22)</f>
        <v>803972953.5</v>
      </c>
      <c r="G23" s="1219">
        <f>SUM(G18:G22)</f>
        <v>122212252</v>
      </c>
      <c r="H23" s="735"/>
      <c r="I23" s="755"/>
      <c r="J23" s="1014"/>
      <c r="K23" s="1014"/>
    </row>
    <row r="24" spans="1:11" hidden="1" outlineLevel="1">
      <c r="A24" s="729" t="s">
        <v>34</v>
      </c>
      <c r="B24" s="1233" t="s">
        <v>4</v>
      </c>
      <c r="C24" s="753">
        <f>C18</f>
        <v>0</v>
      </c>
      <c r="D24" s="753">
        <f>SUM('HCM OFFICE CASH'!F7:F18)</f>
        <v>10000000</v>
      </c>
      <c r="E24" s="753">
        <f>SUM('HCM OFFICE CASH'!G8:G18)</f>
        <v>1647339</v>
      </c>
      <c r="F24" s="730">
        <f>C24+D24-E24</f>
        <v>8352661</v>
      </c>
      <c r="G24" s="753">
        <f>C24+D24-E24-F24</f>
        <v>0</v>
      </c>
      <c r="H24" s="732"/>
      <c r="I24" s="754"/>
    </row>
    <row r="25" spans="1:11" hidden="1" outlineLevel="1">
      <c r="A25" s="731" t="s">
        <v>34</v>
      </c>
      <c r="B25" s="920" t="s">
        <v>5</v>
      </c>
      <c r="C25" s="754">
        <v>74072900</v>
      </c>
      <c r="D25" s="754">
        <f>SUM('YOUJIN HP H2'!G6:G32)</f>
        <v>100000000</v>
      </c>
      <c r="E25" s="1261">
        <f>E19+SUM('YOUJIN HP H2'!H33:H37)</f>
        <v>117407550</v>
      </c>
      <c r="F25" s="732">
        <v>36500000</v>
      </c>
      <c r="G25" s="754">
        <v>20180750</v>
      </c>
      <c r="H25" s="732"/>
      <c r="I25" s="754"/>
      <c r="J25" s="756"/>
    </row>
    <row r="26" spans="1:11" hidden="1" outlineLevel="1">
      <c r="A26" s="731" t="s">
        <v>34</v>
      </c>
      <c r="B26" s="920" t="s">
        <v>6</v>
      </c>
      <c r="C26" s="754">
        <v>378820778</v>
      </c>
      <c r="D26" s="754">
        <v>1351921200</v>
      </c>
      <c r="E26" s="754">
        <v>993574346.5</v>
      </c>
      <c r="F26" s="732">
        <v>737167631.5</v>
      </c>
      <c r="G26" s="754">
        <f>G20</f>
        <v>0</v>
      </c>
      <c r="H26" s="732"/>
      <c r="I26" s="754"/>
    </row>
    <row r="27" spans="1:11" hidden="1" outlineLevel="1">
      <c r="A27" s="731" t="s">
        <v>34</v>
      </c>
      <c r="B27" s="920" t="s">
        <v>7</v>
      </c>
      <c r="C27" s="754">
        <f t="shared" ref="C27:C34" si="0">C21</f>
        <v>0</v>
      </c>
      <c r="D27" s="754">
        <v>0</v>
      </c>
      <c r="E27" s="754">
        <v>0</v>
      </c>
      <c r="F27" s="732">
        <v>0</v>
      </c>
      <c r="G27" s="754">
        <v>0</v>
      </c>
      <c r="H27" s="732"/>
      <c r="I27" s="754"/>
    </row>
    <row r="28" spans="1:11" ht="13.5" hidden="1" outlineLevel="1" thickBot="1">
      <c r="A28" s="736" t="s">
        <v>34</v>
      </c>
      <c r="B28" s="1234" t="s">
        <v>8</v>
      </c>
      <c r="C28" s="769">
        <v>63000563</v>
      </c>
      <c r="D28" s="769">
        <f>SUM('YOUJIN INNOTEK'!G6:G36)</f>
        <v>119500000</v>
      </c>
      <c r="E28" s="769">
        <f>SUM('YOUJIN INNOTEK'!H6:H36)</f>
        <v>109219500</v>
      </c>
      <c r="F28" s="733">
        <v>49500000</v>
      </c>
      <c r="G28" s="769">
        <f>C28+D28-E28-F28</f>
        <v>23781063</v>
      </c>
      <c r="H28" s="732"/>
      <c r="I28" s="754"/>
    </row>
    <row r="29" spans="1:11" s="718" customFormat="1" ht="13.5" hidden="1" outlineLevel="1" thickBot="1">
      <c r="A29" s="734" t="s">
        <v>34</v>
      </c>
      <c r="B29" s="1230" t="s">
        <v>31</v>
      </c>
      <c r="C29" s="921">
        <f>SUM(C24:C28)</f>
        <v>515894241</v>
      </c>
      <c r="D29" s="921">
        <f>SUM(D24:D28)</f>
        <v>1581421200</v>
      </c>
      <c r="E29" s="921">
        <f>SUM(E24:E28)</f>
        <v>1221848735.5</v>
      </c>
      <c r="F29" s="737">
        <f>SUM(F24:F28)</f>
        <v>831520292.5</v>
      </c>
      <c r="G29" s="921">
        <f>SUM(G24:G28)</f>
        <v>43961813</v>
      </c>
      <c r="H29" s="737"/>
      <c r="I29" s="757"/>
      <c r="J29" s="1015"/>
      <c r="K29" s="1015"/>
    </row>
    <row r="30" spans="1:11" hidden="1" outlineLevel="1">
      <c r="A30" s="729" t="s">
        <v>35</v>
      </c>
      <c r="B30" s="1233" t="s">
        <v>4</v>
      </c>
      <c r="C30" s="753">
        <f t="shared" si="0"/>
        <v>0</v>
      </c>
      <c r="D30" s="753">
        <f>SUM('HCM OFFICE CASH'!F7:F20)</f>
        <v>10000000</v>
      </c>
      <c r="E30" s="753">
        <f>SUM('HCM OFFICE CASH'!G8:G20)</f>
        <v>6047339</v>
      </c>
      <c r="F30" s="730">
        <f>C30+D30-E30</f>
        <v>3952661</v>
      </c>
      <c r="G30" s="753">
        <v>0</v>
      </c>
      <c r="H30" s="732"/>
      <c r="I30" s="754"/>
    </row>
    <row r="31" spans="1:11" hidden="1" outlineLevel="1">
      <c r="A31" s="731" t="s">
        <v>35</v>
      </c>
      <c r="B31" s="920" t="s">
        <v>5</v>
      </c>
      <c r="C31" s="754">
        <f t="shared" si="0"/>
        <v>74072900</v>
      </c>
      <c r="D31" s="754">
        <f>D25</f>
        <v>100000000</v>
      </c>
      <c r="E31" s="1261">
        <f>E25</f>
        <v>117407550</v>
      </c>
      <c r="F31" s="732">
        <f>F25</f>
        <v>36500000</v>
      </c>
      <c r="G31" s="754">
        <v>20180750</v>
      </c>
      <c r="H31" s="732"/>
      <c r="I31" s="754"/>
    </row>
    <row r="32" spans="1:11" hidden="1" outlineLevel="1">
      <c r="A32" s="731" t="s">
        <v>35</v>
      </c>
      <c r="B32" s="920" t="s">
        <v>6</v>
      </c>
      <c r="C32" s="754">
        <f t="shared" si="0"/>
        <v>378820778</v>
      </c>
      <c r="D32" s="754">
        <f>D26</f>
        <v>1351921200</v>
      </c>
      <c r="E32" s="754">
        <f>E26+SUM('AEON MALL II'!J213)</f>
        <v>993812696.5</v>
      </c>
      <c r="F32" s="732">
        <f>C32+D32-E32</f>
        <v>736929281.5</v>
      </c>
      <c r="G32" s="754">
        <f>G26</f>
        <v>0</v>
      </c>
      <c r="H32" s="732"/>
      <c r="I32" s="754"/>
    </row>
    <row r="33" spans="1:11" hidden="1" outlineLevel="1">
      <c r="A33" s="731" t="s">
        <v>35</v>
      </c>
      <c r="B33" s="920" t="s">
        <v>7</v>
      </c>
      <c r="C33" s="754">
        <f t="shared" si="0"/>
        <v>0</v>
      </c>
      <c r="D33" s="754">
        <f>D27</f>
        <v>0</v>
      </c>
      <c r="E33" s="754">
        <f>E27</f>
        <v>0</v>
      </c>
      <c r="F33" s="732">
        <f>F27</f>
        <v>0</v>
      </c>
      <c r="G33" s="754">
        <f>G27</f>
        <v>0</v>
      </c>
      <c r="H33" s="732"/>
      <c r="I33" s="754"/>
    </row>
    <row r="34" spans="1:11" ht="13.5" hidden="1" outlineLevel="1" thickBot="1">
      <c r="A34" s="731" t="s">
        <v>35</v>
      </c>
      <c r="B34" s="920" t="s">
        <v>8</v>
      </c>
      <c r="C34" s="754">
        <f t="shared" si="0"/>
        <v>63000563</v>
      </c>
      <c r="D34" s="754">
        <f>SUM('YOUJIN INNOTEK'!G6:G38)</f>
        <v>119500000</v>
      </c>
      <c r="E34" s="754">
        <f>SUM('YOUJIN INNOTEK'!H6:H38)</f>
        <v>110869500</v>
      </c>
      <c r="F34" s="732">
        <f>49500000</f>
        <v>49500000</v>
      </c>
      <c r="G34" s="754">
        <f>C34+D34-E34-F34</f>
        <v>22131063</v>
      </c>
      <c r="H34" s="732"/>
      <c r="I34" s="754"/>
    </row>
    <row r="35" spans="1:11" s="718" customFormat="1" ht="13.5" hidden="1" outlineLevel="1" thickBot="1">
      <c r="A35" s="734" t="s">
        <v>35</v>
      </c>
      <c r="B35" s="1230" t="s">
        <v>31</v>
      </c>
      <c r="C35" s="921">
        <f>SUM(C30:C34)</f>
        <v>515894241</v>
      </c>
      <c r="D35" s="921">
        <f>SUM(D30:D34)</f>
        <v>1581421200</v>
      </c>
      <c r="E35" s="814">
        <f>SUM(E30:E34)</f>
        <v>1228137085.5</v>
      </c>
      <c r="F35" s="737">
        <f>SUM(F30:F34)</f>
        <v>826881942.5</v>
      </c>
      <c r="G35" s="921">
        <f>SUM(G30:G34)</f>
        <v>42311813</v>
      </c>
      <c r="H35" s="737"/>
      <c r="I35" s="757"/>
      <c r="J35" s="1015"/>
      <c r="K35" s="1015"/>
    </row>
    <row r="36" spans="1:11" hidden="1" outlineLevel="1">
      <c r="A36" s="739" t="s">
        <v>36</v>
      </c>
      <c r="B36" s="1018" t="s">
        <v>4</v>
      </c>
      <c r="C36" s="767">
        <f t="shared" ref="C36:C40" si="1">C30</f>
        <v>0</v>
      </c>
      <c r="D36" s="767">
        <v>10000000</v>
      </c>
      <c r="E36" s="1222">
        <f>E30</f>
        <v>6047339</v>
      </c>
      <c r="F36" s="740">
        <f>F30</f>
        <v>3952661</v>
      </c>
      <c r="G36" s="767">
        <v>0</v>
      </c>
      <c r="H36" s="740">
        <f>SUM(F36:G36)</f>
        <v>3952661</v>
      </c>
      <c r="I36" s="754"/>
    </row>
    <row r="37" spans="1:11" hidden="1" outlineLevel="1">
      <c r="A37" s="739" t="s">
        <v>36</v>
      </c>
      <c r="B37" s="1018" t="s">
        <v>5</v>
      </c>
      <c r="C37" s="767">
        <f t="shared" si="1"/>
        <v>74072900</v>
      </c>
      <c r="D37" s="767">
        <f>D31</f>
        <v>100000000</v>
      </c>
      <c r="E37" s="1262">
        <v>126689550</v>
      </c>
      <c r="F37" s="740">
        <v>31800000</v>
      </c>
      <c r="G37" s="1273">
        <v>15583350</v>
      </c>
      <c r="H37" s="740">
        <f t="shared" ref="H37:H77" si="2">SUM(F37:G37)</f>
        <v>47383350</v>
      </c>
      <c r="I37" s="754"/>
      <c r="J37" s="1016"/>
    </row>
    <row r="38" spans="1:11" hidden="1" outlineLevel="1">
      <c r="A38" s="742" t="s">
        <v>36</v>
      </c>
      <c r="B38" s="1235" t="s">
        <v>6</v>
      </c>
      <c r="C38" s="1220">
        <f t="shared" si="1"/>
        <v>378820778</v>
      </c>
      <c r="D38" s="1220">
        <f>D32</f>
        <v>1351921200</v>
      </c>
      <c r="E38" s="1220">
        <f>E32+SUM('AEON MALL II'!J214)</f>
        <v>994312096.5</v>
      </c>
      <c r="F38" s="743">
        <f>C38+D38-E38</f>
        <v>736429881.5</v>
      </c>
      <c r="G38" s="1220">
        <f>G32</f>
        <v>0</v>
      </c>
      <c r="H38" s="740">
        <f t="shared" si="2"/>
        <v>736429881.5</v>
      </c>
      <c r="I38" s="754"/>
    </row>
    <row r="39" spans="1:11" hidden="1" outlineLevel="1">
      <c r="A39" s="744" t="s">
        <v>36</v>
      </c>
      <c r="B39" s="1236" t="s">
        <v>7</v>
      </c>
      <c r="C39" s="1221">
        <f t="shared" si="1"/>
        <v>0</v>
      </c>
      <c r="D39" s="1221">
        <v>0</v>
      </c>
      <c r="E39" s="1221">
        <v>0</v>
      </c>
      <c r="F39" s="745">
        <v>0</v>
      </c>
      <c r="G39" s="1221">
        <v>0</v>
      </c>
      <c r="H39" s="740">
        <f t="shared" si="2"/>
        <v>0</v>
      </c>
      <c r="I39" s="754"/>
    </row>
    <row r="40" spans="1:11" ht="13.5" hidden="1" outlineLevel="1" thickBot="1">
      <c r="A40" s="746" t="s">
        <v>36</v>
      </c>
      <c r="B40" s="1237" t="s">
        <v>8</v>
      </c>
      <c r="C40" s="1221">
        <f t="shared" si="1"/>
        <v>63000563</v>
      </c>
      <c r="D40" s="1222">
        <f>D34</f>
        <v>119500000</v>
      </c>
      <c r="E40" s="1222">
        <f>E34</f>
        <v>110869500</v>
      </c>
      <c r="F40" s="741">
        <f>F34</f>
        <v>49500000</v>
      </c>
      <c r="G40" s="1221">
        <f>G34</f>
        <v>22131063</v>
      </c>
      <c r="H40" s="740">
        <f t="shared" si="2"/>
        <v>71631063</v>
      </c>
      <c r="I40" s="754"/>
    </row>
    <row r="41" spans="1:11" s="718" customFormat="1" ht="13.5" collapsed="1" thickBot="1">
      <c r="A41" s="747" t="s">
        <v>38</v>
      </c>
      <c r="B41" s="1238" t="s">
        <v>31</v>
      </c>
      <c r="C41" s="1255">
        <f t="shared" ref="C41:G41" si="3">SUM(C36:C40)</f>
        <v>515894241</v>
      </c>
      <c r="D41" s="758">
        <f t="shared" si="3"/>
        <v>1581421200</v>
      </c>
      <c r="E41" s="758">
        <f t="shared" si="3"/>
        <v>1237918485.5</v>
      </c>
      <c r="F41" s="748">
        <f t="shared" si="3"/>
        <v>821682542.5</v>
      </c>
      <c r="G41" s="1255">
        <f t="shared" si="3"/>
        <v>37714413</v>
      </c>
      <c r="H41" s="749">
        <f t="shared" si="2"/>
        <v>859396955.5</v>
      </c>
      <c r="I41" s="758">
        <f>SUM(F41:G41)</f>
        <v>859396955.5</v>
      </c>
      <c r="J41" s="1015"/>
      <c r="K41" s="1015"/>
    </row>
    <row r="42" spans="1:11" hidden="1" outlineLevel="1">
      <c r="A42" s="729" t="s">
        <v>39</v>
      </c>
      <c r="B42" s="1239" t="s">
        <v>4</v>
      </c>
      <c r="C42" s="753">
        <v>3952661</v>
      </c>
      <c r="D42" s="753">
        <v>0</v>
      </c>
      <c r="E42" s="753">
        <v>0</v>
      </c>
      <c r="F42" s="730">
        <v>3952661</v>
      </c>
      <c r="G42" s="753">
        <v>0</v>
      </c>
      <c r="H42" s="740">
        <v>3952661</v>
      </c>
      <c r="I42" s="754"/>
    </row>
    <row r="43" spans="1:11" hidden="1" outlineLevel="1">
      <c r="A43" s="731" t="s">
        <v>39</v>
      </c>
      <c r="B43" s="919" t="s">
        <v>5</v>
      </c>
      <c r="C43" s="755">
        <v>47383350</v>
      </c>
      <c r="D43" s="754">
        <v>0</v>
      </c>
      <c r="E43" s="754">
        <v>0</v>
      </c>
      <c r="F43" s="732">
        <v>31800000</v>
      </c>
      <c r="G43" s="754">
        <v>15583350</v>
      </c>
      <c r="H43" s="740">
        <v>47383350</v>
      </c>
      <c r="I43" s="754"/>
    </row>
    <row r="44" spans="1:11" hidden="1" outlineLevel="1">
      <c r="A44" s="731" t="s">
        <v>39</v>
      </c>
      <c r="B44" s="919" t="s">
        <v>6</v>
      </c>
      <c r="C44" s="754">
        <v>736429881.5</v>
      </c>
      <c r="D44" s="754">
        <f>SUM('AEON MALL II'!I217:I226)</f>
        <v>0</v>
      </c>
      <c r="E44" s="754">
        <v>2767130</v>
      </c>
      <c r="F44" s="732">
        <v>733662751.5</v>
      </c>
      <c r="G44" s="754">
        <v>0</v>
      </c>
      <c r="H44" s="740">
        <v>733662751.5</v>
      </c>
      <c r="I44" s="754"/>
    </row>
    <row r="45" spans="1:11" hidden="1" outlineLevel="1">
      <c r="A45" s="731" t="s">
        <v>39</v>
      </c>
      <c r="B45" s="920" t="s">
        <v>7</v>
      </c>
      <c r="C45" s="754">
        <v>0</v>
      </c>
      <c r="D45" s="754">
        <v>0</v>
      </c>
      <c r="E45" s="754">
        <v>0</v>
      </c>
      <c r="F45" s="732">
        <v>0</v>
      </c>
      <c r="G45" s="754">
        <v>0</v>
      </c>
      <c r="H45" s="740">
        <v>0</v>
      </c>
      <c r="I45" s="754"/>
    </row>
    <row r="46" spans="1:11" ht="13.5" hidden="1" outlineLevel="1" thickBot="1">
      <c r="A46" s="731" t="s">
        <v>39</v>
      </c>
      <c r="B46" s="919" t="s">
        <v>8</v>
      </c>
      <c r="C46" s="754">
        <v>71631063</v>
      </c>
      <c r="D46" s="754">
        <v>0</v>
      </c>
      <c r="E46" s="754">
        <v>0</v>
      </c>
      <c r="F46" s="732">
        <v>49500000</v>
      </c>
      <c r="G46" s="754">
        <v>22131063</v>
      </c>
      <c r="H46" s="740">
        <v>71631063</v>
      </c>
      <c r="I46" s="754"/>
    </row>
    <row r="47" spans="1:11" s="718" customFormat="1" ht="13.5" hidden="1" outlineLevel="1" thickBot="1">
      <c r="A47" s="734" t="s">
        <v>39</v>
      </c>
      <c r="B47" s="1230" t="s">
        <v>31</v>
      </c>
      <c r="C47" s="921">
        <f>SUM(C42:C46)</f>
        <v>859396955.5</v>
      </c>
      <c r="D47" s="921">
        <f>SUM(D42:D46)</f>
        <v>0</v>
      </c>
      <c r="E47" s="921">
        <f>SUM(E42:E46)</f>
        <v>2767130</v>
      </c>
      <c r="F47" s="737">
        <f>SUM(F42:F46)</f>
        <v>818915412.5</v>
      </c>
      <c r="G47" s="921">
        <f>SUM(G42:G46)</f>
        <v>37714413</v>
      </c>
      <c r="H47" s="735">
        <f t="shared" si="2"/>
        <v>856629825.5</v>
      </c>
      <c r="I47" s="759"/>
      <c r="J47" s="1015"/>
      <c r="K47" s="1015"/>
    </row>
    <row r="48" spans="1:11" hidden="1" outlineLevel="1">
      <c r="A48" s="729" t="s">
        <v>40</v>
      </c>
      <c r="B48" s="1239" t="s">
        <v>4</v>
      </c>
      <c r="C48" s="753">
        <f>SUM(F42:G42)</f>
        <v>3952661</v>
      </c>
      <c r="D48" s="753">
        <v>0</v>
      </c>
      <c r="E48" s="753">
        <v>0</v>
      </c>
      <c r="F48" s="730">
        <v>3952661</v>
      </c>
      <c r="G48" s="753">
        <v>0</v>
      </c>
      <c r="H48" s="740">
        <f t="shared" si="2"/>
        <v>3952661</v>
      </c>
      <c r="I48" s="754"/>
    </row>
    <row r="49" spans="1:11" hidden="1" outlineLevel="1">
      <c r="A49" s="731" t="s">
        <v>40</v>
      </c>
      <c r="B49" s="919" t="s">
        <v>5</v>
      </c>
      <c r="C49" s="754">
        <f>SUM(F43:G43)</f>
        <v>47383350</v>
      </c>
      <c r="D49" s="754">
        <f>SUM('YOUJIN HP H2'!G46:G52)</f>
        <v>0</v>
      </c>
      <c r="E49" s="754">
        <f>SUM('YOUJIN HP H2'!H46:H52)</f>
        <v>24490000</v>
      </c>
      <c r="F49" s="732">
        <v>13700000</v>
      </c>
      <c r="G49" s="754">
        <f>C49+D49-E49-F49</f>
        <v>9193350</v>
      </c>
      <c r="H49" s="740">
        <f t="shared" si="2"/>
        <v>22893350</v>
      </c>
      <c r="I49" s="754"/>
    </row>
    <row r="50" spans="1:11" hidden="1" outlineLevel="1">
      <c r="A50" s="731" t="s">
        <v>40</v>
      </c>
      <c r="B50" s="928" t="s">
        <v>6</v>
      </c>
      <c r="C50" s="754">
        <f>C44</f>
        <v>736429881.5</v>
      </c>
      <c r="D50" s="754">
        <f>SUM(D44,'AEON MALL II'!I227:I241)</f>
        <v>0</v>
      </c>
      <c r="E50" s="754">
        <v>337705630</v>
      </c>
      <c r="F50" s="732">
        <v>395957030.69999999</v>
      </c>
      <c r="G50" s="754">
        <v>0</v>
      </c>
      <c r="H50" s="740">
        <f t="shared" si="2"/>
        <v>395957030.69999999</v>
      </c>
      <c r="I50" s="754"/>
    </row>
    <row r="51" spans="1:11" hidden="1" outlineLevel="1">
      <c r="A51" s="731" t="s">
        <v>40</v>
      </c>
      <c r="B51" s="920" t="s">
        <v>7</v>
      </c>
      <c r="C51" s="754">
        <f>SUM(F45:G45)</f>
        <v>0</v>
      </c>
      <c r="D51" s="754">
        <v>0</v>
      </c>
      <c r="E51" s="754">
        <v>0</v>
      </c>
      <c r="F51" s="732">
        <v>0</v>
      </c>
      <c r="G51" s="754">
        <v>0</v>
      </c>
      <c r="H51" s="740">
        <f t="shared" si="2"/>
        <v>0</v>
      </c>
      <c r="I51" s="754"/>
    </row>
    <row r="52" spans="1:11" ht="13.5" hidden="1" outlineLevel="1" thickBot="1">
      <c r="A52" s="736" t="s">
        <v>40</v>
      </c>
      <c r="B52" s="919" t="s">
        <v>8</v>
      </c>
      <c r="C52" s="754">
        <f>SUM(F46:G46)</f>
        <v>71631063</v>
      </c>
      <c r="D52" s="754">
        <f>SUM('YOUJIN INNOTEK'!G41:G48)</f>
        <v>0</v>
      </c>
      <c r="E52" s="754">
        <f>SUM('YOUJIN INNOTEK'!H41:H48)</f>
        <v>32241000</v>
      </c>
      <c r="F52" s="732">
        <v>37509000</v>
      </c>
      <c r="G52" s="754">
        <v>1881063</v>
      </c>
      <c r="H52" s="740">
        <f t="shared" si="2"/>
        <v>39390063</v>
      </c>
      <c r="I52" s="754"/>
    </row>
    <row r="53" spans="1:11" s="717" customFormat="1" ht="13.5" hidden="1" outlineLevel="1" thickBot="1">
      <c r="A53" s="734" t="s">
        <v>40</v>
      </c>
      <c r="B53" s="1230" t="s">
        <v>31</v>
      </c>
      <c r="C53" s="921">
        <f t="shared" ref="C53:G53" si="4">SUM(C48:C52)</f>
        <v>859396955.5</v>
      </c>
      <c r="D53" s="921">
        <f t="shared" si="4"/>
        <v>0</v>
      </c>
      <c r="E53" s="921">
        <f t="shared" si="4"/>
        <v>394436630</v>
      </c>
      <c r="F53" s="737">
        <f t="shared" si="4"/>
        <v>451118691.69999999</v>
      </c>
      <c r="G53" s="921">
        <f t="shared" si="4"/>
        <v>11074413</v>
      </c>
      <c r="H53" s="735">
        <f t="shared" si="2"/>
        <v>462193104.69999999</v>
      </c>
      <c r="I53" s="759"/>
      <c r="J53" s="1014"/>
      <c r="K53" s="1014"/>
    </row>
    <row r="54" spans="1:11" hidden="1" outlineLevel="1">
      <c r="A54" s="729" t="s">
        <v>41</v>
      </c>
      <c r="B54" s="1239" t="s">
        <v>4</v>
      </c>
      <c r="C54" s="753">
        <f t="shared" ref="C54:C57" si="5">SUM(F48:G48)</f>
        <v>3952661</v>
      </c>
      <c r="D54" s="753">
        <v>0</v>
      </c>
      <c r="E54" s="753">
        <v>0</v>
      </c>
      <c r="F54" s="730">
        <v>3952661</v>
      </c>
      <c r="G54" s="753">
        <v>0</v>
      </c>
      <c r="H54" s="740">
        <f t="shared" si="2"/>
        <v>3952661</v>
      </c>
      <c r="I54" s="754"/>
    </row>
    <row r="55" spans="1:11" hidden="1" outlineLevel="1">
      <c r="A55" s="731" t="s">
        <v>41</v>
      </c>
      <c r="B55" s="919" t="s">
        <v>5</v>
      </c>
      <c r="C55" s="754">
        <f>C49</f>
        <v>47383350</v>
      </c>
      <c r="D55" s="754">
        <f>D49+SUM('YOUJIN HP H2'!G53:G56)</f>
        <v>0</v>
      </c>
      <c r="E55" s="754">
        <f>E49+SUM('YOUJIN HP H2'!H53:H56)</f>
        <v>32840000</v>
      </c>
      <c r="F55" s="732">
        <v>13700000</v>
      </c>
      <c r="G55" s="754">
        <f>C55+D55-E55-F55</f>
        <v>843350</v>
      </c>
      <c r="H55" s="740">
        <f t="shared" si="2"/>
        <v>14543350</v>
      </c>
      <c r="I55" s="754"/>
    </row>
    <row r="56" spans="1:11" hidden="1" outlineLevel="1">
      <c r="A56" s="731" t="s">
        <v>41</v>
      </c>
      <c r="B56" s="928" t="s">
        <v>6</v>
      </c>
      <c r="C56" s="754">
        <f>C50</f>
        <v>736429881.5</v>
      </c>
      <c r="D56" s="754">
        <f>D50+SUM('AEON MALL II'!G242:G247)</f>
        <v>0</v>
      </c>
      <c r="E56" s="754">
        <v>342530515</v>
      </c>
      <c r="F56" s="732">
        <v>393899275.69999999</v>
      </c>
      <c r="G56" s="754">
        <v>0</v>
      </c>
      <c r="H56" s="740">
        <v>393899275.69999999</v>
      </c>
      <c r="I56" s="754"/>
    </row>
    <row r="57" spans="1:11" hidden="1" outlineLevel="1">
      <c r="A57" s="731" t="s">
        <v>41</v>
      </c>
      <c r="B57" s="920" t="s">
        <v>7</v>
      </c>
      <c r="C57" s="754">
        <f t="shared" si="5"/>
        <v>0</v>
      </c>
      <c r="D57" s="754">
        <v>0</v>
      </c>
      <c r="E57" s="754">
        <v>0</v>
      </c>
      <c r="F57" s="732">
        <v>0</v>
      </c>
      <c r="G57" s="754">
        <v>0</v>
      </c>
      <c r="H57" s="740">
        <f t="shared" si="2"/>
        <v>0</v>
      </c>
      <c r="I57" s="754"/>
    </row>
    <row r="58" spans="1:11" ht="13.5" hidden="1" outlineLevel="1" thickBot="1">
      <c r="A58" s="731" t="s">
        <v>41</v>
      </c>
      <c r="B58" s="919" t="s">
        <v>8</v>
      </c>
      <c r="C58" s="754">
        <f t="shared" ref="C58:C63" si="6">C52</f>
        <v>71631063</v>
      </c>
      <c r="D58" s="754">
        <f>D52+SUM('YOUJIN INNOTEK'!G49:G50)</f>
        <v>0</v>
      </c>
      <c r="E58" s="754">
        <f>E52+SUM('YOUJIN INNOTEK'!H49:H50)</f>
        <v>52241000</v>
      </c>
      <c r="F58" s="732">
        <v>17739000</v>
      </c>
      <c r="G58" s="754">
        <v>1651063</v>
      </c>
      <c r="H58" s="740">
        <f t="shared" si="2"/>
        <v>19390063</v>
      </c>
      <c r="I58" s="754"/>
    </row>
    <row r="59" spans="1:11" s="717" customFormat="1" ht="13.5" hidden="1" outlineLevel="1" thickBot="1">
      <c r="A59" s="734" t="s">
        <v>41</v>
      </c>
      <c r="B59" s="1230" t="s">
        <v>31</v>
      </c>
      <c r="C59" s="921">
        <f t="shared" ref="C59:G59" si="7">SUM(C54:C58)</f>
        <v>859396955.5</v>
      </c>
      <c r="D59" s="921">
        <f t="shared" si="7"/>
        <v>0</v>
      </c>
      <c r="E59" s="921">
        <f t="shared" si="7"/>
        <v>427611515</v>
      </c>
      <c r="F59" s="737">
        <f t="shared" si="7"/>
        <v>429290936.69999999</v>
      </c>
      <c r="G59" s="921">
        <f t="shared" si="7"/>
        <v>2494413</v>
      </c>
      <c r="H59" s="735">
        <f t="shared" si="2"/>
        <v>431785349.69999999</v>
      </c>
      <c r="I59" s="759"/>
      <c r="J59" s="1014"/>
      <c r="K59" s="1014"/>
    </row>
    <row r="60" spans="1:11" hidden="1" outlineLevel="1">
      <c r="A60" s="750" t="s">
        <v>42</v>
      </c>
      <c r="B60" s="1239" t="s">
        <v>4</v>
      </c>
      <c r="C60" s="753">
        <f t="shared" si="6"/>
        <v>3952661</v>
      </c>
      <c r="D60" s="753">
        <f t="shared" ref="D60:G61" si="8">D54</f>
        <v>0</v>
      </c>
      <c r="E60" s="753">
        <f t="shared" si="8"/>
        <v>0</v>
      </c>
      <c r="F60" s="730">
        <f t="shared" si="8"/>
        <v>3952661</v>
      </c>
      <c r="G60" s="753">
        <f t="shared" si="8"/>
        <v>0</v>
      </c>
      <c r="H60" s="740">
        <f t="shared" si="2"/>
        <v>3952661</v>
      </c>
      <c r="I60" s="753"/>
    </row>
    <row r="61" spans="1:11" hidden="1" outlineLevel="1">
      <c r="A61" s="751" t="s">
        <v>42</v>
      </c>
      <c r="B61" s="919" t="s">
        <v>5</v>
      </c>
      <c r="C61" s="754">
        <f t="shared" si="6"/>
        <v>47383350</v>
      </c>
      <c r="D61" s="754">
        <f t="shared" si="8"/>
        <v>0</v>
      </c>
      <c r="E61" s="754">
        <f t="shared" si="8"/>
        <v>32840000</v>
      </c>
      <c r="F61" s="732">
        <f t="shared" si="8"/>
        <v>13700000</v>
      </c>
      <c r="G61" s="754">
        <f t="shared" si="8"/>
        <v>843350</v>
      </c>
      <c r="H61" s="740">
        <f t="shared" si="2"/>
        <v>14543350</v>
      </c>
      <c r="I61" s="754"/>
    </row>
    <row r="62" spans="1:11" hidden="1" outlineLevel="1">
      <c r="A62" s="751" t="s">
        <v>42</v>
      </c>
      <c r="B62" s="928" t="s">
        <v>6</v>
      </c>
      <c r="C62" s="754">
        <v>736429881.5</v>
      </c>
      <c r="D62" s="754">
        <f>D56</f>
        <v>0</v>
      </c>
      <c r="E62" s="754">
        <v>342530515</v>
      </c>
      <c r="F62" s="732">
        <f>F56</f>
        <v>393899275.69999999</v>
      </c>
      <c r="G62" s="754">
        <f>G56</f>
        <v>0</v>
      </c>
      <c r="H62" s="740">
        <f t="shared" si="2"/>
        <v>393899275.69999999</v>
      </c>
      <c r="I62" s="754"/>
    </row>
    <row r="63" spans="1:11" hidden="1" outlineLevel="1">
      <c r="A63" s="751" t="s">
        <v>42</v>
      </c>
      <c r="B63" s="920" t="s">
        <v>7</v>
      </c>
      <c r="C63" s="754">
        <f t="shared" si="6"/>
        <v>0</v>
      </c>
      <c r="D63" s="754">
        <f>D57</f>
        <v>0</v>
      </c>
      <c r="E63" s="754">
        <f>E57</f>
        <v>0</v>
      </c>
      <c r="F63" s="732">
        <f>F57</f>
        <v>0</v>
      </c>
      <c r="G63" s="754">
        <f>G57</f>
        <v>0</v>
      </c>
      <c r="H63" s="740">
        <f t="shared" si="2"/>
        <v>0</v>
      </c>
      <c r="I63" s="754"/>
    </row>
    <row r="64" spans="1:11" ht="13.5" hidden="1" outlineLevel="1" thickBot="1">
      <c r="A64" s="751" t="s">
        <v>42</v>
      </c>
      <c r="B64" s="919" t="s">
        <v>8</v>
      </c>
      <c r="C64" s="754">
        <v>71631063</v>
      </c>
      <c r="D64" s="754">
        <f>D58+'YOUJIN INNOTEK'!G51</f>
        <v>0</v>
      </c>
      <c r="E64" s="754">
        <f>E58+'YOUJIN INNOTEK'!H51</f>
        <v>53241000</v>
      </c>
      <c r="F64" s="732">
        <v>16739000</v>
      </c>
      <c r="G64" s="754">
        <v>1651063</v>
      </c>
      <c r="H64" s="740">
        <f t="shared" si="2"/>
        <v>18390063</v>
      </c>
      <c r="I64" s="754"/>
    </row>
    <row r="65" spans="1:11" s="717" customFormat="1" ht="13.5" hidden="1" outlineLevel="1" thickBot="1">
      <c r="A65" s="760" t="s">
        <v>42</v>
      </c>
      <c r="B65" s="1230" t="s">
        <v>31</v>
      </c>
      <c r="C65" s="1219">
        <f>SUM(C60:C64)</f>
        <v>859396955.5</v>
      </c>
      <c r="D65" s="1219">
        <f>SUM(D60:D64)</f>
        <v>0</v>
      </c>
      <c r="E65" s="1219">
        <f>SUM(E60:E64)</f>
        <v>428611515</v>
      </c>
      <c r="F65" s="735">
        <f>SUM(F60:F64)</f>
        <v>428290936.69999999</v>
      </c>
      <c r="G65" s="1219">
        <f>SUM(G60:G64)</f>
        <v>2494413</v>
      </c>
      <c r="H65" s="735">
        <f t="shared" si="2"/>
        <v>430785349.69999999</v>
      </c>
      <c r="I65" s="768"/>
      <c r="J65" s="1014"/>
      <c r="K65" s="1014"/>
    </row>
    <row r="66" spans="1:11" hidden="1" outlineLevel="1">
      <c r="A66" s="750" t="s">
        <v>43</v>
      </c>
      <c r="B66" s="1239" t="s">
        <v>4</v>
      </c>
      <c r="C66" s="753">
        <f>C60</f>
        <v>3952661</v>
      </c>
      <c r="D66" s="753">
        <f>D60</f>
        <v>0</v>
      </c>
      <c r="E66" s="753">
        <f>E60</f>
        <v>0</v>
      </c>
      <c r="F66" s="730">
        <f>F60</f>
        <v>3952661</v>
      </c>
      <c r="G66" s="753">
        <f>G60</f>
        <v>0</v>
      </c>
      <c r="H66" s="740">
        <f t="shared" si="2"/>
        <v>3952661</v>
      </c>
      <c r="I66" s="753"/>
    </row>
    <row r="67" spans="1:11" hidden="1" outlineLevel="1">
      <c r="A67" s="751" t="s">
        <v>43</v>
      </c>
      <c r="B67" s="919" t="s">
        <v>5</v>
      </c>
      <c r="C67" s="754">
        <f>C61</f>
        <v>47383350</v>
      </c>
      <c r="D67" s="754">
        <f t="shared" ref="D67:D75" si="9">D61</f>
        <v>0</v>
      </c>
      <c r="E67" s="754">
        <f>E61</f>
        <v>32840000</v>
      </c>
      <c r="F67" s="732">
        <f>F61</f>
        <v>13700000</v>
      </c>
      <c r="G67" s="754">
        <f t="shared" ref="G67:G75" si="10">G61</f>
        <v>843350</v>
      </c>
      <c r="H67" s="740">
        <f t="shared" si="2"/>
        <v>14543350</v>
      </c>
      <c r="I67" s="754"/>
    </row>
    <row r="68" spans="1:11" hidden="1" outlineLevel="1">
      <c r="A68" s="751" t="s">
        <v>43</v>
      </c>
      <c r="B68" s="928" t="s">
        <v>6</v>
      </c>
      <c r="C68" s="754">
        <v>736429881.5</v>
      </c>
      <c r="D68" s="754">
        <f t="shared" si="9"/>
        <v>0</v>
      </c>
      <c r="E68" s="754">
        <v>535304180.92708302</v>
      </c>
      <c r="F68" s="732">
        <v>201125700.57291701</v>
      </c>
      <c r="G68" s="754">
        <f t="shared" si="10"/>
        <v>0</v>
      </c>
      <c r="H68" s="740">
        <f t="shared" si="2"/>
        <v>201125700.57291701</v>
      </c>
      <c r="I68" s="754"/>
    </row>
    <row r="69" spans="1:11" hidden="1" outlineLevel="1">
      <c r="A69" s="751" t="s">
        <v>43</v>
      </c>
      <c r="B69" s="920" t="s">
        <v>7</v>
      </c>
      <c r="C69" s="754">
        <f>C63</f>
        <v>0</v>
      </c>
      <c r="D69" s="754">
        <f t="shared" si="9"/>
        <v>0</v>
      </c>
      <c r="E69" s="754">
        <f>E63</f>
        <v>0</v>
      </c>
      <c r="F69" s="732">
        <f>F63</f>
        <v>0</v>
      </c>
      <c r="G69" s="754">
        <f t="shared" si="10"/>
        <v>0</v>
      </c>
      <c r="H69" s="740">
        <f t="shared" si="2"/>
        <v>0</v>
      </c>
      <c r="I69" s="754"/>
    </row>
    <row r="70" spans="1:11" ht="13.5" hidden="1" outlineLevel="1" thickBot="1">
      <c r="A70" s="751" t="s">
        <v>43</v>
      </c>
      <c r="B70" s="919" t="s">
        <v>8</v>
      </c>
      <c r="C70" s="754">
        <v>71631063</v>
      </c>
      <c r="D70" s="754">
        <f t="shared" si="9"/>
        <v>0</v>
      </c>
      <c r="E70" s="754">
        <v>54651000</v>
      </c>
      <c r="F70" s="732">
        <v>16739000</v>
      </c>
      <c r="G70" s="754">
        <v>241063</v>
      </c>
      <c r="H70" s="740">
        <f t="shared" si="2"/>
        <v>16980063</v>
      </c>
      <c r="I70" s="754"/>
    </row>
    <row r="71" spans="1:11" s="717" customFormat="1" ht="13.5" hidden="1" outlineLevel="1" thickBot="1">
      <c r="A71" s="760" t="s">
        <v>43</v>
      </c>
      <c r="B71" s="1230" t="s">
        <v>31</v>
      </c>
      <c r="C71" s="1219">
        <f>SUM(C66:C70)</f>
        <v>859396955.5</v>
      </c>
      <c r="D71" s="1219">
        <f>SUM(D66:D70)</f>
        <v>0</v>
      </c>
      <c r="E71" s="1219">
        <f>SUM(E66:E70)</f>
        <v>622795180.92708302</v>
      </c>
      <c r="F71" s="735">
        <f>SUM(F66:F70)</f>
        <v>235517361.57291701</v>
      </c>
      <c r="G71" s="1219">
        <f>SUM(G66:G70)</f>
        <v>1084413</v>
      </c>
      <c r="H71" s="735">
        <f t="shared" si="2"/>
        <v>236601774.57291701</v>
      </c>
      <c r="I71" s="768"/>
      <c r="J71" s="1014"/>
      <c r="K71" s="1014"/>
    </row>
    <row r="72" spans="1:11" hidden="1" outlineLevel="1">
      <c r="A72" s="750" t="s">
        <v>44</v>
      </c>
      <c r="B72" s="1239" t="s">
        <v>4</v>
      </c>
      <c r="C72" s="753">
        <v>3952661</v>
      </c>
      <c r="D72" s="753">
        <v>0</v>
      </c>
      <c r="E72" s="753">
        <v>92000</v>
      </c>
      <c r="F72" s="730">
        <v>3860661</v>
      </c>
      <c r="G72" s="753">
        <v>0</v>
      </c>
      <c r="H72" s="740">
        <v>3860661</v>
      </c>
      <c r="I72" s="753"/>
    </row>
    <row r="73" spans="1:11" hidden="1" outlineLevel="1">
      <c r="A73" s="751" t="s">
        <v>44</v>
      </c>
      <c r="B73" s="919" t="s">
        <v>5</v>
      </c>
      <c r="C73" s="754">
        <v>47383350</v>
      </c>
      <c r="D73" s="754">
        <v>0</v>
      </c>
      <c r="E73" s="754">
        <v>37060000</v>
      </c>
      <c r="F73" s="732">
        <v>0</v>
      </c>
      <c r="G73" s="754">
        <v>10323350</v>
      </c>
      <c r="H73" s="740">
        <v>10323350</v>
      </c>
      <c r="I73" s="754"/>
    </row>
    <row r="74" spans="1:11" hidden="1" outlineLevel="1">
      <c r="A74" s="751" t="s">
        <v>44</v>
      </c>
      <c r="B74" s="928" t="s">
        <v>6</v>
      </c>
      <c r="C74" s="754">
        <v>736429881.5</v>
      </c>
      <c r="D74" s="754">
        <v>0</v>
      </c>
      <c r="E74" s="754">
        <v>535304180.92708302</v>
      </c>
      <c r="F74" s="732">
        <v>201125700.57291701</v>
      </c>
      <c r="G74" s="754">
        <v>0</v>
      </c>
      <c r="H74" s="740">
        <f t="shared" si="2"/>
        <v>201125700.57291701</v>
      </c>
      <c r="I74" s="754"/>
    </row>
    <row r="75" spans="1:11" hidden="1" outlineLevel="1">
      <c r="A75" s="751" t="s">
        <v>44</v>
      </c>
      <c r="B75" s="920" t="s">
        <v>7</v>
      </c>
      <c r="C75" s="754">
        <f>C69</f>
        <v>0</v>
      </c>
      <c r="D75" s="754">
        <f t="shared" si="9"/>
        <v>0</v>
      </c>
      <c r="E75" s="767">
        <f>E69</f>
        <v>0</v>
      </c>
      <c r="F75" s="740">
        <f>F69</f>
        <v>0</v>
      </c>
      <c r="G75" s="767">
        <f t="shared" si="10"/>
        <v>0</v>
      </c>
      <c r="H75" s="740">
        <f t="shared" si="2"/>
        <v>0</v>
      </c>
      <c r="I75" s="754"/>
    </row>
    <row r="76" spans="1:11" ht="13.5" hidden="1" outlineLevel="1" thickBot="1">
      <c r="A76" s="751" t="s">
        <v>44</v>
      </c>
      <c r="B76" s="919" t="s">
        <v>8</v>
      </c>
      <c r="C76" s="754">
        <v>71631063</v>
      </c>
      <c r="D76" s="754">
        <v>0</v>
      </c>
      <c r="E76" s="767">
        <v>62621000</v>
      </c>
      <c r="F76" s="761">
        <v>9010063</v>
      </c>
      <c r="G76" s="767">
        <v>0</v>
      </c>
      <c r="H76" s="740">
        <v>9010063</v>
      </c>
      <c r="I76" s="754"/>
    </row>
    <row r="77" spans="1:11" ht="13.5" hidden="1" outlineLevel="1" thickBot="1">
      <c r="A77" s="760" t="s">
        <v>44</v>
      </c>
      <c r="B77" s="1230" t="s">
        <v>31</v>
      </c>
      <c r="C77" s="1219">
        <f t="shared" ref="C77:G77" si="11">SUM(C72:C76)</f>
        <v>859396955.5</v>
      </c>
      <c r="D77" s="1219">
        <f t="shared" si="11"/>
        <v>0</v>
      </c>
      <c r="E77" s="1219">
        <f t="shared" si="11"/>
        <v>635077180.92708302</v>
      </c>
      <c r="F77" s="735">
        <f t="shared" si="11"/>
        <v>213996424.57291701</v>
      </c>
      <c r="G77" s="1219">
        <f t="shared" si="11"/>
        <v>10323350</v>
      </c>
      <c r="H77" s="735">
        <f t="shared" si="2"/>
        <v>224319774.57291701</v>
      </c>
      <c r="I77" s="769"/>
    </row>
    <row r="78" spans="1:11" hidden="1" outlineLevel="1">
      <c r="A78" s="750" t="s">
        <v>45</v>
      </c>
      <c r="B78" s="1239" t="s">
        <v>4</v>
      </c>
      <c r="C78" s="753">
        <v>3952661</v>
      </c>
      <c r="D78" s="753">
        <v>0</v>
      </c>
      <c r="E78" s="753">
        <v>92000</v>
      </c>
      <c r="F78" s="730">
        <v>3860661</v>
      </c>
      <c r="G78" s="753">
        <v>0</v>
      </c>
      <c r="H78" s="740">
        <v>3860661</v>
      </c>
      <c r="I78" s="753"/>
    </row>
    <row r="79" spans="1:11" hidden="1" outlineLevel="1">
      <c r="A79" s="751" t="s">
        <v>45</v>
      </c>
      <c r="B79" s="919" t="s">
        <v>5</v>
      </c>
      <c r="C79" s="754">
        <v>47383350</v>
      </c>
      <c r="D79" s="754">
        <v>50000000</v>
      </c>
      <c r="E79" s="754">
        <v>39130000</v>
      </c>
      <c r="F79" s="732">
        <v>0</v>
      </c>
      <c r="G79" s="754">
        <v>58253350</v>
      </c>
      <c r="H79" s="740">
        <v>58253350</v>
      </c>
      <c r="I79" s="754"/>
    </row>
    <row r="80" spans="1:11" hidden="1" outlineLevel="1">
      <c r="A80" s="751" t="s">
        <v>45</v>
      </c>
      <c r="B80" s="928" t="s">
        <v>6</v>
      </c>
      <c r="C80" s="754">
        <v>736429881.5</v>
      </c>
      <c r="D80" s="754">
        <v>0</v>
      </c>
      <c r="E80" s="754">
        <f>E74</f>
        <v>535304180.92708302</v>
      </c>
      <c r="F80" s="732">
        <f>F74</f>
        <v>201125700.57291701</v>
      </c>
      <c r="G80" s="754">
        <f>G74</f>
        <v>0</v>
      </c>
      <c r="H80" s="740">
        <f>H74</f>
        <v>201125700.57291701</v>
      </c>
      <c r="I80" s="754"/>
    </row>
    <row r="81" spans="1:9" hidden="1" outlineLevel="1">
      <c r="A81" s="751" t="s">
        <v>45</v>
      </c>
      <c r="B81" s="920" t="s">
        <v>7</v>
      </c>
      <c r="C81" s="754">
        <f>C75</f>
        <v>0</v>
      </c>
      <c r="D81" s="754">
        <v>0</v>
      </c>
      <c r="E81" s="767">
        <v>0</v>
      </c>
      <c r="F81" s="740">
        <v>0</v>
      </c>
      <c r="G81" s="767">
        <v>0</v>
      </c>
      <c r="H81" s="740">
        <v>0</v>
      </c>
      <c r="I81" s="754"/>
    </row>
    <row r="82" spans="1:9" ht="13.5" hidden="1" outlineLevel="1" thickBot="1">
      <c r="A82" s="751" t="s">
        <v>45</v>
      </c>
      <c r="B82" s="919" t="s">
        <v>8</v>
      </c>
      <c r="C82" s="754">
        <v>71631063</v>
      </c>
      <c r="D82" s="754">
        <v>50000000</v>
      </c>
      <c r="E82" s="767">
        <v>64197000</v>
      </c>
      <c r="F82" s="761">
        <v>52130063</v>
      </c>
      <c r="G82" s="767">
        <v>5304000</v>
      </c>
      <c r="H82" s="740">
        <v>57434063</v>
      </c>
      <c r="I82" s="754"/>
    </row>
    <row r="83" spans="1:9" ht="13.5" hidden="1" outlineLevel="1" thickBot="1">
      <c r="A83" s="760" t="s">
        <v>45</v>
      </c>
      <c r="B83" s="1230" t="s">
        <v>31</v>
      </c>
      <c r="C83" s="1219">
        <f t="shared" ref="C83:G83" si="12">SUM(C78:C82)</f>
        <v>859396955.5</v>
      </c>
      <c r="D83" s="1219">
        <f t="shared" si="12"/>
        <v>100000000</v>
      </c>
      <c r="E83" s="1219">
        <f t="shared" si="12"/>
        <v>638723180.92708302</v>
      </c>
      <c r="F83" s="735">
        <f t="shared" si="12"/>
        <v>257116424.57291701</v>
      </c>
      <c r="G83" s="1219">
        <f t="shared" si="12"/>
        <v>63557350</v>
      </c>
      <c r="H83" s="735">
        <f>SUM(F83:G83)</f>
        <v>320673774.57291698</v>
      </c>
      <c r="I83" s="769"/>
    </row>
    <row r="84" spans="1:9" hidden="1" outlineLevel="1">
      <c r="A84" s="750" t="s">
        <v>46</v>
      </c>
      <c r="B84" s="1239" t="s">
        <v>4</v>
      </c>
      <c r="C84" s="753">
        <v>3952661</v>
      </c>
      <c r="D84" s="753">
        <v>0</v>
      </c>
      <c r="E84" s="753">
        <v>1703976</v>
      </c>
      <c r="F84" s="730">
        <v>2248685</v>
      </c>
      <c r="G84" s="753">
        <v>0</v>
      </c>
      <c r="H84" s="740">
        <v>2248685</v>
      </c>
      <c r="I84" s="753"/>
    </row>
    <row r="85" spans="1:9" hidden="1" outlineLevel="1">
      <c r="A85" s="751" t="s">
        <v>46</v>
      </c>
      <c r="B85" s="919" t="s">
        <v>5</v>
      </c>
      <c r="C85" s="754">
        <v>47383350</v>
      </c>
      <c r="D85" s="754">
        <v>50000000</v>
      </c>
      <c r="E85" s="754">
        <v>47243900</v>
      </c>
      <c r="F85" s="732">
        <v>0</v>
      </c>
      <c r="G85" s="754">
        <v>50139450</v>
      </c>
      <c r="H85" s="740">
        <v>50139450</v>
      </c>
      <c r="I85" s="754"/>
    </row>
    <row r="86" spans="1:9" hidden="1" outlineLevel="1">
      <c r="A86" s="751" t="s">
        <v>46</v>
      </c>
      <c r="B86" s="928" t="s">
        <v>6</v>
      </c>
      <c r="C86" s="754">
        <v>736429881.5</v>
      </c>
      <c r="D86" s="754">
        <v>0</v>
      </c>
      <c r="E86" s="754">
        <v>660859015.92708302</v>
      </c>
      <c r="F86" s="732">
        <v>75570865.572916597</v>
      </c>
      <c r="G86" s="754">
        <v>0</v>
      </c>
      <c r="H86" s="740">
        <v>75570865.572916597</v>
      </c>
      <c r="I86" s="754"/>
    </row>
    <row r="87" spans="1:9" hidden="1" outlineLevel="1">
      <c r="A87" s="751" t="s">
        <v>46</v>
      </c>
      <c r="B87" s="920" t="s">
        <v>7</v>
      </c>
      <c r="C87" s="754">
        <v>0</v>
      </c>
      <c r="D87" s="754">
        <v>0</v>
      </c>
      <c r="E87" s="767">
        <v>0</v>
      </c>
      <c r="F87" s="740">
        <v>0</v>
      </c>
      <c r="G87" s="767">
        <v>0</v>
      </c>
      <c r="H87" s="740">
        <v>0</v>
      </c>
      <c r="I87" s="754"/>
    </row>
    <row r="88" spans="1:9" ht="13.5" hidden="1" outlineLevel="1" thickBot="1">
      <c r="A88" s="751" t="s">
        <v>46</v>
      </c>
      <c r="B88" s="919" t="s">
        <v>8</v>
      </c>
      <c r="C88" s="754">
        <v>71631063</v>
      </c>
      <c r="D88" s="754">
        <v>50000000</v>
      </c>
      <c r="E88" s="767">
        <v>99253400</v>
      </c>
      <c r="F88" s="762">
        <v>2130063</v>
      </c>
      <c r="G88" s="767">
        <v>20247600</v>
      </c>
      <c r="H88" s="740">
        <v>22377663</v>
      </c>
      <c r="I88" s="754"/>
    </row>
    <row r="89" spans="1:9" ht="13.5" hidden="1" outlineLevel="1" thickBot="1">
      <c r="A89" s="760" t="s">
        <v>46</v>
      </c>
      <c r="B89" s="1230" t="s">
        <v>31</v>
      </c>
      <c r="C89" s="1219">
        <f t="shared" ref="C89:G89" si="13">SUM(C84:C88)</f>
        <v>859396955.5</v>
      </c>
      <c r="D89" s="1219">
        <f t="shared" si="13"/>
        <v>100000000</v>
      </c>
      <c r="E89" s="1219">
        <f t="shared" si="13"/>
        <v>809060291.92708302</v>
      </c>
      <c r="F89" s="735">
        <f t="shared" si="13"/>
        <v>79949613.572916597</v>
      </c>
      <c r="G89" s="1219">
        <f t="shared" si="13"/>
        <v>70387050</v>
      </c>
      <c r="H89" s="735">
        <f>SUM(F89:G89)</f>
        <v>150336663.5729166</v>
      </c>
      <c r="I89" s="769"/>
    </row>
    <row r="90" spans="1:9" hidden="1" outlineLevel="1">
      <c r="A90" s="750" t="s">
        <v>47</v>
      </c>
      <c r="B90" s="1239" t="s">
        <v>4</v>
      </c>
      <c r="C90" s="753">
        <v>3952661</v>
      </c>
      <c r="D90" s="753">
        <v>0</v>
      </c>
      <c r="E90" s="753">
        <v>1703976</v>
      </c>
      <c r="F90" s="730">
        <v>2248685</v>
      </c>
      <c r="G90" s="753">
        <v>0</v>
      </c>
      <c r="H90" s="740">
        <v>2248685</v>
      </c>
      <c r="I90" s="753"/>
    </row>
    <row r="91" spans="1:9" hidden="1" outlineLevel="1">
      <c r="A91" s="751" t="s">
        <v>47</v>
      </c>
      <c r="B91" s="919" t="s">
        <v>5</v>
      </c>
      <c r="C91" s="754">
        <v>47383350</v>
      </c>
      <c r="D91" s="754">
        <v>50000000</v>
      </c>
      <c r="E91" s="754">
        <v>47243900</v>
      </c>
      <c r="F91" s="732">
        <v>0</v>
      </c>
      <c r="G91" s="754">
        <v>50139450</v>
      </c>
      <c r="H91" s="740">
        <v>50139450</v>
      </c>
      <c r="I91" s="754"/>
    </row>
    <row r="92" spans="1:9" hidden="1" outlineLevel="1">
      <c r="A92" s="751" t="s">
        <v>47</v>
      </c>
      <c r="B92" s="928" t="s">
        <v>6</v>
      </c>
      <c r="C92" s="754">
        <v>736429881.5</v>
      </c>
      <c r="D92" s="754">
        <v>0</v>
      </c>
      <c r="E92" s="754">
        <v>668170231.92708302</v>
      </c>
      <c r="F92" s="732">
        <v>68259649.572916597</v>
      </c>
      <c r="G92" s="754">
        <v>0</v>
      </c>
      <c r="H92" s="740">
        <v>68259649.572916597</v>
      </c>
      <c r="I92" s="754"/>
    </row>
    <row r="93" spans="1:9" hidden="1" outlineLevel="1">
      <c r="A93" s="751" t="s">
        <v>47</v>
      </c>
      <c r="B93" s="920" t="s">
        <v>7</v>
      </c>
      <c r="C93" s="754">
        <v>0</v>
      </c>
      <c r="D93" s="754">
        <v>0</v>
      </c>
      <c r="E93" s="767">
        <v>0</v>
      </c>
      <c r="F93" s="740">
        <v>0</v>
      </c>
      <c r="G93" s="767">
        <v>0</v>
      </c>
      <c r="H93" s="740">
        <v>0</v>
      </c>
      <c r="I93" s="754"/>
    </row>
    <row r="94" spans="1:9" ht="13.5" hidden="1" outlineLevel="1" thickBot="1">
      <c r="A94" s="751" t="s">
        <v>47</v>
      </c>
      <c r="B94" s="919" t="s">
        <v>8</v>
      </c>
      <c r="C94" s="754">
        <v>71631063</v>
      </c>
      <c r="D94" s="754">
        <v>50000000</v>
      </c>
      <c r="E94" s="767">
        <v>99253400</v>
      </c>
      <c r="F94" s="762">
        <v>2130063</v>
      </c>
      <c r="G94" s="767">
        <v>20247600</v>
      </c>
      <c r="H94" s="740">
        <v>22377663</v>
      </c>
      <c r="I94" s="754"/>
    </row>
    <row r="95" spans="1:9" ht="13.5" hidden="1" outlineLevel="1" thickBot="1">
      <c r="A95" s="760" t="s">
        <v>47</v>
      </c>
      <c r="B95" s="1230" t="s">
        <v>31</v>
      </c>
      <c r="C95" s="1219">
        <f t="shared" ref="C95:G95" si="14">SUM(C90:C94)</f>
        <v>859396955.5</v>
      </c>
      <c r="D95" s="1219">
        <f t="shared" si="14"/>
        <v>100000000</v>
      </c>
      <c r="E95" s="1219">
        <f t="shared" si="14"/>
        <v>816371507.92708302</v>
      </c>
      <c r="F95" s="735">
        <f t="shared" si="14"/>
        <v>72638397.572916597</v>
      </c>
      <c r="G95" s="1219">
        <f t="shared" si="14"/>
        <v>70387050</v>
      </c>
      <c r="H95" s="735">
        <f>SUM(F95:G95)</f>
        <v>143025447.5729166</v>
      </c>
      <c r="I95" s="769"/>
    </row>
    <row r="96" spans="1:9" hidden="1" outlineLevel="1">
      <c r="A96" s="763" t="s">
        <v>48</v>
      </c>
      <c r="B96" s="1240" t="s">
        <v>4</v>
      </c>
      <c r="C96" s="780">
        <v>3952661</v>
      </c>
      <c r="D96" s="780">
        <v>0</v>
      </c>
      <c r="E96" s="780">
        <v>1703976</v>
      </c>
      <c r="F96" s="764">
        <v>2248685</v>
      </c>
      <c r="G96" s="780">
        <v>0</v>
      </c>
      <c r="H96" s="740">
        <v>2248685</v>
      </c>
      <c r="I96" s="767"/>
    </row>
    <row r="97" spans="1:9" hidden="1" outlineLevel="1">
      <c r="A97" s="765" t="s">
        <v>48</v>
      </c>
      <c r="B97" s="1241" t="s">
        <v>5</v>
      </c>
      <c r="C97" s="767">
        <v>47383350</v>
      </c>
      <c r="D97" s="767">
        <v>50000000</v>
      </c>
      <c r="E97" s="767">
        <v>47243900</v>
      </c>
      <c r="F97" s="740">
        <v>0</v>
      </c>
      <c r="G97" s="767">
        <v>50139450</v>
      </c>
      <c r="H97" s="740">
        <v>50139450</v>
      </c>
      <c r="I97" s="767"/>
    </row>
    <row r="98" spans="1:9" hidden="1" outlineLevel="1">
      <c r="A98" s="765" t="s">
        <v>48</v>
      </c>
      <c r="B98" s="1241" t="s">
        <v>6</v>
      </c>
      <c r="C98" s="767">
        <v>736429881.5</v>
      </c>
      <c r="D98" s="767">
        <v>0</v>
      </c>
      <c r="E98" s="767">
        <v>668170231.92708302</v>
      </c>
      <c r="F98" s="740">
        <v>68259649.572916597</v>
      </c>
      <c r="G98" s="767">
        <v>0</v>
      </c>
      <c r="H98" s="740">
        <v>68259649.572916597</v>
      </c>
      <c r="I98" s="767"/>
    </row>
    <row r="99" spans="1:9" hidden="1" outlineLevel="1">
      <c r="A99" s="765" t="s">
        <v>48</v>
      </c>
      <c r="B99" s="1241" t="s">
        <v>7</v>
      </c>
      <c r="C99" s="767">
        <v>0</v>
      </c>
      <c r="D99" s="767">
        <v>0</v>
      </c>
      <c r="E99" s="767">
        <v>0</v>
      </c>
      <c r="F99" s="740">
        <v>0</v>
      </c>
      <c r="G99" s="767">
        <v>0</v>
      </c>
      <c r="H99" s="740">
        <v>0</v>
      </c>
      <c r="I99" s="767"/>
    </row>
    <row r="100" spans="1:9" ht="13.5" hidden="1" outlineLevel="1" thickBot="1">
      <c r="A100" s="766" t="s">
        <v>48</v>
      </c>
      <c r="B100" s="1242" t="s">
        <v>8</v>
      </c>
      <c r="C100" s="767">
        <v>71631063</v>
      </c>
      <c r="D100" s="767">
        <v>50000000</v>
      </c>
      <c r="E100" s="767">
        <v>99253400</v>
      </c>
      <c r="F100" s="740">
        <v>2130063</v>
      </c>
      <c r="G100" s="767">
        <v>20247600</v>
      </c>
      <c r="H100" s="740">
        <v>22377663</v>
      </c>
      <c r="I100" s="767"/>
    </row>
    <row r="101" spans="1:9" ht="13.5" hidden="1" outlineLevel="1" thickBot="1">
      <c r="A101" s="760" t="s">
        <v>48</v>
      </c>
      <c r="B101" s="1230" t="s">
        <v>31</v>
      </c>
      <c r="C101" s="1219">
        <v>859396955.5</v>
      </c>
      <c r="D101" s="1219">
        <v>100000000</v>
      </c>
      <c r="E101" s="1219">
        <v>816371507.92708302</v>
      </c>
      <c r="F101" s="735">
        <v>72638397.572916597</v>
      </c>
      <c r="G101" s="1219">
        <v>70387050</v>
      </c>
      <c r="H101" s="735">
        <v>143025447.57291701</v>
      </c>
      <c r="I101" s="770"/>
    </row>
    <row r="102" spans="1:9" hidden="1" outlineLevel="1">
      <c r="A102" s="751" t="s">
        <v>49</v>
      </c>
      <c r="B102" s="919" t="s">
        <v>4</v>
      </c>
      <c r="C102" s="754">
        <v>3952661</v>
      </c>
      <c r="D102" s="754">
        <v>0</v>
      </c>
      <c r="E102" s="754">
        <v>1703976</v>
      </c>
      <c r="F102" s="732">
        <v>2248685</v>
      </c>
      <c r="G102" s="754">
        <v>0</v>
      </c>
      <c r="H102" s="740">
        <v>2248685</v>
      </c>
      <c r="I102" s="753"/>
    </row>
    <row r="103" spans="1:9" hidden="1" outlineLevel="1">
      <c r="A103" s="751" t="s">
        <v>49</v>
      </c>
      <c r="B103" s="919" t="s">
        <v>5</v>
      </c>
      <c r="C103" s="754">
        <v>47383350</v>
      </c>
      <c r="D103" s="754">
        <v>50000000</v>
      </c>
      <c r="E103" s="754">
        <v>55013900</v>
      </c>
      <c r="F103" s="732">
        <v>0</v>
      </c>
      <c r="G103" s="754">
        <v>42369450</v>
      </c>
      <c r="H103" s="740">
        <v>42369450</v>
      </c>
      <c r="I103" s="754"/>
    </row>
    <row r="104" spans="1:9" hidden="1" outlineLevel="1">
      <c r="A104" s="751" t="s">
        <v>49</v>
      </c>
      <c r="B104" s="928" t="s">
        <v>6</v>
      </c>
      <c r="C104" s="754">
        <v>736429881.5</v>
      </c>
      <c r="D104" s="754">
        <v>0</v>
      </c>
      <c r="E104" s="754">
        <v>673737406.92708302</v>
      </c>
      <c r="F104" s="732">
        <v>62692474.572916597</v>
      </c>
      <c r="G104" s="754">
        <v>0</v>
      </c>
      <c r="H104" s="740">
        <v>62692474.572916597</v>
      </c>
      <c r="I104" s="754"/>
    </row>
    <row r="105" spans="1:9" hidden="1" outlineLevel="1">
      <c r="A105" s="751" t="s">
        <v>49</v>
      </c>
      <c r="B105" s="920" t="s">
        <v>7</v>
      </c>
      <c r="C105" s="754">
        <v>0</v>
      </c>
      <c r="D105" s="754">
        <v>0</v>
      </c>
      <c r="E105" s="767">
        <v>0</v>
      </c>
      <c r="F105" s="740">
        <v>0</v>
      </c>
      <c r="G105" s="767">
        <v>0</v>
      </c>
      <c r="H105" s="740">
        <v>0</v>
      </c>
      <c r="I105" s="754"/>
    </row>
    <row r="106" spans="1:9" ht="13.5" hidden="1" outlineLevel="1" thickBot="1">
      <c r="A106" s="751" t="s">
        <v>49</v>
      </c>
      <c r="B106" s="919" t="s">
        <v>8</v>
      </c>
      <c r="C106" s="754">
        <v>71631063</v>
      </c>
      <c r="D106" s="754">
        <v>50000000</v>
      </c>
      <c r="E106" s="767">
        <v>101873400</v>
      </c>
      <c r="F106" s="762">
        <v>2130063</v>
      </c>
      <c r="G106" s="767">
        <v>17627600</v>
      </c>
      <c r="H106" s="740">
        <v>19757663</v>
      </c>
      <c r="I106" s="754"/>
    </row>
    <row r="107" spans="1:9" ht="13.5" hidden="1" outlineLevel="1" thickBot="1">
      <c r="A107" s="760" t="s">
        <v>49</v>
      </c>
      <c r="B107" s="1230" t="s">
        <v>31</v>
      </c>
      <c r="C107" s="1219">
        <f t="shared" ref="C107:G107" si="15">SUM(C102:C106)</f>
        <v>859396955.5</v>
      </c>
      <c r="D107" s="1219">
        <f t="shared" si="15"/>
        <v>100000000</v>
      </c>
      <c r="E107" s="1219">
        <f t="shared" si="15"/>
        <v>832328682.92708302</v>
      </c>
      <c r="F107" s="735">
        <f t="shared" si="15"/>
        <v>67071222.572916597</v>
      </c>
      <c r="G107" s="1219">
        <f t="shared" si="15"/>
        <v>59997050</v>
      </c>
      <c r="H107" s="735">
        <f>SUM(F107:G107)</f>
        <v>127068272.5729166</v>
      </c>
      <c r="I107" s="769"/>
    </row>
    <row r="108" spans="1:9" hidden="1" outlineLevel="1">
      <c r="A108" s="750" t="s">
        <v>50</v>
      </c>
      <c r="B108" s="1239" t="s">
        <v>4</v>
      </c>
      <c r="C108" s="753">
        <v>3952661</v>
      </c>
      <c r="D108" s="753">
        <v>0</v>
      </c>
      <c r="E108" s="753">
        <v>2258976</v>
      </c>
      <c r="F108" s="730">
        <v>1693685</v>
      </c>
      <c r="G108" s="753">
        <v>0</v>
      </c>
      <c r="H108" s="740">
        <v>1693685</v>
      </c>
      <c r="I108" s="753"/>
    </row>
    <row r="109" spans="1:9" hidden="1" outlineLevel="1">
      <c r="A109" s="751" t="s">
        <v>50</v>
      </c>
      <c r="B109" s="919" t="s">
        <v>5</v>
      </c>
      <c r="C109" s="754">
        <v>47383350</v>
      </c>
      <c r="D109" s="754">
        <v>50000000</v>
      </c>
      <c r="E109" s="754">
        <v>57363900</v>
      </c>
      <c r="F109" s="732">
        <v>0</v>
      </c>
      <c r="G109" s="754">
        <v>50139450</v>
      </c>
      <c r="H109" s="740">
        <v>40019450</v>
      </c>
      <c r="I109" s="754"/>
    </row>
    <row r="110" spans="1:9" hidden="1" outlineLevel="1">
      <c r="A110" s="751" t="s">
        <v>50</v>
      </c>
      <c r="B110" s="928" t="s">
        <v>6</v>
      </c>
      <c r="C110" s="754">
        <v>736429881.5</v>
      </c>
      <c r="D110" s="754">
        <v>0</v>
      </c>
      <c r="E110" s="754">
        <v>676049855.92708302</v>
      </c>
      <c r="F110" s="732">
        <v>60380025.572916597</v>
      </c>
      <c r="G110" s="754">
        <v>0</v>
      </c>
      <c r="H110" s="740">
        <v>60380025.572916597</v>
      </c>
      <c r="I110" s="754"/>
    </row>
    <row r="111" spans="1:9" hidden="1" outlineLevel="1">
      <c r="A111" s="751" t="s">
        <v>50</v>
      </c>
      <c r="B111" s="920" t="s">
        <v>7</v>
      </c>
      <c r="C111" s="754">
        <v>0</v>
      </c>
      <c r="D111" s="754">
        <v>0</v>
      </c>
      <c r="E111" s="767">
        <v>0</v>
      </c>
      <c r="F111" s="740">
        <v>0</v>
      </c>
      <c r="G111" s="767">
        <v>0</v>
      </c>
      <c r="H111" s="740">
        <v>0</v>
      </c>
      <c r="I111" s="754"/>
    </row>
    <row r="112" spans="1:9" ht="13.5" hidden="1" outlineLevel="1" thickBot="1">
      <c r="A112" s="751" t="s">
        <v>50</v>
      </c>
      <c r="B112" s="919" t="s">
        <v>8</v>
      </c>
      <c r="C112" s="754">
        <v>71631063</v>
      </c>
      <c r="D112" s="754">
        <v>50000000</v>
      </c>
      <c r="E112" s="767">
        <v>106083400</v>
      </c>
      <c r="F112" s="762">
        <v>2130063</v>
      </c>
      <c r="G112" s="767">
        <v>13417600</v>
      </c>
      <c r="H112" s="740">
        <v>15547663</v>
      </c>
      <c r="I112" s="754"/>
    </row>
    <row r="113" spans="1:11" ht="13.5" hidden="1" outlineLevel="1" thickBot="1">
      <c r="A113" s="760" t="s">
        <v>50</v>
      </c>
      <c r="B113" s="1230" t="s">
        <v>31</v>
      </c>
      <c r="C113" s="1219">
        <f t="shared" ref="C113:G113" si="16">SUM(C108:C112)</f>
        <v>859396955.5</v>
      </c>
      <c r="D113" s="1219">
        <f t="shared" si="16"/>
        <v>100000000</v>
      </c>
      <c r="E113" s="1219">
        <f t="shared" si="16"/>
        <v>841756131.92708302</v>
      </c>
      <c r="F113" s="735">
        <f t="shared" si="16"/>
        <v>64203773.572916597</v>
      </c>
      <c r="G113" s="1219">
        <f t="shared" si="16"/>
        <v>63557050</v>
      </c>
      <c r="H113" s="735">
        <f>SUM(F113:G113)</f>
        <v>127760823.5729166</v>
      </c>
      <c r="I113" s="769"/>
    </row>
    <row r="114" spans="1:11" hidden="1" outlineLevel="1">
      <c r="A114" s="750" t="s">
        <v>51</v>
      </c>
      <c r="B114" s="1239" t="s">
        <v>4</v>
      </c>
      <c r="C114" s="753">
        <v>3952661</v>
      </c>
      <c r="D114" s="753">
        <v>5000000</v>
      </c>
      <c r="E114" s="753">
        <v>2258976</v>
      </c>
      <c r="F114" s="730">
        <v>6693685</v>
      </c>
      <c r="G114" s="753">
        <v>0</v>
      </c>
      <c r="H114" s="740">
        <v>6693685</v>
      </c>
      <c r="I114" s="753"/>
    </row>
    <row r="115" spans="1:11" hidden="1" outlineLevel="1">
      <c r="A115" s="751" t="s">
        <v>51</v>
      </c>
      <c r="B115" s="919" t="s">
        <v>5</v>
      </c>
      <c r="C115" s="754">
        <v>47383350</v>
      </c>
      <c r="D115" s="754">
        <v>50000000</v>
      </c>
      <c r="E115" s="754">
        <v>57363900</v>
      </c>
      <c r="F115" s="732">
        <v>0</v>
      </c>
      <c r="G115" s="754">
        <v>50139450</v>
      </c>
      <c r="H115" s="740">
        <v>40019450</v>
      </c>
      <c r="I115" s="754"/>
    </row>
    <row r="116" spans="1:11" hidden="1" outlineLevel="1">
      <c r="A116" s="751" t="s">
        <v>51</v>
      </c>
      <c r="B116" s="928" t="s">
        <v>6</v>
      </c>
      <c r="C116" s="754">
        <v>736429881.5</v>
      </c>
      <c r="D116" s="754">
        <v>0</v>
      </c>
      <c r="E116" s="754">
        <v>676049855.92708302</v>
      </c>
      <c r="F116" s="732">
        <v>60380025.572916597</v>
      </c>
      <c r="G116" s="754">
        <v>0</v>
      </c>
      <c r="H116" s="740">
        <v>60380025.572916597</v>
      </c>
      <c r="I116" s="754"/>
    </row>
    <row r="117" spans="1:11" hidden="1" outlineLevel="1">
      <c r="A117" s="751" t="s">
        <v>51</v>
      </c>
      <c r="B117" s="920" t="s">
        <v>7</v>
      </c>
      <c r="C117" s="754">
        <v>0</v>
      </c>
      <c r="D117" s="754">
        <v>0</v>
      </c>
      <c r="E117" s="767">
        <v>0</v>
      </c>
      <c r="F117" s="740">
        <v>0</v>
      </c>
      <c r="G117" s="767">
        <v>0</v>
      </c>
      <c r="H117" s="740">
        <v>0</v>
      </c>
      <c r="I117" s="754"/>
    </row>
    <row r="118" spans="1:11" ht="13.5" hidden="1" outlineLevel="1" thickBot="1">
      <c r="A118" s="751" t="s">
        <v>51</v>
      </c>
      <c r="B118" s="919" t="s">
        <v>8</v>
      </c>
      <c r="C118" s="754">
        <v>71631063</v>
      </c>
      <c r="D118" s="754">
        <v>50000000</v>
      </c>
      <c r="E118" s="767">
        <v>106583400</v>
      </c>
      <c r="F118" s="762">
        <v>2130063</v>
      </c>
      <c r="G118" s="767">
        <v>12917600</v>
      </c>
      <c r="H118" s="740">
        <v>15047663</v>
      </c>
      <c r="I118" s="754"/>
    </row>
    <row r="119" spans="1:11" s="717" customFormat="1" ht="13.5" hidden="1" outlineLevel="1" thickBot="1">
      <c r="A119" s="760" t="s">
        <v>51</v>
      </c>
      <c r="B119" s="1230" t="s">
        <v>31</v>
      </c>
      <c r="C119" s="1219">
        <f t="shared" ref="C119:G119" si="17">SUM(C114:C118)</f>
        <v>859396955.5</v>
      </c>
      <c r="D119" s="1219">
        <f t="shared" si="17"/>
        <v>105000000</v>
      </c>
      <c r="E119" s="1219">
        <f t="shared" si="17"/>
        <v>842256131.92708302</v>
      </c>
      <c r="F119" s="735">
        <f t="shared" si="17"/>
        <v>69203773.572916597</v>
      </c>
      <c r="G119" s="1219">
        <f t="shared" si="17"/>
        <v>63057050</v>
      </c>
      <c r="H119" s="735">
        <f>SUM(F119:G119)</f>
        <v>132260823.5729166</v>
      </c>
      <c r="I119" s="768"/>
      <c r="J119" s="1014"/>
      <c r="K119" s="1014"/>
    </row>
    <row r="120" spans="1:11" hidden="1" outlineLevel="1">
      <c r="A120" s="750" t="s">
        <v>52</v>
      </c>
      <c r="B120" s="1239" t="s">
        <v>4</v>
      </c>
      <c r="C120" s="753">
        <v>3952661</v>
      </c>
      <c r="D120" s="753">
        <v>5000000</v>
      </c>
      <c r="E120" s="753">
        <v>2258976</v>
      </c>
      <c r="F120" s="730">
        <v>6693685</v>
      </c>
      <c r="G120" s="753">
        <v>0</v>
      </c>
      <c r="H120" s="740">
        <v>6693685</v>
      </c>
      <c r="I120" s="753"/>
    </row>
    <row r="121" spans="1:11" hidden="1" outlineLevel="1">
      <c r="A121" s="751" t="s">
        <v>52</v>
      </c>
      <c r="B121" s="919" t="s">
        <v>5</v>
      </c>
      <c r="C121" s="754">
        <v>47383350</v>
      </c>
      <c r="D121" s="754">
        <v>50000000</v>
      </c>
      <c r="E121" s="754">
        <v>59923900</v>
      </c>
      <c r="F121" s="732">
        <v>0</v>
      </c>
      <c r="G121" s="754">
        <v>37459450</v>
      </c>
      <c r="H121" s="740">
        <v>37459450</v>
      </c>
      <c r="I121" s="754"/>
    </row>
    <row r="122" spans="1:11" hidden="1" outlineLevel="1">
      <c r="A122" s="751" t="s">
        <v>52</v>
      </c>
      <c r="B122" s="928" t="s">
        <v>6</v>
      </c>
      <c r="C122" s="754">
        <v>736429881.5</v>
      </c>
      <c r="D122" s="754">
        <v>0</v>
      </c>
      <c r="E122" s="754">
        <v>676049855.92708302</v>
      </c>
      <c r="F122" s="732">
        <v>60380025.572916597</v>
      </c>
      <c r="G122" s="754">
        <v>0</v>
      </c>
      <c r="H122" s="740">
        <v>60380025.572916597</v>
      </c>
      <c r="I122" s="754"/>
    </row>
    <row r="123" spans="1:11" hidden="1" outlineLevel="1">
      <c r="A123" s="751" t="s">
        <v>52</v>
      </c>
      <c r="B123" s="920" t="s">
        <v>7</v>
      </c>
      <c r="C123" s="754">
        <v>0</v>
      </c>
      <c r="D123" s="754">
        <v>0</v>
      </c>
      <c r="E123" s="767">
        <v>0</v>
      </c>
      <c r="F123" s="740">
        <v>0</v>
      </c>
      <c r="G123" s="767">
        <v>0</v>
      </c>
      <c r="H123" s="740">
        <v>0</v>
      </c>
      <c r="I123" s="754"/>
    </row>
    <row r="124" spans="1:11" ht="13.5" hidden="1" outlineLevel="1" thickBot="1">
      <c r="A124" s="751" t="s">
        <v>52</v>
      </c>
      <c r="B124" s="919" t="s">
        <v>8</v>
      </c>
      <c r="C124" s="754">
        <v>71631063</v>
      </c>
      <c r="D124" s="754">
        <v>50000000</v>
      </c>
      <c r="E124" s="767">
        <v>110683400</v>
      </c>
      <c r="F124" s="762">
        <v>2130063</v>
      </c>
      <c r="G124" s="767">
        <v>8817600</v>
      </c>
      <c r="H124" s="740">
        <v>10947663</v>
      </c>
      <c r="I124" s="754"/>
    </row>
    <row r="125" spans="1:11" s="717" customFormat="1" ht="13.5" hidden="1" outlineLevel="1" thickBot="1">
      <c r="A125" s="760" t="s">
        <v>52</v>
      </c>
      <c r="B125" s="1230" t="s">
        <v>31</v>
      </c>
      <c r="C125" s="1219">
        <f t="shared" ref="C125:G125" si="18">SUM(C120:C124)</f>
        <v>859396955.5</v>
      </c>
      <c r="D125" s="1219">
        <f t="shared" si="18"/>
        <v>105000000</v>
      </c>
      <c r="E125" s="1219">
        <f t="shared" si="18"/>
        <v>848916131.92708302</v>
      </c>
      <c r="F125" s="735">
        <f t="shared" si="18"/>
        <v>69203773.572916597</v>
      </c>
      <c r="G125" s="1219">
        <f t="shared" si="18"/>
        <v>46277050</v>
      </c>
      <c r="H125" s="735">
        <f>SUM(F120:G124)</f>
        <v>115480823.5729166</v>
      </c>
      <c r="I125" s="768"/>
      <c r="J125" s="1014"/>
      <c r="K125" s="1014"/>
    </row>
    <row r="126" spans="1:11" hidden="1" outlineLevel="1">
      <c r="A126" s="750" t="s">
        <v>53</v>
      </c>
      <c r="B126" s="1239" t="s">
        <v>4</v>
      </c>
      <c r="C126" s="753">
        <v>3952661</v>
      </c>
      <c r="D126" s="753">
        <v>5000000</v>
      </c>
      <c r="E126" s="753">
        <v>2258976</v>
      </c>
      <c r="F126" s="730">
        <v>6693685</v>
      </c>
      <c r="G126" s="753">
        <v>0</v>
      </c>
      <c r="H126" s="740">
        <v>6693685</v>
      </c>
      <c r="I126" s="753"/>
    </row>
    <row r="127" spans="1:11" hidden="1" outlineLevel="1">
      <c r="A127" s="751" t="s">
        <v>53</v>
      </c>
      <c r="B127" s="919" t="s">
        <v>5</v>
      </c>
      <c r="C127" s="754">
        <v>47383350</v>
      </c>
      <c r="D127" s="754">
        <v>50000000</v>
      </c>
      <c r="E127" s="754">
        <v>66923900</v>
      </c>
      <c r="F127" s="1260">
        <v>0</v>
      </c>
      <c r="G127" s="754">
        <v>30459450</v>
      </c>
      <c r="H127" s="740">
        <v>30459450</v>
      </c>
      <c r="I127" s="754"/>
    </row>
    <row r="128" spans="1:11" hidden="1" outlineLevel="1">
      <c r="A128" s="751" t="s">
        <v>53</v>
      </c>
      <c r="B128" s="928" t="s">
        <v>6</v>
      </c>
      <c r="C128" s="754">
        <v>736429881.5</v>
      </c>
      <c r="D128" s="754">
        <v>0</v>
      </c>
      <c r="E128" s="754">
        <v>677784135.92708302</v>
      </c>
      <c r="F128" s="740">
        <v>58645745.572916597</v>
      </c>
      <c r="G128" s="754">
        <v>0</v>
      </c>
      <c r="H128" s="740">
        <v>58645745.572916597</v>
      </c>
      <c r="I128" s="754"/>
    </row>
    <row r="129" spans="1:11" hidden="1" outlineLevel="1">
      <c r="A129" s="751" t="s">
        <v>53</v>
      </c>
      <c r="B129" s="920" t="s">
        <v>7</v>
      </c>
      <c r="C129" s="754">
        <v>0</v>
      </c>
      <c r="D129" s="754">
        <v>0</v>
      </c>
      <c r="E129" s="767">
        <v>0</v>
      </c>
      <c r="F129" s="740">
        <v>0</v>
      </c>
      <c r="G129" s="767">
        <v>0</v>
      </c>
      <c r="H129" s="740">
        <v>0</v>
      </c>
      <c r="I129" s="754"/>
    </row>
    <row r="130" spans="1:11" hidden="1" outlineLevel="1">
      <c r="A130" s="751" t="s">
        <v>53</v>
      </c>
      <c r="B130" s="919" t="s">
        <v>8</v>
      </c>
      <c r="C130" s="754">
        <v>71631063</v>
      </c>
      <c r="D130" s="754">
        <v>50000000</v>
      </c>
      <c r="E130" s="767">
        <v>121631063</v>
      </c>
      <c r="F130" s="762">
        <v>2130063</v>
      </c>
      <c r="G130" s="767">
        <v>6237600</v>
      </c>
      <c r="H130" s="740">
        <v>8367663</v>
      </c>
      <c r="I130" s="754"/>
    </row>
    <row r="131" spans="1:11" ht="13.5" hidden="1" outlineLevel="1" thickBot="1">
      <c r="A131" s="771" t="s">
        <v>53</v>
      </c>
      <c r="B131" s="926" t="s">
        <v>9</v>
      </c>
      <c r="C131" s="1256">
        <v>0</v>
      </c>
      <c r="D131" s="1218">
        <v>210853200</v>
      </c>
      <c r="E131" s="1263">
        <v>62098280</v>
      </c>
      <c r="F131" s="785">
        <v>148754920</v>
      </c>
      <c r="G131" s="908">
        <v>0</v>
      </c>
      <c r="H131" s="772">
        <v>148754920</v>
      </c>
      <c r="I131" s="754"/>
    </row>
    <row r="132" spans="1:11" s="717" customFormat="1" ht="13.5" hidden="1" outlineLevel="1" thickBot="1">
      <c r="A132" s="760" t="s">
        <v>53</v>
      </c>
      <c r="B132" s="1230" t="s">
        <v>31</v>
      </c>
      <c r="C132" s="1219">
        <f>SUM(C126:C131)</f>
        <v>859396955.5</v>
      </c>
      <c r="D132" s="1219">
        <f>SUM(D126:D131)</f>
        <v>315853200</v>
      </c>
      <c r="E132" s="1219">
        <f>SUM(E126:E131)</f>
        <v>930696354.92708302</v>
      </c>
      <c r="F132" s="735">
        <f>SUM(F126:F131)</f>
        <v>216224413.5729166</v>
      </c>
      <c r="G132" s="1219">
        <f>SUM(G126:G131)</f>
        <v>36697050</v>
      </c>
      <c r="H132" s="735">
        <f>SUM(F126:G131)</f>
        <v>252921463.5729166</v>
      </c>
      <c r="I132" s="768"/>
      <c r="J132" s="1014"/>
      <c r="K132" s="1014"/>
    </row>
    <row r="133" spans="1:11" hidden="1" outlineLevel="1">
      <c r="A133" s="750" t="s">
        <v>54</v>
      </c>
      <c r="B133" s="1239" t="s">
        <v>4</v>
      </c>
      <c r="C133" s="753">
        <v>3952661</v>
      </c>
      <c r="D133" s="753">
        <v>5000000</v>
      </c>
      <c r="E133" s="753">
        <v>2258976</v>
      </c>
      <c r="F133" s="730">
        <v>6693685</v>
      </c>
      <c r="G133" s="753">
        <v>0</v>
      </c>
      <c r="H133" s="740">
        <v>6693685</v>
      </c>
      <c r="I133" s="753"/>
    </row>
    <row r="134" spans="1:11" hidden="1" outlineLevel="1">
      <c r="A134" s="751" t="s">
        <v>54</v>
      </c>
      <c r="B134" s="919" t="s">
        <v>5</v>
      </c>
      <c r="C134" s="754">
        <v>47383350</v>
      </c>
      <c r="D134" s="754">
        <v>50000000</v>
      </c>
      <c r="E134" s="754">
        <v>68473900</v>
      </c>
      <c r="F134" s="732">
        <v>0</v>
      </c>
      <c r="G134" s="754">
        <v>28909450</v>
      </c>
      <c r="H134" s="740">
        <v>28909450</v>
      </c>
      <c r="I134" s="754"/>
    </row>
    <row r="135" spans="1:11" hidden="1" outlineLevel="1">
      <c r="A135" s="751" t="s">
        <v>54</v>
      </c>
      <c r="B135" s="928" t="s">
        <v>6</v>
      </c>
      <c r="C135" s="754">
        <v>736429881.5</v>
      </c>
      <c r="D135" s="754">
        <v>0</v>
      </c>
      <c r="E135" s="754">
        <v>677784135.92708302</v>
      </c>
      <c r="F135" s="740">
        <v>58645745.572916597</v>
      </c>
      <c r="G135" s="754">
        <v>0</v>
      </c>
      <c r="H135" s="740">
        <v>58645745.572916597</v>
      </c>
      <c r="I135" s="754"/>
    </row>
    <row r="136" spans="1:11" hidden="1" outlineLevel="1">
      <c r="A136" s="751" t="s">
        <v>54</v>
      </c>
      <c r="B136" s="920" t="s">
        <v>7</v>
      </c>
      <c r="C136" s="754">
        <v>0</v>
      </c>
      <c r="D136" s="754">
        <v>0</v>
      </c>
      <c r="E136" s="767">
        <v>0</v>
      </c>
      <c r="F136" s="740">
        <v>0</v>
      </c>
      <c r="G136" s="767">
        <v>0</v>
      </c>
      <c r="H136" s="740">
        <v>0</v>
      </c>
      <c r="I136" s="754"/>
    </row>
    <row r="137" spans="1:11" hidden="1" outlineLevel="1">
      <c r="A137" s="751" t="s">
        <v>54</v>
      </c>
      <c r="B137" s="919" t="s">
        <v>8</v>
      </c>
      <c r="C137" s="754">
        <v>71631063</v>
      </c>
      <c r="D137" s="754">
        <v>50000000</v>
      </c>
      <c r="E137" s="767">
        <v>114363400</v>
      </c>
      <c r="F137" s="762">
        <v>2130063</v>
      </c>
      <c r="G137" s="767">
        <v>5137600</v>
      </c>
      <c r="H137" s="740">
        <v>7267663</v>
      </c>
      <c r="I137" s="754"/>
    </row>
    <row r="138" spans="1:11" ht="13.5" hidden="1" outlineLevel="1" thickBot="1">
      <c r="A138" s="771" t="s">
        <v>54</v>
      </c>
      <c r="B138" s="926" t="s">
        <v>9</v>
      </c>
      <c r="C138" s="1256">
        <v>0</v>
      </c>
      <c r="D138" s="1218">
        <v>210853200</v>
      </c>
      <c r="E138" s="1263">
        <v>62098280</v>
      </c>
      <c r="F138" s="772">
        <v>148754920</v>
      </c>
      <c r="G138" s="908">
        <v>0</v>
      </c>
      <c r="H138" s="772">
        <v>148754920</v>
      </c>
      <c r="I138" s="754"/>
    </row>
    <row r="139" spans="1:11" ht="13.5" hidden="1" outlineLevel="1" thickBot="1">
      <c r="A139" s="760" t="s">
        <v>54</v>
      </c>
      <c r="B139" s="1230" t="s">
        <v>31</v>
      </c>
      <c r="C139" s="1219">
        <f t="shared" ref="C139:G139" si="19">SUM(C133:C138)</f>
        <v>859396955.5</v>
      </c>
      <c r="D139" s="1219">
        <f t="shared" si="19"/>
        <v>315853200</v>
      </c>
      <c r="E139" s="1219">
        <f t="shared" si="19"/>
        <v>924978691.92708302</v>
      </c>
      <c r="F139" s="735">
        <f t="shared" si="19"/>
        <v>216224413.5729166</v>
      </c>
      <c r="G139" s="1219">
        <f t="shared" si="19"/>
        <v>34047050</v>
      </c>
      <c r="H139" s="735">
        <f>SUM(F133:G138)</f>
        <v>250271463.5729166</v>
      </c>
      <c r="I139" s="768"/>
    </row>
    <row r="140" spans="1:11" hidden="1" outlineLevel="1">
      <c r="A140" s="750" t="s">
        <v>55</v>
      </c>
      <c r="B140" s="1239" t="s">
        <v>4</v>
      </c>
      <c r="C140" s="753">
        <v>3952661</v>
      </c>
      <c r="D140" s="753">
        <v>5000000</v>
      </c>
      <c r="E140" s="753">
        <v>2258976</v>
      </c>
      <c r="F140" s="730">
        <v>6693685</v>
      </c>
      <c r="G140" s="753">
        <v>0</v>
      </c>
      <c r="H140" s="740">
        <v>6693685</v>
      </c>
      <c r="I140" s="753"/>
    </row>
    <row r="141" spans="1:11" hidden="1" outlineLevel="1">
      <c r="A141" s="751" t="s">
        <v>55</v>
      </c>
      <c r="B141" s="919" t="s">
        <v>5</v>
      </c>
      <c r="C141" s="754">
        <v>47383350</v>
      </c>
      <c r="D141" s="754">
        <v>50000000</v>
      </c>
      <c r="E141" s="754">
        <v>84473900</v>
      </c>
      <c r="F141" s="732">
        <v>0</v>
      </c>
      <c r="G141" s="767">
        <v>12909450</v>
      </c>
      <c r="H141" s="740">
        <v>12909450</v>
      </c>
      <c r="I141" s="754"/>
    </row>
    <row r="142" spans="1:11" hidden="1" outlineLevel="1">
      <c r="A142" s="751" t="s">
        <v>55</v>
      </c>
      <c r="B142" s="928" t="s">
        <v>6</v>
      </c>
      <c r="C142" s="754">
        <v>736429881.5</v>
      </c>
      <c r="D142" s="754">
        <v>0</v>
      </c>
      <c r="E142" s="754">
        <v>677784135.92708302</v>
      </c>
      <c r="F142" s="740">
        <v>58645745.572916597</v>
      </c>
      <c r="G142" s="754">
        <v>0</v>
      </c>
      <c r="H142" s="740">
        <v>58645745.572916597</v>
      </c>
      <c r="I142" s="754"/>
    </row>
    <row r="143" spans="1:11" hidden="1" outlineLevel="1">
      <c r="A143" s="751" t="s">
        <v>55</v>
      </c>
      <c r="B143" s="920" t="s">
        <v>7</v>
      </c>
      <c r="C143" s="754">
        <v>0</v>
      </c>
      <c r="D143" s="754">
        <v>0</v>
      </c>
      <c r="E143" s="767">
        <v>0</v>
      </c>
      <c r="F143" s="740">
        <v>0</v>
      </c>
      <c r="G143" s="767">
        <v>0</v>
      </c>
      <c r="H143" s="740">
        <v>0</v>
      </c>
      <c r="I143" s="754"/>
    </row>
    <row r="144" spans="1:11" hidden="1" outlineLevel="1">
      <c r="A144" s="751" t="s">
        <v>55</v>
      </c>
      <c r="B144" s="919" t="s">
        <v>8</v>
      </c>
      <c r="C144" s="754">
        <v>71631063</v>
      </c>
      <c r="D144" s="754">
        <v>50000000</v>
      </c>
      <c r="E144" s="767">
        <v>115069400</v>
      </c>
      <c r="F144" s="762">
        <v>2130063</v>
      </c>
      <c r="G144" s="767">
        <v>4431600</v>
      </c>
      <c r="H144" s="774">
        <v>6561663</v>
      </c>
      <c r="I144" s="754"/>
    </row>
    <row r="145" spans="1:9" ht="13.5" hidden="1" outlineLevel="1" thickBot="1">
      <c r="A145" s="771" t="s">
        <v>55</v>
      </c>
      <c r="B145" s="926" t="s">
        <v>9</v>
      </c>
      <c r="C145" s="1256">
        <v>0</v>
      </c>
      <c r="D145" s="1218">
        <v>210853200</v>
      </c>
      <c r="E145" s="1263">
        <v>62098280</v>
      </c>
      <c r="F145" s="785">
        <v>148754920</v>
      </c>
      <c r="G145" s="908">
        <v>0</v>
      </c>
      <c r="H145" s="772">
        <v>148754920</v>
      </c>
      <c r="I145" s="754"/>
    </row>
    <row r="146" spans="1:9" ht="13.5" hidden="1" outlineLevel="1" thickBot="1">
      <c r="A146" s="760" t="s">
        <v>55</v>
      </c>
      <c r="B146" s="1230" t="s">
        <v>31</v>
      </c>
      <c r="C146" s="1219">
        <f>SUM(C140:C145)</f>
        <v>859396955.5</v>
      </c>
      <c r="D146" s="1219">
        <f>SUM(D140:D145)</f>
        <v>315853200</v>
      </c>
      <c r="E146" s="1219">
        <f>SUM(E140:E145)</f>
        <v>941684691.92708302</v>
      </c>
      <c r="F146" s="735">
        <f>SUM(F140:F145)</f>
        <v>216224413.5729166</v>
      </c>
      <c r="G146" s="1219">
        <f>SUM(G140:G145)</f>
        <v>17341050</v>
      </c>
      <c r="H146" s="735">
        <f>SUM(F140:G145)</f>
        <v>233565463.5729166</v>
      </c>
      <c r="I146" s="768"/>
    </row>
    <row r="147" spans="1:9" hidden="1" outlineLevel="1">
      <c r="A147" s="750" t="s">
        <v>56</v>
      </c>
      <c r="B147" s="1239" t="s">
        <v>4</v>
      </c>
      <c r="C147" s="753">
        <v>3952661</v>
      </c>
      <c r="D147" s="753">
        <v>5000000</v>
      </c>
      <c r="E147" s="753">
        <v>2258976</v>
      </c>
      <c r="F147" s="730">
        <v>6693685</v>
      </c>
      <c r="G147" s="753">
        <v>0</v>
      </c>
      <c r="H147" s="740">
        <v>6693685</v>
      </c>
      <c r="I147" s="753"/>
    </row>
    <row r="148" spans="1:9" hidden="1" outlineLevel="1">
      <c r="A148" s="751" t="s">
        <v>56</v>
      </c>
      <c r="B148" s="919" t="s">
        <v>5</v>
      </c>
      <c r="C148" s="754">
        <v>47383350</v>
      </c>
      <c r="D148" s="754">
        <v>50000000</v>
      </c>
      <c r="E148" s="754">
        <v>84473900</v>
      </c>
      <c r="F148" s="732">
        <v>0</v>
      </c>
      <c r="G148" s="767">
        <v>12909450</v>
      </c>
      <c r="H148" s="740">
        <v>12909450</v>
      </c>
      <c r="I148" s="754"/>
    </row>
    <row r="149" spans="1:9" hidden="1" outlineLevel="1">
      <c r="A149" s="751" t="s">
        <v>56</v>
      </c>
      <c r="B149" s="928" t="s">
        <v>6</v>
      </c>
      <c r="C149" s="754">
        <v>736429881.5</v>
      </c>
      <c r="D149" s="754">
        <v>0</v>
      </c>
      <c r="E149" s="754">
        <v>677784135.92708302</v>
      </c>
      <c r="F149" s="740">
        <v>58645745.572916597</v>
      </c>
      <c r="G149" s="754">
        <v>0</v>
      </c>
      <c r="H149" s="740">
        <v>58645745.572916597</v>
      </c>
      <c r="I149" s="754"/>
    </row>
    <row r="150" spans="1:9" hidden="1" outlineLevel="1">
      <c r="A150" s="751" t="s">
        <v>56</v>
      </c>
      <c r="B150" s="920" t="s">
        <v>7</v>
      </c>
      <c r="C150" s="754">
        <v>0</v>
      </c>
      <c r="D150" s="754">
        <v>0</v>
      </c>
      <c r="E150" s="767">
        <v>0</v>
      </c>
      <c r="F150" s="740">
        <v>0</v>
      </c>
      <c r="G150" s="767">
        <v>0</v>
      </c>
      <c r="H150" s="740">
        <v>0</v>
      </c>
      <c r="I150" s="754"/>
    </row>
    <row r="151" spans="1:9" hidden="1" outlineLevel="1">
      <c r="A151" s="751" t="s">
        <v>56</v>
      </c>
      <c r="B151" s="919" t="s">
        <v>8</v>
      </c>
      <c r="C151" s="754">
        <v>71631063</v>
      </c>
      <c r="D151" s="754">
        <v>50000000</v>
      </c>
      <c r="E151" s="767">
        <v>118569400</v>
      </c>
      <c r="F151" s="777">
        <v>0</v>
      </c>
      <c r="G151" s="767">
        <v>3061663</v>
      </c>
      <c r="H151" s="774">
        <v>3061663</v>
      </c>
      <c r="I151" s="754"/>
    </row>
    <row r="152" spans="1:9" ht="13.5" hidden="1" outlineLevel="1" thickBot="1">
      <c r="A152" s="771" t="s">
        <v>56</v>
      </c>
      <c r="B152" s="926" t="s">
        <v>9</v>
      </c>
      <c r="C152" s="1256">
        <v>0</v>
      </c>
      <c r="D152" s="1218">
        <v>210853200</v>
      </c>
      <c r="E152" s="1263">
        <v>62098280</v>
      </c>
      <c r="F152" s="785">
        <v>148754920</v>
      </c>
      <c r="G152" s="908">
        <v>0</v>
      </c>
      <c r="H152" s="772">
        <v>148754920</v>
      </c>
      <c r="I152" s="754"/>
    </row>
    <row r="153" spans="1:9" ht="13.5" hidden="1" outlineLevel="1" thickBot="1">
      <c r="A153" s="760" t="s">
        <v>56</v>
      </c>
      <c r="B153" s="1230" t="s">
        <v>31</v>
      </c>
      <c r="C153" s="1219">
        <f>SUM(C147:C152)</f>
        <v>859396955.5</v>
      </c>
      <c r="D153" s="1219">
        <f>SUM(D147:D152)</f>
        <v>315853200</v>
      </c>
      <c r="E153" s="1219">
        <f>SUM(E147:E152)</f>
        <v>945184691.92708302</v>
      </c>
      <c r="F153" s="735">
        <f>SUM(F147:F152)</f>
        <v>214094350.5729166</v>
      </c>
      <c r="G153" s="1219">
        <f>SUM(G147:G152)</f>
        <v>15971113</v>
      </c>
      <c r="H153" s="735">
        <f>SUM(F147:G152)</f>
        <v>230065463.5729166</v>
      </c>
      <c r="I153" s="768"/>
    </row>
    <row r="154" spans="1:9" hidden="1" outlineLevel="1">
      <c r="A154" s="750" t="s">
        <v>57</v>
      </c>
      <c r="B154" s="1239" t="s">
        <v>4</v>
      </c>
      <c r="C154" s="753">
        <v>3952661</v>
      </c>
      <c r="D154" s="753">
        <v>5000000</v>
      </c>
      <c r="E154" s="753">
        <v>2483976</v>
      </c>
      <c r="F154" s="730">
        <v>6468685</v>
      </c>
      <c r="G154" s="753">
        <v>0</v>
      </c>
      <c r="H154" s="740">
        <v>6468685</v>
      </c>
      <c r="I154" s="753"/>
    </row>
    <row r="155" spans="1:9" hidden="1" outlineLevel="1">
      <c r="A155" s="751" t="s">
        <v>57</v>
      </c>
      <c r="B155" s="919" t="s">
        <v>5</v>
      </c>
      <c r="C155" s="754">
        <v>47383350</v>
      </c>
      <c r="D155" s="754">
        <v>50000000</v>
      </c>
      <c r="E155" s="754">
        <v>89755900</v>
      </c>
      <c r="F155" s="732">
        <v>0</v>
      </c>
      <c r="G155" s="767">
        <v>7627450</v>
      </c>
      <c r="H155" s="740">
        <v>7627450</v>
      </c>
      <c r="I155" s="754"/>
    </row>
    <row r="156" spans="1:9" hidden="1" outlineLevel="1">
      <c r="A156" s="751" t="s">
        <v>57</v>
      </c>
      <c r="B156" s="928" t="s">
        <v>6</v>
      </c>
      <c r="C156" s="754">
        <v>736429881.5</v>
      </c>
      <c r="D156" s="754">
        <v>0</v>
      </c>
      <c r="E156" s="754">
        <v>681824735.92708302</v>
      </c>
      <c r="F156" s="740">
        <v>54605145.572916597</v>
      </c>
      <c r="G156" s="754">
        <v>0</v>
      </c>
      <c r="H156" s="740">
        <v>54605145.572916597</v>
      </c>
      <c r="I156" s="754"/>
    </row>
    <row r="157" spans="1:9" hidden="1" outlineLevel="1">
      <c r="A157" s="751" t="s">
        <v>57</v>
      </c>
      <c r="B157" s="920" t="s">
        <v>7</v>
      </c>
      <c r="C157" s="754">
        <v>0</v>
      </c>
      <c r="D157" s="754">
        <v>0</v>
      </c>
      <c r="E157" s="767">
        <v>0</v>
      </c>
      <c r="F157" s="740">
        <v>0</v>
      </c>
      <c r="G157" s="767">
        <v>0</v>
      </c>
      <c r="H157" s="740">
        <v>0</v>
      </c>
      <c r="I157" s="754"/>
    </row>
    <row r="158" spans="1:9" hidden="1" outlineLevel="1">
      <c r="A158" s="751" t="s">
        <v>57</v>
      </c>
      <c r="B158" s="919" t="s">
        <v>8</v>
      </c>
      <c r="C158" s="754">
        <v>71631063</v>
      </c>
      <c r="D158" s="754">
        <v>50000000</v>
      </c>
      <c r="E158" s="767">
        <v>119869400</v>
      </c>
      <c r="F158" s="777">
        <v>0</v>
      </c>
      <c r="G158" s="767">
        <v>1761663</v>
      </c>
      <c r="H158" s="740">
        <v>1761663</v>
      </c>
      <c r="I158" s="754"/>
    </row>
    <row r="159" spans="1:9" ht="13.5" hidden="1" outlineLevel="1" thickBot="1">
      <c r="A159" s="771" t="s">
        <v>57</v>
      </c>
      <c r="B159" s="926" t="s">
        <v>9</v>
      </c>
      <c r="C159" s="1256">
        <v>0</v>
      </c>
      <c r="D159" s="1218">
        <v>210853200</v>
      </c>
      <c r="E159" s="1263">
        <v>62265610</v>
      </c>
      <c r="F159" s="785">
        <v>148587590</v>
      </c>
      <c r="G159" s="908">
        <v>0</v>
      </c>
      <c r="H159" s="772">
        <v>148587590</v>
      </c>
      <c r="I159" s="754"/>
    </row>
    <row r="160" spans="1:9" ht="13.5" hidden="1" outlineLevel="1" thickBot="1">
      <c r="A160" s="760" t="s">
        <v>57</v>
      </c>
      <c r="B160" s="1230" t="s">
        <v>31</v>
      </c>
      <c r="C160" s="1219">
        <f>SUM(C154:C159)</f>
        <v>859396955.5</v>
      </c>
      <c r="D160" s="1219">
        <f>SUM(D154:D159)</f>
        <v>315853200</v>
      </c>
      <c r="E160" s="1219">
        <f>SUM(E154:E159)</f>
        <v>956199621.92708302</v>
      </c>
      <c r="F160" s="735">
        <f>SUM(F154:F159)</f>
        <v>209661420.5729166</v>
      </c>
      <c r="G160" s="1219">
        <f>SUM(G154:G159)</f>
        <v>9389113</v>
      </c>
      <c r="H160" s="735">
        <f>SUM(F154:G159)</f>
        <v>219050533.5729166</v>
      </c>
      <c r="I160" s="768"/>
    </row>
    <row r="161" spans="1:9" hidden="1" outlineLevel="1">
      <c r="A161" s="750" t="s">
        <v>58</v>
      </c>
      <c r="B161" s="1239" t="s">
        <v>4</v>
      </c>
      <c r="C161" s="753">
        <v>3952661</v>
      </c>
      <c r="D161" s="753">
        <v>5000000</v>
      </c>
      <c r="E161" s="753">
        <v>2483976</v>
      </c>
      <c r="F161" s="730">
        <v>6468685</v>
      </c>
      <c r="G161" s="753">
        <v>0</v>
      </c>
      <c r="H161" s="740">
        <v>6468685</v>
      </c>
      <c r="I161" s="753"/>
    </row>
    <row r="162" spans="1:9" hidden="1" outlineLevel="1">
      <c r="A162" s="751" t="s">
        <v>58</v>
      </c>
      <c r="B162" s="919" t="s">
        <v>5</v>
      </c>
      <c r="C162" s="754">
        <v>47383350</v>
      </c>
      <c r="D162" s="754">
        <v>50000000</v>
      </c>
      <c r="E162" s="776">
        <v>91094900</v>
      </c>
      <c r="F162" s="740">
        <v>0</v>
      </c>
      <c r="G162" s="754">
        <v>6288450</v>
      </c>
      <c r="H162" s="740">
        <v>6288450</v>
      </c>
      <c r="I162" s="754"/>
    </row>
    <row r="163" spans="1:9" hidden="1" outlineLevel="1">
      <c r="A163" s="751" t="s">
        <v>58</v>
      </c>
      <c r="B163" s="928" t="s">
        <v>6</v>
      </c>
      <c r="C163" s="754">
        <v>736429881.5</v>
      </c>
      <c r="D163" s="754">
        <v>0</v>
      </c>
      <c r="E163" s="754">
        <v>681824735.92708302</v>
      </c>
      <c r="F163" s="740">
        <v>54605145.572916597</v>
      </c>
      <c r="G163" s="754">
        <v>0</v>
      </c>
      <c r="H163" s="740">
        <v>54605145.572916597</v>
      </c>
      <c r="I163" s="754"/>
    </row>
    <row r="164" spans="1:9" hidden="1" outlineLevel="1">
      <c r="A164" s="751" t="s">
        <v>58</v>
      </c>
      <c r="B164" s="920" t="s">
        <v>7</v>
      </c>
      <c r="C164" s="754">
        <v>0</v>
      </c>
      <c r="D164" s="754">
        <v>0</v>
      </c>
      <c r="E164" s="767">
        <v>0</v>
      </c>
      <c r="F164" s="740">
        <v>0</v>
      </c>
      <c r="G164" s="767">
        <v>0</v>
      </c>
      <c r="H164" s="740">
        <v>0</v>
      </c>
      <c r="I164" s="754"/>
    </row>
    <row r="165" spans="1:9" hidden="1" outlineLevel="1">
      <c r="A165" s="751" t="s">
        <v>58</v>
      </c>
      <c r="B165" s="919" t="s">
        <v>8</v>
      </c>
      <c r="C165" s="754">
        <v>71631063</v>
      </c>
      <c r="D165" s="754">
        <v>50000000</v>
      </c>
      <c r="E165" s="767">
        <v>120369400</v>
      </c>
      <c r="F165" s="777">
        <v>0</v>
      </c>
      <c r="G165" s="767">
        <v>1261663</v>
      </c>
      <c r="H165" s="740">
        <v>1261663</v>
      </c>
      <c r="I165" s="754"/>
    </row>
    <row r="166" spans="1:9" ht="13.5" hidden="1" outlineLevel="1" thickBot="1">
      <c r="A166" s="771" t="s">
        <v>58</v>
      </c>
      <c r="B166" s="926" t="s">
        <v>9</v>
      </c>
      <c r="C166" s="1256">
        <v>0</v>
      </c>
      <c r="D166" s="1218">
        <v>210853200</v>
      </c>
      <c r="E166" s="778">
        <v>62268800</v>
      </c>
      <c r="F166" s="772">
        <v>148584400</v>
      </c>
      <c r="G166" s="908">
        <v>0</v>
      </c>
      <c r="H166" s="772">
        <v>148584400</v>
      </c>
      <c r="I166" s="754"/>
    </row>
    <row r="167" spans="1:9" ht="13.5" hidden="1" outlineLevel="1" thickBot="1">
      <c r="A167" s="760" t="s">
        <v>58</v>
      </c>
      <c r="B167" s="1230" t="s">
        <v>31</v>
      </c>
      <c r="C167" s="1219">
        <f t="shared" ref="C167:G167" si="20">SUM(C161:C166)</f>
        <v>859396955.5</v>
      </c>
      <c r="D167" s="1219">
        <f t="shared" si="20"/>
        <v>315853200</v>
      </c>
      <c r="E167" s="1219">
        <f t="shared" si="20"/>
        <v>958041811.92708302</v>
      </c>
      <c r="F167" s="735">
        <f t="shared" si="20"/>
        <v>209658230.5729166</v>
      </c>
      <c r="G167" s="1219">
        <f t="shared" si="20"/>
        <v>7550113</v>
      </c>
      <c r="H167" s="735">
        <f>SUM(F161:G166)</f>
        <v>217208343.5729166</v>
      </c>
      <c r="I167" s="768"/>
    </row>
    <row r="168" spans="1:9" hidden="1" outlineLevel="1">
      <c r="A168" s="750" t="s">
        <v>59</v>
      </c>
      <c r="B168" s="1239" t="s">
        <v>4</v>
      </c>
      <c r="C168" s="753">
        <v>3952661</v>
      </c>
      <c r="D168" s="753">
        <v>5000000</v>
      </c>
      <c r="E168" s="753">
        <v>4892776</v>
      </c>
      <c r="F168" s="730">
        <v>4059885</v>
      </c>
      <c r="G168" s="753">
        <v>0</v>
      </c>
      <c r="H168" s="740">
        <v>4059885</v>
      </c>
      <c r="I168" s="753"/>
    </row>
    <row r="169" spans="1:9" hidden="1" outlineLevel="1">
      <c r="A169" s="751" t="s">
        <v>59</v>
      </c>
      <c r="B169" s="919" t="s">
        <v>5</v>
      </c>
      <c r="C169" s="754">
        <v>47383350</v>
      </c>
      <c r="D169" s="754">
        <v>50000000</v>
      </c>
      <c r="E169" s="776">
        <v>92644900</v>
      </c>
      <c r="F169" s="740">
        <v>0</v>
      </c>
      <c r="G169" s="754">
        <v>4738450</v>
      </c>
      <c r="H169" s="740">
        <v>4738450</v>
      </c>
      <c r="I169" s="754"/>
    </row>
    <row r="170" spans="1:9" hidden="1" outlineLevel="1">
      <c r="A170" s="751" t="s">
        <v>59</v>
      </c>
      <c r="B170" s="928" t="s">
        <v>6</v>
      </c>
      <c r="C170" s="754">
        <v>736429881.5</v>
      </c>
      <c r="D170" s="755">
        <v>181600000</v>
      </c>
      <c r="E170" s="754">
        <v>910160403.92708302</v>
      </c>
      <c r="F170" s="740">
        <v>7869477.57291664</v>
      </c>
      <c r="G170" s="754">
        <v>0</v>
      </c>
      <c r="H170" s="740">
        <v>7869477.57291664</v>
      </c>
      <c r="I170" s="754"/>
    </row>
    <row r="171" spans="1:9" hidden="1" outlineLevel="1">
      <c r="A171" s="751" t="s">
        <v>59</v>
      </c>
      <c r="B171" s="920" t="s">
        <v>7</v>
      </c>
      <c r="C171" s="754">
        <v>0</v>
      </c>
      <c r="D171" s="754">
        <v>0</v>
      </c>
      <c r="E171" s="767">
        <v>0</v>
      </c>
      <c r="F171" s="740">
        <v>0</v>
      </c>
      <c r="G171" s="767">
        <v>0</v>
      </c>
      <c r="H171" s="740">
        <v>0</v>
      </c>
      <c r="I171" s="754"/>
    </row>
    <row r="172" spans="1:9" hidden="1" outlineLevel="1">
      <c r="A172" s="751" t="s">
        <v>59</v>
      </c>
      <c r="B172" s="919" t="s">
        <v>8</v>
      </c>
      <c r="C172" s="754">
        <v>71631063</v>
      </c>
      <c r="D172" s="754">
        <v>50000000</v>
      </c>
      <c r="E172" s="767">
        <v>120369400</v>
      </c>
      <c r="F172" s="777">
        <v>0</v>
      </c>
      <c r="G172" s="767">
        <v>1261663</v>
      </c>
      <c r="H172" s="740">
        <v>1261663</v>
      </c>
      <c r="I172" s="754"/>
    </row>
    <row r="173" spans="1:9" ht="13.5" hidden="1" outlineLevel="1" thickBot="1">
      <c r="A173" s="771" t="s">
        <v>59</v>
      </c>
      <c r="B173" s="926" t="s">
        <v>9</v>
      </c>
      <c r="C173" s="1256">
        <v>0</v>
      </c>
      <c r="D173" s="1218">
        <v>210853200</v>
      </c>
      <c r="E173" s="778">
        <v>62268800</v>
      </c>
      <c r="F173" s="772">
        <v>148584400</v>
      </c>
      <c r="G173" s="908">
        <v>0</v>
      </c>
      <c r="H173" s="772">
        <v>148584400</v>
      </c>
      <c r="I173" s="754"/>
    </row>
    <row r="174" spans="1:9" ht="13.5" hidden="1" outlineLevel="1" thickBot="1">
      <c r="A174" s="760" t="s">
        <v>59</v>
      </c>
      <c r="B174" s="1230" t="s">
        <v>31</v>
      </c>
      <c r="C174" s="1219">
        <f t="shared" ref="C174:G174" si="21">SUM(C168:C173)</f>
        <v>859396955.5</v>
      </c>
      <c r="D174" s="1219">
        <f t="shared" si="21"/>
        <v>497453200</v>
      </c>
      <c r="E174" s="1219">
        <f t="shared" si="21"/>
        <v>1190336279.927083</v>
      </c>
      <c r="F174" s="735">
        <f t="shared" si="21"/>
        <v>160513762.57291663</v>
      </c>
      <c r="G174" s="1219">
        <f t="shared" si="21"/>
        <v>6000113</v>
      </c>
      <c r="H174" s="735">
        <f>SUM(F168:G173)</f>
        <v>166513875.57291663</v>
      </c>
      <c r="I174" s="768"/>
    </row>
    <row r="175" spans="1:9" hidden="1" outlineLevel="1">
      <c r="A175" s="750" t="s">
        <v>60</v>
      </c>
      <c r="B175" s="1239" t="s">
        <v>4</v>
      </c>
      <c r="C175" s="753">
        <v>3952661</v>
      </c>
      <c r="D175" s="753">
        <v>5000000</v>
      </c>
      <c r="E175" s="753">
        <v>4892776</v>
      </c>
      <c r="F175" s="730">
        <v>4059885</v>
      </c>
      <c r="G175" s="753">
        <v>0</v>
      </c>
      <c r="H175" s="740">
        <v>4059885</v>
      </c>
      <c r="I175" s="753"/>
    </row>
    <row r="176" spans="1:9" hidden="1" outlineLevel="1">
      <c r="A176" s="751" t="s">
        <v>60</v>
      </c>
      <c r="B176" s="919" t="s">
        <v>5</v>
      </c>
      <c r="C176" s="754">
        <v>47383350</v>
      </c>
      <c r="D176" s="754">
        <v>50000000</v>
      </c>
      <c r="E176" s="776">
        <v>94079900</v>
      </c>
      <c r="F176" s="740">
        <v>0</v>
      </c>
      <c r="G176" s="754">
        <v>3303450</v>
      </c>
      <c r="H176" s="732">
        <v>3303450</v>
      </c>
      <c r="I176" s="754"/>
    </row>
    <row r="177" spans="1:9" hidden="1" outlineLevel="1">
      <c r="A177" s="751" t="s">
        <v>60</v>
      </c>
      <c r="B177" s="928" t="s">
        <v>6</v>
      </c>
      <c r="C177" s="754">
        <v>736429881.5</v>
      </c>
      <c r="D177" s="755">
        <v>1320232000</v>
      </c>
      <c r="E177" s="754">
        <v>1275666723.9270799</v>
      </c>
      <c r="F177" s="740">
        <v>780995157.57291698</v>
      </c>
      <c r="G177" s="754">
        <v>0</v>
      </c>
      <c r="H177" s="740">
        <v>780995157.57291698</v>
      </c>
      <c r="I177" s="754"/>
    </row>
    <row r="178" spans="1:9" hidden="1" outlineLevel="1">
      <c r="A178" s="751" t="s">
        <v>60</v>
      </c>
      <c r="B178" s="920" t="s">
        <v>7</v>
      </c>
      <c r="C178" s="754">
        <v>0</v>
      </c>
      <c r="D178" s="754">
        <v>0</v>
      </c>
      <c r="E178" s="767">
        <v>0</v>
      </c>
      <c r="F178" s="740">
        <v>0</v>
      </c>
      <c r="G178" s="767">
        <v>0</v>
      </c>
      <c r="H178" s="740">
        <v>0</v>
      </c>
      <c r="I178" s="754"/>
    </row>
    <row r="179" spans="1:9" hidden="1" outlineLevel="1">
      <c r="A179" s="751" t="s">
        <v>60</v>
      </c>
      <c r="B179" s="919" t="s">
        <v>8</v>
      </c>
      <c r="C179" s="754">
        <v>71631063</v>
      </c>
      <c r="D179" s="754">
        <v>50000000</v>
      </c>
      <c r="E179" s="767">
        <v>120369400</v>
      </c>
      <c r="F179" s="777">
        <v>0</v>
      </c>
      <c r="G179" s="767">
        <v>1261663</v>
      </c>
      <c r="H179" s="740">
        <v>1261663</v>
      </c>
      <c r="I179" s="754"/>
    </row>
    <row r="180" spans="1:9" ht="13.5" hidden="1" outlineLevel="1" thickBot="1">
      <c r="A180" s="771" t="s">
        <v>60</v>
      </c>
      <c r="B180" s="926" t="s">
        <v>9</v>
      </c>
      <c r="C180" s="1256">
        <v>0</v>
      </c>
      <c r="D180" s="1218">
        <v>210853200</v>
      </c>
      <c r="E180" s="778">
        <v>62268800</v>
      </c>
      <c r="F180" s="772">
        <v>148584400</v>
      </c>
      <c r="G180" s="908">
        <v>0</v>
      </c>
      <c r="H180" s="772">
        <v>148584400</v>
      </c>
      <c r="I180" s="754"/>
    </row>
    <row r="181" spans="1:9" ht="13.5" hidden="1" outlineLevel="1" thickBot="1">
      <c r="A181" s="760" t="s">
        <v>60</v>
      </c>
      <c r="B181" s="1230" t="s">
        <v>31</v>
      </c>
      <c r="C181" s="1219">
        <f t="shared" ref="C181:G181" si="22">SUM(C175:C180)</f>
        <v>859396955.5</v>
      </c>
      <c r="D181" s="1219">
        <f t="shared" si="22"/>
        <v>1636085200</v>
      </c>
      <c r="E181" s="1219">
        <f t="shared" si="22"/>
        <v>1557277599.9270799</v>
      </c>
      <c r="F181" s="735">
        <f t="shared" si="22"/>
        <v>933639442.57291698</v>
      </c>
      <c r="G181" s="1219">
        <f t="shared" si="22"/>
        <v>4565113</v>
      </c>
      <c r="H181" s="735">
        <f>SUM(F175:G180)</f>
        <v>938204555.57291698</v>
      </c>
      <c r="I181" s="768"/>
    </row>
    <row r="182" spans="1:9" hidden="1" outlineLevel="1">
      <c r="A182" s="750" t="s">
        <v>61</v>
      </c>
      <c r="B182" s="1239" t="s">
        <v>4</v>
      </c>
      <c r="C182" s="753">
        <v>3952661</v>
      </c>
      <c r="D182" s="753">
        <v>5000000</v>
      </c>
      <c r="E182" s="753">
        <v>8952661</v>
      </c>
      <c r="F182" s="730">
        <v>2429085</v>
      </c>
      <c r="G182" s="753">
        <v>0</v>
      </c>
      <c r="H182" s="740">
        <v>2429085</v>
      </c>
      <c r="I182" s="753"/>
    </row>
    <row r="183" spans="1:9" hidden="1" outlineLevel="1">
      <c r="A183" s="751" t="s">
        <v>61</v>
      </c>
      <c r="B183" s="919" t="s">
        <v>5</v>
      </c>
      <c r="C183" s="754">
        <v>47383350</v>
      </c>
      <c r="D183" s="754">
        <v>50000000</v>
      </c>
      <c r="E183" s="776">
        <v>94079900</v>
      </c>
      <c r="F183" s="740">
        <v>0</v>
      </c>
      <c r="G183" s="754">
        <v>3303450</v>
      </c>
      <c r="H183" s="732">
        <v>3303450</v>
      </c>
      <c r="I183" s="754"/>
    </row>
    <row r="184" spans="1:9" hidden="1" outlineLevel="1">
      <c r="A184" s="751" t="s">
        <v>61</v>
      </c>
      <c r="B184" s="928" t="s">
        <v>6</v>
      </c>
      <c r="C184" s="754">
        <v>736429881.5</v>
      </c>
      <c r="D184" s="755">
        <v>1320232000</v>
      </c>
      <c r="E184" s="754">
        <v>1275726311.4270799</v>
      </c>
      <c r="F184" s="740">
        <v>780935570.07291698</v>
      </c>
      <c r="G184" s="754">
        <v>0</v>
      </c>
      <c r="H184" s="740">
        <v>780935570.07291698</v>
      </c>
      <c r="I184" s="754"/>
    </row>
    <row r="185" spans="1:9" hidden="1" outlineLevel="1">
      <c r="A185" s="751" t="s">
        <v>61</v>
      </c>
      <c r="B185" s="920" t="s">
        <v>7</v>
      </c>
      <c r="C185" s="754">
        <v>0</v>
      </c>
      <c r="D185" s="754">
        <v>0</v>
      </c>
      <c r="E185" s="767">
        <v>0</v>
      </c>
      <c r="F185" s="740">
        <v>0</v>
      </c>
      <c r="G185" s="767">
        <v>0</v>
      </c>
      <c r="H185" s="740">
        <v>0</v>
      </c>
      <c r="I185" s="754"/>
    </row>
    <row r="186" spans="1:9" hidden="1" outlineLevel="1">
      <c r="A186" s="751" t="s">
        <v>61</v>
      </c>
      <c r="B186" s="919" t="s">
        <v>8</v>
      </c>
      <c r="C186" s="754">
        <v>71631063</v>
      </c>
      <c r="D186" s="754">
        <v>150000000</v>
      </c>
      <c r="E186" s="767">
        <v>189082400</v>
      </c>
      <c r="F186" s="732">
        <v>0</v>
      </c>
      <c r="G186" s="775">
        <v>32548663</v>
      </c>
      <c r="H186" s="740">
        <v>32548663</v>
      </c>
      <c r="I186" s="754"/>
    </row>
    <row r="187" spans="1:9" ht="13.5" hidden="1" outlineLevel="1" thickBot="1">
      <c r="A187" s="771" t="s">
        <v>61</v>
      </c>
      <c r="B187" s="926" t="s">
        <v>9</v>
      </c>
      <c r="C187" s="1256">
        <v>0</v>
      </c>
      <c r="D187" s="1218">
        <v>210853200</v>
      </c>
      <c r="E187" s="778">
        <v>62268800</v>
      </c>
      <c r="F187" s="785">
        <v>148584400</v>
      </c>
      <c r="G187" s="908">
        <v>0</v>
      </c>
      <c r="H187" s="772">
        <v>148584400</v>
      </c>
      <c r="I187" s="754"/>
    </row>
    <row r="188" spans="1:9" ht="13.5" hidden="1" outlineLevel="1" thickBot="1">
      <c r="A188" s="760" t="s">
        <v>61</v>
      </c>
      <c r="B188" s="1230" t="s">
        <v>31</v>
      </c>
      <c r="C188" s="1219">
        <f>SUM(C182:C187)</f>
        <v>859396955.5</v>
      </c>
      <c r="D188" s="1219">
        <f>SUM(D182:D187)</f>
        <v>1736085200</v>
      </c>
      <c r="E188" s="1219">
        <f>SUM(E182:E187)</f>
        <v>1630110072.4270799</v>
      </c>
      <c r="F188" s="735">
        <f>SUM(F182:F187)</f>
        <v>931949055.07291698</v>
      </c>
      <c r="G188" s="1219">
        <f>SUM(G182:G187)</f>
        <v>35852113</v>
      </c>
      <c r="H188" s="735">
        <f>SUM(F182:G187)</f>
        <v>967801168.07291698</v>
      </c>
      <c r="I188" s="768"/>
    </row>
    <row r="189" spans="1:9" hidden="1" outlineLevel="1">
      <c r="A189" s="750" t="s">
        <v>62</v>
      </c>
      <c r="B189" s="1239" t="s">
        <v>4</v>
      </c>
      <c r="C189" s="753">
        <v>3952661</v>
      </c>
      <c r="D189" s="753">
        <v>5000000</v>
      </c>
      <c r="E189" s="753">
        <v>8952661</v>
      </c>
      <c r="F189" s="730">
        <v>2429085</v>
      </c>
      <c r="G189" s="753">
        <v>0</v>
      </c>
      <c r="H189" s="740">
        <v>2429085</v>
      </c>
      <c r="I189" s="753"/>
    </row>
    <row r="190" spans="1:9" hidden="1" outlineLevel="1">
      <c r="A190" s="751" t="s">
        <v>62</v>
      </c>
      <c r="B190" s="919" t="s">
        <v>5</v>
      </c>
      <c r="C190" s="754">
        <v>47383350</v>
      </c>
      <c r="D190" s="754">
        <v>50000000</v>
      </c>
      <c r="E190" s="776">
        <v>94079900</v>
      </c>
      <c r="F190" s="740">
        <v>0</v>
      </c>
      <c r="G190" s="754">
        <v>3303450</v>
      </c>
      <c r="H190" s="732">
        <v>3303450</v>
      </c>
      <c r="I190" s="754"/>
    </row>
    <row r="191" spans="1:9" hidden="1" outlineLevel="1">
      <c r="A191" s="751" t="s">
        <v>62</v>
      </c>
      <c r="B191" s="928" t="s">
        <v>6</v>
      </c>
      <c r="C191" s="754">
        <v>736429881.5</v>
      </c>
      <c r="D191" s="755">
        <v>1320232000</v>
      </c>
      <c r="E191" s="754">
        <v>1275726311.4270799</v>
      </c>
      <c r="F191" s="740">
        <v>780935570.07291698</v>
      </c>
      <c r="G191" s="754">
        <v>0</v>
      </c>
      <c r="H191" s="740">
        <v>780935570.07291698</v>
      </c>
      <c r="I191" s="754"/>
    </row>
    <row r="192" spans="1:9" hidden="1" outlineLevel="1">
      <c r="A192" s="751" t="s">
        <v>62</v>
      </c>
      <c r="B192" s="920" t="s">
        <v>7</v>
      </c>
      <c r="C192" s="754">
        <v>0</v>
      </c>
      <c r="D192" s="754">
        <v>0</v>
      </c>
      <c r="E192" s="767">
        <v>0</v>
      </c>
      <c r="F192" s="740">
        <v>0</v>
      </c>
      <c r="G192" s="767">
        <v>0</v>
      </c>
      <c r="H192" s="740">
        <v>0</v>
      </c>
      <c r="I192" s="754"/>
    </row>
    <row r="193" spans="1:9" hidden="1" outlineLevel="1">
      <c r="A193" s="751" t="s">
        <v>62</v>
      </c>
      <c r="B193" s="919" t="s">
        <v>8</v>
      </c>
      <c r="C193" s="754">
        <v>71631063</v>
      </c>
      <c r="D193" s="754">
        <v>150000000</v>
      </c>
      <c r="E193" s="767">
        <v>189082400</v>
      </c>
      <c r="F193" s="777">
        <v>32548663</v>
      </c>
      <c r="G193" s="767">
        <v>0</v>
      </c>
      <c r="H193" s="740">
        <v>32548663</v>
      </c>
      <c r="I193" s="754"/>
    </row>
    <row r="194" spans="1:9" ht="13.5" hidden="1" outlineLevel="1" thickBot="1">
      <c r="A194" s="771" t="s">
        <v>62</v>
      </c>
      <c r="B194" s="926" t="s">
        <v>9</v>
      </c>
      <c r="C194" s="1256">
        <v>0</v>
      </c>
      <c r="D194" s="1218">
        <v>210853200</v>
      </c>
      <c r="E194" s="778">
        <v>62268800</v>
      </c>
      <c r="F194" s="772">
        <v>148584400</v>
      </c>
      <c r="G194" s="908">
        <v>0</v>
      </c>
      <c r="H194" s="772">
        <v>148584400</v>
      </c>
      <c r="I194" s="754"/>
    </row>
    <row r="195" spans="1:9" ht="13.5" hidden="1" outlineLevel="1" thickBot="1">
      <c r="A195" s="760" t="s">
        <v>62</v>
      </c>
      <c r="B195" s="1230" t="s">
        <v>31</v>
      </c>
      <c r="C195" s="1219">
        <f t="shared" ref="C195:G195" si="23">SUM(C189:C194)</f>
        <v>859396955.5</v>
      </c>
      <c r="D195" s="1219">
        <f t="shared" si="23"/>
        <v>1736085200</v>
      </c>
      <c r="E195" s="807">
        <f t="shared" si="23"/>
        <v>1630110072.4270799</v>
      </c>
      <c r="F195" s="779">
        <f t="shared" si="23"/>
        <v>964497718.07291698</v>
      </c>
      <c r="G195" s="1219">
        <f t="shared" si="23"/>
        <v>3303450</v>
      </c>
      <c r="H195" s="735">
        <f>SUM(F189:G194)</f>
        <v>967801168.07291698</v>
      </c>
      <c r="I195" s="768"/>
    </row>
    <row r="196" spans="1:9" hidden="1" outlineLevel="1">
      <c r="A196" s="750" t="s">
        <v>63</v>
      </c>
      <c r="B196" s="1239" t="s">
        <v>4</v>
      </c>
      <c r="C196" s="753">
        <v>3952661</v>
      </c>
      <c r="D196" s="753">
        <v>5000000</v>
      </c>
      <c r="E196" s="780">
        <v>8952661</v>
      </c>
      <c r="F196" s="730">
        <v>2429085</v>
      </c>
      <c r="G196" s="753">
        <v>0</v>
      </c>
      <c r="H196" s="740">
        <v>2429085</v>
      </c>
      <c r="I196" s="753"/>
    </row>
    <row r="197" spans="1:9" hidden="1" outlineLevel="1">
      <c r="A197" s="751" t="s">
        <v>63</v>
      </c>
      <c r="B197" s="919" t="s">
        <v>5</v>
      </c>
      <c r="C197" s="754">
        <v>47383350</v>
      </c>
      <c r="D197" s="754">
        <v>50000000</v>
      </c>
      <c r="E197" s="782">
        <v>94079900</v>
      </c>
      <c r="F197" s="740">
        <v>0</v>
      </c>
      <c r="G197" s="754">
        <v>3303450</v>
      </c>
      <c r="H197" s="732">
        <v>3303450</v>
      </c>
      <c r="I197" s="754"/>
    </row>
    <row r="198" spans="1:9" hidden="1" outlineLevel="1">
      <c r="A198" s="751" t="s">
        <v>63</v>
      </c>
      <c r="B198" s="928" t="s">
        <v>6</v>
      </c>
      <c r="C198" s="754">
        <v>736429881.5</v>
      </c>
      <c r="D198" s="755">
        <v>1320232000</v>
      </c>
      <c r="E198" s="767">
        <v>1275726311.4270799</v>
      </c>
      <c r="F198" s="740">
        <v>780935570.07291698</v>
      </c>
      <c r="G198" s="754">
        <v>0</v>
      </c>
      <c r="H198" s="740">
        <v>780935570.07291698</v>
      </c>
      <c r="I198" s="754"/>
    </row>
    <row r="199" spans="1:9" hidden="1" outlineLevel="1">
      <c r="A199" s="751" t="s">
        <v>63</v>
      </c>
      <c r="B199" s="920" t="s">
        <v>7</v>
      </c>
      <c r="C199" s="754">
        <v>0</v>
      </c>
      <c r="D199" s="754">
        <v>0</v>
      </c>
      <c r="E199" s="767">
        <v>0</v>
      </c>
      <c r="F199" s="740">
        <v>0</v>
      </c>
      <c r="G199" s="767">
        <v>0</v>
      </c>
      <c r="H199" s="740">
        <v>0</v>
      </c>
      <c r="I199" s="754"/>
    </row>
    <row r="200" spans="1:9" hidden="1" outlineLevel="1">
      <c r="A200" s="751" t="s">
        <v>63</v>
      </c>
      <c r="B200" s="919" t="s">
        <v>8</v>
      </c>
      <c r="C200" s="754">
        <v>71631063</v>
      </c>
      <c r="D200" s="754">
        <v>150000000</v>
      </c>
      <c r="E200" s="767">
        <v>189082400</v>
      </c>
      <c r="F200" s="732">
        <v>0</v>
      </c>
      <c r="G200" s="1274">
        <v>32548663</v>
      </c>
      <c r="H200" s="740">
        <v>32548663</v>
      </c>
      <c r="I200" s="754"/>
    </row>
    <row r="201" spans="1:9" ht="13.5" hidden="1" outlineLevel="1" thickBot="1">
      <c r="A201" s="771" t="s">
        <v>63</v>
      </c>
      <c r="B201" s="926" t="s">
        <v>9</v>
      </c>
      <c r="C201" s="1256">
        <v>0</v>
      </c>
      <c r="D201" s="1218">
        <v>210853200</v>
      </c>
      <c r="E201" s="784">
        <v>62268800</v>
      </c>
      <c r="F201" s="785">
        <v>148584400</v>
      </c>
      <c r="G201" s="908">
        <v>0</v>
      </c>
      <c r="H201" s="772">
        <v>148584400</v>
      </c>
      <c r="I201" s="754"/>
    </row>
    <row r="202" spans="1:9" ht="13.5" hidden="1" outlineLevel="1" thickBot="1">
      <c r="A202" s="760" t="s">
        <v>63</v>
      </c>
      <c r="B202" s="1230" t="s">
        <v>31</v>
      </c>
      <c r="C202" s="1219">
        <f>SUM(C196:C201)</f>
        <v>859396955.5</v>
      </c>
      <c r="D202" s="1219">
        <f>SUM(D196:D201)</f>
        <v>1736085200</v>
      </c>
      <c r="E202" s="808">
        <f>SUM(E196:E201)</f>
        <v>1630110072.4270799</v>
      </c>
      <c r="F202" s="787">
        <f>SUM(F196:F201)</f>
        <v>931949055.07291698</v>
      </c>
      <c r="G202" s="1219">
        <f>SUM(G196:G201)</f>
        <v>35852113</v>
      </c>
      <c r="H202" s="735">
        <f>SUM(F196:G201)</f>
        <v>967801168.07291698</v>
      </c>
      <c r="I202" s="768"/>
    </row>
    <row r="203" spans="1:9" hidden="1" outlineLevel="1">
      <c r="A203" s="750" t="s">
        <v>64</v>
      </c>
      <c r="B203" s="1239" t="s">
        <v>4</v>
      </c>
      <c r="C203" s="753">
        <v>3952661</v>
      </c>
      <c r="D203" s="753">
        <v>5000000</v>
      </c>
      <c r="E203" s="780">
        <v>7479676</v>
      </c>
      <c r="F203" s="730">
        <v>1472985</v>
      </c>
      <c r="G203" s="753">
        <v>0</v>
      </c>
      <c r="H203" s="740">
        <v>1472985</v>
      </c>
      <c r="I203" s="753"/>
    </row>
    <row r="204" spans="1:9" hidden="1" outlineLevel="1">
      <c r="A204" s="751" t="s">
        <v>64</v>
      </c>
      <c r="B204" s="919" t="s">
        <v>5</v>
      </c>
      <c r="C204" s="754">
        <v>47383350</v>
      </c>
      <c r="D204" s="754">
        <v>50000000</v>
      </c>
      <c r="E204" s="782">
        <v>94079900</v>
      </c>
      <c r="F204" s="740">
        <v>0</v>
      </c>
      <c r="G204" s="754">
        <v>3303450</v>
      </c>
      <c r="H204" s="732">
        <v>3303450</v>
      </c>
      <c r="I204" s="754"/>
    </row>
    <row r="205" spans="1:9" hidden="1" outlineLevel="1">
      <c r="A205" s="751" t="s">
        <v>64</v>
      </c>
      <c r="B205" s="928" t="s">
        <v>6</v>
      </c>
      <c r="C205" s="754">
        <v>736429881.5</v>
      </c>
      <c r="D205" s="755">
        <v>1320232000</v>
      </c>
      <c r="E205" s="767">
        <v>1275726311.4270799</v>
      </c>
      <c r="F205" s="740">
        <v>780935570.07291698</v>
      </c>
      <c r="G205" s="754">
        <v>0</v>
      </c>
      <c r="H205" s="740">
        <v>780935570.07291698</v>
      </c>
      <c r="I205" s="754"/>
    </row>
    <row r="206" spans="1:9" hidden="1" outlineLevel="1">
      <c r="A206" s="751" t="s">
        <v>64</v>
      </c>
      <c r="B206" s="920" t="s">
        <v>7</v>
      </c>
      <c r="C206" s="754">
        <v>0</v>
      </c>
      <c r="D206" s="754">
        <v>0</v>
      </c>
      <c r="E206" s="767">
        <v>0</v>
      </c>
      <c r="F206" s="740">
        <v>0</v>
      </c>
      <c r="G206" s="767">
        <v>0</v>
      </c>
      <c r="H206" s="740">
        <v>0</v>
      </c>
      <c r="I206" s="754"/>
    </row>
    <row r="207" spans="1:9" hidden="1" outlineLevel="1">
      <c r="A207" s="751" t="s">
        <v>64</v>
      </c>
      <c r="B207" s="919" t="s">
        <v>8</v>
      </c>
      <c r="C207" s="754">
        <v>71631063</v>
      </c>
      <c r="D207" s="754">
        <v>150000000</v>
      </c>
      <c r="E207" s="767">
        <v>189082400</v>
      </c>
      <c r="F207" s="777">
        <v>0</v>
      </c>
      <c r="G207" s="767">
        <v>32548663</v>
      </c>
      <c r="H207" s="740">
        <v>32548663</v>
      </c>
      <c r="I207" s="754"/>
    </row>
    <row r="208" spans="1:9" ht="13.5" hidden="1" outlineLevel="1" thickBot="1">
      <c r="A208" s="771" t="s">
        <v>64</v>
      </c>
      <c r="B208" s="926" t="s">
        <v>9</v>
      </c>
      <c r="C208" s="1256">
        <v>0</v>
      </c>
      <c r="D208" s="1218">
        <v>210853200</v>
      </c>
      <c r="E208" s="778">
        <v>62268800</v>
      </c>
      <c r="F208" s="772">
        <v>148584400</v>
      </c>
      <c r="G208" s="908">
        <v>0</v>
      </c>
      <c r="H208" s="772">
        <v>148584400</v>
      </c>
      <c r="I208" s="754"/>
    </row>
    <row r="209" spans="1:9" ht="13.5" hidden="1" outlineLevel="1" thickBot="1">
      <c r="A209" s="760" t="s">
        <v>64</v>
      </c>
      <c r="B209" s="1230" t="s">
        <v>31</v>
      </c>
      <c r="C209" s="1219">
        <f t="shared" ref="C209:G209" si="24">SUM(C203:C208)</f>
        <v>859396955.5</v>
      </c>
      <c r="D209" s="1219">
        <f t="shared" si="24"/>
        <v>1736085200</v>
      </c>
      <c r="E209" s="808">
        <f t="shared" si="24"/>
        <v>1628637087.4270799</v>
      </c>
      <c r="F209" s="735">
        <f t="shared" si="24"/>
        <v>930992955.07291698</v>
      </c>
      <c r="G209" s="1219">
        <f t="shared" si="24"/>
        <v>35852113</v>
      </c>
      <c r="H209" s="779">
        <f>SUM(F203:G208)</f>
        <v>966845068.07291698</v>
      </c>
      <c r="I209" s="768"/>
    </row>
    <row r="210" spans="1:9" hidden="1" outlineLevel="1">
      <c r="A210" s="750" t="s">
        <v>65</v>
      </c>
      <c r="B210" s="1239" t="s">
        <v>4</v>
      </c>
      <c r="C210" s="753">
        <v>3952661</v>
      </c>
      <c r="D210" s="753">
        <v>15000000</v>
      </c>
      <c r="E210" s="780">
        <v>17487376</v>
      </c>
      <c r="F210" s="905">
        <v>1465285</v>
      </c>
      <c r="G210" s="753">
        <v>0</v>
      </c>
      <c r="H210" s="905">
        <v>1465285</v>
      </c>
      <c r="I210" s="753"/>
    </row>
    <row r="211" spans="1:9" hidden="1" outlineLevel="1">
      <c r="A211" s="751" t="s">
        <v>65</v>
      </c>
      <c r="B211" s="919" t="s">
        <v>5</v>
      </c>
      <c r="C211" s="754">
        <v>47383350</v>
      </c>
      <c r="D211" s="755">
        <v>102000000</v>
      </c>
      <c r="E211" s="782">
        <v>98809400</v>
      </c>
      <c r="F211" s="740">
        <v>0</v>
      </c>
      <c r="G211" s="754">
        <v>50573950</v>
      </c>
      <c r="H211" s="906">
        <v>50573950</v>
      </c>
      <c r="I211" s="754"/>
    </row>
    <row r="212" spans="1:9" hidden="1" outlineLevel="1">
      <c r="A212" s="751" t="s">
        <v>65</v>
      </c>
      <c r="B212" s="928" t="s">
        <v>6</v>
      </c>
      <c r="C212" s="754">
        <v>736429881.5</v>
      </c>
      <c r="D212" s="754">
        <v>1320232000</v>
      </c>
      <c r="E212" s="767">
        <v>1277065611.4270799</v>
      </c>
      <c r="F212" s="740">
        <v>779596270.07291698</v>
      </c>
      <c r="G212" s="754">
        <v>0</v>
      </c>
      <c r="H212" s="1264">
        <v>779596270.07291698</v>
      </c>
      <c r="I212" s="754"/>
    </row>
    <row r="213" spans="1:9" hidden="1" outlineLevel="1">
      <c r="A213" s="751" t="s">
        <v>65</v>
      </c>
      <c r="B213" s="920" t="s">
        <v>7</v>
      </c>
      <c r="C213" s="754">
        <v>0</v>
      </c>
      <c r="D213" s="754">
        <v>0</v>
      </c>
      <c r="E213" s="767">
        <v>0</v>
      </c>
      <c r="F213" s="740">
        <v>0</v>
      </c>
      <c r="G213" s="767">
        <v>0</v>
      </c>
      <c r="H213" s="1265">
        <v>0</v>
      </c>
      <c r="I213" s="754"/>
    </row>
    <row r="214" spans="1:9" hidden="1" outlineLevel="1">
      <c r="A214" s="751" t="s">
        <v>65</v>
      </c>
      <c r="B214" s="919" t="s">
        <v>8</v>
      </c>
      <c r="C214" s="754">
        <v>71631063</v>
      </c>
      <c r="D214" s="755">
        <v>220000000</v>
      </c>
      <c r="E214" s="767">
        <v>210889400</v>
      </c>
      <c r="F214" s="777">
        <v>50000000</v>
      </c>
      <c r="G214" s="767">
        <v>30741663</v>
      </c>
      <c r="H214" s="1264">
        <v>80741663</v>
      </c>
      <c r="I214" s="754"/>
    </row>
    <row r="215" spans="1:9" ht="13.5" hidden="1" outlineLevel="1" thickBot="1">
      <c r="A215" s="771" t="s">
        <v>65</v>
      </c>
      <c r="B215" s="926" t="s">
        <v>9</v>
      </c>
      <c r="C215" s="1256">
        <v>0</v>
      </c>
      <c r="D215" s="1218">
        <v>210853200</v>
      </c>
      <c r="E215" s="784">
        <v>62268800</v>
      </c>
      <c r="F215" s="772">
        <v>148584400</v>
      </c>
      <c r="G215" s="908">
        <v>0</v>
      </c>
      <c r="H215" s="1266">
        <v>148584400</v>
      </c>
      <c r="I215" s="754"/>
    </row>
    <row r="216" spans="1:9" ht="13.5" hidden="1" outlineLevel="1" thickBot="1">
      <c r="A216" s="789" t="s">
        <v>65</v>
      </c>
      <c r="B216" s="1230" t="s">
        <v>31</v>
      </c>
      <c r="C216" s="1219">
        <f t="shared" ref="C216:G216" si="25">SUM(C210:C215)</f>
        <v>859396955.5</v>
      </c>
      <c r="D216" s="1219">
        <f t="shared" si="25"/>
        <v>1868085200</v>
      </c>
      <c r="E216" s="809">
        <f t="shared" si="25"/>
        <v>1666520587.4270799</v>
      </c>
      <c r="F216" s="735">
        <f t="shared" si="25"/>
        <v>979645955.07291698</v>
      </c>
      <c r="G216" s="1219">
        <f t="shared" si="25"/>
        <v>81315613</v>
      </c>
      <c r="H216" s="735">
        <f>SUM(F210:G215)</f>
        <v>1060961568.072917</v>
      </c>
      <c r="I216" s="768"/>
    </row>
    <row r="217" spans="1:9" hidden="1" outlineLevel="1">
      <c r="A217" s="750" t="s">
        <v>66</v>
      </c>
      <c r="B217" s="1239" t="s">
        <v>4</v>
      </c>
      <c r="C217" s="753">
        <v>3952661</v>
      </c>
      <c r="D217" s="753">
        <v>15000000</v>
      </c>
      <c r="E217" s="780">
        <v>17487376</v>
      </c>
      <c r="F217" s="905">
        <v>1465285</v>
      </c>
      <c r="G217" s="753">
        <v>0</v>
      </c>
      <c r="H217" s="905">
        <v>1465285</v>
      </c>
      <c r="I217" s="753"/>
    </row>
    <row r="218" spans="1:9" hidden="1" outlineLevel="1">
      <c r="A218" s="751" t="s">
        <v>66</v>
      </c>
      <c r="B218" s="919" t="s">
        <v>5</v>
      </c>
      <c r="C218" s="754">
        <v>47383350</v>
      </c>
      <c r="D218" s="755">
        <v>302000000</v>
      </c>
      <c r="E218" s="782">
        <v>251842400</v>
      </c>
      <c r="F218" s="740">
        <v>50000000</v>
      </c>
      <c r="G218" s="754">
        <v>47540950</v>
      </c>
      <c r="H218" s="906">
        <v>97540950</v>
      </c>
      <c r="I218" s="754"/>
    </row>
    <row r="219" spans="1:9" hidden="1" outlineLevel="1">
      <c r="A219" s="751" t="s">
        <v>66</v>
      </c>
      <c r="B219" s="928" t="s">
        <v>6</v>
      </c>
      <c r="C219" s="754">
        <v>736429881.5</v>
      </c>
      <c r="D219" s="754">
        <v>1388332000</v>
      </c>
      <c r="E219" s="767">
        <v>1288586088.4270799</v>
      </c>
      <c r="F219" s="740">
        <v>836175793.07291698</v>
      </c>
      <c r="G219" s="754">
        <v>0</v>
      </c>
      <c r="H219" s="1264">
        <v>836175793.07291698</v>
      </c>
      <c r="I219" s="754"/>
    </row>
    <row r="220" spans="1:9" hidden="1" outlineLevel="1">
      <c r="A220" s="751" t="s">
        <v>66</v>
      </c>
      <c r="B220" s="920" t="s">
        <v>7</v>
      </c>
      <c r="C220" s="754">
        <v>0</v>
      </c>
      <c r="D220" s="754">
        <v>0</v>
      </c>
      <c r="E220" s="767">
        <v>0</v>
      </c>
      <c r="F220" s="740">
        <v>0</v>
      </c>
      <c r="G220" s="767">
        <v>0</v>
      </c>
      <c r="H220" s="1265">
        <v>0</v>
      </c>
      <c r="I220" s="754"/>
    </row>
    <row r="221" spans="1:9" hidden="1" outlineLevel="1">
      <c r="A221" s="751" t="s">
        <v>66</v>
      </c>
      <c r="B221" s="919" t="s">
        <v>8</v>
      </c>
      <c r="C221" s="754">
        <v>71631063</v>
      </c>
      <c r="D221" s="755">
        <v>220000000</v>
      </c>
      <c r="E221" s="767">
        <v>215039400</v>
      </c>
      <c r="F221" s="777">
        <v>0</v>
      </c>
      <c r="G221" s="767">
        <v>76591663</v>
      </c>
      <c r="H221" s="1264">
        <v>76591663</v>
      </c>
      <c r="I221" s="754"/>
    </row>
    <row r="222" spans="1:9" ht="13.5" hidden="1" outlineLevel="1" thickBot="1">
      <c r="A222" s="771" t="s">
        <v>66</v>
      </c>
      <c r="B222" s="926" t="s">
        <v>9</v>
      </c>
      <c r="C222" s="1256">
        <v>0</v>
      </c>
      <c r="D222" s="1218">
        <v>210853200</v>
      </c>
      <c r="E222" s="784">
        <v>62268800</v>
      </c>
      <c r="F222" s="772">
        <v>148584400</v>
      </c>
      <c r="G222" s="908">
        <v>0</v>
      </c>
      <c r="H222" s="1266">
        <v>148584400</v>
      </c>
      <c r="I222" s="754"/>
    </row>
    <row r="223" spans="1:9" ht="13.5" hidden="1" outlineLevel="1" thickBot="1">
      <c r="A223" s="790" t="s">
        <v>66</v>
      </c>
      <c r="B223" s="1230" t="s">
        <v>31</v>
      </c>
      <c r="C223" s="1219">
        <f t="shared" ref="C223:G223" si="26">SUM(C217:C222)</f>
        <v>859396955.5</v>
      </c>
      <c r="D223" s="1219">
        <f t="shared" si="26"/>
        <v>2136185200</v>
      </c>
      <c r="E223" s="809">
        <f t="shared" si="26"/>
        <v>1835224064.4270799</v>
      </c>
      <c r="F223" s="735">
        <f t="shared" si="26"/>
        <v>1036225478.072917</v>
      </c>
      <c r="G223" s="1219">
        <f t="shared" si="26"/>
        <v>124132613</v>
      </c>
      <c r="H223" s="735">
        <f>SUM(F217:G222)</f>
        <v>1160358091.072917</v>
      </c>
      <c r="I223" s="768"/>
    </row>
    <row r="224" spans="1:9" hidden="1" outlineLevel="1">
      <c r="A224" s="750" t="s">
        <v>67</v>
      </c>
      <c r="B224" s="1239" t="s">
        <v>4</v>
      </c>
      <c r="C224" s="753">
        <v>3952661</v>
      </c>
      <c r="D224" s="753">
        <v>15000000</v>
      </c>
      <c r="E224" s="780">
        <v>17487376</v>
      </c>
      <c r="F224" s="905">
        <v>1465285</v>
      </c>
      <c r="G224" s="753">
        <v>0</v>
      </c>
      <c r="H224" s="905">
        <v>1465285</v>
      </c>
      <c r="I224" s="753"/>
    </row>
    <row r="225" spans="1:9" hidden="1" outlineLevel="1">
      <c r="A225" s="751" t="s">
        <v>67</v>
      </c>
      <c r="B225" s="919" t="s">
        <v>5</v>
      </c>
      <c r="C225" s="754">
        <v>47383350</v>
      </c>
      <c r="D225" s="754">
        <v>302000000</v>
      </c>
      <c r="E225" s="782">
        <v>254977400</v>
      </c>
      <c r="F225" s="740">
        <v>50000000</v>
      </c>
      <c r="G225" s="754">
        <v>44405950</v>
      </c>
      <c r="H225" s="906">
        <v>94405950</v>
      </c>
      <c r="I225" s="754"/>
    </row>
    <row r="226" spans="1:9" hidden="1" outlineLevel="1">
      <c r="A226" s="751" t="s">
        <v>67</v>
      </c>
      <c r="B226" s="928" t="s">
        <v>6</v>
      </c>
      <c r="C226" s="754">
        <v>736429881.5</v>
      </c>
      <c r="D226" s="754">
        <v>1388332000</v>
      </c>
      <c r="E226" s="767">
        <v>1312270360.4270799</v>
      </c>
      <c r="F226" s="740">
        <v>812491521.07291698</v>
      </c>
      <c r="G226" s="754">
        <v>0</v>
      </c>
      <c r="H226" s="1264">
        <v>812491521.07291698</v>
      </c>
      <c r="I226" s="754"/>
    </row>
    <row r="227" spans="1:9" hidden="1" outlineLevel="1">
      <c r="A227" s="751" t="s">
        <v>67</v>
      </c>
      <c r="B227" s="920" t="s">
        <v>7</v>
      </c>
      <c r="C227" s="754">
        <v>0</v>
      </c>
      <c r="D227" s="754">
        <v>0</v>
      </c>
      <c r="E227" s="767">
        <v>0</v>
      </c>
      <c r="F227" s="740">
        <v>0</v>
      </c>
      <c r="G227" s="767">
        <v>0</v>
      </c>
      <c r="H227" s="1265">
        <v>0</v>
      </c>
      <c r="I227" s="754"/>
    </row>
    <row r="228" spans="1:9" hidden="1" outlineLevel="1">
      <c r="A228" s="751" t="s">
        <v>67</v>
      </c>
      <c r="B228" s="919" t="s">
        <v>8</v>
      </c>
      <c r="C228" s="754">
        <v>71631063</v>
      </c>
      <c r="D228" s="754">
        <v>220000000</v>
      </c>
      <c r="E228" s="767">
        <v>215099400</v>
      </c>
      <c r="F228" s="777">
        <v>0</v>
      </c>
      <c r="G228" s="767">
        <v>76531663</v>
      </c>
      <c r="H228" s="1264">
        <v>76531663</v>
      </c>
      <c r="I228" s="754"/>
    </row>
    <row r="229" spans="1:9" ht="13.5" hidden="1" outlineLevel="1" thickBot="1">
      <c r="A229" s="771" t="s">
        <v>67</v>
      </c>
      <c r="B229" s="926" t="s">
        <v>9</v>
      </c>
      <c r="C229" s="1256">
        <v>0</v>
      </c>
      <c r="D229" s="1218">
        <v>210853200</v>
      </c>
      <c r="E229" s="784">
        <v>62268800</v>
      </c>
      <c r="F229" s="772">
        <v>148584400</v>
      </c>
      <c r="G229" s="908">
        <v>0</v>
      </c>
      <c r="H229" s="1266">
        <v>148584400</v>
      </c>
      <c r="I229" s="754"/>
    </row>
    <row r="230" spans="1:9" ht="13.5" hidden="1" outlineLevel="1" thickBot="1">
      <c r="A230" s="790" t="s">
        <v>67</v>
      </c>
      <c r="B230" s="1230" t="s">
        <v>31</v>
      </c>
      <c r="C230" s="1219">
        <f t="shared" ref="C230:G230" si="27">SUM(C224:C229)</f>
        <v>859396955.5</v>
      </c>
      <c r="D230" s="1219">
        <f t="shared" si="27"/>
        <v>2136185200</v>
      </c>
      <c r="E230" s="809">
        <f t="shared" si="27"/>
        <v>1862103336.4270799</v>
      </c>
      <c r="F230" s="735">
        <f t="shared" si="27"/>
        <v>1012541206.072917</v>
      </c>
      <c r="G230" s="1219">
        <f t="shared" si="27"/>
        <v>120937613</v>
      </c>
      <c r="H230" s="735">
        <f>SUM(F224:G229)</f>
        <v>1133478819.072917</v>
      </c>
      <c r="I230" s="768"/>
    </row>
    <row r="231" spans="1:9" hidden="1" outlineLevel="1">
      <c r="A231" s="750" t="s">
        <v>68</v>
      </c>
      <c r="B231" s="1239" t="s">
        <v>4</v>
      </c>
      <c r="C231" s="753">
        <v>3952661</v>
      </c>
      <c r="D231" s="753">
        <v>15000000</v>
      </c>
      <c r="E231" s="780">
        <v>17502376</v>
      </c>
      <c r="F231" s="905">
        <v>1450285</v>
      </c>
      <c r="G231" s="753">
        <v>0</v>
      </c>
      <c r="H231" s="905">
        <v>1450285</v>
      </c>
      <c r="I231" s="753"/>
    </row>
    <row r="232" spans="1:9" hidden="1" outlineLevel="1">
      <c r="A232" s="751" t="s">
        <v>68</v>
      </c>
      <c r="B232" s="919" t="s">
        <v>5</v>
      </c>
      <c r="C232" s="754">
        <v>47383350</v>
      </c>
      <c r="D232" s="754">
        <v>302000000</v>
      </c>
      <c r="E232" s="782">
        <v>263147400</v>
      </c>
      <c r="F232" s="740">
        <v>45000000</v>
      </c>
      <c r="G232" s="754">
        <v>41235950</v>
      </c>
      <c r="H232" s="906">
        <v>86235950</v>
      </c>
      <c r="I232" s="754"/>
    </row>
    <row r="233" spans="1:9" hidden="1" outlineLevel="1">
      <c r="A233" s="751" t="s">
        <v>68</v>
      </c>
      <c r="B233" s="928" t="s">
        <v>6</v>
      </c>
      <c r="C233" s="754">
        <v>736429881.5</v>
      </c>
      <c r="D233" s="754">
        <v>1388332000</v>
      </c>
      <c r="E233" s="767">
        <v>1313963780.4270799</v>
      </c>
      <c r="F233" s="740">
        <v>810798101.07291698</v>
      </c>
      <c r="G233" s="754">
        <v>0</v>
      </c>
      <c r="H233" s="1264">
        <v>810798101.07291698</v>
      </c>
      <c r="I233" s="754"/>
    </row>
    <row r="234" spans="1:9" hidden="1" outlineLevel="1">
      <c r="A234" s="751" t="s">
        <v>68</v>
      </c>
      <c r="B234" s="920" t="s">
        <v>7</v>
      </c>
      <c r="C234" s="754">
        <v>0</v>
      </c>
      <c r="D234" s="754">
        <v>0</v>
      </c>
      <c r="E234" s="767">
        <v>0</v>
      </c>
      <c r="F234" s="740">
        <v>0</v>
      </c>
      <c r="G234" s="767">
        <v>0</v>
      </c>
      <c r="H234" s="1265">
        <v>0</v>
      </c>
      <c r="I234" s="754"/>
    </row>
    <row r="235" spans="1:9" hidden="1" outlineLevel="1">
      <c r="A235" s="751" t="s">
        <v>68</v>
      </c>
      <c r="B235" s="919" t="s">
        <v>8</v>
      </c>
      <c r="C235" s="754">
        <v>71631063</v>
      </c>
      <c r="D235" s="754">
        <v>220000000</v>
      </c>
      <c r="E235" s="767">
        <v>215099400</v>
      </c>
      <c r="F235" s="777">
        <v>0</v>
      </c>
      <c r="G235" s="767">
        <v>76531663</v>
      </c>
      <c r="H235" s="1264">
        <v>76531663</v>
      </c>
      <c r="I235" s="754"/>
    </row>
    <row r="236" spans="1:9" ht="13.5" hidden="1" outlineLevel="1" thickBot="1">
      <c r="A236" s="771" t="s">
        <v>68</v>
      </c>
      <c r="B236" s="926" t="s">
        <v>9</v>
      </c>
      <c r="C236" s="1256">
        <v>0</v>
      </c>
      <c r="D236" s="1218">
        <v>210853200</v>
      </c>
      <c r="E236" s="784">
        <v>62268800</v>
      </c>
      <c r="F236" s="772">
        <v>148584400</v>
      </c>
      <c r="G236" s="908">
        <v>0</v>
      </c>
      <c r="H236" s="1266">
        <v>148584400</v>
      </c>
      <c r="I236" s="754"/>
    </row>
    <row r="237" spans="1:9" ht="13.5" hidden="1" outlineLevel="1" thickBot="1">
      <c r="A237" s="790" t="s">
        <v>68</v>
      </c>
      <c r="B237" s="1230" t="s">
        <v>31</v>
      </c>
      <c r="C237" s="1219">
        <f t="shared" ref="C237:G237" si="28">SUM(C231:C236)</f>
        <v>859396955.5</v>
      </c>
      <c r="D237" s="1219">
        <f t="shared" si="28"/>
        <v>2136185200</v>
      </c>
      <c r="E237" s="809">
        <f t="shared" si="28"/>
        <v>1871981756.4270799</v>
      </c>
      <c r="F237" s="735">
        <f t="shared" si="28"/>
        <v>1005832786.072917</v>
      </c>
      <c r="G237" s="1219">
        <f t="shared" si="28"/>
        <v>117767613</v>
      </c>
      <c r="H237" s="735">
        <f>SUM(F231:G236)</f>
        <v>1123600399.072917</v>
      </c>
      <c r="I237" s="768"/>
    </row>
    <row r="238" spans="1:9" hidden="1" outlineLevel="1">
      <c r="A238" s="750" t="s">
        <v>69</v>
      </c>
      <c r="B238" s="1239" t="s">
        <v>4</v>
      </c>
      <c r="C238" s="753">
        <v>3952661</v>
      </c>
      <c r="D238" s="753">
        <v>15000000</v>
      </c>
      <c r="E238" s="780">
        <v>17502376</v>
      </c>
      <c r="F238" s="905">
        <v>1450285</v>
      </c>
      <c r="G238" s="753">
        <v>0</v>
      </c>
      <c r="H238" s="905">
        <f>C238+D238-E238</f>
        <v>1450285</v>
      </c>
      <c r="I238" s="753"/>
    </row>
    <row r="239" spans="1:9" hidden="1" outlineLevel="1">
      <c r="A239" s="751" t="s">
        <v>69</v>
      </c>
      <c r="B239" s="919" t="s">
        <v>5</v>
      </c>
      <c r="C239" s="754">
        <v>47383350</v>
      </c>
      <c r="D239" s="754">
        <v>302000000</v>
      </c>
      <c r="E239" s="782">
        <v>265247400</v>
      </c>
      <c r="F239" s="740">
        <v>45000000</v>
      </c>
      <c r="G239" s="754">
        <v>40135950</v>
      </c>
      <c r="H239" s="906">
        <f>C239+D239-E239</f>
        <v>84135950</v>
      </c>
      <c r="I239" s="754"/>
    </row>
    <row r="240" spans="1:9" hidden="1" outlineLevel="1">
      <c r="A240" s="751" t="s">
        <v>69</v>
      </c>
      <c r="B240" s="928" t="s">
        <v>6</v>
      </c>
      <c r="C240" s="754">
        <v>736429881.5</v>
      </c>
      <c r="D240" s="754">
        <v>1388332000</v>
      </c>
      <c r="E240" s="767">
        <v>1348832228.9270799</v>
      </c>
      <c r="F240" s="740">
        <v>775929652.57291698</v>
      </c>
      <c r="G240" s="754">
        <v>0</v>
      </c>
      <c r="H240" s="906">
        <f t="shared" ref="H240:H243" si="29">C240+D240-E240</f>
        <v>775929652.57292008</v>
      </c>
      <c r="I240" s="754"/>
    </row>
    <row r="241" spans="1:9" hidden="1" outlineLevel="1">
      <c r="A241" s="751" t="s">
        <v>69</v>
      </c>
      <c r="B241" s="920" t="s">
        <v>7</v>
      </c>
      <c r="C241" s="754">
        <v>0</v>
      </c>
      <c r="D241" s="754">
        <v>0</v>
      </c>
      <c r="E241" s="767">
        <v>0</v>
      </c>
      <c r="F241" s="740">
        <v>0</v>
      </c>
      <c r="G241" s="767">
        <v>0</v>
      </c>
      <c r="H241" s="906">
        <f t="shared" si="29"/>
        <v>0</v>
      </c>
      <c r="I241" s="754"/>
    </row>
    <row r="242" spans="1:9" hidden="1" outlineLevel="1">
      <c r="A242" s="751" t="s">
        <v>69</v>
      </c>
      <c r="B242" s="919" t="s">
        <v>8</v>
      </c>
      <c r="C242" s="754">
        <v>71631063</v>
      </c>
      <c r="D242" s="754">
        <v>255000000</v>
      </c>
      <c r="E242" s="767">
        <v>255099400</v>
      </c>
      <c r="F242" s="777">
        <v>0</v>
      </c>
      <c r="G242" s="767">
        <v>71531663</v>
      </c>
      <c r="H242" s="906">
        <f t="shared" si="29"/>
        <v>71531663</v>
      </c>
      <c r="I242" s="754"/>
    </row>
    <row r="243" spans="1:9" ht="13.5" hidden="1" outlineLevel="1" thickBot="1">
      <c r="A243" s="771" t="s">
        <v>69</v>
      </c>
      <c r="B243" s="926" t="s">
        <v>9</v>
      </c>
      <c r="C243" s="1256">
        <v>0</v>
      </c>
      <c r="D243" s="1218">
        <v>210853200</v>
      </c>
      <c r="E243" s="784">
        <v>62268800</v>
      </c>
      <c r="F243" s="772">
        <v>148584400</v>
      </c>
      <c r="G243" s="908">
        <v>0</v>
      </c>
      <c r="H243" s="906">
        <f t="shared" si="29"/>
        <v>148584400</v>
      </c>
      <c r="I243" s="754"/>
    </row>
    <row r="244" spans="1:9" ht="13.5" collapsed="1" thickBot="1">
      <c r="A244" s="791" t="s">
        <v>70</v>
      </c>
      <c r="B244" s="1238" t="s">
        <v>31</v>
      </c>
      <c r="C244" s="792">
        <f t="shared" ref="C244:G244" si="30">SUM(C238:C243)</f>
        <v>859396955.5</v>
      </c>
      <c r="D244" s="792">
        <f t="shared" si="30"/>
        <v>2171185200</v>
      </c>
      <c r="E244" s="798">
        <f t="shared" si="30"/>
        <v>1948950204.9270799</v>
      </c>
      <c r="F244" s="749">
        <f t="shared" si="30"/>
        <v>970964337.57291698</v>
      </c>
      <c r="G244" s="792">
        <f t="shared" si="30"/>
        <v>111667613</v>
      </c>
      <c r="H244" s="749">
        <f>SUM(F238:G243)</f>
        <v>1082631950.572917</v>
      </c>
      <c r="I244" s="798">
        <f>SUM(F238:G243)</f>
        <v>1082631950.572917</v>
      </c>
    </row>
    <row r="245" spans="1:9" hidden="1" outlineLevel="1">
      <c r="A245" s="750" t="s">
        <v>71</v>
      </c>
      <c r="B245" s="1239" t="s">
        <v>4</v>
      </c>
      <c r="C245" s="753">
        <f>'HCM OFFICE CASH'!F53</f>
        <v>1450285</v>
      </c>
      <c r="D245" s="753">
        <v>0</v>
      </c>
      <c r="E245" s="780">
        <v>0</v>
      </c>
      <c r="F245" s="797">
        <v>0</v>
      </c>
      <c r="G245" s="753">
        <v>0</v>
      </c>
      <c r="H245" s="905">
        <f t="shared" ref="H245:H250" si="31">C245+D245-E245</f>
        <v>1450285</v>
      </c>
      <c r="I245" s="753"/>
    </row>
    <row r="246" spans="1:9" hidden="1" outlineLevel="1">
      <c r="A246" s="751" t="s">
        <v>71</v>
      </c>
      <c r="B246" s="919" t="s">
        <v>5</v>
      </c>
      <c r="C246" s="754">
        <f>H239</f>
        <v>84135950</v>
      </c>
      <c r="D246" s="754">
        <v>0</v>
      </c>
      <c r="E246" s="782"/>
      <c r="F246" s="740"/>
      <c r="G246" s="754"/>
      <c r="H246" s="906">
        <f t="shared" si="31"/>
        <v>84135950</v>
      </c>
      <c r="I246" s="754"/>
    </row>
    <row r="247" spans="1:9" hidden="1" outlineLevel="1">
      <c r="A247" s="751" t="s">
        <v>71</v>
      </c>
      <c r="B247" s="928" t="s">
        <v>6</v>
      </c>
      <c r="C247" s="754">
        <f>'AEON MALL II'!I464</f>
        <v>775929652.57291675</v>
      </c>
      <c r="D247" s="754">
        <v>0</v>
      </c>
      <c r="E247" s="767"/>
      <c r="F247" s="740"/>
      <c r="G247" s="754"/>
      <c r="H247" s="906">
        <f t="shared" si="31"/>
        <v>775929652.57291675</v>
      </c>
      <c r="I247" s="754"/>
    </row>
    <row r="248" spans="1:9" hidden="1" outlineLevel="1">
      <c r="A248" s="793" t="s">
        <v>71</v>
      </c>
      <c r="B248" s="920" t="s">
        <v>7</v>
      </c>
      <c r="C248" s="754">
        <v>0</v>
      </c>
      <c r="D248" s="754">
        <v>0</v>
      </c>
      <c r="E248" s="767"/>
      <c r="F248" s="740"/>
      <c r="G248" s="767"/>
      <c r="H248" s="1267">
        <f t="shared" si="31"/>
        <v>0</v>
      </c>
      <c r="I248" s="754"/>
    </row>
    <row r="249" spans="1:9" hidden="1" outlineLevel="1">
      <c r="A249" s="793" t="s">
        <v>71</v>
      </c>
      <c r="B249" s="919" t="s">
        <v>8</v>
      </c>
      <c r="C249" s="754">
        <f>'YOUJIN INNOTEK'!G104</f>
        <v>71531663</v>
      </c>
      <c r="D249" s="754">
        <v>0</v>
      </c>
      <c r="E249" s="767"/>
      <c r="F249" s="777"/>
      <c r="G249" s="767"/>
      <c r="H249" s="906">
        <f t="shared" si="31"/>
        <v>71531663</v>
      </c>
      <c r="I249" s="754"/>
    </row>
    <row r="250" spans="1:9" ht="13.5" hidden="1" outlineLevel="1" thickBot="1">
      <c r="A250" s="794" t="s">
        <v>71</v>
      </c>
      <c r="B250" s="926" t="s">
        <v>9</v>
      </c>
      <c r="C250" s="1256">
        <f>'KUALA '!I18</f>
        <v>132344400</v>
      </c>
      <c r="D250" s="1218">
        <v>0</v>
      </c>
      <c r="E250" s="784"/>
      <c r="F250" s="772"/>
      <c r="G250" s="908"/>
      <c r="H250" s="907">
        <f t="shared" si="31"/>
        <v>132344400</v>
      </c>
      <c r="I250" s="754"/>
    </row>
    <row r="251" spans="1:9" ht="13.5" hidden="1" outlineLevel="1" thickBot="1">
      <c r="A251" s="795" t="s">
        <v>71</v>
      </c>
      <c r="B251" s="1230" t="s">
        <v>31</v>
      </c>
      <c r="C251" s="1219">
        <f t="shared" ref="C251:H251" si="32">SUM(C245:C250)</f>
        <v>1065391950.5729167</v>
      </c>
      <c r="D251" s="1219">
        <f t="shared" si="32"/>
        <v>0</v>
      </c>
      <c r="E251" s="809">
        <f t="shared" si="32"/>
        <v>0</v>
      </c>
      <c r="F251" s="735">
        <f t="shared" si="32"/>
        <v>0</v>
      </c>
      <c r="G251" s="1219">
        <f t="shared" si="32"/>
        <v>0</v>
      </c>
      <c r="H251" s="787">
        <f t="shared" si="32"/>
        <v>1065391950.5729167</v>
      </c>
      <c r="I251" s="799"/>
    </row>
    <row r="252" spans="1:9" hidden="1" outlineLevel="1">
      <c r="A252" s="796" t="s">
        <v>72</v>
      </c>
      <c r="B252" s="1239" t="s">
        <v>4</v>
      </c>
      <c r="C252" s="753">
        <f t="shared" ref="C252:C257" si="33">C245</f>
        <v>1450285</v>
      </c>
      <c r="D252" s="753">
        <v>0</v>
      </c>
      <c r="E252" s="780">
        <v>0</v>
      </c>
      <c r="F252" s="797">
        <v>0</v>
      </c>
      <c r="G252" s="753">
        <v>0</v>
      </c>
      <c r="H252" s="905">
        <f t="shared" ref="H252:H257" si="34">C252+D252-E252</f>
        <v>1450285</v>
      </c>
      <c r="I252" s="753"/>
    </row>
    <row r="253" spans="1:9" hidden="1" outlineLevel="1">
      <c r="A253" s="793" t="s">
        <v>72</v>
      </c>
      <c r="B253" s="919" t="s">
        <v>5</v>
      </c>
      <c r="C253" s="1257">
        <f>H239</f>
        <v>84135950</v>
      </c>
      <c r="D253" s="754"/>
      <c r="E253" s="754"/>
      <c r="F253" s="740">
        <v>0</v>
      </c>
      <c r="G253" s="754">
        <v>0</v>
      </c>
      <c r="H253" s="906">
        <f t="shared" si="34"/>
        <v>84135950</v>
      </c>
      <c r="I253" s="754"/>
    </row>
    <row r="254" spans="1:9" hidden="1" outlineLevel="1">
      <c r="A254" s="793" t="s">
        <v>72</v>
      </c>
      <c r="B254" s="928" t="s">
        <v>6</v>
      </c>
      <c r="C254" s="754">
        <f t="shared" si="33"/>
        <v>775929652.57291675</v>
      </c>
      <c r="D254" s="754">
        <v>45399999.999999002</v>
      </c>
      <c r="E254" s="782">
        <v>1452800</v>
      </c>
      <c r="F254" s="740">
        <v>0</v>
      </c>
      <c r="G254" s="754">
        <v>819876852.57291603</v>
      </c>
      <c r="H254" s="906">
        <f t="shared" si="34"/>
        <v>819876852.57291579</v>
      </c>
      <c r="I254" s="754"/>
    </row>
    <row r="255" spans="1:9" hidden="1" outlineLevel="1">
      <c r="A255" s="793" t="s">
        <v>72</v>
      </c>
      <c r="B255" s="920" t="s">
        <v>7</v>
      </c>
      <c r="C255" s="754">
        <f t="shared" si="33"/>
        <v>0</v>
      </c>
      <c r="D255" s="754">
        <v>0</v>
      </c>
      <c r="E255" s="767">
        <v>0</v>
      </c>
      <c r="F255" s="740">
        <v>0</v>
      </c>
      <c r="G255" s="767">
        <v>0</v>
      </c>
      <c r="H255" s="1267">
        <f t="shared" si="34"/>
        <v>0</v>
      </c>
      <c r="I255" s="754"/>
    </row>
    <row r="256" spans="1:9" hidden="1" outlineLevel="1">
      <c r="A256" s="793" t="s">
        <v>72</v>
      </c>
      <c r="B256" s="919" t="s">
        <v>8</v>
      </c>
      <c r="C256" s="754">
        <f t="shared" si="33"/>
        <v>71531663</v>
      </c>
      <c r="D256" s="754">
        <v>0</v>
      </c>
      <c r="E256" s="767">
        <v>0</v>
      </c>
      <c r="F256" s="777">
        <v>0</v>
      </c>
      <c r="G256" s="767">
        <v>0</v>
      </c>
      <c r="H256" s="906">
        <f t="shared" si="34"/>
        <v>71531663</v>
      </c>
      <c r="I256" s="754"/>
    </row>
    <row r="257" spans="1:9" ht="13.5" hidden="1" outlineLevel="1" thickBot="1">
      <c r="A257" s="794" t="s">
        <v>72</v>
      </c>
      <c r="B257" s="926" t="s">
        <v>9</v>
      </c>
      <c r="C257" s="1256">
        <f t="shared" si="33"/>
        <v>132344400</v>
      </c>
      <c r="D257" s="773">
        <v>0</v>
      </c>
      <c r="E257" s="784">
        <v>0</v>
      </c>
      <c r="F257" s="772">
        <v>0</v>
      </c>
      <c r="G257" s="908">
        <v>0</v>
      </c>
      <c r="H257" s="907">
        <f t="shared" si="34"/>
        <v>132344400</v>
      </c>
      <c r="I257" s="754"/>
    </row>
    <row r="258" spans="1:9" ht="13.5" hidden="1" outlineLevel="1" thickBot="1">
      <c r="A258" s="795" t="s">
        <v>72</v>
      </c>
      <c r="B258" s="1230" t="s">
        <v>31</v>
      </c>
      <c r="C258" s="1219">
        <f t="shared" ref="C258:H258" si="35">SUM(C252:C257)</f>
        <v>1065391950.5729167</v>
      </c>
      <c r="D258" s="1219">
        <f t="shared" si="35"/>
        <v>45399999.999999002</v>
      </c>
      <c r="E258" s="809">
        <f t="shared" si="35"/>
        <v>1452800</v>
      </c>
      <c r="F258" s="735">
        <f t="shared" si="35"/>
        <v>0</v>
      </c>
      <c r="G258" s="1219">
        <f t="shared" si="35"/>
        <v>819876852.57291603</v>
      </c>
      <c r="H258" s="787">
        <f t="shared" si="35"/>
        <v>1109339150.5729158</v>
      </c>
      <c r="I258" s="799"/>
    </row>
    <row r="259" spans="1:9" hidden="1" outlineLevel="1">
      <c r="A259" s="796" t="s">
        <v>73</v>
      </c>
      <c r="B259" s="1239" t="s">
        <v>4</v>
      </c>
      <c r="C259" s="753">
        <f t="shared" ref="C259:C264" si="36">C252</f>
        <v>1450285</v>
      </c>
      <c r="D259" s="753">
        <v>0</v>
      </c>
      <c r="E259" s="780">
        <v>0</v>
      </c>
      <c r="F259" s="797">
        <v>0</v>
      </c>
      <c r="G259" s="753">
        <v>0</v>
      </c>
      <c r="H259" s="905">
        <f t="shared" ref="H259:H264" si="37">C259+D259-E259</f>
        <v>1450285</v>
      </c>
      <c r="I259" s="753"/>
    </row>
    <row r="260" spans="1:9" hidden="1" outlineLevel="1">
      <c r="A260" s="793" t="s">
        <v>73</v>
      </c>
      <c r="B260" s="919" t="s">
        <v>5</v>
      </c>
      <c r="C260" s="1257">
        <f t="shared" si="36"/>
        <v>84135950</v>
      </c>
      <c r="D260" s="754">
        <v>0</v>
      </c>
      <c r="E260" s="782">
        <v>14119000</v>
      </c>
      <c r="F260" s="740">
        <v>45000000</v>
      </c>
      <c r="G260" s="754">
        <v>25016950</v>
      </c>
      <c r="H260" s="906">
        <f t="shared" si="37"/>
        <v>70016950</v>
      </c>
      <c r="I260" s="754"/>
    </row>
    <row r="261" spans="1:9" hidden="1" outlineLevel="1">
      <c r="A261" s="793" t="s">
        <v>73</v>
      </c>
      <c r="B261" s="928" t="s">
        <v>6</v>
      </c>
      <c r="C261" s="754">
        <f t="shared" si="36"/>
        <v>775929652.57291675</v>
      </c>
      <c r="D261" s="754">
        <v>45399999.999999002</v>
      </c>
      <c r="E261" s="782">
        <v>1452800</v>
      </c>
      <c r="F261" s="740">
        <v>0</v>
      </c>
      <c r="G261" s="754">
        <v>819876852.57291603</v>
      </c>
      <c r="H261" s="906">
        <f t="shared" si="37"/>
        <v>819876852.57291579</v>
      </c>
      <c r="I261" s="754"/>
    </row>
    <row r="262" spans="1:9" hidden="1" outlineLevel="1">
      <c r="A262" s="793" t="s">
        <v>73</v>
      </c>
      <c r="B262" s="920" t="s">
        <v>7</v>
      </c>
      <c r="C262" s="754">
        <f t="shared" si="36"/>
        <v>0</v>
      </c>
      <c r="D262" s="754">
        <v>0</v>
      </c>
      <c r="E262" s="767">
        <v>0</v>
      </c>
      <c r="F262" s="740">
        <v>0</v>
      </c>
      <c r="G262" s="767">
        <v>0</v>
      </c>
      <c r="H262" s="1267">
        <f t="shared" si="37"/>
        <v>0</v>
      </c>
      <c r="I262" s="754"/>
    </row>
    <row r="263" spans="1:9" hidden="1" outlineLevel="1">
      <c r="A263" s="793" t="s">
        <v>73</v>
      </c>
      <c r="B263" s="919" t="s">
        <v>8</v>
      </c>
      <c r="C263" s="754">
        <f t="shared" si="36"/>
        <v>71531663</v>
      </c>
      <c r="D263" s="754">
        <v>0</v>
      </c>
      <c r="E263" s="767">
        <v>1210000</v>
      </c>
      <c r="F263" s="777">
        <v>0</v>
      </c>
      <c r="G263" s="767">
        <v>70321663</v>
      </c>
      <c r="H263" s="906">
        <f t="shared" si="37"/>
        <v>70321663</v>
      </c>
      <c r="I263" s="754"/>
    </row>
    <row r="264" spans="1:9" ht="13.5" hidden="1" outlineLevel="1" thickBot="1">
      <c r="A264" s="794" t="s">
        <v>73</v>
      </c>
      <c r="B264" s="926" t="s">
        <v>9</v>
      </c>
      <c r="C264" s="1256">
        <f t="shared" si="36"/>
        <v>132344400</v>
      </c>
      <c r="D264" s="1218">
        <v>0</v>
      </c>
      <c r="E264" s="800">
        <v>0</v>
      </c>
      <c r="F264" s="772">
        <v>0</v>
      </c>
      <c r="G264" s="908">
        <v>0</v>
      </c>
      <c r="H264" s="907">
        <f t="shared" si="37"/>
        <v>132344400</v>
      </c>
      <c r="I264" s="754"/>
    </row>
    <row r="265" spans="1:9" ht="13.5" hidden="1" outlineLevel="1" thickBot="1">
      <c r="A265" s="795" t="s">
        <v>73</v>
      </c>
      <c r="B265" s="1230" t="s">
        <v>31</v>
      </c>
      <c r="C265" s="1219">
        <f t="shared" ref="C265:H265" si="38">SUM(C259:C264)</f>
        <v>1065391950.5729167</v>
      </c>
      <c r="D265" s="1219">
        <f t="shared" si="38"/>
        <v>45399999.999999002</v>
      </c>
      <c r="E265" s="809">
        <f t="shared" si="38"/>
        <v>16781800</v>
      </c>
      <c r="F265" s="735">
        <f t="shared" si="38"/>
        <v>45000000</v>
      </c>
      <c r="G265" s="1219">
        <f t="shared" si="38"/>
        <v>915215465.57291603</v>
      </c>
      <c r="H265" s="787">
        <f t="shared" si="38"/>
        <v>1094010150.5729158</v>
      </c>
      <c r="I265" s="799"/>
    </row>
    <row r="266" spans="1:9" hidden="1" outlineLevel="1">
      <c r="A266" s="796" t="s">
        <v>74</v>
      </c>
      <c r="B266" s="927" t="s">
        <v>4</v>
      </c>
      <c r="C266" s="753">
        <f t="shared" ref="C266:C271" si="39">C259</f>
        <v>1450285</v>
      </c>
      <c r="D266" s="753">
        <v>3000000</v>
      </c>
      <c r="E266" s="780">
        <v>1625000</v>
      </c>
      <c r="F266" s="905">
        <v>2825285</v>
      </c>
      <c r="G266" s="753">
        <v>0</v>
      </c>
      <c r="H266" s="905">
        <f t="shared" ref="H266:H271" si="40">C266+D266-E266</f>
        <v>2825285</v>
      </c>
      <c r="I266" s="753"/>
    </row>
    <row r="267" spans="1:9" hidden="1" outlineLevel="1">
      <c r="A267" s="793" t="s">
        <v>74</v>
      </c>
      <c r="B267" s="919" t="s">
        <v>5</v>
      </c>
      <c r="C267" s="754">
        <f t="shared" si="39"/>
        <v>84135950</v>
      </c>
      <c r="D267" s="754">
        <v>0</v>
      </c>
      <c r="E267" s="801">
        <v>28119000</v>
      </c>
      <c r="F267" s="740">
        <v>45000000</v>
      </c>
      <c r="G267" s="754">
        <v>11016950</v>
      </c>
      <c r="H267" s="906">
        <f t="shared" si="40"/>
        <v>56016950</v>
      </c>
      <c r="I267" s="754"/>
    </row>
    <row r="268" spans="1:9" hidden="1" outlineLevel="1">
      <c r="A268" s="793" t="s">
        <v>74</v>
      </c>
      <c r="B268" s="928" t="s">
        <v>6</v>
      </c>
      <c r="C268" s="754">
        <f t="shared" si="39"/>
        <v>775929652.57291675</v>
      </c>
      <c r="D268" s="754">
        <v>45399999.999999002</v>
      </c>
      <c r="E268" s="782">
        <v>1452800</v>
      </c>
      <c r="F268" s="740">
        <v>0</v>
      </c>
      <c r="G268" s="754">
        <v>819876852.57291603</v>
      </c>
      <c r="H268" s="906">
        <f t="shared" si="40"/>
        <v>819876852.57291579</v>
      </c>
      <c r="I268" s="754"/>
    </row>
    <row r="269" spans="1:9" hidden="1" outlineLevel="1">
      <c r="A269" s="793" t="s">
        <v>74</v>
      </c>
      <c r="B269" s="920" t="s">
        <v>7</v>
      </c>
      <c r="C269" s="754">
        <f t="shared" si="39"/>
        <v>0</v>
      </c>
      <c r="D269" s="754">
        <v>0</v>
      </c>
      <c r="E269" s="767">
        <v>0</v>
      </c>
      <c r="F269" s="740">
        <v>0</v>
      </c>
      <c r="G269" s="767">
        <v>0</v>
      </c>
      <c r="H269" s="1267">
        <f t="shared" si="40"/>
        <v>0</v>
      </c>
      <c r="I269" s="754"/>
    </row>
    <row r="270" spans="1:9" hidden="1" outlineLevel="1">
      <c r="A270" s="793" t="s">
        <v>74</v>
      </c>
      <c r="B270" s="919" t="s">
        <v>8</v>
      </c>
      <c r="C270" s="754">
        <f t="shared" si="39"/>
        <v>71531663</v>
      </c>
      <c r="D270" s="754">
        <v>0</v>
      </c>
      <c r="E270" s="767">
        <v>1210000</v>
      </c>
      <c r="F270" s="777">
        <v>0</v>
      </c>
      <c r="G270" s="767">
        <v>70321663</v>
      </c>
      <c r="H270" s="906">
        <f t="shared" si="40"/>
        <v>70321663</v>
      </c>
      <c r="I270" s="754"/>
    </row>
    <row r="271" spans="1:9" ht="13.5" hidden="1" outlineLevel="1" thickBot="1">
      <c r="A271" s="794" t="s">
        <v>74</v>
      </c>
      <c r="B271" s="926" t="s">
        <v>9</v>
      </c>
      <c r="C271" s="1256">
        <f t="shared" si="39"/>
        <v>132344400</v>
      </c>
      <c r="D271" s="1218">
        <v>0</v>
      </c>
      <c r="E271" s="802">
        <v>0</v>
      </c>
      <c r="F271" s="772">
        <v>0</v>
      </c>
      <c r="G271" s="908">
        <v>0</v>
      </c>
      <c r="H271" s="907">
        <f t="shared" si="40"/>
        <v>132344400</v>
      </c>
      <c r="I271" s="754"/>
    </row>
    <row r="272" spans="1:9" ht="13.5" hidden="1" outlineLevel="1" thickBot="1">
      <c r="A272" s="795" t="s">
        <v>74</v>
      </c>
      <c r="B272" s="1230" t="s">
        <v>31</v>
      </c>
      <c r="C272" s="1219">
        <f t="shared" ref="C272:H272" si="41">SUM(C266:C271)</f>
        <v>1065391950.5729167</v>
      </c>
      <c r="D272" s="1219">
        <f t="shared" si="41"/>
        <v>48399999.999999002</v>
      </c>
      <c r="E272" s="809">
        <f t="shared" si="41"/>
        <v>32406800</v>
      </c>
      <c r="F272" s="735">
        <f t="shared" si="41"/>
        <v>47825285</v>
      </c>
      <c r="G272" s="1219">
        <f t="shared" si="41"/>
        <v>901215465.57291603</v>
      </c>
      <c r="H272" s="786">
        <f t="shared" si="41"/>
        <v>1081385150.5729158</v>
      </c>
      <c r="I272" s="799"/>
    </row>
    <row r="273" spans="1:9" hidden="1" outlineLevel="1">
      <c r="A273" s="796" t="s">
        <v>75</v>
      </c>
      <c r="B273" s="927" t="s">
        <v>4</v>
      </c>
      <c r="C273" s="753">
        <f t="shared" ref="C273:C278" si="42">C266</f>
        <v>1450285</v>
      </c>
      <c r="D273" s="753">
        <v>3000000</v>
      </c>
      <c r="E273" s="780">
        <v>2235500</v>
      </c>
      <c r="F273" s="905">
        <v>2214785</v>
      </c>
      <c r="G273" s="753">
        <v>0</v>
      </c>
      <c r="H273" s="905">
        <f t="shared" ref="H273:H278" si="43">C273+D273-E273</f>
        <v>2214785</v>
      </c>
      <c r="I273" s="753"/>
    </row>
    <row r="274" spans="1:9" hidden="1" outlineLevel="1">
      <c r="A274" s="793" t="s">
        <v>75</v>
      </c>
      <c r="B274" s="928" t="s">
        <v>5</v>
      </c>
      <c r="C274" s="754">
        <f t="shared" si="42"/>
        <v>84135950</v>
      </c>
      <c r="D274" s="754">
        <v>0</v>
      </c>
      <c r="E274" s="801">
        <v>64698500</v>
      </c>
      <c r="F274" s="740">
        <v>11009000</v>
      </c>
      <c r="G274" s="754">
        <v>8428450</v>
      </c>
      <c r="H274" s="906">
        <f t="shared" si="43"/>
        <v>19437450</v>
      </c>
      <c r="I274" s="754"/>
    </row>
    <row r="275" spans="1:9" hidden="1" outlineLevel="1">
      <c r="A275" s="751" t="s">
        <v>75</v>
      </c>
      <c r="B275" s="928" t="s">
        <v>6</v>
      </c>
      <c r="C275" s="754">
        <f t="shared" si="42"/>
        <v>775929652.57291675</v>
      </c>
      <c r="D275" s="754">
        <v>45399999.999999002</v>
      </c>
      <c r="E275" s="782">
        <v>1452800</v>
      </c>
      <c r="F275" s="740">
        <v>0</v>
      </c>
      <c r="G275" s="754">
        <v>819876852.57291603</v>
      </c>
      <c r="H275" s="906">
        <f t="shared" si="43"/>
        <v>819876852.57291579</v>
      </c>
      <c r="I275" s="754"/>
    </row>
    <row r="276" spans="1:9" hidden="1" outlineLevel="1">
      <c r="A276" s="751" t="s">
        <v>75</v>
      </c>
      <c r="B276" s="920" t="s">
        <v>7</v>
      </c>
      <c r="C276" s="754">
        <f t="shared" si="42"/>
        <v>0</v>
      </c>
      <c r="D276" s="754">
        <v>0</v>
      </c>
      <c r="E276" s="767">
        <v>0</v>
      </c>
      <c r="F276" s="740">
        <v>0</v>
      </c>
      <c r="G276" s="767">
        <v>0</v>
      </c>
      <c r="H276" s="1267">
        <f t="shared" si="43"/>
        <v>0</v>
      </c>
      <c r="I276" s="754"/>
    </row>
    <row r="277" spans="1:9" hidden="1" outlineLevel="1">
      <c r="A277" s="751" t="s">
        <v>75</v>
      </c>
      <c r="B277" s="919" t="s">
        <v>8</v>
      </c>
      <c r="C277" s="754">
        <f t="shared" si="42"/>
        <v>71531663</v>
      </c>
      <c r="D277" s="754">
        <v>0</v>
      </c>
      <c r="E277" s="767">
        <v>7310000</v>
      </c>
      <c r="F277" s="777">
        <v>0</v>
      </c>
      <c r="G277" s="767">
        <v>64221663</v>
      </c>
      <c r="H277" s="906">
        <f t="shared" si="43"/>
        <v>64221663</v>
      </c>
      <c r="I277" s="754"/>
    </row>
    <row r="278" spans="1:9" ht="13.5" hidden="1" outlineLevel="1" thickBot="1">
      <c r="A278" s="771" t="s">
        <v>75</v>
      </c>
      <c r="B278" s="926" t="s">
        <v>9</v>
      </c>
      <c r="C278" s="1256">
        <f t="shared" si="42"/>
        <v>132344400</v>
      </c>
      <c r="D278" s="1218">
        <v>0</v>
      </c>
      <c r="E278" s="802">
        <v>0</v>
      </c>
      <c r="F278" s="772">
        <v>0</v>
      </c>
      <c r="G278" s="908">
        <v>0</v>
      </c>
      <c r="H278" s="907">
        <f t="shared" si="43"/>
        <v>132344400</v>
      </c>
      <c r="I278" s="754"/>
    </row>
    <row r="279" spans="1:9" ht="13.5" hidden="1" outlineLevel="1" thickBot="1">
      <c r="A279" s="795" t="s">
        <v>75</v>
      </c>
      <c r="B279" s="1230" t="s">
        <v>31</v>
      </c>
      <c r="C279" s="1219">
        <f t="shared" ref="C279:H279" si="44">SUM(C273:C278)</f>
        <v>1065391950.5729167</v>
      </c>
      <c r="D279" s="1219">
        <f t="shared" si="44"/>
        <v>48399999.999999002</v>
      </c>
      <c r="E279" s="809">
        <f t="shared" si="44"/>
        <v>75696800</v>
      </c>
      <c r="F279" s="735">
        <f t="shared" si="44"/>
        <v>13223785</v>
      </c>
      <c r="G279" s="1219">
        <f t="shared" si="44"/>
        <v>892526965.57291603</v>
      </c>
      <c r="H279" s="786">
        <f t="shared" si="44"/>
        <v>1038095150.5729158</v>
      </c>
      <c r="I279" s="799"/>
    </row>
    <row r="280" spans="1:9" hidden="1" outlineLevel="1">
      <c r="A280" s="796" t="s">
        <v>76</v>
      </c>
      <c r="B280" s="927" t="s">
        <v>4</v>
      </c>
      <c r="C280" s="753">
        <f t="shared" ref="C280:C285" si="45">C273</f>
        <v>1450285</v>
      </c>
      <c r="D280" s="753">
        <v>145225000</v>
      </c>
      <c r="E280" s="780">
        <v>122453449</v>
      </c>
      <c r="F280" s="905">
        <v>24221836</v>
      </c>
      <c r="G280" s="753">
        <v>0</v>
      </c>
      <c r="H280" s="905">
        <f t="shared" ref="H280:H285" si="46">C280+D280-E280</f>
        <v>24221836</v>
      </c>
      <c r="I280" s="753"/>
    </row>
    <row r="281" spans="1:9" hidden="1" outlineLevel="1">
      <c r="A281" s="793" t="s">
        <v>76</v>
      </c>
      <c r="B281" s="928" t="s">
        <v>5</v>
      </c>
      <c r="C281" s="754">
        <f t="shared" si="45"/>
        <v>84135950</v>
      </c>
      <c r="D281" s="754">
        <v>0</v>
      </c>
      <c r="E281" s="782">
        <v>67268500</v>
      </c>
      <c r="F281" s="740">
        <v>11009000</v>
      </c>
      <c r="G281" s="754">
        <v>5858450</v>
      </c>
      <c r="H281" s="906">
        <f t="shared" si="46"/>
        <v>16867450</v>
      </c>
      <c r="I281" s="754"/>
    </row>
    <row r="282" spans="1:9" hidden="1" outlineLevel="1">
      <c r="A282" s="793" t="s">
        <v>76</v>
      </c>
      <c r="B282" s="928" t="s">
        <v>6</v>
      </c>
      <c r="C282" s="754">
        <f t="shared" si="45"/>
        <v>775929652.57291675</v>
      </c>
      <c r="D282" s="754">
        <v>45399999.999999002</v>
      </c>
      <c r="E282" s="782">
        <v>1452800</v>
      </c>
      <c r="F282" s="740">
        <v>0</v>
      </c>
      <c r="G282" s="754">
        <v>819876852.57291603</v>
      </c>
      <c r="H282" s="906">
        <f t="shared" si="46"/>
        <v>819876852.57291579</v>
      </c>
      <c r="I282" s="754"/>
    </row>
    <row r="283" spans="1:9" hidden="1" outlineLevel="1">
      <c r="A283" s="793" t="s">
        <v>76</v>
      </c>
      <c r="B283" s="920" t="s">
        <v>7</v>
      </c>
      <c r="C283" s="754">
        <f t="shared" si="45"/>
        <v>0</v>
      </c>
      <c r="D283" s="754">
        <v>0</v>
      </c>
      <c r="E283" s="767">
        <v>0</v>
      </c>
      <c r="F283" s="740">
        <v>0</v>
      </c>
      <c r="G283" s="767">
        <v>0</v>
      </c>
      <c r="H283" s="906">
        <f t="shared" si="46"/>
        <v>0</v>
      </c>
      <c r="I283" s="754"/>
    </row>
    <row r="284" spans="1:9" hidden="1" outlineLevel="1">
      <c r="A284" s="793" t="s">
        <v>76</v>
      </c>
      <c r="B284" s="919" t="s">
        <v>8</v>
      </c>
      <c r="C284" s="754">
        <f t="shared" si="45"/>
        <v>71531663</v>
      </c>
      <c r="D284" s="754">
        <v>0</v>
      </c>
      <c r="E284" s="767">
        <v>16833000</v>
      </c>
      <c r="F284" s="777">
        <v>0</v>
      </c>
      <c r="G284" s="767">
        <v>54698663</v>
      </c>
      <c r="H284" s="906">
        <f t="shared" si="46"/>
        <v>54698663</v>
      </c>
      <c r="I284" s="754"/>
    </row>
    <row r="285" spans="1:9" ht="13.5" hidden="1" outlineLevel="1" thickBot="1">
      <c r="A285" s="794" t="s">
        <v>76</v>
      </c>
      <c r="B285" s="926" t="s">
        <v>9</v>
      </c>
      <c r="C285" s="1256">
        <f t="shared" si="45"/>
        <v>132344400</v>
      </c>
      <c r="D285" s="1218">
        <v>0</v>
      </c>
      <c r="E285" s="802">
        <v>0</v>
      </c>
      <c r="F285" s="772">
        <v>0</v>
      </c>
      <c r="G285" s="908">
        <v>0</v>
      </c>
      <c r="H285" s="907">
        <f t="shared" si="46"/>
        <v>132344400</v>
      </c>
      <c r="I285" s="754"/>
    </row>
    <row r="286" spans="1:9" ht="13.5" hidden="1" outlineLevel="1" thickBot="1">
      <c r="A286" s="795" t="s">
        <v>76</v>
      </c>
      <c r="B286" s="1230" t="s">
        <v>31</v>
      </c>
      <c r="C286" s="1219">
        <f t="shared" ref="C286:H286" si="47">SUM(C280:C285)</f>
        <v>1065391950.5729167</v>
      </c>
      <c r="D286" s="1219">
        <f t="shared" si="47"/>
        <v>190624999.99999899</v>
      </c>
      <c r="E286" s="809">
        <f t="shared" si="47"/>
        <v>208007749</v>
      </c>
      <c r="F286" s="735">
        <f t="shared" si="47"/>
        <v>35230836</v>
      </c>
      <c r="G286" s="1219">
        <f t="shared" si="47"/>
        <v>880433965.57291603</v>
      </c>
      <c r="H286" s="786">
        <f t="shared" si="47"/>
        <v>1048009201.5729158</v>
      </c>
      <c r="I286" s="799"/>
    </row>
    <row r="287" spans="1:9" hidden="1" outlineLevel="1">
      <c r="A287" s="796" t="s">
        <v>77</v>
      </c>
      <c r="B287" s="927" t="s">
        <v>4</v>
      </c>
      <c r="C287" s="753">
        <f t="shared" ref="C287:C292" si="48">C280</f>
        <v>1450285</v>
      </c>
      <c r="D287" s="753">
        <v>145225000</v>
      </c>
      <c r="E287" s="780">
        <v>122453449</v>
      </c>
      <c r="F287" s="905">
        <v>24221836</v>
      </c>
      <c r="G287" s="753">
        <v>0</v>
      </c>
      <c r="H287" s="905">
        <f t="shared" ref="H287:H292" si="49">C287+D287-E287</f>
        <v>24221836</v>
      </c>
      <c r="I287" s="753"/>
    </row>
    <row r="288" spans="1:9" hidden="1" outlineLevel="1">
      <c r="A288" s="793" t="s">
        <v>77</v>
      </c>
      <c r="B288" s="928" t="s">
        <v>5</v>
      </c>
      <c r="C288" s="754">
        <f t="shared" si="48"/>
        <v>84135950</v>
      </c>
      <c r="D288" s="754">
        <v>0</v>
      </c>
      <c r="E288" s="782">
        <v>67268500</v>
      </c>
      <c r="F288" s="740">
        <v>11009000</v>
      </c>
      <c r="G288" s="754">
        <v>5858450</v>
      </c>
      <c r="H288" s="906">
        <f t="shared" si="49"/>
        <v>16867450</v>
      </c>
      <c r="I288" s="754"/>
    </row>
    <row r="289" spans="1:9" hidden="1" outlineLevel="1">
      <c r="A289" s="793" t="s">
        <v>77</v>
      </c>
      <c r="B289" s="928" t="s">
        <v>6</v>
      </c>
      <c r="C289" s="754">
        <f t="shared" si="48"/>
        <v>775929652.57291675</v>
      </c>
      <c r="D289" s="754">
        <v>45399999.999999002</v>
      </c>
      <c r="E289" s="782">
        <v>1452800</v>
      </c>
      <c r="F289" s="740">
        <v>0</v>
      </c>
      <c r="G289" s="754">
        <v>819876852.57291603</v>
      </c>
      <c r="H289" s="906">
        <f t="shared" si="49"/>
        <v>819876852.57291579</v>
      </c>
      <c r="I289" s="754"/>
    </row>
    <row r="290" spans="1:9" hidden="1" outlineLevel="1">
      <c r="A290" s="793" t="s">
        <v>77</v>
      </c>
      <c r="B290" s="920" t="s">
        <v>7</v>
      </c>
      <c r="C290" s="754">
        <f t="shared" si="48"/>
        <v>0</v>
      </c>
      <c r="D290" s="754">
        <v>0</v>
      </c>
      <c r="E290" s="767">
        <v>0</v>
      </c>
      <c r="F290" s="740">
        <v>0</v>
      </c>
      <c r="G290" s="767">
        <v>0</v>
      </c>
      <c r="H290" s="906">
        <f t="shared" si="49"/>
        <v>0</v>
      </c>
      <c r="I290" s="754"/>
    </row>
    <row r="291" spans="1:9" hidden="1" outlineLevel="1">
      <c r="A291" s="793" t="s">
        <v>77</v>
      </c>
      <c r="B291" s="919" t="s">
        <v>8</v>
      </c>
      <c r="C291" s="754">
        <f t="shared" si="48"/>
        <v>71531663</v>
      </c>
      <c r="D291" s="754">
        <v>0</v>
      </c>
      <c r="E291" s="767">
        <v>16833000</v>
      </c>
      <c r="F291" s="777">
        <v>0</v>
      </c>
      <c r="G291" s="767">
        <v>54698663</v>
      </c>
      <c r="H291" s="906">
        <f t="shared" si="49"/>
        <v>54698663</v>
      </c>
      <c r="I291" s="754"/>
    </row>
    <row r="292" spans="1:9" ht="13.5" hidden="1" outlineLevel="1" thickBot="1">
      <c r="A292" s="794" t="s">
        <v>77</v>
      </c>
      <c r="B292" s="926" t="s">
        <v>9</v>
      </c>
      <c r="C292" s="1256">
        <f t="shared" si="48"/>
        <v>132344400</v>
      </c>
      <c r="D292" s="1218">
        <v>0</v>
      </c>
      <c r="E292" s="802">
        <v>0</v>
      </c>
      <c r="F292" s="772">
        <v>0</v>
      </c>
      <c r="G292" s="908">
        <v>0</v>
      </c>
      <c r="H292" s="907">
        <f t="shared" si="49"/>
        <v>132344400</v>
      </c>
      <c r="I292" s="754"/>
    </row>
    <row r="293" spans="1:9" ht="13.5" hidden="1" outlineLevel="1" thickBot="1">
      <c r="A293" s="795" t="s">
        <v>77</v>
      </c>
      <c r="B293" s="1230" t="s">
        <v>31</v>
      </c>
      <c r="C293" s="1219">
        <f t="shared" ref="C293:H293" si="50">SUM(C287:C292)</f>
        <v>1065391950.5729167</v>
      </c>
      <c r="D293" s="1219">
        <f t="shared" si="50"/>
        <v>190624999.99999899</v>
      </c>
      <c r="E293" s="809">
        <f t="shared" si="50"/>
        <v>208007749</v>
      </c>
      <c r="F293" s="735">
        <f t="shared" si="50"/>
        <v>35230836</v>
      </c>
      <c r="G293" s="1219">
        <f t="shared" si="50"/>
        <v>880433965.57291603</v>
      </c>
      <c r="H293" s="786">
        <f t="shared" si="50"/>
        <v>1048009201.5729158</v>
      </c>
      <c r="I293" s="799"/>
    </row>
    <row r="294" spans="1:9" hidden="1" outlineLevel="1">
      <c r="A294" s="796" t="s">
        <v>78</v>
      </c>
      <c r="B294" s="927" t="s">
        <v>4</v>
      </c>
      <c r="C294" s="753">
        <f t="shared" ref="C294:C299" si="51">C287</f>
        <v>1450285</v>
      </c>
      <c r="D294" s="753">
        <v>145225000</v>
      </c>
      <c r="E294" s="780">
        <v>122453449</v>
      </c>
      <c r="F294" s="901">
        <v>24221836</v>
      </c>
      <c r="G294" s="753">
        <v>0</v>
      </c>
      <c r="H294" s="905">
        <f t="shared" ref="H294:H299" si="52">C294+D294-E294</f>
        <v>24221836</v>
      </c>
      <c r="I294" s="753"/>
    </row>
    <row r="295" spans="1:9" hidden="1" outlineLevel="1">
      <c r="A295" s="793" t="s">
        <v>78</v>
      </c>
      <c r="B295" s="928" t="s">
        <v>5</v>
      </c>
      <c r="C295" s="754">
        <f t="shared" si="51"/>
        <v>84135950</v>
      </c>
      <c r="D295" s="754">
        <v>0</v>
      </c>
      <c r="E295" s="782">
        <v>67268500</v>
      </c>
      <c r="F295" s="788">
        <v>11009000</v>
      </c>
      <c r="G295" s="754">
        <v>5858450</v>
      </c>
      <c r="H295" s="906">
        <f t="shared" si="52"/>
        <v>16867450</v>
      </c>
      <c r="I295" s="754"/>
    </row>
    <row r="296" spans="1:9" hidden="1" outlineLevel="1">
      <c r="A296" s="793" t="s">
        <v>78</v>
      </c>
      <c r="B296" s="928" t="s">
        <v>6</v>
      </c>
      <c r="C296" s="754">
        <f t="shared" si="51"/>
        <v>775929652.57291675</v>
      </c>
      <c r="D296" s="754">
        <v>45399999.999999002</v>
      </c>
      <c r="E296" s="782">
        <v>1452800</v>
      </c>
      <c r="F296" s="781">
        <v>819876852.57291603</v>
      </c>
      <c r="G296" s="754">
        <v>0</v>
      </c>
      <c r="H296" s="906">
        <f t="shared" si="52"/>
        <v>819876852.57291579</v>
      </c>
      <c r="I296" s="754"/>
    </row>
    <row r="297" spans="1:9" hidden="1" outlineLevel="1">
      <c r="A297" s="793" t="s">
        <v>78</v>
      </c>
      <c r="B297" s="920" t="s">
        <v>7</v>
      </c>
      <c r="C297" s="754">
        <f t="shared" si="51"/>
        <v>0</v>
      </c>
      <c r="D297" s="754">
        <v>0</v>
      </c>
      <c r="E297" s="767">
        <v>0</v>
      </c>
      <c r="F297" s="788">
        <v>0</v>
      </c>
      <c r="G297" s="767">
        <v>0</v>
      </c>
      <c r="H297" s="906">
        <f t="shared" si="52"/>
        <v>0</v>
      </c>
      <c r="I297" s="754"/>
    </row>
    <row r="298" spans="1:9" hidden="1" outlineLevel="1">
      <c r="A298" s="793" t="s">
        <v>78</v>
      </c>
      <c r="B298" s="919" t="s">
        <v>8</v>
      </c>
      <c r="C298" s="754">
        <f t="shared" si="51"/>
        <v>71531663</v>
      </c>
      <c r="D298" s="754">
        <v>0</v>
      </c>
      <c r="E298" s="767">
        <v>16833000</v>
      </c>
      <c r="F298" s="777">
        <v>0</v>
      </c>
      <c r="G298" s="767">
        <v>54698663</v>
      </c>
      <c r="H298" s="906">
        <f t="shared" si="52"/>
        <v>54698663</v>
      </c>
      <c r="I298" s="754"/>
    </row>
    <row r="299" spans="1:9" ht="13.5" hidden="1" outlineLevel="1" thickBot="1">
      <c r="A299" s="794" t="s">
        <v>78</v>
      </c>
      <c r="B299" s="926" t="s">
        <v>9</v>
      </c>
      <c r="C299" s="1256">
        <f t="shared" si="51"/>
        <v>132344400</v>
      </c>
      <c r="D299" s="1218">
        <v>0</v>
      </c>
      <c r="E299" s="802">
        <v>0</v>
      </c>
      <c r="F299" s="783">
        <v>0</v>
      </c>
      <c r="G299" s="897">
        <v>0</v>
      </c>
      <c r="H299" s="907">
        <f t="shared" si="52"/>
        <v>132344400</v>
      </c>
      <c r="I299" s="754"/>
    </row>
    <row r="300" spans="1:9" ht="13.5" hidden="1" outlineLevel="1" thickBot="1">
      <c r="A300" s="795" t="s">
        <v>78</v>
      </c>
      <c r="B300" s="1230" t="s">
        <v>31</v>
      </c>
      <c r="C300" s="1219">
        <f t="shared" ref="C300:H300" si="53">SUM(C294:C299)</f>
        <v>1065391950.5729167</v>
      </c>
      <c r="D300" s="1219">
        <f t="shared" si="53"/>
        <v>190624999.99999899</v>
      </c>
      <c r="E300" s="809">
        <f t="shared" si="53"/>
        <v>208007749</v>
      </c>
      <c r="F300" s="735">
        <f t="shared" si="53"/>
        <v>855107688.57291603</v>
      </c>
      <c r="G300" s="1219">
        <f t="shared" si="53"/>
        <v>60557113</v>
      </c>
      <c r="H300" s="787">
        <f t="shared" si="53"/>
        <v>1048009201.5729158</v>
      </c>
      <c r="I300" s="799"/>
    </row>
    <row r="301" spans="1:9" hidden="1" outlineLevel="1">
      <c r="A301" s="796" t="s">
        <v>79</v>
      </c>
      <c r="B301" s="927" t="s">
        <v>4</v>
      </c>
      <c r="C301" s="753">
        <f t="shared" ref="C301:C306" si="54">C294</f>
        <v>1450285</v>
      </c>
      <c r="D301" s="753">
        <v>145225000</v>
      </c>
      <c r="E301" s="780">
        <v>125765449</v>
      </c>
      <c r="F301" s="901">
        <v>20909836</v>
      </c>
      <c r="G301" s="753">
        <v>0</v>
      </c>
      <c r="H301" s="905">
        <f>C301+D301-E301</f>
        <v>20909836</v>
      </c>
      <c r="I301" s="753"/>
    </row>
    <row r="302" spans="1:9" hidden="1" outlineLevel="1">
      <c r="A302" s="793" t="s">
        <v>79</v>
      </c>
      <c r="B302" s="928" t="s">
        <v>5</v>
      </c>
      <c r="C302" s="754">
        <f t="shared" si="54"/>
        <v>84135950</v>
      </c>
      <c r="D302" s="754">
        <v>0</v>
      </c>
      <c r="E302" s="782">
        <v>77753500</v>
      </c>
      <c r="F302" s="805">
        <v>11009000</v>
      </c>
      <c r="G302" s="1275">
        <v>6382450</v>
      </c>
      <c r="H302" s="1268">
        <v>6382450</v>
      </c>
      <c r="I302" s="754"/>
    </row>
    <row r="303" spans="1:9" hidden="1" outlineLevel="1">
      <c r="A303" s="751" t="s">
        <v>79</v>
      </c>
      <c r="B303" s="928" t="s">
        <v>6</v>
      </c>
      <c r="C303" s="754">
        <f t="shared" si="54"/>
        <v>775929652.57291675</v>
      </c>
      <c r="D303" s="754">
        <v>45400000</v>
      </c>
      <c r="E303" s="782">
        <v>214275528.62</v>
      </c>
      <c r="F303" s="781">
        <v>607054123.95291603</v>
      </c>
      <c r="G303" s="754">
        <v>0</v>
      </c>
      <c r="H303" s="906">
        <f t="shared" ref="H303:H306" si="55">C303+D303-E303</f>
        <v>607054123.95291674</v>
      </c>
      <c r="I303" s="754"/>
    </row>
    <row r="304" spans="1:9" hidden="1" outlineLevel="1">
      <c r="A304" s="751" t="s">
        <v>79</v>
      </c>
      <c r="B304" s="920" t="s">
        <v>7</v>
      </c>
      <c r="C304" s="754">
        <f t="shared" si="54"/>
        <v>0</v>
      </c>
      <c r="D304" s="754">
        <v>0</v>
      </c>
      <c r="E304" s="767">
        <v>0</v>
      </c>
      <c r="F304" s="788">
        <v>0</v>
      </c>
      <c r="G304" s="767">
        <v>0</v>
      </c>
      <c r="H304" s="906">
        <f t="shared" si="55"/>
        <v>0</v>
      </c>
      <c r="I304" s="754"/>
    </row>
    <row r="305" spans="1:9" hidden="1" outlineLevel="1">
      <c r="A305" s="751" t="s">
        <v>79</v>
      </c>
      <c r="B305" s="919" t="s">
        <v>8</v>
      </c>
      <c r="C305" s="754">
        <f t="shared" si="54"/>
        <v>71531663</v>
      </c>
      <c r="D305" s="754">
        <v>0</v>
      </c>
      <c r="E305" s="767">
        <v>16833000</v>
      </c>
      <c r="F305" s="777">
        <v>0</v>
      </c>
      <c r="G305" s="767">
        <v>54698663</v>
      </c>
      <c r="H305" s="906">
        <f t="shared" si="55"/>
        <v>54698663</v>
      </c>
      <c r="I305" s="754"/>
    </row>
    <row r="306" spans="1:9" ht="13.5" hidden="1" outlineLevel="1" thickBot="1">
      <c r="A306" s="771" t="s">
        <v>79</v>
      </c>
      <c r="B306" s="926" t="s">
        <v>9</v>
      </c>
      <c r="C306" s="1256">
        <f t="shared" si="54"/>
        <v>132344400</v>
      </c>
      <c r="D306" s="1218">
        <v>0</v>
      </c>
      <c r="E306" s="806">
        <v>59860060</v>
      </c>
      <c r="F306" s="783">
        <v>72484340</v>
      </c>
      <c r="G306" s="897">
        <v>0</v>
      </c>
      <c r="H306" s="906">
        <f t="shared" si="55"/>
        <v>72484340</v>
      </c>
      <c r="I306" s="754"/>
    </row>
    <row r="307" spans="1:9" ht="13.5" hidden="1" outlineLevel="1" thickBot="1">
      <c r="A307" s="795" t="s">
        <v>79</v>
      </c>
      <c r="B307" s="1230" t="s">
        <v>31</v>
      </c>
      <c r="C307" s="1219">
        <f t="shared" ref="C307:H307" si="56">SUM(C301:C306)</f>
        <v>1065391950.5729167</v>
      </c>
      <c r="D307" s="1219">
        <f t="shared" si="56"/>
        <v>190625000</v>
      </c>
      <c r="E307" s="809">
        <f t="shared" si="56"/>
        <v>494487537.62</v>
      </c>
      <c r="F307" s="735">
        <f t="shared" si="56"/>
        <v>711457299.95291603</v>
      </c>
      <c r="G307" s="1219">
        <f t="shared" si="56"/>
        <v>61081113</v>
      </c>
      <c r="H307" s="779">
        <f t="shared" si="56"/>
        <v>761529412.95291674</v>
      </c>
      <c r="I307" s="799"/>
    </row>
    <row r="308" spans="1:9" hidden="1" outlineLevel="1">
      <c r="A308" s="750" t="s">
        <v>80</v>
      </c>
      <c r="B308" s="927" t="s">
        <v>4</v>
      </c>
      <c r="C308" s="753">
        <f t="shared" ref="C308:C313" si="57">C301</f>
        <v>1450285</v>
      </c>
      <c r="D308" s="753">
        <v>145225000</v>
      </c>
      <c r="E308" s="780">
        <v>125765449</v>
      </c>
      <c r="F308" s="901">
        <v>20909836</v>
      </c>
      <c r="G308" s="753">
        <v>0</v>
      </c>
      <c r="H308" s="905">
        <f t="shared" ref="H308:H313" si="58">C308+D308-E308</f>
        <v>20909836</v>
      </c>
      <c r="I308" s="753"/>
    </row>
    <row r="309" spans="1:9" hidden="1" outlineLevel="1">
      <c r="A309" s="751" t="s">
        <v>80</v>
      </c>
      <c r="B309" s="928" t="s">
        <v>5</v>
      </c>
      <c r="C309" s="754">
        <f t="shared" si="57"/>
        <v>84135950</v>
      </c>
      <c r="D309" s="754">
        <v>0</v>
      </c>
      <c r="E309" s="782">
        <v>77753500</v>
      </c>
      <c r="F309" s="788">
        <v>0</v>
      </c>
      <c r="G309" s="767">
        <v>6382450</v>
      </c>
      <c r="H309" s="906">
        <f t="shared" si="58"/>
        <v>6382450</v>
      </c>
      <c r="I309" s="754"/>
    </row>
    <row r="310" spans="1:9" hidden="1" outlineLevel="1">
      <c r="A310" s="751" t="s">
        <v>80</v>
      </c>
      <c r="B310" s="928" t="s">
        <v>6</v>
      </c>
      <c r="C310" s="754">
        <f t="shared" si="57"/>
        <v>775929652.57291675</v>
      </c>
      <c r="D310" s="754">
        <v>45400000</v>
      </c>
      <c r="E310" s="782">
        <v>221518644.62</v>
      </c>
      <c r="F310" s="781">
        <v>599811007.95291603</v>
      </c>
      <c r="G310" s="754">
        <v>0</v>
      </c>
      <c r="H310" s="906">
        <f t="shared" si="58"/>
        <v>599811007.95291674</v>
      </c>
      <c r="I310" s="754"/>
    </row>
    <row r="311" spans="1:9" hidden="1" outlineLevel="1">
      <c r="A311" s="751" t="s">
        <v>80</v>
      </c>
      <c r="B311" s="920" t="s">
        <v>7</v>
      </c>
      <c r="C311" s="754">
        <f t="shared" si="57"/>
        <v>0</v>
      </c>
      <c r="D311" s="754">
        <v>0</v>
      </c>
      <c r="E311" s="767">
        <v>0</v>
      </c>
      <c r="F311" s="788">
        <v>0</v>
      </c>
      <c r="G311" s="767">
        <v>0</v>
      </c>
      <c r="H311" s="906">
        <f t="shared" si="58"/>
        <v>0</v>
      </c>
      <c r="I311" s="754"/>
    </row>
    <row r="312" spans="1:9" hidden="1" outlineLevel="1">
      <c r="A312" s="751" t="s">
        <v>80</v>
      </c>
      <c r="B312" s="919" t="s">
        <v>8</v>
      </c>
      <c r="C312" s="754">
        <f t="shared" si="57"/>
        <v>71531663</v>
      </c>
      <c r="D312" s="754">
        <v>11700000</v>
      </c>
      <c r="E312" s="767">
        <v>16883000</v>
      </c>
      <c r="F312" s="777">
        <v>0</v>
      </c>
      <c r="G312" s="767">
        <v>66348663</v>
      </c>
      <c r="H312" s="906">
        <f t="shared" si="58"/>
        <v>66348663</v>
      </c>
      <c r="I312" s="754"/>
    </row>
    <row r="313" spans="1:9" ht="13.5" hidden="1" outlineLevel="1" thickBot="1">
      <c r="A313" s="771" t="s">
        <v>80</v>
      </c>
      <c r="B313" s="926" t="s">
        <v>9</v>
      </c>
      <c r="C313" s="1256">
        <f t="shared" si="57"/>
        <v>132344400</v>
      </c>
      <c r="D313" s="1218">
        <v>0</v>
      </c>
      <c r="E313" s="806">
        <v>59860060</v>
      </c>
      <c r="F313" s="783">
        <v>72484340</v>
      </c>
      <c r="G313" s="897">
        <v>0</v>
      </c>
      <c r="H313" s="907">
        <f t="shared" si="58"/>
        <v>72484340</v>
      </c>
      <c r="I313" s="754"/>
    </row>
    <row r="314" spans="1:9" ht="13.5" hidden="1" outlineLevel="1" thickBot="1">
      <c r="A314" s="795" t="s">
        <v>80</v>
      </c>
      <c r="B314" s="1230" t="s">
        <v>31</v>
      </c>
      <c r="C314" s="1219">
        <f t="shared" ref="C314:H314" si="59">SUM(C308:C313)</f>
        <v>1065391950.5729167</v>
      </c>
      <c r="D314" s="1219">
        <f t="shared" si="59"/>
        <v>202325000</v>
      </c>
      <c r="E314" s="809">
        <f t="shared" si="59"/>
        <v>501780653.62</v>
      </c>
      <c r="F314" s="735">
        <f t="shared" si="59"/>
        <v>693205183.95291603</v>
      </c>
      <c r="G314" s="1219">
        <f t="shared" si="59"/>
        <v>72731113</v>
      </c>
      <c r="H314" s="786">
        <f t="shared" si="59"/>
        <v>765936296.95291674</v>
      </c>
      <c r="I314" s="799"/>
    </row>
    <row r="315" spans="1:9" hidden="1" outlineLevel="1">
      <c r="A315" s="750" t="s">
        <v>81</v>
      </c>
      <c r="B315" s="927" t="s">
        <v>4</v>
      </c>
      <c r="C315" s="753">
        <f t="shared" ref="C315:C320" si="60">C308</f>
        <v>1450285</v>
      </c>
      <c r="D315" s="753">
        <v>145225000</v>
      </c>
      <c r="E315" s="780">
        <v>128765449</v>
      </c>
      <c r="F315" s="901">
        <v>17909836</v>
      </c>
      <c r="G315" s="753">
        <v>0</v>
      </c>
      <c r="H315" s="905">
        <f t="shared" ref="H315:H320" si="61">C315+D315-E315</f>
        <v>17909836</v>
      </c>
      <c r="I315" s="753"/>
    </row>
    <row r="316" spans="1:9" hidden="1" outlineLevel="1">
      <c r="A316" s="751" t="s">
        <v>81</v>
      </c>
      <c r="B316" s="928" t="s">
        <v>5</v>
      </c>
      <c r="C316" s="754">
        <f t="shared" si="60"/>
        <v>84135950</v>
      </c>
      <c r="D316" s="754">
        <v>0</v>
      </c>
      <c r="E316" s="782">
        <v>78903500</v>
      </c>
      <c r="F316" s="788">
        <v>5232450</v>
      </c>
      <c r="G316" s="767">
        <v>0</v>
      </c>
      <c r="H316" s="906">
        <f t="shared" si="61"/>
        <v>5232450</v>
      </c>
      <c r="I316" s="754"/>
    </row>
    <row r="317" spans="1:9" hidden="1" outlineLevel="1">
      <c r="A317" s="751" t="s">
        <v>81</v>
      </c>
      <c r="B317" s="928" t="s">
        <v>6</v>
      </c>
      <c r="C317" s="754">
        <f t="shared" si="60"/>
        <v>775929652.57291675</v>
      </c>
      <c r="D317" s="754">
        <v>45400000</v>
      </c>
      <c r="E317" s="782">
        <v>262503494.62</v>
      </c>
      <c r="F317" s="781">
        <v>558826157.95291603</v>
      </c>
      <c r="G317" s="754">
        <v>0</v>
      </c>
      <c r="H317" s="906">
        <f t="shared" si="61"/>
        <v>558826157.95291674</v>
      </c>
      <c r="I317" s="754"/>
    </row>
    <row r="318" spans="1:9" hidden="1" outlineLevel="1">
      <c r="A318" s="751" t="s">
        <v>81</v>
      </c>
      <c r="B318" s="920" t="s">
        <v>7</v>
      </c>
      <c r="C318" s="754">
        <f t="shared" si="60"/>
        <v>0</v>
      </c>
      <c r="D318" s="754">
        <v>0</v>
      </c>
      <c r="E318" s="767">
        <v>0</v>
      </c>
      <c r="F318" s="788">
        <v>0</v>
      </c>
      <c r="G318" s="767">
        <v>0</v>
      </c>
      <c r="H318" s="1267">
        <f t="shared" si="61"/>
        <v>0</v>
      </c>
      <c r="I318" s="754"/>
    </row>
    <row r="319" spans="1:9" hidden="1" outlineLevel="1">
      <c r="A319" s="751" t="s">
        <v>81</v>
      </c>
      <c r="B319" s="919" t="s">
        <v>8</v>
      </c>
      <c r="C319" s="754">
        <f t="shared" si="60"/>
        <v>71531663</v>
      </c>
      <c r="D319" s="754">
        <v>11700000</v>
      </c>
      <c r="E319" s="767">
        <v>20223000</v>
      </c>
      <c r="F319" s="777">
        <v>0</v>
      </c>
      <c r="G319" s="767">
        <v>63008663</v>
      </c>
      <c r="H319" s="906">
        <f t="shared" si="61"/>
        <v>63008663</v>
      </c>
      <c r="I319" s="754"/>
    </row>
    <row r="320" spans="1:9" ht="13.5" hidden="1" outlineLevel="1" thickBot="1">
      <c r="A320" s="771" t="s">
        <v>81</v>
      </c>
      <c r="B320" s="926" t="s">
        <v>9</v>
      </c>
      <c r="C320" s="1256">
        <f t="shared" si="60"/>
        <v>132344400</v>
      </c>
      <c r="D320" s="1218">
        <v>0</v>
      </c>
      <c r="E320" s="806">
        <v>59860060</v>
      </c>
      <c r="F320" s="783">
        <v>72484340</v>
      </c>
      <c r="G320" s="897">
        <v>0</v>
      </c>
      <c r="H320" s="907">
        <f t="shared" si="61"/>
        <v>72484340</v>
      </c>
      <c r="I320" s="754"/>
    </row>
    <row r="321" spans="1:9" ht="13.5" hidden="1" outlineLevel="1" thickBot="1">
      <c r="A321" s="795" t="s">
        <v>81</v>
      </c>
      <c r="B321" s="1230" t="s">
        <v>31</v>
      </c>
      <c r="C321" s="1219">
        <f t="shared" ref="C321:H321" si="62">SUM(C315:C320)</f>
        <v>1065391950.5729167</v>
      </c>
      <c r="D321" s="1219">
        <f t="shared" si="62"/>
        <v>202325000</v>
      </c>
      <c r="E321" s="809">
        <f t="shared" si="62"/>
        <v>550255503.62</v>
      </c>
      <c r="F321" s="735">
        <f t="shared" si="62"/>
        <v>654452783.95291603</v>
      </c>
      <c r="G321" s="1219">
        <f t="shared" si="62"/>
        <v>63008663</v>
      </c>
      <c r="H321" s="786">
        <f t="shared" si="62"/>
        <v>717461446.95291674</v>
      </c>
      <c r="I321" s="799"/>
    </row>
    <row r="322" spans="1:9" hidden="1" outlineLevel="1">
      <c r="A322" s="750" t="s">
        <v>82</v>
      </c>
      <c r="B322" s="927" t="s">
        <v>4</v>
      </c>
      <c r="C322" s="753">
        <f t="shared" ref="C322:C327" si="63">C315</f>
        <v>1450285</v>
      </c>
      <c r="D322" s="753">
        <v>145225000</v>
      </c>
      <c r="E322" s="780">
        <v>128765449</v>
      </c>
      <c r="F322" s="901">
        <v>17909836</v>
      </c>
      <c r="G322" s="753">
        <v>0</v>
      </c>
      <c r="H322" s="905">
        <f t="shared" ref="H322:H327" si="64">C322+D322-E322</f>
        <v>17909836</v>
      </c>
      <c r="I322" s="753"/>
    </row>
    <row r="323" spans="1:9" hidden="1" outlineLevel="1">
      <c r="A323" s="751" t="s">
        <v>82</v>
      </c>
      <c r="B323" s="928" t="s">
        <v>5</v>
      </c>
      <c r="C323" s="754">
        <f t="shared" si="63"/>
        <v>84135950</v>
      </c>
      <c r="D323" s="754">
        <v>0</v>
      </c>
      <c r="E323" s="782">
        <v>80303500</v>
      </c>
      <c r="F323" s="788">
        <v>0</v>
      </c>
      <c r="G323" s="767">
        <v>3832450</v>
      </c>
      <c r="H323" s="906">
        <f t="shared" si="64"/>
        <v>3832450</v>
      </c>
      <c r="I323" s="754"/>
    </row>
    <row r="324" spans="1:9" hidden="1" outlineLevel="1">
      <c r="A324" s="751" t="s">
        <v>82</v>
      </c>
      <c r="B324" s="928" t="s">
        <v>6</v>
      </c>
      <c r="C324" s="754">
        <f t="shared" si="63"/>
        <v>775929652.57291675</v>
      </c>
      <c r="D324" s="754">
        <v>45400000</v>
      </c>
      <c r="E324" s="782">
        <v>278964853.62</v>
      </c>
      <c r="F324" s="781">
        <v>542364798.95291603</v>
      </c>
      <c r="G324" s="754">
        <v>0</v>
      </c>
      <c r="H324" s="906">
        <f t="shared" si="64"/>
        <v>542364798.95291674</v>
      </c>
      <c r="I324" s="754"/>
    </row>
    <row r="325" spans="1:9" hidden="1" outlineLevel="1">
      <c r="A325" s="751" t="s">
        <v>82</v>
      </c>
      <c r="B325" s="920" t="s">
        <v>7</v>
      </c>
      <c r="C325" s="754">
        <f t="shared" si="63"/>
        <v>0</v>
      </c>
      <c r="D325" s="754">
        <v>0</v>
      </c>
      <c r="E325" s="767">
        <v>0</v>
      </c>
      <c r="F325" s="788">
        <v>0</v>
      </c>
      <c r="G325" s="767">
        <v>0</v>
      </c>
      <c r="H325" s="1267">
        <f t="shared" si="64"/>
        <v>0</v>
      </c>
      <c r="I325" s="754"/>
    </row>
    <row r="326" spans="1:9" hidden="1" outlineLevel="1">
      <c r="A326" s="751" t="s">
        <v>82</v>
      </c>
      <c r="B326" s="919" t="s">
        <v>8</v>
      </c>
      <c r="C326" s="754">
        <f t="shared" si="63"/>
        <v>71531663</v>
      </c>
      <c r="D326" s="754">
        <v>11700000</v>
      </c>
      <c r="E326" s="767">
        <v>20223000</v>
      </c>
      <c r="F326" s="777">
        <v>0</v>
      </c>
      <c r="G326" s="767">
        <v>63008663</v>
      </c>
      <c r="H326" s="906">
        <f t="shared" si="64"/>
        <v>63008663</v>
      </c>
      <c r="I326" s="754"/>
    </row>
    <row r="327" spans="1:9" ht="13.5" hidden="1" outlineLevel="1" thickBot="1">
      <c r="A327" s="771" t="s">
        <v>82</v>
      </c>
      <c r="B327" s="926" t="s">
        <v>9</v>
      </c>
      <c r="C327" s="1256">
        <f t="shared" si="63"/>
        <v>132344400</v>
      </c>
      <c r="D327" s="1218">
        <v>0</v>
      </c>
      <c r="E327" s="806">
        <v>60034698</v>
      </c>
      <c r="F327" s="783">
        <v>72309702</v>
      </c>
      <c r="G327" s="897">
        <v>0</v>
      </c>
      <c r="H327" s="907">
        <f t="shared" si="64"/>
        <v>72309702</v>
      </c>
      <c r="I327" s="754"/>
    </row>
    <row r="328" spans="1:9" ht="13.5" hidden="1" outlineLevel="1" thickBot="1">
      <c r="A328" s="795" t="s">
        <v>82</v>
      </c>
      <c r="B328" s="1230" t="s">
        <v>31</v>
      </c>
      <c r="C328" s="1219">
        <f t="shared" ref="C328:H328" si="65">SUM(C322:C327)</f>
        <v>1065391950.5729167</v>
      </c>
      <c r="D328" s="1219">
        <f t="shared" si="65"/>
        <v>202325000</v>
      </c>
      <c r="E328" s="809">
        <f t="shared" si="65"/>
        <v>568291500.62</v>
      </c>
      <c r="F328" s="735">
        <f t="shared" si="65"/>
        <v>632584336.95291603</v>
      </c>
      <c r="G328" s="1219">
        <f t="shared" si="65"/>
        <v>66841113</v>
      </c>
      <c r="H328" s="786">
        <f t="shared" si="65"/>
        <v>699425449.95291674</v>
      </c>
      <c r="I328" s="799"/>
    </row>
    <row r="329" spans="1:9" hidden="1" outlineLevel="1">
      <c r="A329" s="750" t="s">
        <v>83</v>
      </c>
      <c r="B329" s="927" t="s">
        <v>4</v>
      </c>
      <c r="C329" s="753">
        <f t="shared" ref="C329:C334" si="66">C322</f>
        <v>1450285</v>
      </c>
      <c r="D329" s="753">
        <v>145225000</v>
      </c>
      <c r="E329" s="780">
        <v>128765449</v>
      </c>
      <c r="F329" s="901">
        <v>17909836</v>
      </c>
      <c r="G329" s="753">
        <v>0</v>
      </c>
      <c r="H329" s="905">
        <f>C329+D329-E329</f>
        <v>17909836</v>
      </c>
      <c r="I329" s="753"/>
    </row>
    <row r="330" spans="1:9" hidden="1" outlineLevel="1">
      <c r="A330" s="751" t="s">
        <v>83</v>
      </c>
      <c r="B330" s="928" t="s">
        <v>5</v>
      </c>
      <c r="C330" s="754">
        <f t="shared" si="66"/>
        <v>84135950</v>
      </c>
      <c r="D330" s="754">
        <v>50000000</v>
      </c>
      <c r="E330" s="782">
        <v>93928500</v>
      </c>
      <c r="F330" s="788">
        <v>28000000</v>
      </c>
      <c r="G330" s="767">
        <v>12207450</v>
      </c>
      <c r="H330" s="906">
        <f>C330+D330-E330</f>
        <v>40207450</v>
      </c>
      <c r="I330" s="754"/>
    </row>
    <row r="331" spans="1:9" hidden="1" outlineLevel="1">
      <c r="A331" s="751" t="s">
        <v>83</v>
      </c>
      <c r="B331" s="928" t="s">
        <v>6</v>
      </c>
      <c r="C331" s="754">
        <f t="shared" si="66"/>
        <v>775929652.57291675</v>
      </c>
      <c r="D331" s="754">
        <v>45400000</v>
      </c>
      <c r="E331" s="782">
        <v>278964853.62</v>
      </c>
      <c r="F331" s="781">
        <v>542364798.95291603</v>
      </c>
      <c r="G331" s="754">
        <v>0</v>
      </c>
      <c r="H331" s="906">
        <f t="shared" ref="H331:H341" si="67">C331+D331-E331</f>
        <v>542364798.95291674</v>
      </c>
      <c r="I331" s="754"/>
    </row>
    <row r="332" spans="1:9" hidden="1" outlineLevel="1">
      <c r="A332" s="751" t="s">
        <v>83</v>
      </c>
      <c r="B332" s="920" t="s">
        <v>7</v>
      </c>
      <c r="C332" s="754">
        <f t="shared" si="66"/>
        <v>0</v>
      </c>
      <c r="D332" s="754">
        <v>0</v>
      </c>
      <c r="E332" s="767">
        <v>0</v>
      </c>
      <c r="F332" s="788">
        <v>0</v>
      </c>
      <c r="G332" s="767">
        <v>0</v>
      </c>
      <c r="H332" s="1267">
        <f t="shared" si="67"/>
        <v>0</v>
      </c>
      <c r="I332" s="754"/>
    </row>
    <row r="333" spans="1:9" hidden="1" outlineLevel="1">
      <c r="A333" s="751" t="s">
        <v>83</v>
      </c>
      <c r="B333" s="919" t="s">
        <v>8</v>
      </c>
      <c r="C333" s="754">
        <f t="shared" si="66"/>
        <v>71531663</v>
      </c>
      <c r="D333" s="754">
        <v>11700000</v>
      </c>
      <c r="E333" s="767">
        <v>20223000</v>
      </c>
      <c r="F333" s="777">
        <v>0</v>
      </c>
      <c r="G333" s="767">
        <v>63008663</v>
      </c>
      <c r="H333" s="906">
        <f t="shared" si="67"/>
        <v>63008663</v>
      </c>
      <c r="I333" s="754"/>
    </row>
    <row r="334" spans="1:9" ht="13.5" hidden="1" outlineLevel="1" thickBot="1">
      <c r="A334" s="771" t="s">
        <v>83</v>
      </c>
      <c r="B334" s="926" t="s">
        <v>9</v>
      </c>
      <c r="C334" s="1256">
        <f t="shared" si="66"/>
        <v>132344400</v>
      </c>
      <c r="D334" s="1218">
        <v>0</v>
      </c>
      <c r="E334" s="806">
        <v>60034698</v>
      </c>
      <c r="F334" s="783">
        <v>72309702</v>
      </c>
      <c r="G334" s="897">
        <v>0</v>
      </c>
      <c r="H334" s="907">
        <f t="shared" si="67"/>
        <v>72309702</v>
      </c>
      <c r="I334" s="754"/>
    </row>
    <row r="335" spans="1:9" ht="13.5" hidden="1" outlineLevel="1" thickBot="1">
      <c r="A335" s="795" t="s">
        <v>83</v>
      </c>
      <c r="B335" s="1230" t="s">
        <v>31</v>
      </c>
      <c r="C335" s="1219">
        <f t="shared" ref="C335:H335" si="68">SUM(C329:C334)</f>
        <v>1065391950.5729167</v>
      </c>
      <c r="D335" s="1219">
        <f t="shared" si="68"/>
        <v>252325000</v>
      </c>
      <c r="E335" s="809">
        <f t="shared" si="68"/>
        <v>581916500.62</v>
      </c>
      <c r="F335" s="735">
        <f t="shared" si="68"/>
        <v>660584336.95291603</v>
      </c>
      <c r="G335" s="1219">
        <f t="shared" si="68"/>
        <v>75216113</v>
      </c>
      <c r="H335" s="787">
        <f t="shared" si="68"/>
        <v>735800449.95291674</v>
      </c>
      <c r="I335" s="799"/>
    </row>
    <row r="336" spans="1:9" hidden="1" outlineLevel="1">
      <c r="A336" s="750" t="s">
        <v>84</v>
      </c>
      <c r="B336" s="927" t="s">
        <v>4</v>
      </c>
      <c r="C336" s="753">
        <f t="shared" ref="C336:C341" si="69">C329</f>
        <v>1450285</v>
      </c>
      <c r="D336" s="753">
        <v>145225000</v>
      </c>
      <c r="E336" s="780">
        <v>128765449</v>
      </c>
      <c r="F336" s="901">
        <v>17909836</v>
      </c>
      <c r="G336" s="753">
        <v>0</v>
      </c>
      <c r="H336" s="905">
        <f t="shared" si="67"/>
        <v>17909836</v>
      </c>
      <c r="I336" s="753"/>
    </row>
    <row r="337" spans="1:10" hidden="1" outlineLevel="1">
      <c r="A337" s="751" t="s">
        <v>84</v>
      </c>
      <c r="B337" s="928" t="s">
        <v>5</v>
      </c>
      <c r="C337" s="754">
        <f t="shared" si="69"/>
        <v>84135950</v>
      </c>
      <c r="D337" s="754">
        <v>50000000</v>
      </c>
      <c r="E337" s="782">
        <v>93928500</v>
      </c>
      <c r="F337" s="788">
        <v>28000000</v>
      </c>
      <c r="G337" s="767">
        <v>12207450</v>
      </c>
      <c r="H337" s="906">
        <f t="shared" si="67"/>
        <v>40207450</v>
      </c>
      <c r="I337" s="754"/>
    </row>
    <row r="338" spans="1:10" hidden="1" outlineLevel="1">
      <c r="A338" s="751" t="s">
        <v>84</v>
      </c>
      <c r="B338" s="928" t="s">
        <v>6</v>
      </c>
      <c r="C338" s="754">
        <f t="shared" si="69"/>
        <v>775929652.57291675</v>
      </c>
      <c r="D338" s="754">
        <v>45400000</v>
      </c>
      <c r="E338" s="782">
        <v>278964853.62</v>
      </c>
      <c r="F338" s="781">
        <v>542364798.95291603</v>
      </c>
      <c r="G338" s="754">
        <v>0</v>
      </c>
      <c r="H338" s="906">
        <f t="shared" si="67"/>
        <v>542364798.95291674</v>
      </c>
      <c r="I338" s="754"/>
    </row>
    <row r="339" spans="1:10" hidden="1" outlineLevel="1">
      <c r="A339" s="751" t="s">
        <v>84</v>
      </c>
      <c r="B339" s="920" t="s">
        <v>7</v>
      </c>
      <c r="C339" s="754">
        <f t="shared" si="69"/>
        <v>0</v>
      </c>
      <c r="D339" s="754">
        <v>0</v>
      </c>
      <c r="E339" s="767">
        <v>0</v>
      </c>
      <c r="F339" s="788">
        <v>0</v>
      </c>
      <c r="G339" s="767">
        <v>0</v>
      </c>
      <c r="H339" s="1267">
        <f t="shared" si="67"/>
        <v>0</v>
      </c>
      <c r="I339" s="754"/>
    </row>
    <row r="340" spans="1:10" hidden="1" outlineLevel="1">
      <c r="A340" s="751" t="s">
        <v>84</v>
      </c>
      <c r="B340" s="919" t="s">
        <v>8</v>
      </c>
      <c r="C340" s="754">
        <f t="shared" si="69"/>
        <v>71531663</v>
      </c>
      <c r="D340" s="754">
        <v>11700000</v>
      </c>
      <c r="E340" s="767">
        <v>20223000</v>
      </c>
      <c r="F340" s="777">
        <v>0</v>
      </c>
      <c r="G340" s="767">
        <v>63008663</v>
      </c>
      <c r="H340" s="906">
        <f t="shared" si="67"/>
        <v>63008663</v>
      </c>
      <c r="I340" s="754"/>
    </row>
    <row r="341" spans="1:10" ht="13.5" hidden="1" outlineLevel="1" thickBot="1">
      <c r="A341" s="771" t="s">
        <v>84</v>
      </c>
      <c r="B341" s="926" t="s">
        <v>9</v>
      </c>
      <c r="C341" s="1256">
        <f t="shared" si="69"/>
        <v>132344400</v>
      </c>
      <c r="D341" s="1218">
        <v>0</v>
      </c>
      <c r="E341" s="806">
        <v>60034698</v>
      </c>
      <c r="F341" s="783">
        <v>72309702</v>
      </c>
      <c r="G341" s="897">
        <v>0</v>
      </c>
      <c r="H341" s="907">
        <f t="shared" si="67"/>
        <v>72309702</v>
      </c>
      <c r="I341" s="754"/>
    </row>
    <row r="342" spans="1:10" ht="13.5" hidden="1" outlineLevel="1" thickBot="1">
      <c r="A342" s="795" t="s">
        <v>84</v>
      </c>
      <c r="B342" s="1230" t="s">
        <v>31</v>
      </c>
      <c r="C342" s="1219">
        <f t="shared" ref="C342:H342" si="70">SUM(C336:C341)</f>
        <v>1065391950.5729167</v>
      </c>
      <c r="D342" s="1219">
        <f t="shared" si="70"/>
        <v>252325000</v>
      </c>
      <c r="E342" s="809">
        <f t="shared" si="70"/>
        <v>581916500.62</v>
      </c>
      <c r="F342" s="735">
        <f t="shared" si="70"/>
        <v>660584336.95291603</v>
      </c>
      <c r="G342" s="1219">
        <f t="shared" si="70"/>
        <v>75216113</v>
      </c>
      <c r="H342" s="787">
        <f t="shared" si="70"/>
        <v>735800449.95291674</v>
      </c>
      <c r="I342" s="799"/>
    </row>
    <row r="343" spans="1:10" hidden="1" outlineLevel="1">
      <c r="A343" s="750" t="s">
        <v>85</v>
      </c>
      <c r="B343" s="927" t="s">
        <v>4</v>
      </c>
      <c r="C343" s="753">
        <f t="shared" ref="C343:C348" si="71">C336</f>
        <v>1450285</v>
      </c>
      <c r="D343" s="753">
        <v>145225000</v>
      </c>
      <c r="E343" s="780">
        <v>128765449</v>
      </c>
      <c r="F343" s="901">
        <v>17909836</v>
      </c>
      <c r="G343" s="753">
        <v>0</v>
      </c>
      <c r="H343" s="905">
        <f t="shared" ref="H343:H348" si="72">C343+D343-E343</f>
        <v>17909836</v>
      </c>
      <c r="I343" s="753"/>
    </row>
    <row r="344" spans="1:10" hidden="1" outlineLevel="1">
      <c r="A344" s="751" t="s">
        <v>85</v>
      </c>
      <c r="B344" s="928" t="s">
        <v>5</v>
      </c>
      <c r="C344" s="754">
        <f t="shared" si="71"/>
        <v>84135950</v>
      </c>
      <c r="D344" s="754">
        <v>50000000</v>
      </c>
      <c r="E344" s="782">
        <v>93928500</v>
      </c>
      <c r="F344" s="788">
        <v>28000000</v>
      </c>
      <c r="G344" s="767">
        <v>12207450</v>
      </c>
      <c r="H344" s="906">
        <f t="shared" si="72"/>
        <v>40207450</v>
      </c>
      <c r="I344" s="754"/>
    </row>
    <row r="345" spans="1:10" hidden="1" outlineLevel="1">
      <c r="A345" s="751" t="s">
        <v>85</v>
      </c>
      <c r="B345" s="928" t="s">
        <v>6</v>
      </c>
      <c r="C345" s="754">
        <f t="shared" si="71"/>
        <v>775929652.57291675</v>
      </c>
      <c r="D345" s="754">
        <v>45400000</v>
      </c>
      <c r="E345" s="782">
        <v>278964853.62</v>
      </c>
      <c r="F345" s="781">
        <v>542364798.95291603</v>
      </c>
      <c r="G345" s="754">
        <v>0</v>
      </c>
      <c r="H345" s="906">
        <f t="shared" si="72"/>
        <v>542364798.95291674</v>
      </c>
      <c r="I345" s="754"/>
    </row>
    <row r="346" spans="1:10" hidden="1" outlineLevel="1">
      <c r="A346" s="751" t="s">
        <v>85</v>
      </c>
      <c r="B346" s="920" t="s">
        <v>7</v>
      </c>
      <c r="C346" s="754">
        <f t="shared" si="71"/>
        <v>0</v>
      </c>
      <c r="D346" s="754">
        <v>0</v>
      </c>
      <c r="E346" s="767">
        <v>0</v>
      </c>
      <c r="F346" s="788">
        <v>0</v>
      </c>
      <c r="G346" s="767">
        <v>0</v>
      </c>
      <c r="H346" s="1267">
        <f t="shared" si="72"/>
        <v>0</v>
      </c>
      <c r="I346" s="754"/>
      <c r="J346" s="1017"/>
    </row>
    <row r="347" spans="1:10" hidden="1" outlineLevel="1">
      <c r="A347" s="751" t="s">
        <v>85</v>
      </c>
      <c r="B347" s="919" t="s">
        <v>8</v>
      </c>
      <c r="C347" s="754">
        <f t="shared" si="71"/>
        <v>71531663</v>
      </c>
      <c r="D347" s="754">
        <v>11700000</v>
      </c>
      <c r="E347" s="767">
        <v>20223000</v>
      </c>
      <c r="F347" s="777">
        <v>0</v>
      </c>
      <c r="G347" s="767">
        <v>63008663</v>
      </c>
      <c r="H347" s="906">
        <f t="shared" si="72"/>
        <v>63008663</v>
      </c>
      <c r="I347" s="754"/>
    </row>
    <row r="348" spans="1:10" ht="13.5" hidden="1" outlineLevel="1" thickBot="1">
      <c r="A348" s="771" t="s">
        <v>85</v>
      </c>
      <c r="B348" s="926" t="s">
        <v>9</v>
      </c>
      <c r="C348" s="1256">
        <f t="shared" si="71"/>
        <v>132344400</v>
      </c>
      <c r="D348" s="1218">
        <v>0</v>
      </c>
      <c r="E348" s="806">
        <v>60034698</v>
      </c>
      <c r="F348" s="783">
        <v>72309702</v>
      </c>
      <c r="G348" s="897">
        <v>0</v>
      </c>
      <c r="H348" s="907">
        <f t="shared" si="72"/>
        <v>72309702</v>
      </c>
      <c r="I348" s="754"/>
    </row>
    <row r="349" spans="1:10" ht="13.5" hidden="1" outlineLevel="1" thickBot="1">
      <c r="A349" s="795" t="s">
        <v>85</v>
      </c>
      <c r="B349" s="1230" t="s">
        <v>31</v>
      </c>
      <c r="C349" s="1219">
        <f t="shared" ref="C349:H349" si="73">SUM(C343:C348)</f>
        <v>1065391950.5729167</v>
      </c>
      <c r="D349" s="1219">
        <f t="shared" si="73"/>
        <v>252325000</v>
      </c>
      <c r="E349" s="809">
        <f t="shared" si="73"/>
        <v>581916500.62</v>
      </c>
      <c r="F349" s="735">
        <f t="shared" si="73"/>
        <v>660584336.95291603</v>
      </c>
      <c r="G349" s="1219">
        <f t="shared" si="73"/>
        <v>75216113</v>
      </c>
      <c r="H349" s="786">
        <f t="shared" si="73"/>
        <v>735800449.95291674</v>
      </c>
      <c r="I349" s="799"/>
    </row>
    <row r="350" spans="1:10" hidden="1" outlineLevel="1">
      <c r="A350" s="750" t="s">
        <v>86</v>
      </c>
      <c r="B350" s="927" t="s">
        <v>4</v>
      </c>
      <c r="C350" s="753">
        <f t="shared" ref="C350:C355" si="74">C343</f>
        <v>1450285</v>
      </c>
      <c r="D350" s="753">
        <v>145225000</v>
      </c>
      <c r="E350" s="780">
        <v>128765449</v>
      </c>
      <c r="F350" s="901">
        <v>17909836</v>
      </c>
      <c r="G350" s="753">
        <v>0</v>
      </c>
      <c r="H350" s="905">
        <f t="shared" ref="H350:H355" si="75">C350+D350-E350</f>
        <v>17909836</v>
      </c>
      <c r="I350" s="753"/>
    </row>
    <row r="351" spans="1:10" hidden="1" outlineLevel="1">
      <c r="A351" s="751" t="s">
        <v>86</v>
      </c>
      <c r="B351" s="928" t="s">
        <v>5</v>
      </c>
      <c r="C351" s="754">
        <f t="shared" si="74"/>
        <v>84135950</v>
      </c>
      <c r="D351" s="754">
        <v>50000000</v>
      </c>
      <c r="E351" s="782">
        <v>109428500</v>
      </c>
      <c r="F351" s="788">
        <v>15000000</v>
      </c>
      <c r="G351" s="767">
        <v>9707450</v>
      </c>
      <c r="H351" s="906">
        <f t="shared" si="75"/>
        <v>24707450</v>
      </c>
      <c r="I351" s="754"/>
    </row>
    <row r="352" spans="1:10" hidden="1" outlineLevel="1">
      <c r="A352" s="751" t="s">
        <v>86</v>
      </c>
      <c r="B352" s="928" t="s">
        <v>6</v>
      </c>
      <c r="C352" s="754">
        <f t="shared" si="74"/>
        <v>775929652.57291675</v>
      </c>
      <c r="D352" s="754">
        <v>45400000</v>
      </c>
      <c r="E352" s="782">
        <v>278964853.62</v>
      </c>
      <c r="F352" s="781">
        <v>542364798.95291603</v>
      </c>
      <c r="G352" s="754">
        <v>0</v>
      </c>
      <c r="H352" s="906">
        <f t="shared" si="75"/>
        <v>542364798.95291674</v>
      </c>
      <c r="I352" s="754"/>
    </row>
    <row r="353" spans="1:9" hidden="1" outlineLevel="1">
      <c r="A353" s="751" t="s">
        <v>86</v>
      </c>
      <c r="B353" s="920" t="s">
        <v>7</v>
      </c>
      <c r="C353" s="754">
        <f t="shared" si="74"/>
        <v>0</v>
      </c>
      <c r="D353" s="754">
        <v>0</v>
      </c>
      <c r="E353" s="767">
        <v>0</v>
      </c>
      <c r="F353" s="788">
        <v>0</v>
      </c>
      <c r="G353" s="767">
        <v>0</v>
      </c>
      <c r="H353" s="1267">
        <f t="shared" si="75"/>
        <v>0</v>
      </c>
      <c r="I353" s="754"/>
    </row>
    <row r="354" spans="1:9" hidden="1" outlineLevel="1">
      <c r="A354" s="751" t="s">
        <v>86</v>
      </c>
      <c r="B354" s="919" t="s">
        <v>8</v>
      </c>
      <c r="C354" s="754">
        <f t="shared" si="74"/>
        <v>71531663</v>
      </c>
      <c r="D354" s="754">
        <v>11700000</v>
      </c>
      <c r="E354" s="767">
        <v>20423000</v>
      </c>
      <c r="F354" s="777">
        <v>0</v>
      </c>
      <c r="G354" s="767">
        <v>62808663</v>
      </c>
      <c r="H354" s="906">
        <f t="shared" si="75"/>
        <v>62808663</v>
      </c>
      <c r="I354" s="754"/>
    </row>
    <row r="355" spans="1:9" ht="13.5" hidden="1" outlineLevel="1" thickBot="1">
      <c r="A355" s="771" t="s">
        <v>86</v>
      </c>
      <c r="B355" s="926" t="s">
        <v>9</v>
      </c>
      <c r="C355" s="1256">
        <f t="shared" si="74"/>
        <v>132344400</v>
      </c>
      <c r="D355" s="1218">
        <v>0</v>
      </c>
      <c r="E355" s="806">
        <v>60034698</v>
      </c>
      <c r="F355" s="783">
        <v>72309702</v>
      </c>
      <c r="G355" s="897">
        <v>0</v>
      </c>
      <c r="H355" s="907">
        <f t="shared" si="75"/>
        <v>72309702</v>
      </c>
      <c r="I355" s="754"/>
    </row>
    <row r="356" spans="1:9" ht="13.5" hidden="1" outlineLevel="1" thickBot="1">
      <c r="A356" s="795" t="s">
        <v>86</v>
      </c>
      <c r="B356" s="1230" t="s">
        <v>31</v>
      </c>
      <c r="C356" s="1219">
        <f t="shared" ref="C356:H356" si="76">SUM(C350:C355)</f>
        <v>1065391950.5729167</v>
      </c>
      <c r="D356" s="1219">
        <f t="shared" si="76"/>
        <v>252325000</v>
      </c>
      <c r="E356" s="809">
        <f t="shared" si="76"/>
        <v>597616500.62</v>
      </c>
      <c r="F356" s="735">
        <f t="shared" si="76"/>
        <v>647584336.95291603</v>
      </c>
      <c r="G356" s="1219">
        <f t="shared" si="76"/>
        <v>72516113</v>
      </c>
      <c r="H356" s="786">
        <f t="shared" si="76"/>
        <v>720100449.95291674</v>
      </c>
      <c r="I356" s="799"/>
    </row>
    <row r="357" spans="1:9" hidden="1" outlineLevel="1">
      <c r="A357" s="750" t="s">
        <v>87</v>
      </c>
      <c r="B357" s="927" t="s">
        <v>4</v>
      </c>
      <c r="C357" s="753">
        <f t="shared" ref="C357:C362" si="77">C350</f>
        <v>1450285</v>
      </c>
      <c r="D357" s="753">
        <v>145225000</v>
      </c>
      <c r="E357" s="780">
        <v>128765449</v>
      </c>
      <c r="F357" s="901">
        <v>17909836</v>
      </c>
      <c r="G357" s="753">
        <v>0</v>
      </c>
      <c r="H357" s="905">
        <f t="shared" ref="H357:H362" si="78">C357+D357-E357</f>
        <v>17909836</v>
      </c>
      <c r="I357" s="753"/>
    </row>
    <row r="358" spans="1:9" hidden="1" outlineLevel="1">
      <c r="A358" s="751" t="s">
        <v>87</v>
      </c>
      <c r="B358" s="928" t="s">
        <v>5</v>
      </c>
      <c r="C358" s="754">
        <f t="shared" si="77"/>
        <v>84135950</v>
      </c>
      <c r="D358" s="754">
        <v>50000000</v>
      </c>
      <c r="E358" s="782">
        <v>111558500</v>
      </c>
      <c r="F358" s="788">
        <v>15857450</v>
      </c>
      <c r="G358" s="767">
        <v>6720000</v>
      </c>
      <c r="H358" s="906">
        <f t="shared" si="78"/>
        <v>22577450</v>
      </c>
      <c r="I358" s="754"/>
    </row>
    <row r="359" spans="1:9" hidden="1" outlineLevel="1">
      <c r="A359" s="751" t="s">
        <v>87</v>
      </c>
      <c r="B359" s="928" t="s">
        <v>6</v>
      </c>
      <c r="C359" s="754">
        <f t="shared" si="77"/>
        <v>775929652.57291675</v>
      </c>
      <c r="D359" s="754">
        <v>45400000</v>
      </c>
      <c r="E359" s="782">
        <v>278964853.62</v>
      </c>
      <c r="F359" s="781">
        <v>542364798.95291603</v>
      </c>
      <c r="G359" s="754">
        <v>0</v>
      </c>
      <c r="H359" s="906">
        <f t="shared" si="78"/>
        <v>542364798.95291674</v>
      </c>
      <c r="I359" s="754"/>
    </row>
    <row r="360" spans="1:9" hidden="1" outlineLevel="1">
      <c r="A360" s="751" t="s">
        <v>87</v>
      </c>
      <c r="B360" s="920" t="s">
        <v>7</v>
      </c>
      <c r="C360" s="754">
        <f t="shared" si="77"/>
        <v>0</v>
      </c>
      <c r="D360" s="754">
        <v>0</v>
      </c>
      <c r="E360" s="767">
        <v>0</v>
      </c>
      <c r="F360" s="788">
        <v>0</v>
      </c>
      <c r="G360" s="767">
        <v>0</v>
      </c>
      <c r="H360" s="1267">
        <f t="shared" si="78"/>
        <v>0</v>
      </c>
      <c r="I360" s="754"/>
    </row>
    <row r="361" spans="1:9" hidden="1" outlineLevel="1">
      <c r="A361" s="751" t="s">
        <v>87</v>
      </c>
      <c r="B361" s="919" t="s">
        <v>8</v>
      </c>
      <c r="C361" s="754">
        <f t="shared" si="77"/>
        <v>71531663</v>
      </c>
      <c r="D361" s="754">
        <v>11700000</v>
      </c>
      <c r="E361" s="767">
        <v>31799100</v>
      </c>
      <c r="F361" s="777">
        <v>0</v>
      </c>
      <c r="G361" s="767">
        <v>51432563</v>
      </c>
      <c r="H361" s="906">
        <f t="shared" si="78"/>
        <v>51432563</v>
      </c>
      <c r="I361" s="754"/>
    </row>
    <row r="362" spans="1:9" ht="13.5" hidden="1" outlineLevel="1" thickBot="1">
      <c r="A362" s="771" t="s">
        <v>87</v>
      </c>
      <c r="B362" s="926" t="s">
        <v>9</v>
      </c>
      <c r="C362" s="1256">
        <f t="shared" si="77"/>
        <v>132344400</v>
      </c>
      <c r="D362" s="1218">
        <v>0</v>
      </c>
      <c r="E362" s="806">
        <v>60034698</v>
      </c>
      <c r="F362" s="783">
        <v>72309702</v>
      </c>
      <c r="G362" s="897">
        <v>0</v>
      </c>
      <c r="H362" s="907">
        <f t="shared" si="78"/>
        <v>72309702</v>
      </c>
      <c r="I362" s="754"/>
    </row>
    <row r="363" spans="1:9" ht="13.5" hidden="1" outlineLevel="1" thickBot="1">
      <c r="A363" s="795" t="s">
        <v>87</v>
      </c>
      <c r="B363" s="1230" t="s">
        <v>31</v>
      </c>
      <c r="C363" s="1219">
        <f t="shared" ref="C363:H363" si="79">SUM(C357:C362)</f>
        <v>1065391950.5729167</v>
      </c>
      <c r="D363" s="1219">
        <f t="shared" si="79"/>
        <v>252325000</v>
      </c>
      <c r="E363" s="809">
        <f t="shared" si="79"/>
        <v>611122600.62</v>
      </c>
      <c r="F363" s="735">
        <f t="shared" si="79"/>
        <v>648441786.95291603</v>
      </c>
      <c r="G363" s="1219">
        <f t="shared" si="79"/>
        <v>58152563</v>
      </c>
      <c r="H363" s="786">
        <f t="shared" si="79"/>
        <v>706594349.95291674</v>
      </c>
      <c r="I363" s="799"/>
    </row>
    <row r="364" spans="1:9" hidden="1" outlineLevel="1">
      <c r="A364" s="750" t="s">
        <v>88</v>
      </c>
      <c r="B364" s="927" t="s">
        <v>4</v>
      </c>
      <c r="C364" s="753">
        <f t="shared" ref="C364:C369" si="80">C357</f>
        <v>1450285</v>
      </c>
      <c r="D364" s="753">
        <v>145225000</v>
      </c>
      <c r="E364" s="780">
        <v>128931449</v>
      </c>
      <c r="F364" s="901">
        <v>17743836</v>
      </c>
      <c r="G364" s="753">
        <v>0</v>
      </c>
      <c r="H364" s="905">
        <f t="shared" ref="H364:H369" si="81">C364+D364-E364</f>
        <v>17743836</v>
      </c>
      <c r="I364" s="753"/>
    </row>
    <row r="365" spans="1:9" hidden="1" outlineLevel="1">
      <c r="A365" s="751" t="s">
        <v>88</v>
      </c>
      <c r="B365" s="928" t="s">
        <v>5</v>
      </c>
      <c r="C365" s="754">
        <f t="shared" si="80"/>
        <v>84135950</v>
      </c>
      <c r="D365" s="754">
        <v>50000000</v>
      </c>
      <c r="E365" s="782">
        <v>114218500</v>
      </c>
      <c r="F365" s="902">
        <v>15857450</v>
      </c>
      <c r="G365" s="767">
        <v>4060000</v>
      </c>
      <c r="H365" s="906">
        <f t="shared" si="81"/>
        <v>19917450</v>
      </c>
      <c r="I365" s="754"/>
    </row>
    <row r="366" spans="1:9" hidden="1" outlineLevel="1">
      <c r="A366" s="751" t="s">
        <v>88</v>
      </c>
      <c r="B366" s="928" t="s">
        <v>6</v>
      </c>
      <c r="C366" s="754">
        <f t="shared" si="80"/>
        <v>775929652.57291675</v>
      </c>
      <c r="D366" s="754">
        <v>45400000</v>
      </c>
      <c r="E366" s="782">
        <v>278964853.62</v>
      </c>
      <c r="F366" s="781">
        <v>542364798.95291603</v>
      </c>
      <c r="G366" s="754">
        <v>0</v>
      </c>
      <c r="H366" s="906">
        <f t="shared" si="81"/>
        <v>542364798.95291674</v>
      </c>
      <c r="I366" s="754"/>
    </row>
    <row r="367" spans="1:9" hidden="1" outlineLevel="1">
      <c r="A367" s="751" t="s">
        <v>88</v>
      </c>
      <c r="B367" s="920" t="s">
        <v>7</v>
      </c>
      <c r="C367" s="754">
        <f t="shared" si="80"/>
        <v>0</v>
      </c>
      <c r="D367" s="754">
        <v>0</v>
      </c>
      <c r="E367" s="767">
        <v>0</v>
      </c>
      <c r="F367" s="788">
        <v>0</v>
      </c>
      <c r="G367" s="767">
        <v>0</v>
      </c>
      <c r="H367" s="1267">
        <f t="shared" si="81"/>
        <v>0</v>
      </c>
      <c r="I367" s="754"/>
    </row>
    <row r="368" spans="1:9" hidden="1" outlineLevel="1">
      <c r="A368" s="751" t="s">
        <v>88</v>
      </c>
      <c r="B368" s="919" t="s">
        <v>8</v>
      </c>
      <c r="C368" s="754">
        <f t="shared" si="80"/>
        <v>71531663</v>
      </c>
      <c r="D368" s="754">
        <v>11700000</v>
      </c>
      <c r="E368" s="767">
        <v>31799100</v>
      </c>
      <c r="F368" s="777">
        <v>0</v>
      </c>
      <c r="G368" s="767">
        <v>51432563</v>
      </c>
      <c r="H368" s="906">
        <f t="shared" si="81"/>
        <v>51432563</v>
      </c>
      <c r="I368" s="754"/>
    </row>
    <row r="369" spans="1:9" ht="13.5" hidden="1" outlineLevel="1" thickBot="1">
      <c r="A369" s="771" t="s">
        <v>88</v>
      </c>
      <c r="B369" s="926" t="s">
        <v>9</v>
      </c>
      <c r="C369" s="1256">
        <f t="shared" si="80"/>
        <v>132344400</v>
      </c>
      <c r="D369" s="1218">
        <v>0</v>
      </c>
      <c r="E369" s="806">
        <v>60034698</v>
      </c>
      <c r="F369" s="783">
        <v>72309702</v>
      </c>
      <c r="G369" s="897">
        <v>0</v>
      </c>
      <c r="H369" s="907">
        <f t="shared" si="81"/>
        <v>72309702</v>
      </c>
      <c r="I369" s="754"/>
    </row>
    <row r="370" spans="1:9" ht="13.5" hidden="1" outlineLevel="1" thickBot="1">
      <c r="A370" s="795" t="s">
        <v>88</v>
      </c>
      <c r="B370" s="1230" t="s">
        <v>31</v>
      </c>
      <c r="C370" s="1219">
        <f t="shared" ref="C370:H370" si="82">SUM(C364:C369)</f>
        <v>1065391950.5729167</v>
      </c>
      <c r="D370" s="1219">
        <f t="shared" si="82"/>
        <v>252325000</v>
      </c>
      <c r="E370" s="809">
        <f t="shared" si="82"/>
        <v>613948600.62</v>
      </c>
      <c r="F370" s="735">
        <f t="shared" si="82"/>
        <v>648275786.95291603</v>
      </c>
      <c r="G370" s="1219">
        <f t="shared" si="82"/>
        <v>55492563</v>
      </c>
      <c r="H370" s="786">
        <f t="shared" si="82"/>
        <v>703768349.95291674</v>
      </c>
      <c r="I370" s="799"/>
    </row>
    <row r="371" spans="1:9" hidden="1" outlineLevel="1">
      <c r="A371" s="750" t="s">
        <v>89</v>
      </c>
      <c r="B371" s="927" t="s">
        <v>4</v>
      </c>
      <c r="C371" s="753">
        <f t="shared" ref="C371:C376" si="83">C364</f>
        <v>1450285</v>
      </c>
      <c r="D371" s="753">
        <v>145225000</v>
      </c>
      <c r="E371" s="780">
        <v>128931449</v>
      </c>
      <c r="F371" s="901">
        <v>17743836</v>
      </c>
      <c r="G371" s="753">
        <v>0</v>
      </c>
      <c r="H371" s="905">
        <f t="shared" ref="H371:H376" si="84">C371+D371-E371</f>
        <v>17743836</v>
      </c>
      <c r="I371" s="753"/>
    </row>
    <row r="372" spans="1:9" hidden="1" outlineLevel="1">
      <c r="A372" s="751" t="s">
        <v>89</v>
      </c>
      <c r="B372" s="928" t="s">
        <v>5</v>
      </c>
      <c r="C372" s="754">
        <f t="shared" si="83"/>
        <v>84135950</v>
      </c>
      <c r="D372" s="754">
        <v>60000000</v>
      </c>
      <c r="E372" s="782">
        <v>114218500</v>
      </c>
      <c r="F372" s="902">
        <v>15857450</v>
      </c>
      <c r="G372" s="767">
        <v>14060000</v>
      </c>
      <c r="H372" s="906">
        <f t="shared" si="84"/>
        <v>29917450</v>
      </c>
      <c r="I372" s="754"/>
    </row>
    <row r="373" spans="1:9" hidden="1" outlineLevel="1">
      <c r="A373" s="751" t="s">
        <v>89</v>
      </c>
      <c r="B373" s="928" t="s">
        <v>6</v>
      </c>
      <c r="C373" s="754">
        <f t="shared" si="83"/>
        <v>775929652.57291675</v>
      </c>
      <c r="D373" s="754">
        <v>45400000</v>
      </c>
      <c r="E373" s="782">
        <v>278964853.62</v>
      </c>
      <c r="F373" s="781">
        <v>542364798.95291603</v>
      </c>
      <c r="G373" s="754">
        <v>0</v>
      </c>
      <c r="H373" s="906">
        <f t="shared" si="84"/>
        <v>542364798.95291674</v>
      </c>
      <c r="I373" s="754"/>
    </row>
    <row r="374" spans="1:9" hidden="1" outlineLevel="1">
      <c r="A374" s="751" t="s">
        <v>89</v>
      </c>
      <c r="B374" s="920" t="s">
        <v>7</v>
      </c>
      <c r="C374" s="754">
        <f t="shared" si="83"/>
        <v>0</v>
      </c>
      <c r="D374" s="754">
        <v>0</v>
      </c>
      <c r="E374" s="767">
        <v>0</v>
      </c>
      <c r="F374" s="788">
        <v>0</v>
      </c>
      <c r="G374" s="767">
        <v>0</v>
      </c>
      <c r="H374" s="1267">
        <f t="shared" si="84"/>
        <v>0</v>
      </c>
      <c r="I374" s="754"/>
    </row>
    <row r="375" spans="1:9" hidden="1" outlineLevel="1">
      <c r="A375" s="751" t="s">
        <v>89</v>
      </c>
      <c r="B375" s="919" t="s">
        <v>8</v>
      </c>
      <c r="C375" s="754">
        <f t="shared" si="83"/>
        <v>71531663</v>
      </c>
      <c r="D375" s="754">
        <v>11700000</v>
      </c>
      <c r="E375" s="767">
        <v>34142100</v>
      </c>
      <c r="F375" s="777">
        <v>0</v>
      </c>
      <c r="G375" s="767">
        <v>49089563</v>
      </c>
      <c r="H375" s="906">
        <f t="shared" si="84"/>
        <v>49089563</v>
      </c>
      <c r="I375" s="754"/>
    </row>
    <row r="376" spans="1:9" ht="13.5" hidden="1" outlineLevel="1" thickBot="1">
      <c r="A376" s="771" t="s">
        <v>89</v>
      </c>
      <c r="B376" s="926" t="s">
        <v>9</v>
      </c>
      <c r="C376" s="1256">
        <f t="shared" si="83"/>
        <v>132344400</v>
      </c>
      <c r="D376" s="1218">
        <v>0</v>
      </c>
      <c r="E376" s="806">
        <v>61587068</v>
      </c>
      <c r="F376" s="783">
        <v>69409702</v>
      </c>
      <c r="G376" s="897">
        <v>1347630</v>
      </c>
      <c r="H376" s="907">
        <f t="shared" si="84"/>
        <v>70757332</v>
      </c>
      <c r="I376" s="754"/>
    </row>
    <row r="377" spans="1:9" ht="13.5" hidden="1" outlineLevel="1" thickBot="1">
      <c r="A377" s="795" t="s">
        <v>89</v>
      </c>
      <c r="B377" s="1230" t="s">
        <v>31</v>
      </c>
      <c r="C377" s="1219">
        <f t="shared" ref="C377:H377" si="85">SUM(C371:C376)</f>
        <v>1065391950.5729167</v>
      </c>
      <c r="D377" s="1219">
        <f t="shared" si="85"/>
        <v>262325000</v>
      </c>
      <c r="E377" s="809">
        <f t="shared" si="85"/>
        <v>617843970.62</v>
      </c>
      <c r="F377" s="735">
        <f t="shared" si="85"/>
        <v>645375786.95291603</v>
      </c>
      <c r="G377" s="1219">
        <f t="shared" si="85"/>
        <v>64497193</v>
      </c>
      <c r="H377" s="786">
        <f t="shared" si="85"/>
        <v>709872979.95291674</v>
      </c>
      <c r="I377" s="799"/>
    </row>
    <row r="378" spans="1:9" hidden="1" outlineLevel="1">
      <c r="A378" s="750" t="s">
        <v>90</v>
      </c>
      <c r="B378" s="927" t="s">
        <v>4</v>
      </c>
      <c r="C378" s="753">
        <f t="shared" ref="C378:C383" si="86">C371</f>
        <v>1450285</v>
      </c>
      <c r="D378" s="753">
        <v>145225000</v>
      </c>
      <c r="E378" s="780">
        <v>128931449</v>
      </c>
      <c r="F378" s="901">
        <v>17743836</v>
      </c>
      <c r="G378" s="753">
        <v>0</v>
      </c>
      <c r="H378" s="905">
        <f t="shared" ref="H378:H383" si="87">C378+D378-E378</f>
        <v>17743836</v>
      </c>
      <c r="I378" s="753"/>
    </row>
    <row r="379" spans="1:9" hidden="1" outlineLevel="1">
      <c r="A379" s="751" t="s">
        <v>90</v>
      </c>
      <c r="B379" s="928" t="s">
        <v>5</v>
      </c>
      <c r="C379" s="754">
        <f t="shared" si="86"/>
        <v>84135950</v>
      </c>
      <c r="D379" s="754">
        <v>60000000</v>
      </c>
      <c r="E379" s="782">
        <v>114218500</v>
      </c>
      <c r="F379" s="902">
        <v>15857450</v>
      </c>
      <c r="G379" s="767">
        <v>14060000</v>
      </c>
      <c r="H379" s="906">
        <f t="shared" si="87"/>
        <v>29917450</v>
      </c>
      <c r="I379" s="754"/>
    </row>
    <row r="380" spans="1:9" hidden="1" outlineLevel="1">
      <c r="A380" s="751" t="s">
        <v>90</v>
      </c>
      <c r="B380" s="928" t="s">
        <v>6</v>
      </c>
      <c r="C380" s="754">
        <f t="shared" si="86"/>
        <v>775929652.57291675</v>
      </c>
      <c r="D380" s="754">
        <v>45400000</v>
      </c>
      <c r="E380" s="782">
        <v>456810273.62</v>
      </c>
      <c r="F380" s="781">
        <v>364519378.95291603</v>
      </c>
      <c r="G380" s="754">
        <v>0</v>
      </c>
      <c r="H380" s="906">
        <f t="shared" si="87"/>
        <v>364519378.95291674</v>
      </c>
      <c r="I380" s="754"/>
    </row>
    <row r="381" spans="1:9" hidden="1" outlineLevel="1">
      <c r="A381" s="751" t="s">
        <v>90</v>
      </c>
      <c r="B381" s="920" t="s">
        <v>7</v>
      </c>
      <c r="C381" s="754">
        <f t="shared" si="86"/>
        <v>0</v>
      </c>
      <c r="D381" s="754">
        <v>0</v>
      </c>
      <c r="E381" s="767">
        <v>0</v>
      </c>
      <c r="F381" s="788">
        <v>0</v>
      </c>
      <c r="G381" s="767">
        <v>0</v>
      </c>
      <c r="H381" s="1267">
        <f t="shared" si="87"/>
        <v>0</v>
      </c>
      <c r="I381" s="754"/>
    </row>
    <row r="382" spans="1:9" hidden="1" outlineLevel="1">
      <c r="A382" s="751" t="s">
        <v>90</v>
      </c>
      <c r="B382" s="919" t="s">
        <v>8</v>
      </c>
      <c r="C382" s="754">
        <f t="shared" si="86"/>
        <v>71531663</v>
      </c>
      <c r="D382" s="754">
        <v>11700000</v>
      </c>
      <c r="E382" s="767">
        <v>48720100</v>
      </c>
      <c r="F382" s="777">
        <v>0</v>
      </c>
      <c r="G382" s="767">
        <v>34511563</v>
      </c>
      <c r="H382" s="906">
        <f t="shared" si="87"/>
        <v>34511563</v>
      </c>
      <c r="I382" s="754"/>
    </row>
    <row r="383" spans="1:9" ht="13.5" hidden="1" outlineLevel="1" thickBot="1">
      <c r="A383" s="771" t="s">
        <v>90</v>
      </c>
      <c r="B383" s="926" t="s">
        <v>9</v>
      </c>
      <c r="C383" s="1256">
        <f t="shared" si="86"/>
        <v>132344400</v>
      </c>
      <c r="D383" s="1218">
        <v>0</v>
      </c>
      <c r="E383" s="806">
        <v>61587068</v>
      </c>
      <c r="F383" s="783">
        <v>69409702</v>
      </c>
      <c r="G383" s="897">
        <v>1347630</v>
      </c>
      <c r="H383" s="907">
        <f t="shared" si="87"/>
        <v>70757332</v>
      </c>
      <c r="I383" s="754"/>
    </row>
    <row r="384" spans="1:9" ht="13.5" hidden="1" outlineLevel="1" thickBot="1">
      <c r="A384" s="795" t="s">
        <v>90</v>
      </c>
      <c r="B384" s="1230" t="s">
        <v>31</v>
      </c>
      <c r="C384" s="1219">
        <f t="shared" ref="C384:H384" si="88">SUM(C378:C383)</f>
        <v>1065391950.5729167</v>
      </c>
      <c r="D384" s="1219">
        <f t="shared" si="88"/>
        <v>262325000</v>
      </c>
      <c r="E384" s="809">
        <f t="shared" si="88"/>
        <v>810267390.62</v>
      </c>
      <c r="F384" s="735">
        <f t="shared" si="88"/>
        <v>467530366.95291603</v>
      </c>
      <c r="G384" s="1219">
        <f t="shared" si="88"/>
        <v>49919193</v>
      </c>
      <c r="H384" s="786">
        <f t="shared" si="88"/>
        <v>517449559.95291674</v>
      </c>
      <c r="I384" s="799"/>
    </row>
    <row r="385" spans="1:9" hidden="1" outlineLevel="1">
      <c r="A385" s="750" t="s">
        <v>91</v>
      </c>
      <c r="B385" s="927" t="s">
        <v>4</v>
      </c>
      <c r="C385" s="753">
        <f t="shared" ref="C385:C390" si="89">C378</f>
        <v>1450285</v>
      </c>
      <c r="D385" s="753">
        <v>145225000</v>
      </c>
      <c r="E385" s="780">
        <v>128931449</v>
      </c>
      <c r="F385" s="901">
        <v>17743836</v>
      </c>
      <c r="G385" s="753">
        <v>0</v>
      </c>
      <c r="H385" s="905">
        <f t="shared" ref="H385:H390" si="90">C385+D385-E385</f>
        <v>17743836</v>
      </c>
      <c r="I385" s="753"/>
    </row>
    <row r="386" spans="1:9" hidden="1" outlineLevel="1">
      <c r="A386" s="751" t="s">
        <v>91</v>
      </c>
      <c r="B386" s="928" t="s">
        <v>5</v>
      </c>
      <c r="C386" s="754">
        <f t="shared" si="89"/>
        <v>84135950</v>
      </c>
      <c r="D386" s="754">
        <v>60000000</v>
      </c>
      <c r="E386" s="782">
        <v>114218500</v>
      </c>
      <c r="F386" s="902">
        <v>15857450</v>
      </c>
      <c r="G386" s="767">
        <v>14060000</v>
      </c>
      <c r="H386" s="906">
        <f t="shared" si="90"/>
        <v>29917450</v>
      </c>
      <c r="I386" s="754"/>
    </row>
    <row r="387" spans="1:9" hidden="1" outlineLevel="1">
      <c r="A387" s="751" t="s">
        <v>91</v>
      </c>
      <c r="B387" s="928" t="s">
        <v>6</v>
      </c>
      <c r="C387" s="754">
        <f t="shared" si="89"/>
        <v>775929652.57291675</v>
      </c>
      <c r="D387" s="754">
        <v>45400000</v>
      </c>
      <c r="E387" s="782">
        <v>456810273.62</v>
      </c>
      <c r="F387" s="781">
        <v>364519378.95291603</v>
      </c>
      <c r="G387" s="754">
        <v>0</v>
      </c>
      <c r="H387" s="906">
        <f t="shared" si="90"/>
        <v>364519378.95291674</v>
      </c>
      <c r="I387" s="754"/>
    </row>
    <row r="388" spans="1:9" hidden="1" outlineLevel="1">
      <c r="A388" s="751" t="s">
        <v>91</v>
      </c>
      <c r="B388" s="920" t="s">
        <v>7</v>
      </c>
      <c r="C388" s="754">
        <f t="shared" si="89"/>
        <v>0</v>
      </c>
      <c r="D388" s="754">
        <v>0</v>
      </c>
      <c r="E388" s="767">
        <v>0</v>
      </c>
      <c r="F388" s="788">
        <v>0</v>
      </c>
      <c r="G388" s="767">
        <v>0</v>
      </c>
      <c r="H388" s="1267">
        <f t="shared" si="90"/>
        <v>0</v>
      </c>
      <c r="I388" s="754"/>
    </row>
    <row r="389" spans="1:9" hidden="1" outlineLevel="1">
      <c r="A389" s="751" t="s">
        <v>91</v>
      </c>
      <c r="B389" s="919" t="s">
        <v>8</v>
      </c>
      <c r="C389" s="754">
        <f t="shared" si="89"/>
        <v>71531663</v>
      </c>
      <c r="D389" s="754">
        <v>11700000</v>
      </c>
      <c r="E389" s="767">
        <v>49133100</v>
      </c>
      <c r="F389" s="777"/>
      <c r="G389" s="767">
        <v>34098563</v>
      </c>
      <c r="H389" s="906">
        <f t="shared" si="90"/>
        <v>34098563</v>
      </c>
      <c r="I389" s="754"/>
    </row>
    <row r="390" spans="1:9" ht="13.5" hidden="1" outlineLevel="1" thickBot="1">
      <c r="A390" s="771" t="s">
        <v>91</v>
      </c>
      <c r="B390" s="926" t="s">
        <v>9</v>
      </c>
      <c r="C390" s="1256">
        <f t="shared" si="89"/>
        <v>132344400</v>
      </c>
      <c r="D390" s="1218">
        <v>0</v>
      </c>
      <c r="E390" s="806">
        <v>61587068</v>
      </c>
      <c r="F390" s="783">
        <v>69409702</v>
      </c>
      <c r="G390" s="897">
        <v>1347630</v>
      </c>
      <c r="H390" s="907">
        <f t="shared" si="90"/>
        <v>70757332</v>
      </c>
      <c r="I390" s="754"/>
    </row>
    <row r="391" spans="1:9" ht="13.5" hidden="1" outlineLevel="1" thickBot="1">
      <c r="A391" s="795" t="s">
        <v>91</v>
      </c>
      <c r="B391" s="1230" t="s">
        <v>31</v>
      </c>
      <c r="C391" s="1219">
        <f t="shared" ref="C391:H391" si="91">SUM(C385:C390)</f>
        <v>1065391950.5729167</v>
      </c>
      <c r="D391" s="1219">
        <f t="shared" si="91"/>
        <v>262325000</v>
      </c>
      <c r="E391" s="809">
        <f t="shared" si="91"/>
        <v>810680390.62</v>
      </c>
      <c r="F391" s="735">
        <f t="shared" si="91"/>
        <v>467530366.95291603</v>
      </c>
      <c r="G391" s="1219">
        <f t="shared" si="91"/>
        <v>49506193</v>
      </c>
      <c r="H391" s="786">
        <f t="shared" si="91"/>
        <v>517036559.95291674</v>
      </c>
      <c r="I391" s="799"/>
    </row>
    <row r="392" spans="1:9" hidden="1" outlineLevel="1">
      <c r="A392" s="750" t="s">
        <v>92</v>
      </c>
      <c r="B392" s="927" t="s">
        <v>4</v>
      </c>
      <c r="C392" s="753">
        <f t="shared" ref="C392:C397" si="92">C385</f>
        <v>1450285</v>
      </c>
      <c r="D392" s="753">
        <v>145225000</v>
      </c>
      <c r="E392" s="780">
        <v>128931449</v>
      </c>
      <c r="F392" s="901">
        <v>17743836</v>
      </c>
      <c r="G392" s="753">
        <v>0</v>
      </c>
      <c r="H392" s="905">
        <f t="shared" ref="H392:H397" si="93">C392+D392-E392</f>
        <v>17743836</v>
      </c>
      <c r="I392" s="753"/>
    </row>
    <row r="393" spans="1:9" hidden="1" outlineLevel="1">
      <c r="A393" s="751" t="s">
        <v>92</v>
      </c>
      <c r="B393" s="928" t="s">
        <v>5</v>
      </c>
      <c r="C393" s="754">
        <f t="shared" si="92"/>
        <v>84135950</v>
      </c>
      <c r="D393" s="754">
        <v>60000000</v>
      </c>
      <c r="E393" s="782">
        <v>114218500</v>
      </c>
      <c r="F393" s="902">
        <v>15857450</v>
      </c>
      <c r="G393" s="767">
        <v>14060000</v>
      </c>
      <c r="H393" s="906">
        <f t="shared" si="93"/>
        <v>29917450</v>
      </c>
      <c r="I393" s="754"/>
    </row>
    <row r="394" spans="1:9" hidden="1" outlineLevel="1">
      <c r="A394" s="751" t="s">
        <v>92</v>
      </c>
      <c r="B394" s="928" t="s">
        <v>6</v>
      </c>
      <c r="C394" s="754">
        <f t="shared" si="92"/>
        <v>775929652.57291675</v>
      </c>
      <c r="D394" s="754">
        <v>45400000</v>
      </c>
      <c r="E394" s="782">
        <v>456810273.62</v>
      </c>
      <c r="F394" s="781">
        <v>364519378.95291603</v>
      </c>
      <c r="G394" s="754">
        <v>0</v>
      </c>
      <c r="H394" s="906">
        <f t="shared" si="93"/>
        <v>364519378.95291674</v>
      </c>
      <c r="I394" s="754"/>
    </row>
    <row r="395" spans="1:9" hidden="1" outlineLevel="1">
      <c r="A395" s="751" t="s">
        <v>92</v>
      </c>
      <c r="B395" s="920" t="s">
        <v>7</v>
      </c>
      <c r="C395" s="754">
        <f t="shared" si="92"/>
        <v>0</v>
      </c>
      <c r="D395" s="754">
        <v>0</v>
      </c>
      <c r="E395" s="767">
        <v>0</v>
      </c>
      <c r="F395" s="788">
        <v>0</v>
      </c>
      <c r="G395" s="767">
        <v>0</v>
      </c>
      <c r="H395" s="1267">
        <f t="shared" si="93"/>
        <v>0</v>
      </c>
      <c r="I395" s="754"/>
    </row>
    <row r="396" spans="1:9" hidden="1" outlineLevel="1">
      <c r="A396" s="751" t="s">
        <v>92</v>
      </c>
      <c r="B396" s="919" t="s">
        <v>8</v>
      </c>
      <c r="C396" s="754">
        <f t="shared" si="92"/>
        <v>71531663</v>
      </c>
      <c r="D396" s="754">
        <v>11700000</v>
      </c>
      <c r="E396" s="767">
        <v>49133100</v>
      </c>
      <c r="F396" s="777">
        <v>0</v>
      </c>
      <c r="G396" s="767">
        <v>34098563</v>
      </c>
      <c r="H396" s="906">
        <f t="shared" si="93"/>
        <v>34098563</v>
      </c>
      <c r="I396" s="754"/>
    </row>
    <row r="397" spans="1:9" ht="13.5" hidden="1" outlineLevel="1" thickBot="1">
      <c r="A397" s="771" t="s">
        <v>92</v>
      </c>
      <c r="B397" s="926" t="s">
        <v>9</v>
      </c>
      <c r="C397" s="1256">
        <f t="shared" si="92"/>
        <v>132344400</v>
      </c>
      <c r="D397" s="1218">
        <v>0</v>
      </c>
      <c r="E397" s="806">
        <v>61587068</v>
      </c>
      <c r="F397" s="783">
        <v>69409702</v>
      </c>
      <c r="G397" s="897">
        <v>1347630</v>
      </c>
      <c r="H397" s="907">
        <f t="shared" si="93"/>
        <v>70757332</v>
      </c>
      <c r="I397" s="754"/>
    </row>
    <row r="398" spans="1:9" ht="13.5" hidden="1" outlineLevel="1" thickBot="1">
      <c r="A398" s="795" t="s">
        <v>92</v>
      </c>
      <c r="B398" s="1230" t="s">
        <v>31</v>
      </c>
      <c r="C398" s="1219">
        <f t="shared" ref="C398:H398" si="94">SUM(C392:C397)</f>
        <v>1065391950.5729167</v>
      </c>
      <c r="D398" s="1219">
        <f t="shared" si="94"/>
        <v>262325000</v>
      </c>
      <c r="E398" s="809">
        <f t="shared" si="94"/>
        <v>810680390.62</v>
      </c>
      <c r="F398" s="735">
        <f t="shared" si="94"/>
        <v>467530366.95291603</v>
      </c>
      <c r="G398" s="1219">
        <f t="shared" si="94"/>
        <v>49506193</v>
      </c>
      <c r="H398" s="786">
        <f t="shared" si="94"/>
        <v>517036559.95291674</v>
      </c>
      <c r="I398" s="799"/>
    </row>
    <row r="399" spans="1:9" hidden="1" outlineLevel="1">
      <c r="A399" s="750" t="s">
        <v>93</v>
      </c>
      <c r="B399" s="927" t="s">
        <v>4</v>
      </c>
      <c r="C399" s="753">
        <f t="shared" ref="C399:C404" si="95">C392</f>
        <v>1450285</v>
      </c>
      <c r="D399" s="753">
        <v>145225000</v>
      </c>
      <c r="E399" s="780">
        <v>134331449</v>
      </c>
      <c r="F399" s="901">
        <v>12343836</v>
      </c>
      <c r="G399" s="753">
        <v>0</v>
      </c>
      <c r="H399" s="905">
        <f t="shared" ref="H399:H404" si="96">C399+D399-E399</f>
        <v>12343836</v>
      </c>
      <c r="I399" s="753"/>
    </row>
    <row r="400" spans="1:9" hidden="1" outlineLevel="1">
      <c r="A400" s="751" t="s">
        <v>93</v>
      </c>
      <c r="B400" s="928" t="s">
        <v>5</v>
      </c>
      <c r="C400" s="754">
        <f t="shared" si="95"/>
        <v>84135950</v>
      </c>
      <c r="D400" s="754">
        <v>60250000</v>
      </c>
      <c r="E400" s="782">
        <v>117382800</v>
      </c>
      <c r="F400" s="902">
        <v>15300000</v>
      </c>
      <c r="G400" s="767">
        <v>11703150</v>
      </c>
      <c r="H400" s="906">
        <f t="shared" si="96"/>
        <v>27003150</v>
      </c>
      <c r="I400" s="754"/>
    </row>
    <row r="401" spans="1:9" hidden="1" outlineLevel="1">
      <c r="A401" s="751" t="s">
        <v>93</v>
      </c>
      <c r="B401" s="928" t="s">
        <v>6</v>
      </c>
      <c r="C401" s="754">
        <f t="shared" si="95"/>
        <v>775929652.57291675</v>
      </c>
      <c r="D401" s="754">
        <v>45400000</v>
      </c>
      <c r="E401" s="782">
        <v>459006498.62</v>
      </c>
      <c r="F401" s="781">
        <v>362323153.95291603</v>
      </c>
      <c r="G401" s="754">
        <v>0</v>
      </c>
      <c r="H401" s="906">
        <f t="shared" si="96"/>
        <v>362323153.95291674</v>
      </c>
      <c r="I401" s="754"/>
    </row>
    <row r="402" spans="1:9" hidden="1" outlineLevel="1">
      <c r="A402" s="751" t="s">
        <v>93</v>
      </c>
      <c r="B402" s="920" t="s">
        <v>7</v>
      </c>
      <c r="C402" s="754">
        <f t="shared" si="95"/>
        <v>0</v>
      </c>
      <c r="D402" s="754">
        <v>0</v>
      </c>
      <c r="E402" s="767">
        <v>0</v>
      </c>
      <c r="F402" s="788">
        <v>0</v>
      </c>
      <c r="G402" s="767">
        <v>0</v>
      </c>
      <c r="H402" s="1267">
        <f t="shared" si="96"/>
        <v>0</v>
      </c>
      <c r="I402" s="754"/>
    </row>
    <row r="403" spans="1:9" hidden="1" outlineLevel="1">
      <c r="A403" s="751" t="s">
        <v>93</v>
      </c>
      <c r="B403" s="919" t="s">
        <v>8</v>
      </c>
      <c r="C403" s="754">
        <f t="shared" si="95"/>
        <v>71531663</v>
      </c>
      <c r="D403" s="754">
        <v>11700000</v>
      </c>
      <c r="E403" s="767">
        <v>58933100</v>
      </c>
      <c r="F403" s="777">
        <v>0</v>
      </c>
      <c r="G403" s="767">
        <v>24298563</v>
      </c>
      <c r="H403" s="906">
        <f t="shared" si="96"/>
        <v>24298563</v>
      </c>
      <c r="I403" s="754"/>
    </row>
    <row r="404" spans="1:9" ht="13.5" hidden="1" outlineLevel="1" thickBot="1">
      <c r="A404" s="771" t="s">
        <v>93</v>
      </c>
      <c r="B404" s="926" t="s">
        <v>9</v>
      </c>
      <c r="C404" s="1256">
        <f t="shared" si="95"/>
        <v>132344400</v>
      </c>
      <c r="D404" s="1218">
        <v>0</v>
      </c>
      <c r="E404" s="806">
        <v>61587068</v>
      </c>
      <c r="F404" s="783">
        <v>69409702</v>
      </c>
      <c r="G404" s="897">
        <v>1347630</v>
      </c>
      <c r="H404" s="907">
        <f t="shared" si="96"/>
        <v>70757332</v>
      </c>
      <c r="I404" s="754"/>
    </row>
    <row r="405" spans="1:9" ht="13.5" hidden="1" outlineLevel="1" thickBot="1">
      <c r="A405" s="795" t="s">
        <v>93</v>
      </c>
      <c r="B405" s="1230" t="s">
        <v>31</v>
      </c>
      <c r="C405" s="1219">
        <f t="shared" ref="C405:H405" si="97">SUM(C399:C404)</f>
        <v>1065391950.5729167</v>
      </c>
      <c r="D405" s="1219">
        <f t="shared" si="97"/>
        <v>262575000</v>
      </c>
      <c r="E405" s="809">
        <f t="shared" si="97"/>
        <v>831240915.62</v>
      </c>
      <c r="F405" s="735">
        <f t="shared" si="97"/>
        <v>459376691.95291603</v>
      </c>
      <c r="G405" s="1219">
        <f t="shared" si="97"/>
        <v>37349343</v>
      </c>
      <c r="H405" s="786">
        <f t="shared" si="97"/>
        <v>496726034.95291674</v>
      </c>
      <c r="I405" s="799"/>
    </row>
    <row r="406" spans="1:9" hidden="1" outlineLevel="1">
      <c r="A406" s="750" t="s">
        <v>94</v>
      </c>
      <c r="B406" s="927" t="s">
        <v>4</v>
      </c>
      <c r="C406" s="753">
        <f t="shared" ref="C406:C411" si="98">C399</f>
        <v>1450285</v>
      </c>
      <c r="D406" s="753">
        <v>145225000</v>
      </c>
      <c r="E406" s="780">
        <v>134331449</v>
      </c>
      <c r="F406" s="901">
        <v>12343836</v>
      </c>
      <c r="G406" s="753">
        <v>0</v>
      </c>
      <c r="H406" s="905">
        <f t="shared" ref="H406:H411" si="99">C406+D406-E406</f>
        <v>12343836</v>
      </c>
      <c r="I406" s="753"/>
    </row>
    <row r="407" spans="1:9" hidden="1" outlineLevel="1">
      <c r="A407" s="751" t="s">
        <v>94</v>
      </c>
      <c r="B407" s="928" t="s">
        <v>5</v>
      </c>
      <c r="C407" s="754">
        <f t="shared" si="98"/>
        <v>84135950</v>
      </c>
      <c r="D407" s="754">
        <v>60250000</v>
      </c>
      <c r="E407" s="782">
        <v>117382800</v>
      </c>
      <c r="F407" s="902">
        <v>15300000</v>
      </c>
      <c r="G407" s="767">
        <v>11703150</v>
      </c>
      <c r="H407" s="906">
        <f t="shared" si="99"/>
        <v>27003150</v>
      </c>
      <c r="I407" s="754"/>
    </row>
    <row r="408" spans="1:9" hidden="1" outlineLevel="1">
      <c r="A408" s="751" t="s">
        <v>94</v>
      </c>
      <c r="B408" s="928" t="s">
        <v>6</v>
      </c>
      <c r="C408" s="754">
        <f t="shared" si="98"/>
        <v>775929652.57291675</v>
      </c>
      <c r="D408" s="754">
        <v>45400000</v>
      </c>
      <c r="E408" s="782">
        <v>459857748.62</v>
      </c>
      <c r="F408" s="781">
        <v>361471903.95291603</v>
      </c>
      <c r="G408" s="754">
        <v>0</v>
      </c>
      <c r="H408" s="906">
        <f t="shared" si="99"/>
        <v>361471903.95291674</v>
      </c>
      <c r="I408" s="754"/>
    </row>
    <row r="409" spans="1:9" hidden="1" outlineLevel="1">
      <c r="A409" s="751" t="s">
        <v>94</v>
      </c>
      <c r="B409" s="920" t="s">
        <v>7</v>
      </c>
      <c r="C409" s="754">
        <f t="shared" si="98"/>
        <v>0</v>
      </c>
      <c r="D409" s="754">
        <v>0</v>
      </c>
      <c r="E409" s="767">
        <v>0</v>
      </c>
      <c r="F409" s="788">
        <v>0</v>
      </c>
      <c r="G409" s="767">
        <v>0</v>
      </c>
      <c r="H409" s="1267">
        <f t="shared" si="99"/>
        <v>0</v>
      </c>
      <c r="I409" s="754"/>
    </row>
    <row r="410" spans="1:9" hidden="1" outlineLevel="1">
      <c r="A410" s="751" t="s">
        <v>94</v>
      </c>
      <c r="B410" s="919" t="s">
        <v>8</v>
      </c>
      <c r="C410" s="754">
        <f t="shared" si="98"/>
        <v>71531663</v>
      </c>
      <c r="D410" s="754">
        <v>11700000</v>
      </c>
      <c r="E410" s="767">
        <v>58933100</v>
      </c>
      <c r="F410" s="777">
        <v>0</v>
      </c>
      <c r="G410" s="767">
        <v>24298563</v>
      </c>
      <c r="H410" s="906">
        <f t="shared" si="99"/>
        <v>24298563</v>
      </c>
      <c r="I410" s="754"/>
    </row>
    <row r="411" spans="1:9" ht="13.5" hidden="1" outlineLevel="1" thickBot="1">
      <c r="A411" s="771" t="s">
        <v>94</v>
      </c>
      <c r="B411" s="926" t="s">
        <v>9</v>
      </c>
      <c r="C411" s="1256">
        <f t="shared" si="98"/>
        <v>132344400</v>
      </c>
      <c r="D411" s="1218">
        <v>0</v>
      </c>
      <c r="E411" s="806">
        <v>106648428</v>
      </c>
      <c r="F411" s="783"/>
      <c r="G411" s="897"/>
      <c r="H411" s="907">
        <f t="shared" si="99"/>
        <v>25695972</v>
      </c>
      <c r="I411" s="754"/>
    </row>
    <row r="412" spans="1:9" ht="13.5" hidden="1" outlineLevel="1" thickBot="1">
      <c r="A412" s="795" t="s">
        <v>94</v>
      </c>
      <c r="B412" s="1230" t="s">
        <v>31</v>
      </c>
      <c r="C412" s="1219">
        <f t="shared" ref="C412:H412" si="100">SUM(C406:C411)</f>
        <v>1065391950.5729167</v>
      </c>
      <c r="D412" s="1219">
        <f t="shared" si="100"/>
        <v>262575000</v>
      </c>
      <c r="E412" s="809">
        <f t="shared" si="100"/>
        <v>877153525.62</v>
      </c>
      <c r="F412" s="735">
        <f t="shared" si="100"/>
        <v>389115739.95291603</v>
      </c>
      <c r="G412" s="1219">
        <f t="shared" si="100"/>
        <v>36001713</v>
      </c>
      <c r="H412" s="786">
        <f t="shared" si="100"/>
        <v>450813424.95291674</v>
      </c>
      <c r="I412" s="799"/>
    </row>
    <row r="413" spans="1:9" hidden="1" outlineLevel="1">
      <c r="A413" s="750" t="s">
        <v>95</v>
      </c>
      <c r="B413" s="927" t="s">
        <v>4</v>
      </c>
      <c r="C413" s="753">
        <f t="shared" ref="C413:C418" si="101">C406</f>
        <v>1450285</v>
      </c>
      <c r="D413" s="753">
        <v>145225000</v>
      </c>
      <c r="E413" s="780">
        <v>134331449</v>
      </c>
      <c r="F413" s="901">
        <v>12343836</v>
      </c>
      <c r="G413" s="753">
        <v>0</v>
      </c>
      <c r="H413" s="905">
        <f t="shared" ref="H413:H418" si="102">C413+D413-E413</f>
        <v>12343836</v>
      </c>
      <c r="I413" s="753"/>
    </row>
    <row r="414" spans="1:9" hidden="1" outlineLevel="1">
      <c r="A414" s="751" t="s">
        <v>95</v>
      </c>
      <c r="B414" s="928" t="s">
        <v>5</v>
      </c>
      <c r="C414" s="754">
        <f t="shared" si="101"/>
        <v>84135950</v>
      </c>
      <c r="D414" s="754">
        <v>60250000</v>
      </c>
      <c r="E414" s="782">
        <v>117382800</v>
      </c>
      <c r="F414" s="902">
        <v>15300000</v>
      </c>
      <c r="G414" s="767">
        <v>11703150</v>
      </c>
      <c r="H414" s="906">
        <f t="shared" si="102"/>
        <v>27003150</v>
      </c>
      <c r="I414" s="754"/>
    </row>
    <row r="415" spans="1:9" hidden="1" outlineLevel="1">
      <c r="A415" s="751" t="s">
        <v>95</v>
      </c>
      <c r="B415" s="928" t="s">
        <v>6</v>
      </c>
      <c r="C415" s="754">
        <f t="shared" si="101"/>
        <v>775929652.57291675</v>
      </c>
      <c r="D415" s="754">
        <v>45400000</v>
      </c>
      <c r="E415" s="782">
        <v>460628867.62</v>
      </c>
      <c r="F415" s="781">
        <v>360700784.95291603</v>
      </c>
      <c r="G415" s="754">
        <v>0</v>
      </c>
      <c r="H415" s="906">
        <f t="shared" si="102"/>
        <v>360700784.95291674</v>
      </c>
      <c r="I415" s="754"/>
    </row>
    <row r="416" spans="1:9" hidden="1" outlineLevel="1">
      <c r="A416" s="751" t="s">
        <v>95</v>
      </c>
      <c r="B416" s="920" t="s">
        <v>7</v>
      </c>
      <c r="C416" s="754">
        <f t="shared" si="101"/>
        <v>0</v>
      </c>
      <c r="D416" s="754">
        <v>0</v>
      </c>
      <c r="E416" s="767">
        <v>0</v>
      </c>
      <c r="F416" s="788">
        <v>0</v>
      </c>
      <c r="G416" s="767">
        <v>0</v>
      </c>
      <c r="H416" s="1267">
        <f t="shared" si="102"/>
        <v>0</v>
      </c>
      <c r="I416" s="754"/>
    </row>
    <row r="417" spans="1:9" hidden="1" outlineLevel="1">
      <c r="A417" s="751" t="s">
        <v>95</v>
      </c>
      <c r="B417" s="919" t="s">
        <v>8</v>
      </c>
      <c r="C417" s="754">
        <f t="shared" si="101"/>
        <v>71531663</v>
      </c>
      <c r="D417" s="754">
        <v>11700000</v>
      </c>
      <c r="E417" s="767">
        <v>58933100</v>
      </c>
      <c r="F417" s="777">
        <v>0</v>
      </c>
      <c r="G417" s="767">
        <v>24298563</v>
      </c>
      <c r="H417" s="906">
        <f t="shared" si="102"/>
        <v>24298563</v>
      </c>
      <c r="I417" s="754"/>
    </row>
    <row r="418" spans="1:9" ht="13.5" hidden="1" outlineLevel="1" thickBot="1">
      <c r="A418" s="771" t="s">
        <v>95</v>
      </c>
      <c r="B418" s="926" t="s">
        <v>9</v>
      </c>
      <c r="C418" s="1256">
        <f t="shared" si="101"/>
        <v>132344400</v>
      </c>
      <c r="D418" s="1218">
        <v>0</v>
      </c>
      <c r="E418" s="806">
        <v>118248428</v>
      </c>
      <c r="F418" s="783">
        <v>12914512</v>
      </c>
      <c r="G418" s="897">
        <v>1181460</v>
      </c>
      <c r="H418" s="907">
        <f t="shared" si="102"/>
        <v>14095972</v>
      </c>
      <c r="I418" s="754"/>
    </row>
    <row r="419" spans="1:9" ht="13.5" hidden="1" outlineLevel="1" thickBot="1">
      <c r="A419" s="810" t="s">
        <v>95</v>
      </c>
      <c r="B419" s="1230" t="s">
        <v>31</v>
      </c>
      <c r="C419" s="1219">
        <f t="shared" ref="C419:H419" si="103">SUM(C413:C418)</f>
        <v>1065391950.5729167</v>
      </c>
      <c r="D419" s="1219">
        <f t="shared" si="103"/>
        <v>262575000</v>
      </c>
      <c r="E419" s="809">
        <f t="shared" si="103"/>
        <v>889524644.62</v>
      </c>
      <c r="F419" s="735">
        <f t="shared" si="103"/>
        <v>401259132.95291603</v>
      </c>
      <c r="G419" s="1219">
        <f t="shared" si="103"/>
        <v>37183173</v>
      </c>
      <c r="H419" s="786">
        <f t="shared" si="103"/>
        <v>438442305.95291674</v>
      </c>
      <c r="I419" s="799"/>
    </row>
    <row r="420" spans="1:9" hidden="1" outlineLevel="1">
      <c r="A420" s="750" t="s">
        <v>96</v>
      </c>
      <c r="B420" s="927" t="s">
        <v>4</v>
      </c>
      <c r="C420" s="753">
        <f t="shared" ref="C420:C425" si="104">C413</f>
        <v>1450285</v>
      </c>
      <c r="D420" s="753">
        <v>145225000</v>
      </c>
      <c r="E420" s="780">
        <v>134331449</v>
      </c>
      <c r="F420" s="901">
        <v>12343836</v>
      </c>
      <c r="G420" s="753">
        <v>0</v>
      </c>
      <c r="H420" s="905">
        <f t="shared" ref="H420:H425" si="105">C420+D420-E420</f>
        <v>12343836</v>
      </c>
      <c r="I420" s="753"/>
    </row>
    <row r="421" spans="1:9" hidden="1" outlineLevel="1">
      <c r="A421" s="751" t="s">
        <v>96</v>
      </c>
      <c r="B421" s="928" t="s">
        <v>5</v>
      </c>
      <c r="C421" s="754">
        <f t="shared" si="104"/>
        <v>84135950</v>
      </c>
      <c r="D421" s="754">
        <v>60250000</v>
      </c>
      <c r="E421" s="782">
        <v>117382800</v>
      </c>
      <c r="F421" s="902">
        <v>15300000</v>
      </c>
      <c r="G421" s="767">
        <v>11703150</v>
      </c>
      <c r="H421" s="906">
        <f t="shared" si="105"/>
        <v>27003150</v>
      </c>
      <c r="I421" s="754"/>
    </row>
    <row r="422" spans="1:9" hidden="1" outlineLevel="1">
      <c r="A422" s="751" t="s">
        <v>96</v>
      </c>
      <c r="B422" s="928" t="s">
        <v>6</v>
      </c>
      <c r="C422" s="754">
        <f t="shared" si="104"/>
        <v>775929652.57291675</v>
      </c>
      <c r="D422" s="754">
        <v>45400000</v>
      </c>
      <c r="E422" s="782">
        <v>464612263.62</v>
      </c>
      <c r="F422" s="781">
        <v>356717388.95291603</v>
      </c>
      <c r="G422" s="754">
        <v>0</v>
      </c>
      <c r="H422" s="906">
        <f t="shared" si="105"/>
        <v>356717388.95291674</v>
      </c>
      <c r="I422" s="754"/>
    </row>
    <row r="423" spans="1:9" hidden="1" outlineLevel="1">
      <c r="A423" s="751" t="s">
        <v>96</v>
      </c>
      <c r="B423" s="920" t="s">
        <v>7</v>
      </c>
      <c r="C423" s="754">
        <f t="shared" si="104"/>
        <v>0</v>
      </c>
      <c r="D423" s="754">
        <v>0</v>
      </c>
      <c r="E423" s="767">
        <v>0</v>
      </c>
      <c r="F423" s="788">
        <v>0</v>
      </c>
      <c r="G423" s="767">
        <v>0</v>
      </c>
      <c r="H423" s="1267">
        <f t="shared" si="105"/>
        <v>0</v>
      </c>
      <c r="I423" s="754"/>
    </row>
    <row r="424" spans="1:9" hidden="1" outlineLevel="1">
      <c r="A424" s="751" t="s">
        <v>96</v>
      </c>
      <c r="B424" s="919" t="s">
        <v>8</v>
      </c>
      <c r="C424" s="754">
        <f t="shared" si="104"/>
        <v>71531663</v>
      </c>
      <c r="D424" s="754">
        <v>18000000</v>
      </c>
      <c r="E424" s="767">
        <v>59183100</v>
      </c>
      <c r="F424" s="777">
        <v>0</v>
      </c>
      <c r="G424" s="767">
        <v>30348863</v>
      </c>
      <c r="H424" s="906">
        <f t="shared" si="105"/>
        <v>30348563</v>
      </c>
      <c r="I424" s="754"/>
    </row>
    <row r="425" spans="1:9" ht="13.5" hidden="1" outlineLevel="1" thickBot="1">
      <c r="A425" s="771" t="s">
        <v>96</v>
      </c>
      <c r="B425" s="926" t="s">
        <v>9</v>
      </c>
      <c r="C425" s="1256">
        <f t="shared" si="104"/>
        <v>132344400</v>
      </c>
      <c r="D425" s="1218">
        <v>0</v>
      </c>
      <c r="E425" s="806">
        <v>124214424</v>
      </c>
      <c r="F425" s="783">
        <v>6948516.0000000102</v>
      </c>
      <c r="G425" s="897">
        <v>1181460</v>
      </c>
      <c r="H425" s="907">
        <f t="shared" si="105"/>
        <v>8129976</v>
      </c>
      <c r="I425" s="754"/>
    </row>
    <row r="426" spans="1:9" ht="13.5" hidden="1" outlineLevel="1" thickBot="1">
      <c r="A426" s="810" t="s">
        <v>96</v>
      </c>
      <c r="B426" s="1230" t="s">
        <v>31</v>
      </c>
      <c r="C426" s="1219">
        <f t="shared" ref="C426:H426" si="106">SUM(C420:C425)</f>
        <v>1065391950.5729167</v>
      </c>
      <c r="D426" s="1219">
        <f t="shared" si="106"/>
        <v>268875000</v>
      </c>
      <c r="E426" s="809">
        <f t="shared" si="106"/>
        <v>899724036.62</v>
      </c>
      <c r="F426" s="735">
        <f t="shared" si="106"/>
        <v>391309740.95291603</v>
      </c>
      <c r="G426" s="1219">
        <f t="shared" si="106"/>
        <v>43233473</v>
      </c>
      <c r="H426" s="786">
        <f t="shared" si="106"/>
        <v>434542913.95291674</v>
      </c>
      <c r="I426" s="799"/>
    </row>
    <row r="427" spans="1:9" hidden="1" outlineLevel="1">
      <c r="A427" s="750" t="s">
        <v>97</v>
      </c>
      <c r="B427" s="927" t="s">
        <v>4</v>
      </c>
      <c r="C427" s="753">
        <f t="shared" ref="C427:C432" si="107">C420</f>
        <v>1450285</v>
      </c>
      <c r="D427" s="753">
        <v>145225000</v>
      </c>
      <c r="E427" s="780">
        <v>134331449</v>
      </c>
      <c r="F427" s="901">
        <v>12343836</v>
      </c>
      <c r="G427" s="753">
        <v>0</v>
      </c>
      <c r="H427" s="905">
        <f t="shared" ref="H427:H432" si="108">C427+D427-E427</f>
        <v>12343836</v>
      </c>
      <c r="I427" s="753"/>
    </row>
    <row r="428" spans="1:9" hidden="1" outlineLevel="1">
      <c r="A428" s="751" t="s">
        <v>97</v>
      </c>
      <c r="B428" s="928" t="s">
        <v>5</v>
      </c>
      <c r="C428" s="754">
        <f t="shared" si="107"/>
        <v>84135950</v>
      </c>
      <c r="D428" s="754">
        <v>60250000</v>
      </c>
      <c r="E428" s="782">
        <v>117382800</v>
      </c>
      <c r="F428" s="902">
        <v>15300000</v>
      </c>
      <c r="G428" s="767">
        <v>11703150</v>
      </c>
      <c r="H428" s="906">
        <f t="shared" si="108"/>
        <v>27003150</v>
      </c>
      <c r="I428" s="754"/>
    </row>
    <row r="429" spans="1:9" hidden="1" outlineLevel="1">
      <c r="A429" s="751" t="s">
        <v>97</v>
      </c>
      <c r="B429" s="928" t="s">
        <v>6</v>
      </c>
      <c r="C429" s="754">
        <f t="shared" si="107"/>
        <v>775929652.57291675</v>
      </c>
      <c r="D429" s="754">
        <v>45400000</v>
      </c>
      <c r="E429" s="782">
        <v>466212613.62</v>
      </c>
      <c r="F429" s="781">
        <v>355117038.95291603</v>
      </c>
      <c r="G429" s="754">
        <v>0</v>
      </c>
      <c r="H429" s="906">
        <f t="shared" si="108"/>
        <v>355117038.95291674</v>
      </c>
      <c r="I429" s="754"/>
    </row>
    <row r="430" spans="1:9" hidden="1" outlineLevel="1">
      <c r="A430" s="751" t="s">
        <v>97</v>
      </c>
      <c r="B430" s="920" t="s">
        <v>7</v>
      </c>
      <c r="C430" s="754">
        <f t="shared" si="107"/>
        <v>0</v>
      </c>
      <c r="D430" s="754">
        <v>0</v>
      </c>
      <c r="E430" s="767">
        <v>0</v>
      </c>
      <c r="F430" s="788">
        <v>0</v>
      </c>
      <c r="G430" s="767">
        <v>0</v>
      </c>
      <c r="H430" s="1267">
        <f t="shared" si="108"/>
        <v>0</v>
      </c>
      <c r="I430" s="754"/>
    </row>
    <row r="431" spans="1:9" hidden="1" outlineLevel="1">
      <c r="A431" s="751" t="s">
        <v>97</v>
      </c>
      <c r="B431" s="919" t="s">
        <v>8</v>
      </c>
      <c r="C431" s="754">
        <f t="shared" si="107"/>
        <v>71531663</v>
      </c>
      <c r="D431" s="754">
        <v>18000000</v>
      </c>
      <c r="E431" s="767">
        <v>59535800</v>
      </c>
      <c r="F431" s="777">
        <v>0</v>
      </c>
      <c r="G431" s="767">
        <v>29995863</v>
      </c>
      <c r="H431" s="906">
        <f t="shared" si="108"/>
        <v>29995863</v>
      </c>
      <c r="I431" s="754"/>
    </row>
    <row r="432" spans="1:9" ht="13.5" hidden="1" outlineLevel="1" thickBot="1">
      <c r="A432" s="771" t="s">
        <v>97</v>
      </c>
      <c r="B432" s="926" t="s">
        <v>9</v>
      </c>
      <c r="C432" s="1256">
        <f t="shared" si="107"/>
        <v>132344400</v>
      </c>
      <c r="D432" s="1218">
        <v>0</v>
      </c>
      <c r="E432" s="806">
        <v>125175948</v>
      </c>
      <c r="F432" s="783">
        <v>6781882.0000000102</v>
      </c>
      <c r="G432" s="897">
        <v>386570</v>
      </c>
      <c r="H432" s="907">
        <f t="shared" si="108"/>
        <v>7168452</v>
      </c>
      <c r="I432" s="754"/>
    </row>
    <row r="433" spans="1:9" ht="13.5" hidden="1" outlineLevel="1" thickBot="1">
      <c r="A433" s="811" t="s">
        <v>97</v>
      </c>
      <c r="B433" s="1230" t="s">
        <v>31</v>
      </c>
      <c r="C433" s="1219">
        <f t="shared" ref="C433:H433" si="109">SUM(C427:C432)</f>
        <v>1065391950.5729167</v>
      </c>
      <c r="D433" s="1219">
        <f t="shared" si="109"/>
        <v>268875000</v>
      </c>
      <c r="E433" s="809">
        <f t="shared" si="109"/>
        <v>902638610.62</v>
      </c>
      <c r="F433" s="735">
        <f t="shared" si="109"/>
        <v>389542756.95291603</v>
      </c>
      <c r="G433" s="1219">
        <f t="shared" si="109"/>
        <v>42085583</v>
      </c>
      <c r="H433" s="786">
        <f t="shared" si="109"/>
        <v>431628339.95291674</v>
      </c>
      <c r="I433" s="799"/>
    </row>
    <row r="434" spans="1:9" hidden="1" outlineLevel="1">
      <c r="A434" s="812" t="s">
        <v>98</v>
      </c>
      <c r="B434" s="1243" t="s">
        <v>4</v>
      </c>
      <c r="C434" s="753">
        <f t="shared" ref="C434:C439" si="110">C427</f>
        <v>1450285</v>
      </c>
      <c r="D434" s="753">
        <v>145225000</v>
      </c>
      <c r="E434" s="780">
        <v>134331449</v>
      </c>
      <c r="F434" s="901">
        <v>12343836</v>
      </c>
      <c r="G434" s="753">
        <v>0</v>
      </c>
      <c r="H434" s="905">
        <f t="shared" ref="H434:H439" si="111">C434+D434-E434</f>
        <v>12343836</v>
      </c>
      <c r="I434" s="753"/>
    </row>
    <row r="435" spans="1:9" hidden="1" outlineLevel="1">
      <c r="A435" s="812" t="s">
        <v>98</v>
      </c>
      <c r="B435" s="1244" t="s">
        <v>5</v>
      </c>
      <c r="C435" s="754">
        <f t="shared" si="110"/>
        <v>84135950</v>
      </c>
      <c r="D435" s="754">
        <v>60250000</v>
      </c>
      <c r="E435" s="782">
        <v>139017800</v>
      </c>
      <c r="F435" s="902">
        <v>5300000</v>
      </c>
      <c r="G435" s="767">
        <v>328150</v>
      </c>
      <c r="H435" s="906">
        <f t="shared" si="111"/>
        <v>5368150</v>
      </c>
      <c r="I435" s="754"/>
    </row>
    <row r="436" spans="1:9" hidden="1" outlineLevel="1">
      <c r="A436" s="812" t="s">
        <v>98</v>
      </c>
      <c r="B436" s="1244" t="s">
        <v>6</v>
      </c>
      <c r="C436" s="754">
        <f t="shared" si="110"/>
        <v>775929652.57291675</v>
      </c>
      <c r="D436" s="754">
        <v>45400000</v>
      </c>
      <c r="E436" s="782">
        <v>479539783.62</v>
      </c>
      <c r="F436" s="781">
        <v>341789868.95291603</v>
      </c>
      <c r="G436" s="754">
        <v>0</v>
      </c>
      <c r="H436" s="906">
        <f t="shared" si="111"/>
        <v>341789868.95291674</v>
      </c>
      <c r="I436" s="754"/>
    </row>
    <row r="437" spans="1:9" hidden="1" outlineLevel="1">
      <c r="A437" s="812" t="s">
        <v>98</v>
      </c>
      <c r="B437" s="1245" t="s">
        <v>7</v>
      </c>
      <c r="C437" s="754">
        <f t="shared" si="110"/>
        <v>0</v>
      </c>
      <c r="D437" s="754">
        <v>0</v>
      </c>
      <c r="E437" s="767">
        <v>0</v>
      </c>
      <c r="F437" s="788">
        <v>0</v>
      </c>
      <c r="G437" s="767">
        <v>0</v>
      </c>
      <c r="H437" s="1267">
        <f t="shared" si="111"/>
        <v>0</v>
      </c>
      <c r="I437" s="754"/>
    </row>
    <row r="438" spans="1:9" hidden="1" outlineLevel="1">
      <c r="A438" s="812" t="s">
        <v>98</v>
      </c>
      <c r="B438" s="1246" t="s">
        <v>8</v>
      </c>
      <c r="C438" s="754">
        <f t="shared" si="110"/>
        <v>71531663</v>
      </c>
      <c r="D438" s="754">
        <v>18000000</v>
      </c>
      <c r="E438" s="767">
        <v>59535800</v>
      </c>
      <c r="F438" s="777">
        <v>0</v>
      </c>
      <c r="G438" s="767">
        <v>29995863</v>
      </c>
      <c r="H438" s="906">
        <f t="shared" si="111"/>
        <v>29995863</v>
      </c>
      <c r="I438" s="754"/>
    </row>
    <row r="439" spans="1:9" ht="13.5" hidden="1" outlineLevel="1" thickBot="1">
      <c r="A439" s="812" t="s">
        <v>98</v>
      </c>
      <c r="B439" s="1247" t="s">
        <v>9</v>
      </c>
      <c r="C439" s="1256">
        <f t="shared" si="110"/>
        <v>132344400</v>
      </c>
      <c r="D439" s="1218">
        <v>0</v>
      </c>
      <c r="E439" s="806">
        <v>125175948</v>
      </c>
      <c r="F439" s="783">
        <v>6781882.0000000102</v>
      </c>
      <c r="G439" s="897">
        <v>386570</v>
      </c>
      <c r="H439" s="907">
        <f t="shared" si="111"/>
        <v>7168452</v>
      </c>
      <c r="I439" s="754"/>
    </row>
    <row r="440" spans="1:9" ht="13.5" hidden="1" outlineLevel="1" thickBot="1">
      <c r="A440" s="811" t="s">
        <v>98</v>
      </c>
      <c r="B440" s="1230" t="s">
        <v>31</v>
      </c>
      <c r="C440" s="1219">
        <f t="shared" ref="C440:H440" si="112">SUM(C434:C439)</f>
        <v>1065391950.5729167</v>
      </c>
      <c r="D440" s="1219">
        <f t="shared" si="112"/>
        <v>268875000</v>
      </c>
      <c r="E440" s="809">
        <f t="shared" si="112"/>
        <v>937600780.62</v>
      </c>
      <c r="F440" s="735">
        <f t="shared" si="112"/>
        <v>366215586.95291603</v>
      </c>
      <c r="G440" s="1219">
        <f t="shared" si="112"/>
        <v>30710583</v>
      </c>
      <c r="H440" s="786">
        <f t="shared" si="112"/>
        <v>396666169.95291674</v>
      </c>
      <c r="I440" s="799"/>
    </row>
    <row r="441" spans="1:9" hidden="1" outlineLevel="1">
      <c r="A441" s="750" t="s">
        <v>99</v>
      </c>
      <c r="B441" s="927" t="s">
        <v>4</v>
      </c>
      <c r="C441" s="753">
        <f t="shared" ref="C441:C446" si="113">C434</f>
        <v>1450285</v>
      </c>
      <c r="D441" s="753">
        <v>145225000</v>
      </c>
      <c r="E441" s="780">
        <v>134331449</v>
      </c>
      <c r="F441" s="901">
        <v>12343836</v>
      </c>
      <c r="G441" s="753">
        <v>0</v>
      </c>
      <c r="H441" s="905">
        <f t="shared" ref="H441:H446" si="114">C441+D441-E441</f>
        <v>12343836</v>
      </c>
      <c r="I441" s="753"/>
    </row>
    <row r="442" spans="1:9" hidden="1" outlineLevel="1">
      <c r="A442" s="751" t="s">
        <v>99</v>
      </c>
      <c r="B442" s="928" t="s">
        <v>5</v>
      </c>
      <c r="C442" s="754">
        <f t="shared" si="113"/>
        <v>84135950</v>
      </c>
      <c r="D442" s="754">
        <v>60250000</v>
      </c>
      <c r="E442" s="782">
        <v>139017800</v>
      </c>
      <c r="F442" s="902">
        <v>5300000</v>
      </c>
      <c r="G442" s="767">
        <v>328150</v>
      </c>
      <c r="H442" s="906">
        <f t="shared" si="114"/>
        <v>5368150</v>
      </c>
      <c r="I442" s="754"/>
    </row>
    <row r="443" spans="1:9" hidden="1" outlineLevel="1">
      <c r="A443" s="751" t="s">
        <v>99</v>
      </c>
      <c r="B443" s="928" t="s">
        <v>6</v>
      </c>
      <c r="C443" s="754">
        <f t="shared" si="113"/>
        <v>775929652.57291675</v>
      </c>
      <c r="D443" s="754">
        <v>45400000</v>
      </c>
      <c r="E443" s="782">
        <v>479539783.62</v>
      </c>
      <c r="F443" s="781">
        <v>341789868.95291603</v>
      </c>
      <c r="G443" s="754">
        <v>0</v>
      </c>
      <c r="H443" s="906">
        <f t="shared" si="114"/>
        <v>341789868.95291674</v>
      </c>
      <c r="I443" s="754"/>
    </row>
    <row r="444" spans="1:9" hidden="1" outlineLevel="1">
      <c r="A444" s="751" t="s">
        <v>99</v>
      </c>
      <c r="B444" s="920" t="s">
        <v>7</v>
      </c>
      <c r="C444" s="754">
        <f t="shared" si="113"/>
        <v>0</v>
      </c>
      <c r="D444" s="754">
        <v>0</v>
      </c>
      <c r="E444" s="767">
        <v>0</v>
      </c>
      <c r="F444" s="788">
        <v>0</v>
      </c>
      <c r="G444" s="767">
        <v>0</v>
      </c>
      <c r="H444" s="1267">
        <f t="shared" si="114"/>
        <v>0</v>
      </c>
      <c r="I444" s="754"/>
    </row>
    <row r="445" spans="1:9" hidden="1" outlineLevel="1">
      <c r="A445" s="751" t="s">
        <v>99</v>
      </c>
      <c r="B445" s="919" t="s">
        <v>8</v>
      </c>
      <c r="C445" s="754">
        <f t="shared" si="113"/>
        <v>71531663</v>
      </c>
      <c r="D445" s="754">
        <v>18000000</v>
      </c>
      <c r="E445" s="767">
        <v>59535800</v>
      </c>
      <c r="F445" s="777">
        <v>0</v>
      </c>
      <c r="G445" s="767">
        <v>29995863</v>
      </c>
      <c r="H445" s="906">
        <f t="shared" si="114"/>
        <v>29995863</v>
      </c>
      <c r="I445" s="754"/>
    </row>
    <row r="446" spans="1:9" ht="13.5" hidden="1" outlineLevel="1" thickBot="1">
      <c r="A446" s="751" t="s">
        <v>99</v>
      </c>
      <c r="B446" s="926" t="s">
        <v>9</v>
      </c>
      <c r="C446" s="1256">
        <f t="shared" si="113"/>
        <v>132344400</v>
      </c>
      <c r="D446" s="1218">
        <v>0</v>
      </c>
      <c r="E446" s="806">
        <v>125175948</v>
      </c>
      <c r="F446" s="783">
        <v>6781882.0000000102</v>
      </c>
      <c r="G446" s="897">
        <v>386570</v>
      </c>
      <c r="H446" s="907">
        <f t="shared" si="114"/>
        <v>7168452</v>
      </c>
      <c r="I446" s="754"/>
    </row>
    <row r="447" spans="1:9" ht="13.5" hidden="1" outlineLevel="1" thickBot="1">
      <c r="A447" s="760" t="s">
        <v>99</v>
      </c>
      <c r="B447" s="1230" t="s">
        <v>31</v>
      </c>
      <c r="C447" s="1219">
        <f t="shared" ref="C447:H447" si="115">SUM(C441:C446)</f>
        <v>1065391950.5729167</v>
      </c>
      <c r="D447" s="1219">
        <f t="shared" si="115"/>
        <v>268875000</v>
      </c>
      <c r="E447" s="809">
        <f t="shared" si="115"/>
        <v>937600780.62</v>
      </c>
      <c r="F447" s="735">
        <f t="shared" si="115"/>
        <v>366215586.95291603</v>
      </c>
      <c r="G447" s="1219">
        <f t="shared" si="115"/>
        <v>30710583</v>
      </c>
      <c r="H447" s="786">
        <f t="shared" si="115"/>
        <v>396666169.95291674</v>
      </c>
      <c r="I447" s="799"/>
    </row>
    <row r="448" spans="1:9" hidden="1" outlineLevel="1">
      <c r="A448" s="750" t="s">
        <v>100</v>
      </c>
      <c r="B448" s="927" t="s">
        <v>4</v>
      </c>
      <c r="C448" s="753">
        <f t="shared" ref="C448:C453" si="116">C441</f>
        <v>1450285</v>
      </c>
      <c r="D448" s="753">
        <v>145225000</v>
      </c>
      <c r="E448" s="780">
        <v>134331449</v>
      </c>
      <c r="F448" s="901">
        <v>12343836</v>
      </c>
      <c r="G448" s="753">
        <v>0</v>
      </c>
      <c r="H448" s="905">
        <f t="shared" ref="H448:H453" si="117">C448+D448-E448</f>
        <v>12343836</v>
      </c>
      <c r="I448" s="753"/>
    </row>
    <row r="449" spans="1:9" hidden="1" outlineLevel="1">
      <c r="A449" s="751" t="s">
        <v>100</v>
      </c>
      <c r="B449" s="928" t="s">
        <v>5</v>
      </c>
      <c r="C449" s="754">
        <f t="shared" si="116"/>
        <v>84135950</v>
      </c>
      <c r="D449" s="754">
        <v>60250000</v>
      </c>
      <c r="E449" s="782">
        <v>139017800</v>
      </c>
      <c r="F449" s="902">
        <v>5300000</v>
      </c>
      <c r="G449" s="767">
        <v>328150</v>
      </c>
      <c r="H449" s="906">
        <f t="shared" si="117"/>
        <v>5368150</v>
      </c>
      <c r="I449" s="754"/>
    </row>
    <row r="450" spans="1:9" hidden="1" outlineLevel="1">
      <c r="A450" s="751" t="s">
        <v>100</v>
      </c>
      <c r="B450" s="928" t="s">
        <v>6</v>
      </c>
      <c r="C450" s="754">
        <f t="shared" si="116"/>
        <v>775929652.57291675</v>
      </c>
      <c r="D450" s="754">
        <v>45400000</v>
      </c>
      <c r="E450" s="782">
        <v>513144069.12</v>
      </c>
      <c r="F450" s="781">
        <v>308185583.45291603</v>
      </c>
      <c r="G450" s="754">
        <v>0</v>
      </c>
      <c r="H450" s="906">
        <f t="shared" si="117"/>
        <v>308185583.45291674</v>
      </c>
      <c r="I450" s="754"/>
    </row>
    <row r="451" spans="1:9" hidden="1" outlineLevel="1">
      <c r="A451" s="751" t="s">
        <v>100</v>
      </c>
      <c r="B451" s="920" t="s">
        <v>7</v>
      </c>
      <c r="C451" s="754">
        <f t="shared" si="116"/>
        <v>0</v>
      </c>
      <c r="D451" s="754">
        <v>0</v>
      </c>
      <c r="E451" s="767">
        <v>0</v>
      </c>
      <c r="F451" s="788">
        <v>0</v>
      </c>
      <c r="G451" s="767">
        <v>0</v>
      </c>
      <c r="H451" s="1267">
        <f t="shared" si="117"/>
        <v>0</v>
      </c>
      <c r="I451" s="754"/>
    </row>
    <row r="452" spans="1:9" hidden="1" outlineLevel="1">
      <c r="A452" s="751" t="s">
        <v>100</v>
      </c>
      <c r="B452" s="919" t="s">
        <v>8</v>
      </c>
      <c r="C452" s="754">
        <f t="shared" si="116"/>
        <v>71531663</v>
      </c>
      <c r="D452" s="754">
        <v>18000000</v>
      </c>
      <c r="E452" s="767">
        <v>59535800</v>
      </c>
      <c r="F452" s="777">
        <v>0</v>
      </c>
      <c r="G452" s="767">
        <v>29995863</v>
      </c>
      <c r="H452" s="906">
        <f t="shared" si="117"/>
        <v>29995863</v>
      </c>
      <c r="I452" s="754"/>
    </row>
    <row r="453" spans="1:9" ht="13.5" hidden="1" outlineLevel="1" thickBot="1">
      <c r="A453" s="751" t="s">
        <v>100</v>
      </c>
      <c r="B453" s="919" t="s">
        <v>9</v>
      </c>
      <c r="C453" s="1256">
        <f t="shared" si="116"/>
        <v>132344400</v>
      </c>
      <c r="D453" s="1218">
        <v>0</v>
      </c>
      <c r="E453" s="806">
        <v>125175948</v>
      </c>
      <c r="F453" s="783">
        <v>6781882.0000000102</v>
      </c>
      <c r="G453" s="897">
        <v>386570</v>
      </c>
      <c r="H453" s="907">
        <f t="shared" si="117"/>
        <v>7168452</v>
      </c>
      <c r="I453" s="754"/>
    </row>
    <row r="454" spans="1:9" ht="13.5" collapsed="1" thickBot="1">
      <c r="A454" s="747" t="s">
        <v>101</v>
      </c>
      <c r="B454" s="1238" t="s">
        <v>31</v>
      </c>
      <c r="C454" s="758">
        <f t="shared" ref="C454:H454" si="118">SUM(C448:C453)</f>
        <v>1065391950.5729167</v>
      </c>
      <c r="D454" s="758">
        <f t="shared" si="118"/>
        <v>268875000</v>
      </c>
      <c r="E454" s="758">
        <f t="shared" si="118"/>
        <v>971205066.12</v>
      </c>
      <c r="F454" s="748">
        <f t="shared" si="118"/>
        <v>332611301.45291603</v>
      </c>
      <c r="G454" s="758">
        <f t="shared" si="118"/>
        <v>30710583</v>
      </c>
      <c r="H454" s="1269">
        <f t="shared" si="118"/>
        <v>363061884.45291674</v>
      </c>
      <c r="I454" s="758">
        <f>SUM(H448:H453)</f>
        <v>363061884.45291674</v>
      </c>
    </row>
    <row r="455" spans="1:9" hidden="1" outlineLevel="1">
      <c r="A455" s="750" t="s">
        <v>102</v>
      </c>
      <c r="B455" s="927" t="s">
        <v>4</v>
      </c>
      <c r="C455" s="753">
        <f t="shared" ref="C455:C460" si="119">H448</f>
        <v>12343836</v>
      </c>
      <c r="D455" s="753">
        <v>0</v>
      </c>
      <c r="E455" s="780">
        <v>0</v>
      </c>
      <c r="F455" s="901">
        <v>12343836</v>
      </c>
      <c r="G455" s="753">
        <v>0</v>
      </c>
      <c r="H455" s="905">
        <f t="shared" ref="H455:H460" si="120">C455+D455-E455</f>
        <v>12343836</v>
      </c>
      <c r="I455" s="753"/>
    </row>
    <row r="456" spans="1:9" hidden="1" outlineLevel="1">
      <c r="A456" s="751" t="s">
        <v>102</v>
      </c>
      <c r="B456" s="928" t="s">
        <v>5</v>
      </c>
      <c r="C456" s="754">
        <f t="shared" si="119"/>
        <v>5368150</v>
      </c>
      <c r="D456" s="754">
        <v>0</v>
      </c>
      <c r="E456" s="801">
        <v>0</v>
      </c>
      <c r="F456" s="902">
        <v>5368150</v>
      </c>
      <c r="G456" s="767">
        <v>0</v>
      </c>
      <c r="H456" s="906">
        <f t="shared" si="120"/>
        <v>5368150</v>
      </c>
      <c r="I456" s="754"/>
    </row>
    <row r="457" spans="1:9" hidden="1" outlineLevel="1">
      <c r="A457" s="751" t="s">
        <v>102</v>
      </c>
      <c r="B457" s="928" t="s">
        <v>6</v>
      </c>
      <c r="C457" s="754">
        <f t="shared" si="119"/>
        <v>308185583.45291674</v>
      </c>
      <c r="D457" s="754">
        <v>0</v>
      </c>
      <c r="E457" s="801">
        <v>1203100</v>
      </c>
      <c r="F457" s="781">
        <v>306982483.45291603</v>
      </c>
      <c r="G457" s="754">
        <v>0</v>
      </c>
      <c r="H457" s="906">
        <f t="shared" si="120"/>
        <v>306982483.45291674</v>
      </c>
      <c r="I457" s="754"/>
    </row>
    <row r="458" spans="1:9" hidden="1" outlineLevel="1">
      <c r="A458" s="751" t="s">
        <v>102</v>
      </c>
      <c r="B458" s="920" t="s">
        <v>7</v>
      </c>
      <c r="C458" s="754">
        <f t="shared" si="119"/>
        <v>0</v>
      </c>
      <c r="D458" s="754">
        <v>0</v>
      </c>
      <c r="E458" s="767">
        <v>0</v>
      </c>
      <c r="F458" s="788">
        <v>0</v>
      </c>
      <c r="G458" s="767">
        <v>0</v>
      </c>
      <c r="H458" s="1267">
        <f t="shared" si="120"/>
        <v>0</v>
      </c>
      <c r="I458" s="754"/>
    </row>
    <row r="459" spans="1:9" hidden="1" outlineLevel="1">
      <c r="A459" s="751" t="s">
        <v>102</v>
      </c>
      <c r="B459" s="919" t="s">
        <v>8</v>
      </c>
      <c r="C459" s="754">
        <f t="shared" si="119"/>
        <v>29995863</v>
      </c>
      <c r="D459" s="754">
        <v>0</v>
      </c>
      <c r="E459" s="767">
        <v>0</v>
      </c>
      <c r="F459" s="777"/>
      <c r="G459" s="767">
        <f>C459</f>
        <v>29995863</v>
      </c>
      <c r="H459" s="906">
        <f t="shared" si="120"/>
        <v>29995863</v>
      </c>
      <c r="I459" s="754"/>
    </row>
    <row r="460" spans="1:9" ht="13.5" hidden="1" outlineLevel="1" thickBot="1">
      <c r="A460" s="751" t="s">
        <v>102</v>
      </c>
      <c r="B460" s="919" t="s">
        <v>9</v>
      </c>
      <c r="C460" s="1256">
        <f t="shared" si="119"/>
        <v>7168452</v>
      </c>
      <c r="D460" s="1218">
        <v>0</v>
      </c>
      <c r="E460" s="806">
        <v>0</v>
      </c>
      <c r="F460" s="783">
        <f>F453</f>
        <v>6781882.0000000102</v>
      </c>
      <c r="G460" s="897">
        <f>G453</f>
        <v>386570</v>
      </c>
      <c r="H460" s="907">
        <f t="shared" si="120"/>
        <v>7168452</v>
      </c>
      <c r="I460" s="754"/>
    </row>
    <row r="461" spans="1:9" s="720" customFormat="1" ht="13.5" hidden="1" outlineLevel="1" thickBot="1">
      <c r="A461" s="811" t="s">
        <v>102</v>
      </c>
      <c r="B461" s="1230" t="s">
        <v>31</v>
      </c>
      <c r="C461" s="921">
        <f t="shared" ref="C461:H461" si="121">SUM(C455:C460)</f>
        <v>363061884.45291674</v>
      </c>
      <c r="D461" s="921">
        <f t="shared" si="121"/>
        <v>0</v>
      </c>
      <c r="E461" s="921">
        <f t="shared" si="121"/>
        <v>1203100</v>
      </c>
      <c r="F461" s="737">
        <f t="shared" si="121"/>
        <v>331476351.45291603</v>
      </c>
      <c r="G461" s="921">
        <f t="shared" si="121"/>
        <v>30382433</v>
      </c>
      <c r="H461" s="1270">
        <f t="shared" si="121"/>
        <v>361858784.45291674</v>
      </c>
      <c r="I461" s="815"/>
    </row>
    <row r="462" spans="1:9" hidden="1" outlineLevel="1">
      <c r="A462" s="750" t="s">
        <v>103</v>
      </c>
      <c r="B462" s="927" t="s">
        <v>4</v>
      </c>
      <c r="C462" s="753">
        <f>C455</f>
        <v>12343836</v>
      </c>
      <c r="D462" s="753">
        <v>0</v>
      </c>
      <c r="E462" s="780">
        <v>40000</v>
      </c>
      <c r="F462" s="901">
        <v>12303836</v>
      </c>
      <c r="G462" s="753">
        <v>0</v>
      </c>
      <c r="H462" s="905">
        <f>C462+D462-E462</f>
        <v>12303836</v>
      </c>
      <c r="I462" s="753"/>
    </row>
    <row r="463" spans="1:9" hidden="1" outlineLevel="1">
      <c r="A463" s="751" t="s">
        <v>103</v>
      </c>
      <c r="B463" s="928" t="s">
        <v>5</v>
      </c>
      <c r="C463" s="754">
        <f>C456</f>
        <v>5368150</v>
      </c>
      <c r="D463" s="754">
        <v>0</v>
      </c>
      <c r="E463" s="801">
        <v>0</v>
      </c>
      <c r="F463" s="902">
        <v>5368150</v>
      </c>
      <c r="G463" s="767">
        <v>0</v>
      </c>
      <c r="H463" s="906">
        <f>C463+D463-E463</f>
        <v>5368150</v>
      </c>
      <c r="I463" s="754"/>
    </row>
    <row r="464" spans="1:9" hidden="1" outlineLevel="1">
      <c r="A464" s="751" t="s">
        <v>103</v>
      </c>
      <c r="B464" s="928" t="s">
        <v>6</v>
      </c>
      <c r="C464" s="754">
        <f t="shared" ref="C464:C474" si="122">C457</f>
        <v>308185583.45291674</v>
      </c>
      <c r="D464" s="754">
        <v>0</v>
      </c>
      <c r="E464" s="801">
        <v>27238865</v>
      </c>
      <c r="F464" s="781">
        <v>280946718.45291603</v>
      </c>
      <c r="G464" s="754">
        <v>0</v>
      </c>
      <c r="H464" s="906">
        <f t="shared" ref="H464:H474" si="123">C464+D464-E464</f>
        <v>280946718.45291674</v>
      </c>
      <c r="I464" s="754"/>
    </row>
    <row r="465" spans="1:9" hidden="1" outlineLevel="1">
      <c r="A465" s="751" t="s">
        <v>103</v>
      </c>
      <c r="B465" s="920" t="s">
        <v>7</v>
      </c>
      <c r="C465" s="754">
        <f t="shared" si="122"/>
        <v>0</v>
      </c>
      <c r="D465" s="754">
        <v>0</v>
      </c>
      <c r="E465" s="767">
        <v>0</v>
      </c>
      <c r="F465" s="788">
        <v>0</v>
      </c>
      <c r="G465" s="767">
        <v>0</v>
      </c>
      <c r="H465" s="1267">
        <f t="shared" si="123"/>
        <v>0</v>
      </c>
      <c r="I465" s="754"/>
    </row>
    <row r="466" spans="1:9" hidden="1" outlineLevel="1">
      <c r="A466" s="751" t="s">
        <v>103</v>
      </c>
      <c r="B466" s="919" t="s">
        <v>8</v>
      </c>
      <c r="C466" s="754">
        <f t="shared" si="122"/>
        <v>29995863</v>
      </c>
      <c r="D466" s="754">
        <v>0</v>
      </c>
      <c r="E466" s="767">
        <v>0</v>
      </c>
      <c r="F466" s="777">
        <v>0</v>
      </c>
      <c r="G466" s="767">
        <f>C466</f>
        <v>29995863</v>
      </c>
      <c r="H466" s="906">
        <f t="shared" si="123"/>
        <v>29995863</v>
      </c>
      <c r="I466" s="754"/>
    </row>
    <row r="467" spans="1:9" ht="13.5" hidden="1" outlineLevel="1" thickBot="1">
      <c r="A467" s="751" t="s">
        <v>103</v>
      </c>
      <c r="B467" s="919" t="s">
        <v>9</v>
      </c>
      <c r="C467" s="1256">
        <f t="shared" si="122"/>
        <v>7168452</v>
      </c>
      <c r="D467" s="1218">
        <v>0</v>
      </c>
      <c r="E467" s="806">
        <v>0</v>
      </c>
      <c r="F467" s="783">
        <f>F460</f>
        <v>6781882.0000000102</v>
      </c>
      <c r="G467" s="897">
        <f>G460</f>
        <v>386570</v>
      </c>
      <c r="H467" s="907">
        <f t="shared" si="123"/>
        <v>7168452</v>
      </c>
      <c r="I467" s="754"/>
    </row>
    <row r="468" spans="1:9" ht="13.5" hidden="1" outlineLevel="1" thickBot="1">
      <c r="A468" s="811" t="s">
        <v>103</v>
      </c>
      <c r="B468" s="1230" t="s">
        <v>31</v>
      </c>
      <c r="C468" s="921">
        <f t="shared" ref="C468:H468" si="124">SUM(C462:C467)</f>
        <v>363061884.45291674</v>
      </c>
      <c r="D468" s="921">
        <f t="shared" si="124"/>
        <v>0</v>
      </c>
      <c r="E468" s="921">
        <f t="shared" si="124"/>
        <v>27278865</v>
      </c>
      <c r="F468" s="737">
        <f t="shared" si="124"/>
        <v>305400586.45291603</v>
      </c>
      <c r="G468" s="921">
        <f t="shared" si="124"/>
        <v>30382433</v>
      </c>
      <c r="H468" s="900">
        <f t="shared" si="124"/>
        <v>335783019.45291674</v>
      </c>
      <c r="I468" s="815"/>
    </row>
    <row r="469" spans="1:9" hidden="1" outlineLevel="1">
      <c r="A469" s="750" t="s">
        <v>104</v>
      </c>
      <c r="B469" s="927" t="s">
        <v>4</v>
      </c>
      <c r="C469" s="753">
        <f t="shared" si="122"/>
        <v>12343836</v>
      </c>
      <c r="D469" s="753">
        <v>0</v>
      </c>
      <c r="E469" s="780">
        <v>4940108</v>
      </c>
      <c r="F469" s="901">
        <v>7403728</v>
      </c>
      <c r="G469" s="753">
        <v>0</v>
      </c>
      <c r="H469" s="905">
        <f t="shared" si="123"/>
        <v>7403728</v>
      </c>
      <c r="I469" s="753"/>
    </row>
    <row r="470" spans="1:9" hidden="1" outlineLevel="1">
      <c r="A470" s="751" t="s">
        <v>104</v>
      </c>
      <c r="B470" s="928" t="s">
        <v>5</v>
      </c>
      <c r="C470" s="754">
        <f t="shared" si="122"/>
        <v>5368150</v>
      </c>
      <c r="D470" s="754">
        <v>0</v>
      </c>
      <c r="E470" s="801">
        <v>0</v>
      </c>
      <c r="F470" s="902">
        <v>5368150</v>
      </c>
      <c r="G470" s="767">
        <v>0</v>
      </c>
      <c r="H470" s="906">
        <f t="shared" si="123"/>
        <v>5368150</v>
      </c>
      <c r="I470" s="754"/>
    </row>
    <row r="471" spans="1:9" hidden="1" outlineLevel="1">
      <c r="A471" s="751" t="s">
        <v>104</v>
      </c>
      <c r="B471" s="928" t="s">
        <v>6</v>
      </c>
      <c r="C471" s="754">
        <f t="shared" si="122"/>
        <v>308185583.45291674</v>
      </c>
      <c r="D471" s="754">
        <v>0</v>
      </c>
      <c r="E471" s="801">
        <v>28741037.5</v>
      </c>
      <c r="F471" s="781">
        <v>279444545.95291603</v>
      </c>
      <c r="G471" s="754">
        <v>0</v>
      </c>
      <c r="H471" s="906">
        <f t="shared" si="123"/>
        <v>279444545.95291674</v>
      </c>
      <c r="I471" s="754"/>
    </row>
    <row r="472" spans="1:9" hidden="1" outlineLevel="1">
      <c r="A472" s="751" t="s">
        <v>104</v>
      </c>
      <c r="B472" s="920" t="s">
        <v>7</v>
      </c>
      <c r="C472" s="754">
        <f t="shared" si="122"/>
        <v>0</v>
      </c>
      <c r="D472" s="754">
        <v>0</v>
      </c>
      <c r="E472" s="767">
        <v>0</v>
      </c>
      <c r="F472" s="788">
        <v>0</v>
      </c>
      <c r="G472" s="767">
        <v>0</v>
      </c>
      <c r="H472" s="1267">
        <f t="shared" si="123"/>
        <v>0</v>
      </c>
      <c r="I472" s="754"/>
    </row>
    <row r="473" spans="1:9" hidden="1" outlineLevel="1">
      <c r="A473" s="751" t="s">
        <v>104</v>
      </c>
      <c r="B473" s="919" t="s">
        <v>8</v>
      </c>
      <c r="C473" s="754">
        <f t="shared" si="122"/>
        <v>29995863</v>
      </c>
      <c r="D473" s="754">
        <v>0</v>
      </c>
      <c r="E473" s="767">
        <v>0</v>
      </c>
      <c r="F473" s="777">
        <v>0</v>
      </c>
      <c r="G473" s="767">
        <f>C473</f>
        <v>29995863</v>
      </c>
      <c r="H473" s="906">
        <f t="shared" si="123"/>
        <v>29995863</v>
      </c>
      <c r="I473" s="754"/>
    </row>
    <row r="474" spans="1:9" ht="13.5" hidden="1" outlineLevel="1" thickBot="1">
      <c r="A474" s="751" t="s">
        <v>104</v>
      </c>
      <c r="B474" s="919" t="s">
        <v>9</v>
      </c>
      <c r="C474" s="1256">
        <f t="shared" si="122"/>
        <v>7168452</v>
      </c>
      <c r="D474" s="1218">
        <v>0</v>
      </c>
      <c r="E474" s="806">
        <v>0</v>
      </c>
      <c r="F474" s="783">
        <f>F467</f>
        <v>6781882.0000000102</v>
      </c>
      <c r="G474" s="897">
        <f>G467</f>
        <v>386570</v>
      </c>
      <c r="H474" s="907">
        <f t="shared" si="123"/>
        <v>7168452</v>
      </c>
      <c r="I474" s="754"/>
    </row>
    <row r="475" spans="1:9" ht="13.5" hidden="1" outlineLevel="1" thickBot="1">
      <c r="A475" s="811" t="s">
        <v>104</v>
      </c>
      <c r="B475" s="1230" t="s">
        <v>31</v>
      </c>
      <c r="C475" s="921">
        <f t="shared" ref="C475:H475" si="125">SUM(C469:C474)</f>
        <v>363061884.45291674</v>
      </c>
      <c r="D475" s="921">
        <f t="shared" si="125"/>
        <v>0</v>
      </c>
      <c r="E475" s="921">
        <f t="shared" si="125"/>
        <v>33681145.5</v>
      </c>
      <c r="F475" s="737">
        <f t="shared" si="125"/>
        <v>298998305.95291603</v>
      </c>
      <c r="G475" s="921">
        <f t="shared" si="125"/>
        <v>30382433</v>
      </c>
      <c r="H475" s="1270">
        <f t="shared" si="125"/>
        <v>329380738.95291674</v>
      </c>
      <c r="I475" s="815"/>
    </row>
    <row r="476" spans="1:9" hidden="1" outlineLevel="1">
      <c r="A476" s="750" t="s">
        <v>105</v>
      </c>
      <c r="B476" s="927" t="s">
        <v>4</v>
      </c>
      <c r="C476" s="753">
        <f t="shared" ref="C476:C481" si="126">C469</f>
        <v>12343836</v>
      </c>
      <c r="D476" s="753">
        <v>0</v>
      </c>
      <c r="E476" s="780">
        <v>4940108</v>
      </c>
      <c r="F476" s="901">
        <v>7403728</v>
      </c>
      <c r="G476" s="753">
        <v>0</v>
      </c>
      <c r="H476" s="905">
        <f t="shared" ref="H476:H481" si="127">C476+D476-E476</f>
        <v>7403728</v>
      </c>
      <c r="I476" s="753"/>
    </row>
    <row r="477" spans="1:9" hidden="1" outlineLevel="1">
      <c r="A477" s="751" t="s">
        <v>105</v>
      </c>
      <c r="B477" s="928" t="s">
        <v>5</v>
      </c>
      <c r="C477" s="754">
        <f t="shared" si="126"/>
        <v>5368150</v>
      </c>
      <c r="D477" s="754">
        <v>0</v>
      </c>
      <c r="E477" s="801">
        <v>0</v>
      </c>
      <c r="F477" s="902">
        <v>5368150</v>
      </c>
      <c r="G477" s="767">
        <v>0</v>
      </c>
      <c r="H477" s="906">
        <f t="shared" si="127"/>
        <v>5368150</v>
      </c>
      <c r="I477" s="754"/>
    </row>
    <row r="478" spans="1:9" hidden="1" outlineLevel="1">
      <c r="A478" s="751" t="s">
        <v>105</v>
      </c>
      <c r="B478" s="928" t="s">
        <v>6</v>
      </c>
      <c r="C478" s="754">
        <f t="shared" si="126"/>
        <v>308185583.45291674</v>
      </c>
      <c r="D478" s="754">
        <v>0</v>
      </c>
      <c r="E478" s="801">
        <v>28741037.5</v>
      </c>
      <c r="F478" s="781">
        <v>279444545.95291603</v>
      </c>
      <c r="G478" s="754">
        <v>0</v>
      </c>
      <c r="H478" s="906">
        <f t="shared" si="127"/>
        <v>279444545.95291674</v>
      </c>
      <c r="I478" s="754"/>
    </row>
    <row r="479" spans="1:9" hidden="1" outlineLevel="1">
      <c r="A479" s="751" t="s">
        <v>105</v>
      </c>
      <c r="B479" s="920" t="s">
        <v>7</v>
      </c>
      <c r="C479" s="754">
        <f t="shared" si="126"/>
        <v>0</v>
      </c>
      <c r="D479" s="754">
        <v>0</v>
      </c>
      <c r="E479" s="767">
        <v>0</v>
      </c>
      <c r="F479" s="788">
        <v>0</v>
      </c>
      <c r="G479" s="767">
        <v>0</v>
      </c>
      <c r="H479" s="1267">
        <f t="shared" si="127"/>
        <v>0</v>
      </c>
      <c r="I479" s="754"/>
    </row>
    <row r="480" spans="1:9" hidden="1" outlineLevel="1">
      <c r="A480" s="751" t="s">
        <v>105</v>
      </c>
      <c r="B480" s="919" t="s">
        <v>8</v>
      </c>
      <c r="C480" s="754">
        <f t="shared" si="126"/>
        <v>29995863</v>
      </c>
      <c r="D480" s="754">
        <v>0</v>
      </c>
      <c r="E480" s="767">
        <v>0</v>
      </c>
      <c r="F480" s="777">
        <v>0</v>
      </c>
      <c r="G480" s="767">
        <f>C480</f>
        <v>29995863</v>
      </c>
      <c r="H480" s="906">
        <f t="shared" si="127"/>
        <v>29995863</v>
      </c>
      <c r="I480" s="754"/>
    </row>
    <row r="481" spans="1:9" ht="13.5" hidden="1" outlineLevel="1" thickBot="1">
      <c r="A481" s="751" t="s">
        <v>105</v>
      </c>
      <c r="B481" s="919" t="s">
        <v>9</v>
      </c>
      <c r="C481" s="1256">
        <f t="shared" si="126"/>
        <v>7168452</v>
      </c>
      <c r="D481" s="1218">
        <v>0</v>
      </c>
      <c r="E481" s="806">
        <v>0</v>
      </c>
      <c r="F481" s="783">
        <f>F474</f>
        <v>6781882.0000000102</v>
      </c>
      <c r="G481" s="897">
        <f>G474</f>
        <v>386570</v>
      </c>
      <c r="H481" s="907">
        <f t="shared" si="127"/>
        <v>7168452</v>
      </c>
      <c r="I481" s="754"/>
    </row>
    <row r="482" spans="1:9" ht="13.5" hidden="1" outlineLevel="1" thickBot="1">
      <c r="A482" s="811" t="s">
        <v>105</v>
      </c>
      <c r="B482" s="1230" t="s">
        <v>31</v>
      </c>
      <c r="C482" s="921">
        <f t="shared" ref="C482:H482" si="128">SUM(C476:C481)</f>
        <v>363061884.45291674</v>
      </c>
      <c r="D482" s="921">
        <f t="shared" si="128"/>
        <v>0</v>
      </c>
      <c r="E482" s="921">
        <f t="shared" si="128"/>
        <v>33681145.5</v>
      </c>
      <c r="F482" s="737">
        <f t="shared" si="128"/>
        <v>298998305.95291603</v>
      </c>
      <c r="G482" s="921">
        <f t="shared" si="128"/>
        <v>30382433</v>
      </c>
      <c r="H482" s="1270">
        <f t="shared" si="128"/>
        <v>329380738.95291674</v>
      </c>
      <c r="I482" s="815"/>
    </row>
    <row r="483" spans="1:9" hidden="1" outlineLevel="1">
      <c r="A483" s="750" t="s">
        <v>106</v>
      </c>
      <c r="B483" s="927" t="s">
        <v>4</v>
      </c>
      <c r="C483" s="753">
        <f t="shared" ref="C483:C488" si="129">C476</f>
        <v>12343836</v>
      </c>
      <c r="D483" s="753">
        <v>0</v>
      </c>
      <c r="E483" s="780">
        <v>4940108</v>
      </c>
      <c r="F483" s="901">
        <v>7403728</v>
      </c>
      <c r="G483" s="753">
        <v>0</v>
      </c>
      <c r="H483" s="905">
        <f t="shared" ref="H483:H488" si="130">C483+D483-E483</f>
        <v>7403728</v>
      </c>
      <c r="I483" s="753"/>
    </row>
    <row r="484" spans="1:9" hidden="1" outlineLevel="1">
      <c r="A484" s="751" t="s">
        <v>106</v>
      </c>
      <c r="B484" s="928" t="s">
        <v>5</v>
      </c>
      <c r="C484" s="754">
        <f t="shared" si="129"/>
        <v>5368150</v>
      </c>
      <c r="D484" s="754">
        <v>0</v>
      </c>
      <c r="E484" s="801">
        <v>0</v>
      </c>
      <c r="F484" s="902">
        <v>5368150</v>
      </c>
      <c r="G484" s="767">
        <v>0</v>
      </c>
      <c r="H484" s="906">
        <f t="shared" si="130"/>
        <v>5368150</v>
      </c>
      <c r="I484" s="754"/>
    </row>
    <row r="485" spans="1:9" hidden="1" outlineLevel="1">
      <c r="A485" s="751" t="s">
        <v>106</v>
      </c>
      <c r="B485" s="928" t="s">
        <v>6</v>
      </c>
      <c r="C485" s="754">
        <f t="shared" si="129"/>
        <v>308185583.45291674</v>
      </c>
      <c r="D485" s="754">
        <v>0</v>
      </c>
      <c r="E485" s="801">
        <v>28741037.5</v>
      </c>
      <c r="F485" s="781">
        <v>279444545.95291603</v>
      </c>
      <c r="G485" s="754">
        <v>0</v>
      </c>
      <c r="H485" s="906">
        <f t="shared" si="130"/>
        <v>279444545.95291674</v>
      </c>
      <c r="I485" s="754"/>
    </row>
    <row r="486" spans="1:9" hidden="1" outlineLevel="1">
      <c r="A486" s="751" t="s">
        <v>106</v>
      </c>
      <c r="B486" s="920" t="s">
        <v>7</v>
      </c>
      <c r="C486" s="754">
        <f t="shared" si="129"/>
        <v>0</v>
      </c>
      <c r="D486" s="754">
        <v>0</v>
      </c>
      <c r="E486" s="767">
        <v>0</v>
      </c>
      <c r="F486" s="788">
        <v>0</v>
      </c>
      <c r="G486" s="767">
        <v>0</v>
      </c>
      <c r="H486" s="1267">
        <f t="shared" si="130"/>
        <v>0</v>
      </c>
      <c r="I486" s="754"/>
    </row>
    <row r="487" spans="1:9" hidden="1" outlineLevel="1">
      <c r="A487" s="751" t="s">
        <v>106</v>
      </c>
      <c r="B487" s="919" t="s">
        <v>8</v>
      </c>
      <c r="C487" s="754">
        <f t="shared" si="129"/>
        <v>29995863</v>
      </c>
      <c r="D487" s="754">
        <v>0</v>
      </c>
      <c r="E487" s="767">
        <v>0</v>
      </c>
      <c r="F487" s="777">
        <v>0</v>
      </c>
      <c r="G487" s="767">
        <f>C487</f>
        <v>29995863</v>
      </c>
      <c r="H487" s="906">
        <f t="shared" si="130"/>
        <v>29995863</v>
      </c>
      <c r="I487" s="754"/>
    </row>
    <row r="488" spans="1:9" ht="13.5" hidden="1" outlineLevel="1" thickBot="1">
      <c r="A488" s="751" t="s">
        <v>106</v>
      </c>
      <c r="B488" s="919" t="s">
        <v>9</v>
      </c>
      <c r="C488" s="1256">
        <f t="shared" si="129"/>
        <v>7168452</v>
      </c>
      <c r="D488" s="1218">
        <v>0</v>
      </c>
      <c r="E488" s="806">
        <v>0</v>
      </c>
      <c r="F488" s="783">
        <f>F481</f>
        <v>6781882.0000000102</v>
      </c>
      <c r="G488" s="897">
        <f>G481</f>
        <v>386570</v>
      </c>
      <c r="H488" s="907">
        <f t="shared" si="130"/>
        <v>7168452</v>
      </c>
      <c r="I488" s="754"/>
    </row>
    <row r="489" spans="1:9" ht="13.5" hidden="1" outlineLevel="1" thickBot="1">
      <c r="A489" s="811" t="s">
        <v>106</v>
      </c>
      <c r="B489" s="1230" t="s">
        <v>31</v>
      </c>
      <c r="C489" s="921">
        <f t="shared" ref="C489:H489" si="131">SUM(C483:C488)</f>
        <v>363061884.45291674</v>
      </c>
      <c r="D489" s="921">
        <f t="shared" si="131"/>
        <v>0</v>
      </c>
      <c r="E489" s="921">
        <f t="shared" si="131"/>
        <v>33681145.5</v>
      </c>
      <c r="F489" s="737">
        <f t="shared" si="131"/>
        <v>298998305.95291603</v>
      </c>
      <c r="G489" s="921">
        <f t="shared" si="131"/>
        <v>30382433</v>
      </c>
      <c r="H489" s="1270">
        <f t="shared" si="131"/>
        <v>329380738.95291674</v>
      </c>
      <c r="I489" s="815"/>
    </row>
    <row r="490" spans="1:9" hidden="1" outlineLevel="1">
      <c r="A490" s="750" t="s">
        <v>107</v>
      </c>
      <c r="B490" s="927" t="s">
        <v>4</v>
      </c>
      <c r="C490" s="753">
        <f t="shared" ref="C490:C495" si="132">C483</f>
        <v>12343836</v>
      </c>
      <c r="D490" s="753">
        <v>0</v>
      </c>
      <c r="E490" s="780">
        <v>4940108</v>
      </c>
      <c r="F490" s="901">
        <v>7403728</v>
      </c>
      <c r="G490" s="753">
        <v>0</v>
      </c>
      <c r="H490" s="905">
        <f t="shared" ref="H490:H495" si="133">C490+D490-E490</f>
        <v>7403728</v>
      </c>
      <c r="I490" s="753"/>
    </row>
    <row r="491" spans="1:9" hidden="1" outlineLevel="1">
      <c r="A491" s="751" t="s">
        <v>107</v>
      </c>
      <c r="B491" s="928" t="s">
        <v>5</v>
      </c>
      <c r="C491" s="754">
        <f t="shared" si="132"/>
        <v>5368150</v>
      </c>
      <c r="D491" s="754">
        <v>0</v>
      </c>
      <c r="E491" s="801">
        <v>3793800</v>
      </c>
      <c r="F491" s="902">
        <v>1574350</v>
      </c>
      <c r="G491" s="767">
        <v>0</v>
      </c>
      <c r="H491" s="906">
        <f t="shared" si="133"/>
        <v>1574350</v>
      </c>
      <c r="I491" s="754"/>
    </row>
    <row r="492" spans="1:9" hidden="1" outlineLevel="1">
      <c r="A492" s="751" t="s">
        <v>107</v>
      </c>
      <c r="B492" s="928" t="s">
        <v>6</v>
      </c>
      <c r="C492" s="754">
        <f t="shared" si="132"/>
        <v>308185583.45291674</v>
      </c>
      <c r="D492" s="754">
        <v>0</v>
      </c>
      <c r="E492" s="801">
        <v>28741037.5</v>
      </c>
      <c r="F492" s="781">
        <v>279444545.95291603</v>
      </c>
      <c r="G492" s="754">
        <v>0</v>
      </c>
      <c r="H492" s="906">
        <f t="shared" si="133"/>
        <v>279444545.95291674</v>
      </c>
      <c r="I492" s="754"/>
    </row>
    <row r="493" spans="1:9" hidden="1" outlineLevel="1">
      <c r="A493" s="751" t="s">
        <v>107</v>
      </c>
      <c r="B493" s="920" t="s">
        <v>7</v>
      </c>
      <c r="C493" s="754">
        <f t="shared" si="132"/>
        <v>0</v>
      </c>
      <c r="D493" s="754">
        <v>0</v>
      </c>
      <c r="E493" s="767">
        <v>0</v>
      </c>
      <c r="F493" s="788">
        <v>0</v>
      </c>
      <c r="G493" s="767">
        <v>0</v>
      </c>
      <c r="H493" s="1267">
        <f t="shared" si="133"/>
        <v>0</v>
      </c>
      <c r="I493" s="754"/>
    </row>
    <row r="494" spans="1:9" hidden="1" outlineLevel="1">
      <c r="A494" s="751" t="s">
        <v>107</v>
      </c>
      <c r="B494" s="919" t="s">
        <v>8</v>
      </c>
      <c r="C494" s="754">
        <f t="shared" si="132"/>
        <v>29995863</v>
      </c>
      <c r="D494" s="754">
        <v>0</v>
      </c>
      <c r="E494" s="767">
        <v>0</v>
      </c>
      <c r="F494" s="777">
        <v>0</v>
      </c>
      <c r="G494" s="767">
        <f>C494</f>
        <v>29995863</v>
      </c>
      <c r="H494" s="906">
        <f t="shared" si="133"/>
        <v>29995863</v>
      </c>
      <c r="I494" s="754"/>
    </row>
    <row r="495" spans="1:9" ht="13.5" hidden="1" outlineLevel="1" thickBot="1">
      <c r="A495" s="751" t="s">
        <v>107</v>
      </c>
      <c r="B495" s="919" t="s">
        <v>9</v>
      </c>
      <c r="C495" s="1256">
        <f t="shared" si="132"/>
        <v>7168452</v>
      </c>
      <c r="D495" s="1218">
        <v>0</v>
      </c>
      <c r="E495" s="806">
        <v>0</v>
      </c>
      <c r="F495" s="783">
        <f>F488</f>
        <v>6781882.0000000102</v>
      </c>
      <c r="G495" s="897">
        <f>G488</f>
        <v>386570</v>
      </c>
      <c r="H495" s="907">
        <f t="shared" si="133"/>
        <v>7168452</v>
      </c>
      <c r="I495" s="754"/>
    </row>
    <row r="496" spans="1:9" ht="13.5" hidden="1" outlineLevel="1" thickBot="1">
      <c r="A496" s="811" t="s">
        <v>107</v>
      </c>
      <c r="B496" s="1230" t="s">
        <v>31</v>
      </c>
      <c r="C496" s="921">
        <f t="shared" ref="C496:H496" si="134">SUM(C490:C495)</f>
        <v>363061884.45291674</v>
      </c>
      <c r="D496" s="921">
        <f t="shared" si="134"/>
        <v>0</v>
      </c>
      <c r="E496" s="921">
        <f t="shared" si="134"/>
        <v>37474945.5</v>
      </c>
      <c r="F496" s="737">
        <f t="shared" si="134"/>
        <v>295204505.95291603</v>
      </c>
      <c r="G496" s="921">
        <f t="shared" si="134"/>
        <v>30382433</v>
      </c>
      <c r="H496" s="1270">
        <f t="shared" si="134"/>
        <v>325586938.95291674</v>
      </c>
      <c r="I496" s="815"/>
    </row>
    <row r="497" spans="1:9" hidden="1" outlineLevel="1">
      <c r="A497" s="750" t="s">
        <v>108</v>
      </c>
      <c r="B497" s="927" t="s">
        <v>4</v>
      </c>
      <c r="C497" s="753">
        <f t="shared" ref="C497:C502" si="135">C490</f>
        <v>12343836</v>
      </c>
      <c r="D497" s="753">
        <v>0</v>
      </c>
      <c r="E497" s="780">
        <v>4971211</v>
      </c>
      <c r="F497" s="901">
        <v>7372625</v>
      </c>
      <c r="G497" s="753">
        <v>0</v>
      </c>
      <c r="H497" s="905">
        <f t="shared" ref="H497:H502" si="136">C497+D497-E497</f>
        <v>7372625</v>
      </c>
      <c r="I497" s="753"/>
    </row>
    <row r="498" spans="1:9" hidden="1" outlineLevel="1">
      <c r="A498" s="751" t="s">
        <v>108</v>
      </c>
      <c r="B498" s="928" t="s">
        <v>5</v>
      </c>
      <c r="C498" s="754">
        <f t="shared" si="135"/>
        <v>5368150</v>
      </c>
      <c r="D498" s="754">
        <v>0</v>
      </c>
      <c r="E498" s="782">
        <v>3793800</v>
      </c>
      <c r="F498" s="902">
        <v>1574350</v>
      </c>
      <c r="G498" s="767">
        <v>0</v>
      </c>
      <c r="H498" s="906">
        <f t="shared" si="136"/>
        <v>1574350</v>
      </c>
      <c r="I498" s="754"/>
    </row>
    <row r="499" spans="1:9" hidden="1" outlineLevel="1">
      <c r="A499" s="751" t="s">
        <v>108</v>
      </c>
      <c r="B499" s="928" t="s">
        <v>6</v>
      </c>
      <c r="C499" s="754">
        <f t="shared" si="135"/>
        <v>308185583.45291674</v>
      </c>
      <c r="D499" s="754">
        <v>0</v>
      </c>
      <c r="E499" s="782">
        <v>28741037.5</v>
      </c>
      <c r="F499" s="781">
        <v>279444545.95291603</v>
      </c>
      <c r="G499" s="754">
        <v>0</v>
      </c>
      <c r="H499" s="906">
        <f t="shared" si="136"/>
        <v>279444545.95291674</v>
      </c>
      <c r="I499" s="754"/>
    </row>
    <row r="500" spans="1:9" hidden="1" outlineLevel="1">
      <c r="A500" s="751" t="s">
        <v>108</v>
      </c>
      <c r="B500" s="920" t="s">
        <v>7</v>
      </c>
      <c r="C500" s="754">
        <f t="shared" si="135"/>
        <v>0</v>
      </c>
      <c r="D500" s="754">
        <v>0</v>
      </c>
      <c r="E500" s="767">
        <v>0</v>
      </c>
      <c r="F500" s="788">
        <v>0</v>
      </c>
      <c r="G500" s="767">
        <v>0</v>
      </c>
      <c r="H500" s="1267">
        <f t="shared" si="136"/>
        <v>0</v>
      </c>
      <c r="I500" s="754"/>
    </row>
    <row r="501" spans="1:9" hidden="1" outlineLevel="1">
      <c r="A501" s="751" t="s">
        <v>108</v>
      </c>
      <c r="B501" s="919" t="s">
        <v>8</v>
      </c>
      <c r="C501" s="754">
        <f t="shared" si="135"/>
        <v>29995863</v>
      </c>
      <c r="D501" s="754">
        <v>0</v>
      </c>
      <c r="E501" s="767">
        <v>0</v>
      </c>
      <c r="F501" s="777">
        <v>0</v>
      </c>
      <c r="G501" s="767">
        <f>C501</f>
        <v>29995863</v>
      </c>
      <c r="H501" s="906">
        <f t="shared" si="136"/>
        <v>29995863</v>
      </c>
      <c r="I501" s="754"/>
    </row>
    <row r="502" spans="1:9" ht="13.5" hidden="1" outlineLevel="1" thickBot="1">
      <c r="A502" s="751" t="s">
        <v>108</v>
      </c>
      <c r="B502" s="919" t="s">
        <v>9</v>
      </c>
      <c r="C502" s="1256">
        <f t="shared" si="135"/>
        <v>7168452</v>
      </c>
      <c r="D502" s="1218">
        <v>179180560</v>
      </c>
      <c r="E502" s="806">
        <v>93242192</v>
      </c>
      <c r="F502" s="783">
        <v>92720250</v>
      </c>
      <c r="G502" s="897">
        <f>G495</f>
        <v>386570</v>
      </c>
      <c r="H502" s="907">
        <f t="shared" si="136"/>
        <v>93106820</v>
      </c>
      <c r="I502" s="754"/>
    </row>
    <row r="503" spans="1:9" ht="13.5" hidden="1" outlineLevel="1" thickBot="1">
      <c r="A503" s="811" t="s">
        <v>108</v>
      </c>
      <c r="B503" s="1230" t="s">
        <v>31</v>
      </c>
      <c r="C503" s="921">
        <f t="shared" ref="C503:H503" si="137">SUM(C497:C502)</f>
        <v>363061884.45291674</v>
      </c>
      <c r="D503" s="921">
        <f t="shared" si="137"/>
        <v>179180560</v>
      </c>
      <c r="E503" s="921">
        <f t="shared" si="137"/>
        <v>130748240.5</v>
      </c>
      <c r="F503" s="737">
        <f t="shared" si="137"/>
        <v>381111770.95291603</v>
      </c>
      <c r="G503" s="921">
        <f t="shared" si="137"/>
        <v>30382433</v>
      </c>
      <c r="H503" s="900">
        <f t="shared" si="137"/>
        <v>411494203.95291674</v>
      </c>
      <c r="I503" s="815"/>
    </row>
    <row r="504" spans="1:9" hidden="1" outlineLevel="1">
      <c r="A504" s="750" t="s">
        <v>109</v>
      </c>
      <c r="B504" s="927" t="s">
        <v>4</v>
      </c>
      <c r="C504" s="753">
        <f t="shared" ref="C504:C509" si="138">C497</f>
        <v>12343836</v>
      </c>
      <c r="D504" s="753">
        <v>0</v>
      </c>
      <c r="E504" s="780">
        <v>4971211</v>
      </c>
      <c r="F504" s="901">
        <v>7372625</v>
      </c>
      <c r="G504" s="753">
        <v>0</v>
      </c>
      <c r="H504" s="905">
        <f t="shared" ref="H504:H509" si="139">C504+D504-E504</f>
        <v>7372625</v>
      </c>
      <c r="I504" s="753"/>
    </row>
    <row r="505" spans="1:9" hidden="1" outlineLevel="1">
      <c r="A505" s="751" t="s">
        <v>109</v>
      </c>
      <c r="B505" s="928" t="s">
        <v>5</v>
      </c>
      <c r="C505" s="754">
        <f t="shared" si="138"/>
        <v>5368150</v>
      </c>
      <c r="D505" s="754"/>
      <c r="E505" s="782">
        <v>3793800</v>
      </c>
      <c r="F505" s="902">
        <v>1574350</v>
      </c>
      <c r="G505" s="767">
        <v>0</v>
      </c>
      <c r="H505" s="906">
        <f t="shared" si="139"/>
        <v>1574350</v>
      </c>
      <c r="I505" s="754"/>
    </row>
    <row r="506" spans="1:9" hidden="1" outlineLevel="1">
      <c r="A506" s="751" t="s">
        <v>109</v>
      </c>
      <c r="B506" s="928" t="s">
        <v>6</v>
      </c>
      <c r="C506" s="754">
        <f t="shared" si="138"/>
        <v>308185583.45291674</v>
      </c>
      <c r="D506" s="754">
        <v>0</v>
      </c>
      <c r="E506" s="782">
        <v>107230971.490969</v>
      </c>
      <c r="F506" s="781">
        <v>200954611.96194699</v>
      </c>
      <c r="G506" s="754">
        <v>0</v>
      </c>
      <c r="H506" s="906">
        <f t="shared" si="139"/>
        <v>200954611.96194774</v>
      </c>
      <c r="I506" s="754"/>
    </row>
    <row r="507" spans="1:9" hidden="1" outlineLevel="1">
      <c r="A507" s="751" t="s">
        <v>109</v>
      </c>
      <c r="B507" s="920" t="s">
        <v>7</v>
      </c>
      <c r="C507" s="754">
        <f t="shared" si="138"/>
        <v>0</v>
      </c>
      <c r="D507" s="754">
        <v>0</v>
      </c>
      <c r="E507" s="767">
        <v>0</v>
      </c>
      <c r="F507" s="788">
        <v>0</v>
      </c>
      <c r="G507" s="767">
        <v>0</v>
      </c>
      <c r="H507" s="1267">
        <f t="shared" si="139"/>
        <v>0</v>
      </c>
      <c r="I507" s="754"/>
    </row>
    <row r="508" spans="1:9" hidden="1" outlineLevel="1">
      <c r="A508" s="751" t="s">
        <v>109</v>
      </c>
      <c r="B508" s="919" t="s">
        <v>8</v>
      </c>
      <c r="C508" s="754">
        <f t="shared" si="138"/>
        <v>29995863</v>
      </c>
      <c r="D508" s="754">
        <v>0</v>
      </c>
      <c r="E508" s="767">
        <v>0</v>
      </c>
      <c r="F508" s="777">
        <v>0</v>
      </c>
      <c r="G508" s="767">
        <f>C508</f>
        <v>29995863</v>
      </c>
      <c r="H508" s="906">
        <f t="shared" si="139"/>
        <v>29995863</v>
      </c>
      <c r="I508" s="754"/>
    </row>
    <row r="509" spans="1:9" ht="13.5" hidden="1" outlineLevel="1" thickBot="1">
      <c r="A509" s="751" t="s">
        <v>109</v>
      </c>
      <c r="B509" s="919" t="s">
        <v>9</v>
      </c>
      <c r="C509" s="1256">
        <f t="shared" si="138"/>
        <v>7168452</v>
      </c>
      <c r="D509" s="1218">
        <v>179180560</v>
      </c>
      <c r="E509" s="806">
        <v>93242192</v>
      </c>
      <c r="F509" s="783">
        <v>92720250</v>
      </c>
      <c r="G509" s="897">
        <v>386570</v>
      </c>
      <c r="H509" s="906">
        <f t="shared" si="139"/>
        <v>93106820</v>
      </c>
      <c r="I509" s="754"/>
    </row>
    <row r="510" spans="1:9" ht="13.5" hidden="1" outlineLevel="1" thickBot="1">
      <c r="A510" s="811" t="s">
        <v>109</v>
      </c>
      <c r="B510" s="1230" t="s">
        <v>31</v>
      </c>
      <c r="C510" s="921">
        <f t="shared" ref="C510:H510" si="140">SUM(C504:C509)</f>
        <v>363061884.45291674</v>
      </c>
      <c r="D510" s="921">
        <f t="shared" si="140"/>
        <v>179180560</v>
      </c>
      <c r="E510" s="921">
        <f t="shared" si="140"/>
        <v>209238174.490969</v>
      </c>
      <c r="F510" s="737">
        <f t="shared" si="140"/>
        <v>302621836.96194696</v>
      </c>
      <c r="G510" s="921">
        <f t="shared" si="140"/>
        <v>30382433</v>
      </c>
      <c r="H510" s="738">
        <f t="shared" si="140"/>
        <v>333004269.96194774</v>
      </c>
      <c r="I510" s="815"/>
    </row>
    <row r="511" spans="1:9" hidden="1" outlineLevel="1">
      <c r="A511" s="750" t="s">
        <v>110</v>
      </c>
      <c r="B511" s="927" t="s">
        <v>4</v>
      </c>
      <c r="C511" s="753">
        <f t="shared" ref="C511:C516" si="141">C504</f>
        <v>12343836</v>
      </c>
      <c r="D511" s="753">
        <v>0</v>
      </c>
      <c r="E511" s="780">
        <v>8509511</v>
      </c>
      <c r="F511" s="901">
        <v>3834325</v>
      </c>
      <c r="G511" s="753">
        <v>0</v>
      </c>
      <c r="H511" s="905">
        <f t="shared" ref="H511:H516" si="142">C511+D511-E511</f>
        <v>3834325</v>
      </c>
      <c r="I511" s="753"/>
    </row>
    <row r="512" spans="1:9" hidden="1" outlineLevel="1">
      <c r="A512" s="751" t="s">
        <v>110</v>
      </c>
      <c r="B512" s="928" t="s">
        <v>5</v>
      </c>
      <c r="C512" s="754">
        <f t="shared" si="141"/>
        <v>5368150</v>
      </c>
      <c r="D512" s="754">
        <v>30000000</v>
      </c>
      <c r="E512" s="782">
        <v>6293800</v>
      </c>
      <c r="F512" s="902">
        <v>20000000</v>
      </c>
      <c r="G512" s="767">
        <v>9074350</v>
      </c>
      <c r="H512" s="906">
        <f t="shared" si="142"/>
        <v>29074350</v>
      </c>
      <c r="I512" s="754"/>
    </row>
    <row r="513" spans="1:9" hidden="1" outlineLevel="1">
      <c r="A513" s="751" t="s">
        <v>110</v>
      </c>
      <c r="B513" s="928" t="s">
        <v>6</v>
      </c>
      <c r="C513" s="754">
        <f t="shared" si="141"/>
        <v>308185583.45291674</v>
      </c>
      <c r="D513" s="754">
        <v>0</v>
      </c>
      <c r="E513" s="782">
        <v>107230971.490969</v>
      </c>
      <c r="F513" s="781">
        <v>200954611.96194699</v>
      </c>
      <c r="G513" s="754">
        <v>0</v>
      </c>
      <c r="H513" s="906">
        <f t="shared" si="142"/>
        <v>200954611.96194774</v>
      </c>
      <c r="I513" s="754"/>
    </row>
    <row r="514" spans="1:9" hidden="1" outlineLevel="1">
      <c r="A514" s="751" t="s">
        <v>110</v>
      </c>
      <c r="B514" s="920" t="s">
        <v>7</v>
      </c>
      <c r="C514" s="754">
        <f t="shared" si="141"/>
        <v>0</v>
      </c>
      <c r="D514" s="754">
        <v>0</v>
      </c>
      <c r="E514" s="767">
        <v>0</v>
      </c>
      <c r="F514" s="788">
        <v>0</v>
      </c>
      <c r="G514" s="767">
        <v>0</v>
      </c>
      <c r="H514" s="1267">
        <f t="shared" si="142"/>
        <v>0</v>
      </c>
      <c r="I514" s="754"/>
    </row>
    <row r="515" spans="1:9" hidden="1" outlineLevel="1">
      <c r="A515" s="751" t="s">
        <v>110</v>
      </c>
      <c r="B515" s="919" t="s">
        <v>8</v>
      </c>
      <c r="C515" s="754">
        <f t="shared" si="141"/>
        <v>29995863</v>
      </c>
      <c r="D515" s="754">
        <v>0</v>
      </c>
      <c r="E515" s="767">
        <v>0</v>
      </c>
      <c r="F515" s="777">
        <v>0</v>
      </c>
      <c r="G515" s="767">
        <f>C515</f>
        <v>29995863</v>
      </c>
      <c r="H515" s="906">
        <f t="shared" si="142"/>
        <v>29995863</v>
      </c>
      <c r="I515" s="754"/>
    </row>
    <row r="516" spans="1:9" ht="13.5" hidden="1" outlineLevel="1" thickBot="1">
      <c r="A516" s="751" t="s">
        <v>110</v>
      </c>
      <c r="B516" s="919" t="s">
        <v>9</v>
      </c>
      <c r="C516" s="1256">
        <f t="shared" si="141"/>
        <v>7168452</v>
      </c>
      <c r="D516" s="1218">
        <v>179180560</v>
      </c>
      <c r="E516" s="806">
        <v>93242192</v>
      </c>
      <c r="F516" s="783">
        <v>92720250</v>
      </c>
      <c r="G516" s="897">
        <v>386570</v>
      </c>
      <c r="H516" s="907">
        <f t="shared" si="142"/>
        <v>93106820</v>
      </c>
      <c r="I516" s="754"/>
    </row>
    <row r="517" spans="1:9" ht="13.5" hidden="1" outlineLevel="1" thickBot="1">
      <c r="A517" s="811" t="s">
        <v>110</v>
      </c>
      <c r="B517" s="1230" t="s">
        <v>31</v>
      </c>
      <c r="C517" s="921">
        <f t="shared" ref="C517:H517" si="143">SUM(C511:C516)</f>
        <v>363061884.45291674</v>
      </c>
      <c r="D517" s="921">
        <f t="shared" si="143"/>
        <v>209180560</v>
      </c>
      <c r="E517" s="921">
        <f t="shared" si="143"/>
        <v>215276474.490969</v>
      </c>
      <c r="F517" s="737">
        <f t="shared" si="143"/>
        <v>317509186.96194696</v>
      </c>
      <c r="G517" s="921">
        <f t="shared" si="143"/>
        <v>39456783</v>
      </c>
      <c r="H517" s="1270">
        <f t="shared" si="143"/>
        <v>356965969.96194774</v>
      </c>
      <c r="I517" s="815"/>
    </row>
    <row r="518" spans="1:9" hidden="1" outlineLevel="1">
      <c r="A518" s="750" t="s">
        <v>111</v>
      </c>
      <c r="B518" s="927" t="s">
        <v>4</v>
      </c>
      <c r="C518" s="753">
        <f t="shared" ref="C518:C523" si="144">C511</f>
        <v>12343836</v>
      </c>
      <c r="D518" s="753">
        <v>0</v>
      </c>
      <c r="E518" s="780">
        <v>9679511</v>
      </c>
      <c r="F518" s="901">
        <v>2664325</v>
      </c>
      <c r="G518" s="753">
        <v>0</v>
      </c>
      <c r="H518" s="905">
        <f t="shared" ref="H518:H523" si="145">C518+D518-E518</f>
        <v>2664325</v>
      </c>
      <c r="I518" s="753"/>
    </row>
    <row r="519" spans="1:9" hidden="1" outlineLevel="1">
      <c r="A519" s="751" t="s">
        <v>111</v>
      </c>
      <c r="B519" s="928" t="s">
        <v>5</v>
      </c>
      <c r="C519" s="754">
        <f t="shared" si="144"/>
        <v>5368150</v>
      </c>
      <c r="D519" s="754">
        <v>30000000</v>
      </c>
      <c r="E519" s="782">
        <v>6478800</v>
      </c>
      <c r="F519" s="902">
        <v>20000000</v>
      </c>
      <c r="G519" s="767">
        <v>8889350</v>
      </c>
      <c r="H519" s="906">
        <f t="shared" si="145"/>
        <v>28889350</v>
      </c>
      <c r="I519" s="754"/>
    </row>
    <row r="520" spans="1:9" hidden="1" outlineLevel="1">
      <c r="A520" s="751" t="s">
        <v>111</v>
      </c>
      <c r="B520" s="928" t="s">
        <v>6</v>
      </c>
      <c r="C520" s="754">
        <f t="shared" si="144"/>
        <v>308185583.45291674</v>
      </c>
      <c r="D520" s="754">
        <v>0</v>
      </c>
      <c r="E520" s="782">
        <v>118021983.990969</v>
      </c>
      <c r="F520" s="781">
        <v>190163599.46194699</v>
      </c>
      <c r="G520" s="754">
        <v>0</v>
      </c>
      <c r="H520" s="906">
        <f t="shared" si="145"/>
        <v>190163599.46194774</v>
      </c>
      <c r="I520" s="754"/>
    </row>
    <row r="521" spans="1:9" hidden="1" outlineLevel="1">
      <c r="A521" s="751" t="s">
        <v>111</v>
      </c>
      <c r="B521" s="920" t="s">
        <v>7</v>
      </c>
      <c r="C521" s="754">
        <f t="shared" si="144"/>
        <v>0</v>
      </c>
      <c r="D521" s="754">
        <v>0</v>
      </c>
      <c r="E521" s="767">
        <v>0</v>
      </c>
      <c r="F521" s="788">
        <v>0</v>
      </c>
      <c r="G521" s="767">
        <v>0</v>
      </c>
      <c r="H521" s="906">
        <f t="shared" si="145"/>
        <v>0</v>
      </c>
      <c r="I521" s="754"/>
    </row>
    <row r="522" spans="1:9" hidden="1" outlineLevel="1">
      <c r="A522" s="751" t="s">
        <v>111</v>
      </c>
      <c r="B522" s="919" t="s">
        <v>8</v>
      </c>
      <c r="C522" s="754">
        <f t="shared" si="144"/>
        <v>29995863</v>
      </c>
      <c r="D522" s="754">
        <v>0</v>
      </c>
      <c r="E522" s="767">
        <v>0</v>
      </c>
      <c r="F522" s="777">
        <v>0</v>
      </c>
      <c r="G522" s="767">
        <v>0</v>
      </c>
      <c r="H522" s="906">
        <f t="shared" si="145"/>
        <v>29995863</v>
      </c>
      <c r="I522" s="754"/>
    </row>
    <row r="523" spans="1:9" ht="13.5" hidden="1" outlineLevel="1" thickBot="1">
      <c r="A523" s="751" t="s">
        <v>111</v>
      </c>
      <c r="B523" s="919" t="s">
        <v>9</v>
      </c>
      <c r="C523" s="1256">
        <f t="shared" si="144"/>
        <v>7168452</v>
      </c>
      <c r="D523" s="1218">
        <v>179180560</v>
      </c>
      <c r="E523" s="806">
        <v>116442192</v>
      </c>
      <c r="F523" s="783">
        <v>69520250</v>
      </c>
      <c r="G523" s="897">
        <v>386570</v>
      </c>
      <c r="H523" s="907">
        <f t="shared" si="145"/>
        <v>69906820</v>
      </c>
      <c r="I523" s="754"/>
    </row>
    <row r="524" spans="1:9" ht="13.5" hidden="1" outlineLevel="1" thickBot="1">
      <c r="A524" s="811" t="s">
        <v>111</v>
      </c>
      <c r="B524" s="1230" t="s">
        <v>31</v>
      </c>
      <c r="C524" s="921">
        <f t="shared" ref="C524:H524" si="146">SUM(C518:C523)</f>
        <v>363061884.45291674</v>
      </c>
      <c r="D524" s="921">
        <f t="shared" si="146"/>
        <v>209180560</v>
      </c>
      <c r="E524" s="921">
        <f t="shared" si="146"/>
        <v>250622486.990969</v>
      </c>
      <c r="F524" s="737">
        <f t="shared" si="146"/>
        <v>282348174.46194696</v>
      </c>
      <c r="G524" s="921">
        <f t="shared" si="146"/>
        <v>9275920</v>
      </c>
      <c r="H524" s="738">
        <f t="shared" si="146"/>
        <v>321619957.46194774</v>
      </c>
      <c r="I524" s="815"/>
    </row>
    <row r="525" spans="1:9" hidden="1" outlineLevel="1">
      <c r="A525" s="750" t="s">
        <v>112</v>
      </c>
      <c r="B525" s="927" t="s">
        <v>4</v>
      </c>
      <c r="C525" s="753">
        <f t="shared" ref="C525:C530" si="147">C518</f>
        <v>12343836</v>
      </c>
      <c r="D525" s="753">
        <v>0</v>
      </c>
      <c r="E525" s="780">
        <v>9679511</v>
      </c>
      <c r="F525" s="901">
        <v>2664325</v>
      </c>
      <c r="G525" s="753">
        <v>0</v>
      </c>
      <c r="H525" s="905">
        <f t="shared" ref="H525:H530" si="148">C525+D525-E525</f>
        <v>2664325</v>
      </c>
      <c r="I525" s="753"/>
    </row>
    <row r="526" spans="1:9" hidden="1" outlineLevel="1">
      <c r="A526" s="751" t="s">
        <v>112</v>
      </c>
      <c r="B526" s="928" t="s">
        <v>5</v>
      </c>
      <c r="C526" s="754">
        <f t="shared" si="147"/>
        <v>5368150</v>
      </c>
      <c r="D526" s="754">
        <v>30000000</v>
      </c>
      <c r="E526" s="782">
        <v>8118800</v>
      </c>
      <c r="F526" s="902">
        <v>10000000</v>
      </c>
      <c r="G526" s="767">
        <v>17249350</v>
      </c>
      <c r="H526" s="906">
        <f t="shared" si="148"/>
        <v>27249350</v>
      </c>
      <c r="I526" s="754"/>
    </row>
    <row r="527" spans="1:9" hidden="1" outlineLevel="1">
      <c r="A527" s="751" t="s">
        <v>112</v>
      </c>
      <c r="B527" s="928" t="s">
        <v>6</v>
      </c>
      <c r="C527" s="754">
        <f t="shared" si="147"/>
        <v>308185583.45291674</v>
      </c>
      <c r="D527" s="754">
        <v>0</v>
      </c>
      <c r="E527" s="782">
        <v>134723054.990969</v>
      </c>
      <c r="F527" s="781">
        <v>173462528.46194699</v>
      </c>
      <c r="G527" s="754">
        <v>0</v>
      </c>
      <c r="H527" s="906">
        <f t="shared" si="148"/>
        <v>173462528.46194774</v>
      </c>
      <c r="I527" s="754"/>
    </row>
    <row r="528" spans="1:9" hidden="1" outlineLevel="1">
      <c r="A528" s="751" t="s">
        <v>112</v>
      </c>
      <c r="B528" s="920" t="s">
        <v>7</v>
      </c>
      <c r="C528" s="754">
        <f t="shared" si="147"/>
        <v>0</v>
      </c>
      <c r="D528" s="754">
        <v>0</v>
      </c>
      <c r="E528" s="767">
        <v>0</v>
      </c>
      <c r="F528" s="788">
        <v>0</v>
      </c>
      <c r="G528" s="767">
        <v>0</v>
      </c>
      <c r="H528" s="906">
        <f t="shared" si="148"/>
        <v>0</v>
      </c>
      <c r="I528" s="754"/>
    </row>
    <row r="529" spans="1:9" hidden="1" outlineLevel="1">
      <c r="A529" s="751" t="s">
        <v>112</v>
      </c>
      <c r="B529" s="919" t="s">
        <v>8</v>
      </c>
      <c r="C529" s="754">
        <f t="shared" si="147"/>
        <v>29995863</v>
      </c>
      <c r="D529" s="754">
        <v>0</v>
      </c>
      <c r="E529" s="767">
        <v>25387000</v>
      </c>
      <c r="F529" s="777">
        <v>0</v>
      </c>
      <c r="G529" s="775">
        <v>4608863</v>
      </c>
      <c r="H529" s="906">
        <f t="shared" si="148"/>
        <v>4608863</v>
      </c>
      <c r="I529" s="754"/>
    </row>
    <row r="530" spans="1:9" ht="13.5" hidden="1" outlineLevel="1" thickBot="1">
      <c r="A530" s="751" t="s">
        <v>112</v>
      </c>
      <c r="B530" s="919" t="s">
        <v>9</v>
      </c>
      <c r="C530" s="1256">
        <f t="shared" si="147"/>
        <v>7168452</v>
      </c>
      <c r="D530" s="1218">
        <v>179180560</v>
      </c>
      <c r="E530" s="806">
        <v>116442192</v>
      </c>
      <c r="F530" s="783">
        <v>69520250</v>
      </c>
      <c r="G530" s="897">
        <v>386570</v>
      </c>
      <c r="H530" s="907">
        <f t="shared" si="148"/>
        <v>69906820</v>
      </c>
      <c r="I530" s="754"/>
    </row>
    <row r="531" spans="1:9" ht="13.5" hidden="1" outlineLevel="1" thickBot="1">
      <c r="A531" s="811" t="s">
        <v>112</v>
      </c>
      <c r="B531" s="1230" t="s">
        <v>31</v>
      </c>
      <c r="C531" s="921">
        <f t="shared" ref="C531:H531" si="149">SUM(C525:C530)</f>
        <v>363061884.45291674</v>
      </c>
      <c r="D531" s="921">
        <f t="shared" si="149"/>
        <v>209180560</v>
      </c>
      <c r="E531" s="921">
        <f t="shared" si="149"/>
        <v>294350557.990969</v>
      </c>
      <c r="F531" s="737">
        <f t="shared" si="149"/>
        <v>255647103.46194699</v>
      </c>
      <c r="G531" s="921">
        <f t="shared" si="149"/>
        <v>22244783</v>
      </c>
      <c r="H531" s="738">
        <f t="shared" si="149"/>
        <v>277891886.46194774</v>
      </c>
      <c r="I531" s="815"/>
    </row>
    <row r="532" spans="1:9" hidden="1" outlineLevel="1">
      <c r="A532" s="750" t="s">
        <v>113</v>
      </c>
      <c r="B532" s="927" t="s">
        <v>4</v>
      </c>
      <c r="C532" s="753">
        <f t="shared" ref="C532:C537" si="150">C525</f>
        <v>12343836</v>
      </c>
      <c r="D532" s="753">
        <v>0</v>
      </c>
      <c r="E532" s="780">
        <v>9679511</v>
      </c>
      <c r="F532" s="901">
        <v>2664325</v>
      </c>
      <c r="G532" s="753">
        <v>0</v>
      </c>
      <c r="H532" s="905">
        <f t="shared" ref="H532:H537" si="151">C532+D532-E532</f>
        <v>2664325</v>
      </c>
      <c r="I532" s="753"/>
    </row>
    <row r="533" spans="1:9" hidden="1" outlineLevel="1">
      <c r="A533" s="751" t="s">
        <v>113</v>
      </c>
      <c r="B533" s="928" t="s">
        <v>5</v>
      </c>
      <c r="C533" s="754">
        <f t="shared" si="150"/>
        <v>5368150</v>
      </c>
      <c r="D533" s="754">
        <v>30000000</v>
      </c>
      <c r="E533" s="782">
        <v>8118800</v>
      </c>
      <c r="F533" s="902">
        <v>10000000</v>
      </c>
      <c r="G533" s="767">
        <v>17249350</v>
      </c>
      <c r="H533" s="906">
        <f t="shared" si="151"/>
        <v>27249350</v>
      </c>
      <c r="I533" s="754"/>
    </row>
    <row r="534" spans="1:9" hidden="1" outlineLevel="1">
      <c r="A534" s="751" t="s">
        <v>113</v>
      </c>
      <c r="B534" s="928" t="s">
        <v>6</v>
      </c>
      <c r="C534" s="754">
        <f t="shared" si="150"/>
        <v>308185583.45291674</v>
      </c>
      <c r="D534" s="754">
        <v>0</v>
      </c>
      <c r="E534" s="782">
        <v>137378954.990969</v>
      </c>
      <c r="F534" s="781">
        <v>170806628.46194699</v>
      </c>
      <c r="G534" s="754">
        <v>0</v>
      </c>
      <c r="H534" s="906">
        <f t="shared" si="151"/>
        <v>170806628.46194774</v>
      </c>
      <c r="I534" s="754"/>
    </row>
    <row r="535" spans="1:9" hidden="1" outlineLevel="1">
      <c r="A535" s="751" t="s">
        <v>113</v>
      </c>
      <c r="B535" s="920" t="s">
        <v>7</v>
      </c>
      <c r="C535" s="754">
        <f t="shared" si="150"/>
        <v>0</v>
      </c>
      <c r="D535" s="754">
        <v>0</v>
      </c>
      <c r="E535" s="767">
        <v>0</v>
      </c>
      <c r="F535" s="788">
        <v>0</v>
      </c>
      <c r="G535" s="767">
        <v>0</v>
      </c>
      <c r="H535" s="906">
        <f t="shared" si="151"/>
        <v>0</v>
      </c>
      <c r="I535" s="754"/>
    </row>
    <row r="536" spans="1:9" hidden="1" outlineLevel="1">
      <c r="A536" s="751" t="s">
        <v>113</v>
      </c>
      <c r="B536" s="919" t="s">
        <v>8</v>
      </c>
      <c r="C536" s="754">
        <f t="shared" si="150"/>
        <v>29995863</v>
      </c>
      <c r="D536" s="754">
        <v>0</v>
      </c>
      <c r="E536" s="767">
        <v>25387000</v>
      </c>
      <c r="F536" s="777">
        <v>0</v>
      </c>
      <c r="G536" s="775">
        <v>4608863</v>
      </c>
      <c r="H536" s="906">
        <f t="shared" si="151"/>
        <v>4608863</v>
      </c>
      <c r="I536" s="754"/>
    </row>
    <row r="537" spans="1:9" ht="13.5" hidden="1" outlineLevel="1" thickBot="1">
      <c r="A537" s="751" t="s">
        <v>113</v>
      </c>
      <c r="B537" s="919" t="s">
        <v>9</v>
      </c>
      <c r="C537" s="1256">
        <f t="shared" si="150"/>
        <v>7168452</v>
      </c>
      <c r="D537" s="1218">
        <v>179180560</v>
      </c>
      <c r="E537" s="806">
        <v>116442192</v>
      </c>
      <c r="F537" s="783">
        <v>69520250</v>
      </c>
      <c r="G537" s="897">
        <v>386570</v>
      </c>
      <c r="H537" s="907">
        <f t="shared" si="151"/>
        <v>69906820</v>
      </c>
      <c r="I537" s="754"/>
    </row>
    <row r="538" spans="1:9" ht="13.5" hidden="1" outlineLevel="1" thickBot="1">
      <c r="A538" s="811" t="s">
        <v>113</v>
      </c>
      <c r="B538" s="1230" t="s">
        <v>31</v>
      </c>
      <c r="C538" s="921">
        <f t="shared" ref="C538:H538" si="152">SUM(C532:C537)</f>
        <v>363061884.45291674</v>
      </c>
      <c r="D538" s="921">
        <f t="shared" si="152"/>
        <v>209180560</v>
      </c>
      <c r="E538" s="921">
        <f t="shared" si="152"/>
        <v>297006457.990969</v>
      </c>
      <c r="F538" s="737">
        <f t="shared" si="152"/>
        <v>252991203.46194699</v>
      </c>
      <c r="G538" s="921">
        <f t="shared" si="152"/>
        <v>22244783</v>
      </c>
      <c r="H538" s="1270">
        <f t="shared" si="152"/>
        <v>275235986.46194774</v>
      </c>
      <c r="I538" s="815"/>
    </row>
    <row r="539" spans="1:9" hidden="1" outlineLevel="1">
      <c r="A539" s="750" t="s">
        <v>114</v>
      </c>
      <c r="B539" s="927" t="s">
        <v>4</v>
      </c>
      <c r="C539" s="753">
        <f t="shared" ref="C539:C544" si="153">C532</f>
        <v>12343836</v>
      </c>
      <c r="D539" s="753">
        <v>0</v>
      </c>
      <c r="E539" s="780">
        <v>9679511</v>
      </c>
      <c r="F539" s="901">
        <v>2664325</v>
      </c>
      <c r="G539" s="753">
        <v>0</v>
      </c>
      <c r="H539" s="905">
        <f t="shared" ref="H539:H544" si="154">C539+D539-E539</f>
        <v>2664325</v>
      </c>
      <c r="I539" s="753"/>
    </row>
    <row r="540" spans="1:9" hidden="1" outlineLevel="1">
      <c r="A540" s="751" t="s">
        <v>114</v>
      </c>
      <c r="B540" s="928" t="s">
        <v>5</v>
      </c>
      <c r="C540" s="754">
        <f t="shared" si="153"/>
        <v>5368150</v>
      </c>
      <c r="D540" s="754">
        <v>30000000</v>
      </c>
      <c r="E540" s="782">
        <v>8118800</v>
      </c>
      <c r="F540" s="902">
        <v>10000000</v>
      </c>
      <c r="G540" s="767">
        <v>17249350</v>
      </c>
      <c r="H540" s="906">
        <f t="shared" si="154"/>
        <v>27249350</v>
      </c>
      <c r="I540" s="754"/>
    </row>
    <row r="541" spans="1:9" hidden="1" outlineLevel="1">
      <c r="A541" s="751" t="s">
        <v>114</v>
      </c>
      <c r="B541" s="928" t="s">
        <v>6</v>
      </c>
      <c r="C541" s="754">
        <f t="shared" si="153"/>
        <v>308185583.45291674</v>
      </c>
      <c r="D541" s="754">
        <v>0</v>
      </c>
      <c r="E541" s="782">
        <v>137378954.990969</v>
      </c>
      <c r="F541" s="781">
        <v>170806628.46194699</v>
      </c>
      <c r="G541" s="754">
        <v>0</v>
      </c>
      <c r="H541" s="906">
        <f t="shared" si="154"/>
        <v>170806628.46194774</v>
      </c>
      <c r="I541" s="754"/>
    </row>
    <row r="542" spans="1:9" hidden="1" outlineLevel="1">
      <c r="A542" s="751" t="s">
        <v>114</v>
      </c>
      <c r="B542" s="920" t="s">
        <v>7</v>
      </c>
      <c r="C542" s="754">
        <f t="shared" si="153"/>
        <v>0</v>
      </c>
      <c r="D542" s="754">
        <v>0</v>
      </c>
      <c r="E542" s="767">
        <v>0</v>
      </c>
      <c r="F542" s="788">
        <v>0</v>
      </c>
      <c r="G542" s="767">
        <v>0</v>
      </c>
      <c r="H542" s="906">
        <f t="shared" si="154"/>
        <v>0</v>
      </c>
      <c r="I542" s="754"/>
    </row>
    <row r="543" spans="1:9" hidden="1" outlineLevel="1">
      <c r="A543" s="751" t="s">
        <v>114</v>
      </c>
      <c r="B543" s="919" t="s">
        <v>8</v>
      </c>
      <c r="C543" s="754">
        <f t="shared" si="153"/>
        <v>29995863</v>
      </c>
      <c r="D543" s="754">
        <v>0</v>
      </c>
      <c r="E543" s="767">
        <v>25387000</v>
      </c>
      <c r="F543" s="777">
        <v>0</v>
      </c>
      <c r="G543" s="775">
        <v>4608863</v>
      </c>
      <c r="H543" s="906">
        <f t="shared" si="154"/>
        <v>4608863</v>
      </c>
      <c r="I543" s="754"/>
    </row>
    <row r="544" spans="1:9" ht="13.5" hidden="1" outlineLevel="1" thickBot="1">
      <c r="A544" s="751" t="s">
        <v>114</v>
      </c>
      <c r="B544" s="919" t="s">
        <v>9</v>
      </c>
      <c r="C544" s="1256">
        <f t="shared" si="153"/>
        <v>7168452</v>
      </c>
      <c r="D544" s="1218">
        <v>179180560</v>
      </c>
      <c r="E544" s="806">
        <v>116442192</v>
      </c>
      <c r="F544" s="783">
        <v>69520250</v>
      </c>
      <c r="G544" s="897">
        <v>386570</v>
      </c>
      <c r="H544" s="907">
        <f t="shared" si="154"/>
        <v>69906820</v>
      </c>
      <c r="I544" s="754"/>
    </row>
    <row r="545" spans="1:9" ht="13.5" hidden="1" outlineLevel="1" thickBot="1">
      <c r="A545" s="811" t="s">
        <v>114</v>
      </c>
      <c r="B545" s="1230" t="s">
        <v>31</v>
      </c>
      <c r="C545" s="921">
        <f t="shared" ref="C545:H545" si="155">SUM(C539:C544)</f>
        <v>363061884.45291674</v>
      </c>
      <c r="D545" s="921">
        <f t="shared" si="155"/>
        <v>209180560</v>
      </c>
      <c r="E545" s="921">
        <f t="shared" si="155"/>
        <v>297006457.990969</v>
      </c>
      <c r="F545" s="737">
        <f t="shared" si="155"/>
        <v>252991203.46194699</v>
      </c>
      <c r="G545" s="921">
        <f t="shared" si="155"/>
        <v>22244783</v>
      </c>
      <c r="H545" s="1270">
        <f t="shared" si="155"/>
        <v>275235986.46194774</v>
      </c>
      <c r="I545" s="815"/>
    </row>
    <row r="546" spans="1:9" hidden="1" outlineLevel="1">
      <c r="A546" s="750" t="s">
        <v>115</v>
      </c>
      <c r="B546" s="927" t="s">
        <v>4</v>
      </c>
      <c r="C546" s="753">
        <f t="shared" ref="C546:C551" si="156">C539</f>
        <v>12343836</v>
      </c>
      <c r="D546" s="753">
        <v>200000000</v>
      </c>
      <c r="E546" s="780">
        <v>209679511</v>
      </c>
      <c r="F546" s="901">
        <v>2664325</v>
      </c>
      <c r="G546" s="753">
        <v>0</v>
      </c>
      <c r="H546" s="905">
        <f t="shared" ref="H546:H551" si="157">C546+D546-E546</f>
        <v>2664325</v>
      </c>
      <c r="I546" s="753"/>
    </row>
    <row r="547" spans="1:9" hidden="1" outlineLevel="1">
      <c r="A547" s="751" t="s">
        <v>115</v>
      </c>
      <c r="B547" s="928" t="s">
        <v>5</v>
      </c>
      <c r="C547" s="754">
        <f t="shared" si="156"/>
        <v>5368150</v>
      </c>
      <c r="D547" s="754">
        <v>30000000</v>
      </c>
      <c r="E547" s="782">
        <v>8118800</v>
      </c>
      <c r="F547" s="902">
        <v>10000000</v>
      </c>
      <c r="G547" s="767">
        <v>17249350</v>
      </c>
      <c r="H547" s="906">
        <f t="shared" si="157"/>
        <v>27249350</v>
      </c>
      <c r="I547" s="754"/>
    </row>
    <row r="548" spans="1:9" hidden="1" outlineLevel="1">
      <c r="A548" s="751" t="s">
        <v>115</v>
      </c>
      <c r="B548" s="928" t="s">
        <v>6</v>
      </c>
      <c r="C548" s="754">
        <f t="shared" si="156"/>
        <v>308185583.45291674</v>
      </c>
      <c r="D548" s="754">
        <v>0</v>
      </c>
      <c r="E548" s="782">
        <v>137378954.990969</v>
      </c>
      <c r="F548" s="781">
        <v>170806628.46194699</v>
      </c>
      <c r="G548" s="754">
        <v>0</v>
      </c>
      <c r="H548" s="906">
        <f t="shared" si="157"/>
        <v>170806628.46194774</v>
      </c>
      <c r="I548" s="754"/>
    </row>
    <row r="549" spans="1:9" hidden="1" outlineLevel="1">
      <c r="A549" s="751" t="s">
        <v>115</v>
      </c>
      <c r="B549" s="920" t="s">
        <v>7</v>
      </c>
      <c r="C549" s="754">
        <f t="shared" si="156"/>
        <v>0</v>
      </c>
      <c r="D549" s="754">
        <v>0</v>
      </c>
      <c r="E549" s="767">
        <v>0</v>
      </c>
      <c r="F549" s="788">
        <v>0</v>
      </c>
      <c r="G549" s="767">
        <v>0</v>
      </c>
      <c r="H549" s="906">
        <f t="shared" si="157"/>
        <v>0</v>
      </c>
      <c r="I549" s="754"/>
    </row>
    <row r="550" spans="1:9" hidden="1" outlineLevel="1">
      <c r="A550" s="751" t="s">
        <v>115</v>
      </c>
      <c r="B550" s="919" t="s">
        <v>8</v>
      </c>
      <c r="C550" s="754">
        <f t="shared" si="156"/>
        <v>29995863</v>
      </c>
      <c r="D550" s="754">
        <v>0</v>
      </c>
      <c r="E550" s="767">
        <v>26887000</v>
      </c>
      <c r="F550" s="777">
        <v>0</v>
      </c>
      <c r="G550" s="775">
        <v>3108863</v>
      </c>
      <c r="H550" s="906">
        <f t="shared" si="157"/>
        <v>3108863</v>
      </c>
      <c r="I550" s="754"/>
    </row>
    <row r="551" spans="1:9" ht="13.5" hidden="1" outlineLevel="1" thickBot="1">
      <c r="A551" s="751" t="s">
        <v>115</v>
      </c>
      <c r="B551" s="919" t="s">
        <v>9</v>
      </c>
      <c r="C551" s="1256">
        <f t="shared" si="156"/>
        <v>7168452</v>
      </c>
      <c r="D551" s="1218">
        <v>179180560</v>
      </c>
      <c r="E551" s="806">
        <v>131088352</v>
      </c>
      <c r="F551" s="783">
        <v>54874090</v>
      </c>
      <c r="G551" s="897">
        <v>386570</v>
      </c>
      <c r="H551" s="907">
        <f t="shared" si="157"/>
        <v>55260660</v>
      </c>
      <c r="I551" s="754"/>
    </row>
    <row r="552" spans="1:9" ht="13.5" hidden="1" outlineLevel="1" thickBot="1">
      <c r="A552" s="811" t="s">
        <v>115</v>
      </c>
      <c r="B552" s="1230" t="s">
        <v>31</v>
      </c>
      <c r="C552" s="921">
        <f t="shared" ref="C552:H552" si="158">SUM(C546:C551)</f>
        <v>363061884.45291674</v>
      </c>
      <c r="D552" s="921">
        <f t="shared" si="158"/>
        <v>409180560</v>
      </c>
      <c r="E552" s="921">
        <f t="shared" si="158"/>
        <v>513152617.990969</v>
      </c>
      <c r="F552" s="737">
        <f t="shared" si="158"/>
        <v>238345043.46194699</v>
      </c>
      <c r="G552" s="921">
        <f t="shared" si="158"/>
        <v>20744783</v>
      </c>
      <c r="H552" s="1270">
        <f t="shared" si="158"/>
        <v>259089826.46194774</v>
      </c>
      <c r="I552" s="815"/>
    </row>
    <row r="553" spans="1:9" hidden="1" outlineLevel="1">
      <c r="A553" s="750" t="s">
        <v>116</v>
      </c>
      <c r="B553" s="927" t="s">
        <v>4</v>
      </c>
      <c r="C553" s="753">
        <f t="shared" ref="C553:C558" si="159">C546</f>
        <v>12343836</v>
      </c>
      <c r="D553" s="753">
        <v>200000000</v>
      </c>
      <c r="E553" s="780">
        <v>209679511</v>
      </c>
      <c r="F553" s="901">
        <v>2664325</v>
      </c>
      <c r="G553" s="753">
        <v>0</v>
      </c>
      <c r="H553" s="905">
        <f t="shared" ref="H553:H558" si="160">C553+D553-E553</f>
        <v>2664325</v>
      </c>
      <c r="I553" s="753"/>
    </row>
    <row r="554" spans="1:9" hidden="1" outlineLevel="1">
      <c r="A554" s="751" t="s">
        <v>116</v>
      </c>
      <c r="B554" s="928" t="s">
        <v>5</v>
      </c>
      <c r="C554" s="754">
        <f t="shared" si="159"/>
        <v>5368150</v>
      </c>
      <c r="D554" s="754">
        <v>30000000</v>
      </c>
      <c r="E554" s="782">
        <v>8118800</v>
      </c>
      <c r="F554" s="902">
        <v>10000000</v>
      </c>
      <c r="G554" s="767">
        <v>17249350</v>
      </c>
      <c r="H554" s="906">
        <f t="shared" si="160"/>
        <v>27249350</v>
      </c>
      <c r="I554" s="754"/>
    </row>
    <row r="555" spans="1:9" hidden="1" outlineLevel="1">
      <c r="A555" s="751" t="s">
        <v>116</v>
      </c>
      <c r="B555" s="928" t="s">
        <v>6</v>
      </c>
      <c r="C555" s="754">
        <f t="shared" si="159"/>
        <v>308185583.45291674</v>
      </c>
      <c r="D555" s="754">
        <v>0</v>
      </c>
      <c r="E555" s="782">
        <v>137378954.990969</v>
      </c>
      <c r="F555" s="781">
        <v>170806628.46194699</v>
      </c>
      <c r="G555" s="754">
        <v>0</v>
      </c>
      <c r="H555" s="906">
        <f t="shared" si="160"/>
        <v>170806628.46194774</v>
      </c>
      <c r="I555" s="754"/>
    </row>
    <row r="556" spans="1:9" hidden="1" outlineLevel="1">
      <c r="A556" s="751" t="s">
        <v>116</v>
      </c>
      <c r="B556" s="920" t="s">
        <v>7</v>
      </c>
      <c r="C556" s="754">
        <f t="shared" si="159"/>
        <v>0</v>
      </c>
      <c r="D556" s="754">
        <v>0</v>
      </c>
      <c r="E556" s="767">
        <v>0</v>
      </c>
      <c r="F556" s="788">
        <v>0</v>
      </c>
      <c r="G556" s="767">
        <v>0</v>
      </c>
      <c r="H556" s="906">
        <f t="shared" si="160"/>
        <v>0</v>
      </c>
      <c r="I556" s="754"/>
    </row>
    <row r="557" spans="1:9" hidden="1" outlineLevel="1">
      <c r="A557" s="751" t="s">
        <v>116</v>
      </c>
      <c r="B557" s="919" t="s">
        <v>8</v>
      </c>
      <c r="C557" s="754">
        <f t="shared" si="159"/>
        <v>29995863</v>
      </c>
      <c r="D557" s="754">
        <v>0</v>
      </c>
      <c r="E557" s="767">
        <v>26887000</v>
      </c>
      <c r="F557" s="777">
        <v>0</v>
      </c>
      <c r="G557" s="775">
        <v>3108863</v>
      </c>
      <c r="H557" s="906">
        <f t="shared" si="160"/>
        <v>3108863</v>
      </c>
      <c r="I557" s="754"/>
    </row>
    <row r="558" spans="1:9" ht="13.5" hidden="1" outlineLevel="1" thickBot="1">
      <c r="A558" s="751" t="s">
        <v>116</v>
      </c>
      <c r="B558" s="919" t="s">
        <v>9</v>
      </c>
      <c r="C558" s="1256">
        <f t="shared" si="159"/>
        <v>7168452</v>
      </c>
      <c r="D558" s="1218">
        <v>179180560</v>
      </c>
      <c r="E558" s="806">
        <v>143994512</v>
      </c>
      <c r="F558" s="783">
        <v>42274170</v>
      </c>
      <c r="G558" s="897">
        <v>80330</v>
      </c>
      <c r="H558" s="907">
        <f t="shared" si="160"/>
        <v>42354500</v>
      </c>
      <c r="I558" s="754"/>
    </row>
    <row r="559" spans="1:9" ht="13.5" hidden="1" outlineLevel="1" thickBot="1">
      <c r="A559" s="811" t="s">
        <v>116</v>
      </c>
      <c r="B559" s="1230" t="s">
        <v>31</v>
      </c>
      <c r="C559" s="921">
        <f t="shared" ref="C559:H559" si="161">SUM(C553:C558)</f>
        <v>363061884.45291674</v>
      </c>
      <c r="D559" s="921">
        <f t="shared" si="161"/>
        <v>409180560</v>
      </c>
      <c r="E559" s="921">
        <f t="shared" si="161"/>
        <v>526058777.990969</v>
      </c>
      <c r="F559" s="737">
        <f t="shared" si="161"/>
        <v>225745123.46194699</v>
      </c>
      <c r="G559" s="921">
        <f t="shared" si="161"/>
        <v>20438543</v>
      </c>
      <c r="H559" s="1270">
        <f t="shared" si="161"/>
        <v>246183666.46194774</v>
      </c>
      <c r="I559" s="815"/>
    </row>
    <row r="560" spans="1:9" hidden="1" outlineLevel="1">
      <c r="A560" s="750" t="s">
        <v>117</v>
      </c>
      <c r="B560" s="927" t="s">
        <v>4</v>
      </c>
      <c r="C560" s="753">
        <f t="shared" ref="C560:C565" si="162">C553</f>
        <v>12343836</v>
      </c>
      <c r="D560" s="753">
        <v>200000000</v>
      </c>
      <c r="E560" s="780">
        <v>209679511</v>
      </c>
      <c r="F560" s="901">
        <v>2664325</v>
      </c>
      <c r="G560" s="753">
        <v>0</v>
      </c>
      <c r="H560" s="905">
        <f t="shared" ref="H560:H565" si="163">C560+D560-E560</f>
        <v>2664325</v>
      </c>
      <c r="I560" s="753"/>
    </row>
    <row r="561" spans="1:9" hidden="1" outlineLevel="1">
      <c r="A561" s="751" t="s">
        <v>117</v>
      </c>
      <c r="B561" s="928" t="s">
        <v>5</v>
      </c>
      <c r="C561" s="754">
        <f t="shared" si="162"/>
        <v>5368150</v>
      </c>
      <c r="D561" s="754">
        <v>30000000</v>
      </c>
      <c r="E561" s="782">
        <v>11993800</v>
      </c>
      <c r="F561" s="902">
        <v>17000000</v>
      </c>
      <c r="G561" s="767">
        <v>6374350</v>
      </c>
      <c r="H561" s="906">
        <f t="shared" si="163"/>
        <v>23374350</v>
      </c>
      <c r="I561" s="754"/>
    </row>
    <row r="562" spans="1:9" hidden="1" outlineLevel="1">
      <c r="A562" s="751" t="s">
        <v>117</v>
      </c>
      <c r="B562" s="928" t="s">
        <v>6</v>
      </c>
      <c r="C562" s="754">
        <f t="shared" si="162"/>
        <v>308185583.45291674</v>
      </c>
      <c r="D562" s="754">
        <v>0</v>
      </c>
      <c r="E562" s="782">
        <v>141429088.990969</v>
      </c>
      <c r="F562" s="781">
        <v>166756494.46194699</v>
      </c>
      <c r="G562" s="754">
        <v>0</v>
      </c>
      <c r="H562" s="906">
        <f t="shared" si="163"/>
        <v>166756494.46194774</v>
      </c>
      <c r="I562" s="754"/>
    </row>
    <row r="563" spans="1:9" hidden="1" outlineLevel="1">
      <c r="A563" s="751" t="s">
        <v>117</v>
      </c>
      <c r="B563" s="920" t="s">
        <v>7</v>
      </c>
      <c r="C563" s="754">
        <f t="shared" si="162"/>
        <v>0</v>
      </c>
      <c r="D563" s="754">
        <v>0</v>
      </c>
      <c r="E563" s="767">
        <v>0</v>
      </c>
      <c r="F563" s="788">
        <v>0</v>
      </c>
      <c r="G563" s="767">
        <v>0</v>
      </c>
      <c r="H563" s="906">
        <f t="shared" si="163"/>
        <v>0</v>
      </c>
      <c r="I563" s="754"/>
    </row>
    <row r="564" spans="1:9" hidden="1" outlineLevel="1">
      <c r="A564" s="751" t="s">
        <v>117</v>
      </c>
      <c r="B564" s="919" t="s">
        <v>8</v>
      </c>
      <c r="C564" s="754">
        <f t="shared" si="162"/>
        <v>29995863</v>
      </c>
      <c r="D564" s="754">
        <v>0</v>
      </c>
      <c r="E564" s="767">
        <v>33799000</v>
      </c>
      <c r="F564" s="777">
        <v>0</v>
      </c>
      <c r="G564" s="767">
        <v>-3803137</v>
      </c>
      <c r="H564" s="906">
        <f t="shared" si="163"/>
        <v>-3803137</v>
      </c>
      <c r="I564" s="754"/>
    </row>
    <row r="565" spans="1:9" ht="13.5" hidden="1" outlineLevel="1" thickBot="1">
      <c r="A565" s="751" t="s">
        <v>117</v>
      </c>
      <c r="B565" s="919" t="s">
        <v>9</v>
      </c>
      <c r="C565" s="1256">
        <f t="shared" si="162"/>
        <v>7168452</v>
      </c>
      <c r="D565" s="1218">
        <v>179180560</v>
      </c>
      <c r="E565" s="806">
        <v>143994512</v>
      </c>
      <c r="F565" s="783">
        <v>42274170</v>
      </c>
      <c r="G565" s="897">
        <v>80330</v>
      </c>
      <c r="H565" s="907">
        <f t="shared" si="163"/>
        <v>42354500</v>
      </c>
      <c r="I565" s="754"/>
    </row>
    <row r="566" spans="1:9" ht="13.5" hidden="1" outlineLevel="1" thickBot="1">
      <c r="A566" s="811" t="s">
        <v>117</v>
      </c>
      <c r="B566" s="1230" t="s">
        <v>31</v>
      </c>
      <c r="C566" s="921">
        <f t="shared" ref="C566:H566" si="164">SUM(C560:C565)</f>
        <v>363061884.45291674</v>
      </c>
      <c r="D566" s="921">
        <f t="shared" si="164"/>
        <v>409180560</v>
      </c>
      <c r="E566" s="921">
        <f t="shared" si="164"/>
        <v>540895911.99096894</v>
      </c>
      <c r="F566" s="737">
        <f t="shared" si="164"/>
        <v>228694989.46194699</v>
      </c>
      <c r="G566" s="921">
        <f t="shared" si="164"/>
        <v>2651543</v>
      </c>
      <c r="H566" s="1270">
        <f t="shared" si="164"/>
        <v>231346532.46194774</v>
      </c>
      <c r="I566" s="815"/>
    </row>
    <row r="567" spans="1:9" hidden="1" outlineLevel="1">
      <c r="A567" s="750" t="s">
        <v>118</v>
      </c>
      <c r="B567" s="927" t="s">
        <v>4</v>
      </c>
      <c r="C567" s="753">
        <f t="shared" ref="C567:C572" si="165">C560</f>
        <v>12343836</v>
      </c>
      <c r="D567" s="753">
        <v>200000000</v>
      </c>
      <c r="E567" s="780">
        <v>209679511</v>
      </c>
      <c r="F567" s="901">
        <v>2664325</v>
      </c>
      <c r="G567" s="753">
        <v>0</v>
      </c>
      <c r="H567" s="905">
        <f t="shared" ref="H567:H572" si="166">C567+D567-E567</f>
        <v>2664325</v>
      </c>
      <c r="I567" s="753"/>
    </row>
    <row r="568" spans="1:9" hidden="1" outlineLevel="1">
      <c r="A568" s="751" t="s">
        <v>118</v>
      </c>
      <c r="B568" s="928" t="s">
        <v>5</v>
      </c>
      <c r="C568" s="754">
        <f t="shared" si="165"/>
        <v>5368150</v>
      </c>
      <c r="D568" s="754">
        <v>30000000</v>
      </c>
      <c r="E568" s="782">
        <v>11993800</v>
      </c>
      <c r="F568" s="902">
        <v>17000000</v>
      </c>
      <c r="G568" s="767">
        <v>6374350</v>
      </c>
      <c r="H568" s="906">
        <f t="shared" si="166"/>
        <v>23374350</v>
      </c>
      <c r="I568" s="754"/>
    </row>
    <row r="569" spans="1:9" hidden="1" outlineLevel="1">
      <c r="A569" s="751" t="s">
        <v>118</v>
      </c>
      <c r="B569" s="928" t="s">
        <v>6</v>
      </c>
      <c r="C569" s="754">
        <f t="shared" si="165"/>
        <v>308185583.45291674</v>
      </c>
      <c r="D569" s="754">
        <v>0</v>
      </c>
      <c r="E569" s="782">
        <v>141429088.990969</v>
      </c>
      <c r="F569" s="781">
        <v>166756494.46194699</v>
      </c>
      <c r="G569" s="754">
        <v>0</v>
      </c>
      <c r="H569" s="906">
        <f t="shared" si="166"/>
        <v>166756494.46194774</v>
      </c>
      <c r="I569" s="754"/>
    </row>
    <row r="570" spans="1:9" hidden="1" outlineLevel="1">
      <c r="A570" s="751" t="s">
        <v>118</v>
      </c>
      <c r="B570" s="920" t="s">
        <v>7</v>
      </c>
      <c r="C570" s="754">
        <f t="shared" si="165"/>
        <v>0</v>
      </c>
      <c r="D570" s="754">
        <v>0</v>
      </c>
      <c r="E570" s="767">
        <v>0</v>
      </c>
      <c r="F570" s="788">
        <v>0</v>
      </c>
      <c r="G570" s="767">
        <v>0</v>
      </c>
      <c r="H570" s="906">
        <f t="shared" si="166"/>
        <v>0</v>
      </c>
      <c r="I570" s="754"/>
    </row>
    <row r="571" spans="1:9" hidden="1" outlineLevel="1">
      <c r="A571" s="751" t="s">
        <v>118</v>
      </c>
      <c r="B571" s="919" t="s">
        <v>8</v>
      </c>
      <c r="C571" s="754">
        <f t="shared" si="165"/>
        <v>29995863</v>
      </c>
      <c r="D571" s="754">
        <v>0</v>
      </c>
      <c r="E571" s="767">
        <v>33799000</v>
      </c>
      <c r="F571" s="777">
        <v>0</v>
      </c>
      <c r="G571" s="767">
        <v>-3803137</v>
      </c>
      <c r="H571" s="906">
        <f t="shared" si="166"/>
        <v>-3803137</v>
      </c>
      <c r="I571" s="754"/>
    </row>
    <row r="572" spans="1:9" ht="13.5" hidden="1" outlineLevel="1" thickBot="1">
      <c r="A572" s="751" t="s">
        <v>118</v>
      </c>
      <c r="B572" s="919" t="s">
        <v>9</v>
      </c>
      <c r="C572" s="1256">
        <f t="shared" si="165"/>
        <v>7168452</v>
      </c>
      <c r="D572" s="1218">
        <v>179180560</v>
      </c>
      <c r="E572" s="806">
        <v>167459514</v>
      </c>
      <c r="F572" s="783">
        <v>18872388</v>
      </c>
      <c r="G572" s="897">
        <v>17110</v>
      </c>
      <c r="H572" s="907">
        <f t="shared" si="166"/>
        <v>18889498</v>
      </c>
      <c r="I572" s="754"/>
    </row>
    <row r="573" spans="1:9" ht="13.5" hidden="1" outlineLevel="1" thickBot="1">
      <c r="A573" s="811" t="s">
        <v>118</v>
      </c>
      <c r="B573" s="1230" t="s">
        <v>31</v>
      </c>
      <c r="C573" s="921">
        <f t="shared" ref="C573:H573" si="167">SUM(C567:C572)</f>
        <v>363061884.45291674</v>
      </c>
      <c r="D573" s="921">
        <f t="shared" si="167"/>
        <v>409180560</v>
      </c>
      <c r="E573" s="921">
        <f t="shared" si="167"/>
        <v>564360913.99096894</v>
      </c>
      <c r="F573" s="737">
        <f t="shared" si="167"/>
        <v>205293207.46194699</v>
      </c>
      <c r="G573" s="921">
        <f t="shared" si="167"/>
        <v>2588323</v>
      </c>
      <c r="H573" s="1270">
        <f t="shared" si="167"/>
        <v>207881530.46194774</v>
      </c>
      <c r="I573" s="815"/>
    </row>
    <row r="574" spans="1:9" hidden="1" outlineLevel="1">
      <c r="A574" s="750" t="s">
        <v>119</v>
      </c>
      <c r="B574" s="927" t="s">
        <v>4</v>
      </c>
      <c r="C574" s="753">
        <f t="shared" ref="C574:C579" si="168">C567</f>
        <v>12343836</v>
      </c>
      <c r="D574" s="753">
        <v>200000000</v>
      </c>
      <c r="E574" s="780">
        <v>209679511</v>
      </c>
      <c r="F574" s="901">
        <v>2664325</v>
      </c>
      <c r="G574" s="753">
        <v>0</v>
      </c>
      <c r="H574" s="905">
        <f t="shared" ref="H574:H579" si="169">C574+D574-E574</f>
        <v>2664325</v>
      </c>
      <c r="I574" s="753"/>
    </row>
    <row r="575" spans="1:9" hidden="1" outlineLevel="1">
      <c r="A575" s="751" t="s">
        <v>119</v>
      </c>
      <c r="B575" s="928" t="s">
        <v>5</v>
      </c>
      <c r="C575" s="754">
        <f t="shared" si="168"/>
        <v>5368150</v>
      </c>
      <c r="D575" s="754">
        <v>30000000</v>
      </c>
      <c r="E575" s="782">
        <v>21098800</v>
      </c>
      <c r="F575" s="902">
        <v>10000000</v>
      </c>
      <c r="G575" s="767">
        <v>4269350</v>
      </c>
      <c r="H575" s="906">
        <f t="shared" si="169"/>
        <v>14269350</v>
      </c>
      <c r="I575" s="754"/>
    </row>
    <row r="576" spans="1:9" hidden="1" outlineLevel="1">
      <c r="A576" s="751" t="s">
        <v>119</v>
      </c>
      <c r="B576" s="928" t="s">
        <v>6</v>
      </c>
      <c r="C576" s="754">
        <f t="shared" si="168"/>
        <v>308185583.45291674</v>
      </c>
      <c r="D576" s="754">
        <v>0</v>
      </c>
      <c r="E576" s="782">
        <v>174195176.990969</v>
      </c>
      <c r="F576" s="781">
        <v>133990406.46194699</v>
      </c>
      <c r="G576" s="754">
        <v>0</v>
      </c>
      <c r="H576" s="906">
        <f t="shared" si="169"/>
        <v>133990406.46194774</v>
      </c>
      <c r="I576" s="754"/>
    </row>
    <row r="577" spans="1:9" hidden="1" outlineLevel="1">
      <c r="A577" s="751" t="s">
        <v>119</v>
      </c>
      <c r="B577" s="920" t="s">
        <v>7</v>
      </c>
      <c r="C577" s="754">
        <f t="shared" si="168"/>
        <v>0</v>
      </c>
      <c r="D577" s="754">
        <v>0</v>
      </c>
      <c r="E577" s="767">
        <v>0</v>
      </c>
      <c r="F577" s="788">
        <v>0</v>
      </c>
      <c r="G577" s="767">
        <v>0</v>
      </c>
      <c r="H577" s="906">
        <f t="shared" si="169"/>
        <v>0</v>
      </c>
      <c r="I577" s="754"/>
    </row>
    <row r="578" spans="1:9" hidden="1" outlineLevel="1">
      <c r="A578" s="751" t="s">
        <v>119</v>
      </c>
      <c r="B578" s="919" t="s">
        <v>8</v>
      </c>
      <c r="C578" s="754">
        <f t="shared" si="168"/>
        <v>29995863</v>
      </c>
      <c r="D578" s="754">
        <v>20000000</v>
      </c>
      <c r="E578" s="767">
        <v>34304000</v>
      </c>
      <c r="F578" s="777">
        <v>0</v>
      </c>
      <c r="G578" s="767">
        <v>15691863</v>
      </c>
      <c r="H578" s="906">
        <f t="shared" si="169"/>
        <v>15691863</v>
      </c>
      <c r="I578" s="754"/>
    </row>
    <row r="579" spans="1:9" ht="13.5" hidden="1" outlineLevel="1" thickBot="1">
      <c r="A579" s="751" t="s">
        <v>119</v>
      </c>
      <c r="B579" s="919" t="s">
        <v>9</v>
      </c>
      <c r="C579" s="1256">
        <f t="shared" si="168"/>
        <v>7168452</v>
      </c>
      <c r="D579" s="1218">
        <v>179180560</v>
      </c>
      <c r="E579" s="806">
        <v>167459514</v>
      </c>
      <c r="F579" s="783">
        <v>18872388</v>
      </c>
      <c r="G579" s="897">
        <v>17110</v>
      </c>
      <c r="H579" s="907">
        <f t="shared" si="169"/>
        <v>18889498</v>
      </c>
      <c r="I579" s="754"/>
    </row>
    <row r="580" spans="1:9" ht="13.5" hidden="1" outlineLevel="1" thickBot="1">
      <c r="A580" s="811" t="s">
        <v>119</v>
      </c>
      <c r="B580" s="1230" t="s">
        <v>31</v>
      </c>
      <c r="C580" s="921">
        <f t="shared" ref="C580:H580" si="170">SUM(C574:C579)</f>
        <v>363061884.45291674</v>
      </c>
      <c r="D580" s="921">
        <f t="shared" si="170"/>
        <v>429180560</v>
      </c>
      <c r="E580" s="921">
        <f t="shared" si="170"/>
        <v>606737001.99096894</v>
      </c>
      <c r="F580" s="737">
        <f t="shared" si="170"/>
        <v>165527119.46194699</v>
      </c>
      <c r="G580" s="921">
        <f t="shared" si="170"/>
        <v>19978323</v>
      </c>
      <c r="H580" s="1270">
        <f t="shared" si="170"/>
        <v>185505442.46194774</v>
      </c>
      <c r="I580" s="815"/>
    </row>
    <row r="581" spans="1:9" hidden="1" outlineLevel="1">
      <c r="A581" s="750" t="s">
        <v>120</v>
      </c>
      <c r="B581" s="927" t="s">
        <v>4</v>
      </c>
      <c r="C581" s="753">
        <f t="shared" ref="C581:C586" si="171">C574</f>
        <v>12343836</v>
      </c>
      <c r="D581" s="753">
        <v>200000000</v>
      </c>
      <c r="E581" s="780">
        <v>209679511</v>
      </c>
      <c r="F581" s="901">
        <v>2664325</v>
      </c>
      <c r="G581" s="753">
        <v>0</v>
      </c>
      <c r="H581" s="905">
        <f t="shared" ref="H581:H586" si="172">C581+D581-E581</f>
        <v>2664325</v>
      </c>
      <c r="I581" s="753"/>
    </row>
    <row r="582" spans="1:9" hidden="1" outlineLevel="1">
      <c r="A582" s="751" t="s">
        <v>120</v>
      </c>
      <c r="B582" s="928" t="s">
        <v>5</v>
      </c>
      <c r="C582" s="754">
        <f t="shared" si="171"/>
        <v>5368150</v>
      </c>
      <c r="D582" s="754">
        <v>30000000</v>
      </c>
      <c r="E582" s="782">
        <v>21098800</v>
      </c>
      <c r="F582" s="902">
        <v>10000000</v>
      </c>
      <c r="G582" s="767">
        <v>4269350</v>
      </c>
      <c r="H582" s="906">
        <f t="shared" si="172"/>
        <v>14269350</v>
      </c>
      <c r="I582" s="754"/>
    </row>
    <row r="583" spans="1:9" hidden="1" outlineLevel="1">
      <c r="A583" s="751" t="s">
        <v>120</v>
      </c>
      <c r="B583" s="928" t="s">
        <v>6</v>
      </c>
      <c r="C583" s="754">
        <f t="shared" si="171"/>
        <v>308185583.45291674</v>
      </c>
      <c r="D583" s="754">
        <v>0</v>
      </c>
      <c r="E583" s="782">
        <v>174195176.990969</v>
      </c>
      <c r="F583" s="781">
        <v>133990406.46194699</v>
      </c>
      <c r="G583" s="754">
        <v>0</v>
      </c>
      <c r="H583" s="906">
        <f t="shared" si="172"/>
        <v>133990406.46194774</v>
      </c>
      <c r="I583" s="754"/>
    </row>
    <row r="584" spans="1:9" hidden="1" outlineLevel="1">
      <c r="A584" s="751" t="s">
        <v>120</v>
      </c>
      <c r="B584" s="920" t="s">
        <v>7</v>
      </c>
      <c r="C584" s="754">
        <f t="shared" si="171"/>
        <v>0</v>
      </c>
      <c r="D584" s="754">
        <v>0</v>
      </c>
      <c r="E584" s="767">
        <v>0</v>
      </c>
      <c r="F584" s="788">
        <v>0</v>
      </c>
      <c r="G584" s="767">
        <v>0</v>
      </c>
      <c r="H584" s="906">
        <f t="shared" si="172"/>
        <v>0</v>
      </c>
      <c r="I584" s="754"/>
    </row>
    <row r="585" spans="1:9" hidden="1" outlineLevel="1">
      <c r="A585" s="751" t="s">
        <v>120</v>
      </c>
      <c r="B585" s="919" t="s">
        <v>8</v>
      </c>
      <c r="C585" s="754">
        <f t="shared" si="171"/>
        <v>29995863</v>
      </c>
      <c r="D585" s="754">
        <v>20000000</v>
      </c>
      <c r="E585" s="767">
        <v>34304000</v>
      </c>
      <c r="F585" s="777">
        <v>0</v>
      </c>
      <c r="G585" s="767">
        <v>15691863</v>
      </c>
      <c r="H585" s="906">
        <f t="shared" si="172"/>
        <v>15691863</v>
      </c>
      <c r="I585" s="754"/>
    </row>
    <row r="586" spans="1:9" ht="13.5" hidden="1" outlineLevel="1" thickBot="1">
      <c r="A586" s="751" t="s">
        <v>120</v>
      </c>
      <c r="B586" s="919" t="s">
        <v>9</v>
      </c>
      <c r="C586" s="1256">
        <f t="shared" si="171"/>
        <v>7168452</v>
      </c>
      <c r="D586" s="1218">
        <v>179180560</v>
      </c>
      <c r="E586" s="806">
        <v>167459514</v>
      </c>
      <c r="F586" s="783">
        <v>18872388</v>
      </c>
      <c r="G586" s="897">
        <v>17110</v>
      </c>
      <c r="H586" s="907">
        <f t="shared" si="172"/>
        <v>18889498</v>
      </c>
      <c r="I586" s="754"/>
    </row>
    <row r="587" spans="1:9" ht="13.5" hidden="1" outlineLevel="1" thickBot="1">
      <c r="A587" s="811" t="s">
        <v>120</v>
      </c>
      <c r="B587" s="1230" t="s">
        <v>31</v>
      </c>
      <c r="C587" s="921">
        <f t="shared" ref="C587:H587" si="173">SUM(C581:C586)</f>
        <v>363061884.45291674</v>
      </c>
      <c r="D587" s="921">
        <f t="shared" si="173"/>
        <v>429180560</v>
      </c>
      <c r="E587" s="814">
        <f t="shared" si="173"/>
        <v>606737001.99096894</v>
      </c>
      <c r="F587" s="737">
        <f t="shared" si="173"/>
        <v>165527119.46194699</v>
      </c>
      <c r="G587" s="814">
        <f t="shared" si="173"/>
        <v>19978323</v>
      </c>
      <c r="H587" s="1270">
        <f t="shared" si="173"/>
        <v>185505442.46194774</v>
      </c>
      <c r="I587" s="815"/>
    </row>
    <row r="588" spans="1:9" hidden="1" outlineLevel="1">
      <c r="A588" s="750" t="s">
        <v>121</v>
      </c>
      <c r="B588" s="927" t="s">
        <v>4</v>
      </c>
      <c r="C588" s="753">
        <f t="shared" ref="C588:C593" si="174">C581</f>
        <v>12343836</v>
      </c>
      <c r="D588" s="753">
        <v>200000000</v>
      </c>
      <c r="E588" s="780">
        <v>209679511</v>
      </c>
      <c r="F588" s="901">
        <v>2664325</v>
      </c>
      <c r="G588" s="753">
        <v>0</v>
      </c>
      <c r="H588" s="905">
        <f t="shared" ref="H588:H594" si="175">C588+D588-E588</f>
        <v>2664325</v>
      </c>
      <c r="I588" s="753"/>
    </row>
    <row r="589" spans="1:9" hidden="1" outlineLevel="1">
      <c r="A589" s="751" t="s">
        <v>121</v>
      </c>
      <c r="B589" s="928" t="s">
        <v>5</v>
      </c>
      <c r="C589" s="754">
        <f t="shared" si="174"/>
        <v>5368150</v>
      </c>
      <c r="D589" s="754">
        <v>30000000</v>
      </c>
      <c r="E589" s="782">
        <v>21098800</v>
      </c>
      <c r="F589" s="904">
        <v>10000000</v>
      </c>
      <c r="G589" s="767">
        <v>4269350</v>
      </c>
      <c r="H589" s="906">
        <f t="shared" si="175"/>
        <v>14269350</v>
      </c>
      <c r="I589" s="754"/>
    </row>
    <row r="590" spans="1:9" hidden="1" outlineLevel="1">
      <c r="A590" s="751" t="s">
        <v>121</v>
      </c>
      <c r="B590" s="928" t="s">
        <v>6</v>
      </c>
      <c r="C590" s="754">
        <f t="shared" si="174"/>
        <v>308185583.45291674</v>
      </c>
      <c r="D590" s="754">
        <v>0</v>
      </c>
      <c r="E590" s="782">
        <v>174195176.990969</v>
      </c>
      <c r="F590" s="781">
        <v>133990406.46194699</v>
      </c>
      <c r="G590" s="754">
        <v>0</v>
      </c>
      <c r="H590" s="906">
        <f t="shared" si="175"/>
        <v>133990406.46194774</v>
      </c>
      <c r="I590" s="754"/>
    </row>
    <row r="591" spans="1:9" hidden="1" outlineLevel="1">
      <c r="A591" s="751" t="s">
        <v>121</v>
      </c>
      <c r="B591" s="920" t="s">
        <v>7</v>
      </c>
      <c r="C591" s="754">
        <f t="shared" si="174"/>
        <v>0</v>
      </c>
      <c r="D591" s="754">
        <v>0</v>
      </c>
      <c r="E591" s="767">
        <v>0</v>
      </c>
      <c r="F591" s="788">
        <v>0</v>
      </c>
      <c r="G591" s="767">
        <v>0</v>
      </c>
      <c r="H591" s="906">
        <f t="shared" si="175"/>
        <v>0</v>
      </c>
      <c r="I591" s="754"/>
    </row>
    <row r="592" spans="1:9" hidden="1" outlineLevel="1">
      <c r="A592" s="751" t="s">
        <v>121</v>
      </c>
      <c r="B592" s="919" t="s">
        <v>8</v>
      </c>
      <c r="C592" s="754">
        <f t="shared" si="174"/>
        <v>29995863</v>
      </c>
      <c r="D592" s="754">
        <v>20000000</v>
      </c>
      <c r="E592" s="767">
        <v>34304000</v>
      </c>
      <c r="F592" s="896">
        <v>0</v>
      </c>
      <c r="G592" s="767">
        <v>15691863</v>
      </c>
      <c r="H592" s="906">
        <f t="shared" si="175"/>
        <v>15691863</v>
      </c>
      <c r="I592" s="754"/>
    </row>
    <row r="593" spans="1:11" ht="13.5" hidden="1" outlineLevel="1" thickBot="1">
      <c r="A593" s="751" t="s">
        <v>121</v>
      </c>
      <c r="B593" s="919" t="s">
        <v>9</v>
      </c>
      <c r="C593" s="1256">
        <f t="shared" si="174"/>
        <v>7168452</v>
      </c>
      <c r="D593" s="1218">
        <v>179180560</v>
      </c>
      <c r="E593" s="903">
        <v>167459514</v>
      </c>
      <c r="F593" s="783">
        <v>18872388</v>
      </c>
      <c r="G593" s="908">
        <v>17110</v>
      </c>
      <c r="H593" s="906">
        <f t="shared" si="175"/>
        <v>18889498</v>
      </c>
      <c r="I593" s="754"/>
    </row>
    <row r="594" spans="1:11" ht="13.5" hidden="1" outlineLevel="1" thickBot="1">
      <c r="A594" s="1010" t="s">
        <v>121</v>
      </c>
      <c r="B594" s="1248" t="s">
        <v>1604</v>
      </c>
      <c r="C594" s="1258">
        <v>0</v>
      </c>
      <c r="D594" s="1223">
        <v>30000000</v>
      </c>
      <c r="E594" s="899">
        <v>8068000</v>
      </c>
      <c r="F594" s="925">
        <v>0</v>
      </c>
      <c r="G594" s="1011">
        <v>21932000</v>
      </c>
      <c r="H594" s="1271">
        <f t="shared" si="175"/>
        <v>21932000</v>
      </c>
      <c r="I594" s="1012"/>
    </row>
    <row r="595" spans="1:11" ht="13.5" hidden="1" outlineLevel="1" thickBot="1">
      <c r="A595" s="884" t="s">
        <v>121</v>
      </c>
      <c r="B595" s="1230" t="s">
        <v>31</v>
      </c>
      <c r="C595" s="921">
        <f t="shared" ref="C595:H595" si="176">SUM(C588:C593)</f>
        <v>363061884.45291674</v>
      </c>
      <c r="D595" s="921">
        <f>SUM(D588:D594)</f>
        <v>459180560</v>
      </c>
      <c r="E595" s="813">
        <f t="shared" si="176"/>
        <v>606737001.99096894</v>
      </c>
      <c r="F595" s="737">
        <f t="shared" si="176"/>
        <v>165527119.46194699</v>
      </c>
      <c r="G595" s="813">
        <f t="shared" si="176"/>
        <v>19978323</v>
      </c>
      <c r="H595" s="737">
        <f t="shared" si="176"/>
        <v>185505442.46194774</v>
      </c>
      <c r="I595" s="815"/>
    </row>
    <row r="596" spans="1:11" hidden="1" outlineLevel="1">
      <c r="A596" s="750" t="s">
        <v>1580</v>
      </c>
      <c r="B596" s="1243" t="s">
        <v>4</v>
      </c>
      <c r="C596" s="753">
        <f>C588</f>
        <v>12343836</v>
      </c>
      <c r="D596" s="753">
        <v>450000000</v>
      </c>
      <c r="E596" s="780">
        <v>459866511</v>
      </c>
      <c r="F596" s="730">
        <v>2477325</v>
      </c>
      <c r="G596" s="753">
        <v>0</v>
      </c>
      <c r="H596" s="901">
        <f t="shared" ref="H596:H602" si="177">C596+D596-E596</f>
        <v>2477325</v>
      </c>
      <c r="I596" s="753"/>
    </row>
    <row r="597" spans="1:11" hidden="1" outlineLevel="1">
      <c r="A597" s="751" t="s">
        <v>1580</v>
      </c>
      <c r="B597" s="1244" t="s">
        <v>5</v>
      </c>
      <c r="C597" s="754">
        <f>C589</f>
        <v>5368150</v>
      </c>
      <c r="D597" s="754">
        <v>48000000</v>
      </c>
      <c r="E597" s="782">
        <v>30533800</v>
      </c>
      <c r="F597" s="902">
        <v>5000000</v>
      </c>
      <c r="G597" s="767">
        <v>17834350</v>
      </c>
      <c r="H597" s="909">
        <f t="shared" si="177"/>
        <v>22834350</v>
      </c>
      <c r="I597" s="754"/>
    </row>
    <row r="598" spans="1:11" hidden="1" outlineLevel="1">
      <c r="A598" s="751" t="s">
        <v>1580</v>
      </c>
      <c r="B598" s="1244" t="s">
        <v>6</v>
      </c>
      <c r="C598" s="754">
        <f>C590</f>
        <v>308185583.45291674</v>
      </c>
      <c r="D598" s="754">
        <v>0</v>
      </c>
      <c r="E598" s="782">
        <v>176238176.99096915</v>
      </c>
      <c r="F598" s="732">
        <v>131947315.66194771</v>
      </c>
      <c r="G598" s="754">
        <v>0</v>
      </c>
      <c r="H598" s="909">
        <f t="shared" si="177"/>
        <v>131947406.46194759</v>
      </c>
      <c r="I598" s="754"/>
    </row>
    <row r="599" spans="1:11" hidden="1" outlineLevel="1">
      <c r="A599" s="751" t="s">
        <v>1580</v>
      </c>
      <c r="B599" s="1245" t="s">
        <v>7</v>
      </c>
      <c r="C599" s="754">
        <v>0</v>
      </c>
      <c r="D599" s="754">
        <v>0</v>
      </c>
      <c r="E599" s="767">
        <v>0</v>
      </c>
      <c r="F599" s="788">
        <v>0</v>
      </c>
      <c r="G599" s="767">
        <v>0</v>
      </c>
      <c r="H599" s="909">
        <f t="shared" si="177"/>
        <v>0</v>
      </c>
      <c r="I599" s="754"/>
    </row>
    <row r="600" spans="1:11" hidden="1" outlineLevel="1">
      <c r="A600" s="751" t="s">
        <v>1580</v>
      </c>
      <c r="B600" s="1246" t="s">
        <v>8</v>
      </c>
      <c r="C600" s="754">
        <f>C592</f>
        <v>29995863</v>
      </c>
      <c r="D600" s="754">
        <v>20000000</v>
      </c>
      <c r="E600" s="767">
        <v>35099000</v>
      </c>
      <c r="F600" s="777">
        <v>0</v>
      </c>
      <c r="G600" s="767">
        <v>14896863</v>
      </c>
      <c r="H600" s="909">
        <f t="shared" si="177"/>
        <v>14896863</v>
      </c>
      <c r="I600" s="754"/>
    </row>
    <row r="601" spans="1:11" hidden="1" outlineLevel="1">
      <c r="A601" s="751" t="s">
        <v>1580</v>
      </c>
      <c r="B601" s="1447" t="s">
        <v>9</v>
      </c>
      <c r="C601" s="1256">
        <f>C593</f>
        <v>7168452</v>
      </c>
      <c r="D601" s="1218">
        <v>179180560</v>
      </c>
      <c r="E601" s="903">
        <v>167459514</v>
      </c>
      <c r="F601" s="1218">
        <v>18872388</v>
      </c>
      <c r="G601" s="908">
        <v>17110</v>
      </c>
      <c r="H601" s="1332">
        <f t="shared" si="177"/>
        <v>18889498</v>
      </c>
      <c r="I601" s="754"/>
    </row>
    <row r="602" spans="1:11" s="920" customFormat="1" ht="13.5" hidden="1" outlineLevel="1" thickBot="1">
      <c r="A602" s="922" t="s">
        <v>1580</v>
      </c>
      <c r="B602" s="1247" t="s">
        <v>1604</v>
      </c>
      <c r="C602" s="1259">
        <v>0</v>
      </c>
      <c r="D602" s="773">
        <v>30000000</v>
      </c>
      <c r="E602" s="806">
        <v>11341000</v>
      </c>
      <c r="F602" s="785">
        <v>0</v>
      </c>
      <c r="G602" s="897">
        <v>18659000</v>
      </c>
      <c r="H602" s="924">
        <f t="shared" si="177"/>
        <v>18659000</v>
      </c>
      <c r="I602" s="769"/>
      <c r="J602" s="1018"/>
      <c r="K602" s="1018"/>
    </row>
    <row r="603" spans="1:11" ht="13.5" hidden="1" outlineLevel="1" thickBot="1">
      <c r="A603" s="811" t="s">
        <v>1580</v>
      </c>
      <c r="B603" s="1230" t="s">
        <v>31</v>
      </c>
      <c r="C603" s="921">
        <f t="shared" ref="C603:H603" si="178">SUM(C596:C601)</f>
        <v>363061884.45291674</v>
      </c>
      <c r="D603" s="921">
        <f t="shared" si="178"/>
        <v>697180560</v>
      </c>
      <c r="E603" s="921">
        <f t="shared" si="178"/>
        <v>869197001.99096918</v>
      </c>
      <c r="F603" s="737">
        <f>SUM(F596:F601)</f>
        <v>158297028.66194773</v>
      </c>
      <c r="G603" s="921">
        <f t="shared" si="178"/>
        <v>32748323</v>
      </c>
      <c r="H603" s="737">
        <f t="shared" si="178"/>
        <v>191045442.46194759</v>
      </c>
      <c r="I603" s="815"/>
    </row>
    <row r="604" spans="1:11" hidden="1" outlineLevel="1">
      <c r="A604" s="750" t="s">
        <v>1581</v>
      </c>
      <c r="B604" s="927" t="s">
        <v>4</v>
      </c>
      <c r="C604" s="753">
        <f t="shared" ref="C604:C609" si="179">C596</f>
        <v>12343836</v>
      </c>
      <c r="D604" s="753">
        <v>450000000</v>
      </c>
      <c r="E604" s="780">
        <v>459866511</v>
      </c>
      <c r="F604" s="730">
        <v>2477325</v>
      </c>
      <c r="G604" s="753">
        <v>0</v>
      </c>
      <c r="H604" s="905">
        <f t="shared" ref="H604:H610" si="180">C604+D604-E604</f>
        <v>2477325</v>
      </c>
      <c r="I604" s="753"/>
    </row>
    <row r="605" spans="1:11" hidden="1" outlineLevel="1">
      <c r="A605" s="751" t="s">
        <v>1581</v>
      </c>
      <c r="B605" s="928" t="s">
        <v>5</v>
      </c>
      <c r="C605" s="754">
        <f t="shared" si="179"/>
        <v>5368150</v>
      </c>
      <c r="D605" s="754">
        <v>48000000</v>
      </c>
      <c r="E605" s="782">
        <v>30533800</v>
      </c>
      <c r="F605" s="902">
        <v>5000000</v>
      </c>
      <c r="G605" s="767">
        <v>17834350</v>
      </c>
      <c r="H605" s="906">
        <f t="shared" si="180"/>
        <v>22834350</v>
      </c>
      <c r="I605" s="754"/>
    </row>
    <row r="606" spans="1:11" hidden="1" outlineLevel="1">
      <c r="A606" s="751" t="s">
        <v>1581</v>
      </c>
      <c r="B606" s="928" t="s">
        <v>6</v>
      </c>
      <c r="C606" s="754">
        <f t="shared" si="179"/>
        <v>308185583.45291674</v>
      </c>
      <c r="D606" s="754">
        <v>136200000</v>
      </c>
      <c r="E606" s="782">
        <v>177886196.99096918</v>
      </c>
      <c r="F606" s="732">
        <v>266499295.6619477</v>
      </c>
      <c r="G606" s="754">
        <v>0</v>
      </c>
      <c r="H606" s="906">
        <f>C606+D606-E606</f>
        <v>266499386.46194756</v>
      </c>
      <c r="I606" s="754"/>
    </row>
    <row r="607" spans="1:11" hidden="1" outlineLevel="1">
      <c r="A607" s="751" t="s">
        <v>1581</v>
      </c>
      <c r="B607" s="920" t="s">
        <v>7</v>
      </c>
      <c r="C607" s="754">
        <f t="shared" si="179"/>
        <v>0</v>
      </c>
      <c r="D607" s="754">
        <v>0</v>
      </c>
      <c r="E607" s="767">
        <v>0</v>
      </c>
      <c r="F607" s="788">
        <v>0</v>
      </c>
      <c r="G607" s="767">
        <v>0</v>
      </c>
      <c r="H607" s="906">
        <f t="shared" si="180"/>
        <v>0</v>
      </c>
      <c r="I607" s="754"/>
    </row>
    <row r="608" spans="1:11" hidden="1" outlineLevel="1">
      <c r="A608" s="751" t="s">
        <v>1581</v>
      </c>
      <c r="B608" s="919" t="s">
        <v>8</v>
      </c>
      <c r="C608" s="754">
        <f t="shared" si="179"/>
        <v>29995863</v>
      </c>
      <c r="D608" s="754">
        <v>20000000</v>
      </c>
      <c r="E608" s="767">
        <v>35099000</v>
      </c>
      <c r="F608" s="777">
        <v>0</v>
      </c>
      <c r="G608" s="767">
        <v>14896863</v>
      </c>
      <c r="H608" s="906">
        <f t="shared" si="180"/>
        <v>14896863</v>
      </c>
      <c r="I608" s="754"/>
    </row>
    <row r="609" spans="1:11" hidden="1" outlineLevel="1">
      <c r="A609" s="751" t="s">
        <v>1581</v>
      </c>
      <c r="B609" s="1447" t="s">
        <v>9</v>
      </c>
      <c r="C609" s="1256">
        <f t="shared" si="179"/>
        <v>7168452</v>
      </c>
      <c r="D609" s="1218">
        <v>179180560</v>
      </c>
      <c r="E609" s="903">
        <v>167459514</v>
      </c>
      <c r="F609" s="1218">
        <v>18872388</v>
      </c>
      <c r="G609" s="908">
        <v>17110</v>
      </c>
      <c r="H609" s="906">
        <f t="shared" si="180"/>
        <v>18889498</v>
      </c>
      <c r="I609" s="754"/>
    </row>
    <row r="610" spans="1:11" s="920" customFormat="1" ht="13.5" hidden="1" outlineLevel="1" thickBot="1">
      <c r="A610" s="922" t="s">
        <v>1581</v>
      </c>
      <c r="B610" s="926" t="s">
        <v>1604</v>
      </c>
      <c r="C610" s="1259">
        <v>0</v>
      </c>
      <c r="D610" s="773">
        <v>30000000</v>
      </c>
      <c r="E610" s="1448">
        <v>12671000</v>
      </c>
      <c r="F610" s="785">
        <v>0</v>
      </c>
      <c r="G610" s="897">
        <v>17329000</v>
      </c>
      <c r="H610" s="1334">
        <f t="shared" si="180"/>
        <v>17329000</v>
      </c>
      <c r="I610" s="769"/>
      <c r="J610" s="1018"/>
      <c r="K610" s="1018"/>
    </row>
    <row r="611" spans="1:11" ht="13.5" hidden="1" outlineLevel="1" thickBot="1">
      <c r="A611" s="810" t="s">
        <v>1581</v>
      </c>
      <c r="B611" s="1249" t="s">
        <v>31</v>
      </c>
      <c r="C611" s="813">
        <f t="shared" ref="C611:H611" si="181">SUM(C604:C609)</f>
        <v>363061884.45291674</v>
      </c>
      <c r="D611" s="813">
        <f t="shared" si="181"/>
        <v>833380560</v>
      </c>
      <c r="E611" s="921">
        <f t="shared" si="181"/>
        <v>870845021.99096918</v>
      </c>
      <c r="F611" s="900">
        <f t="shared" si="181"/>
        <v>292849008.66194773</v>
      </c>
      <c r="G611" s="921">
        <f t="shared" si="181"/>
        <v>32748323</v>
      </c>
      <c r="H611" s="737">
        <f t="shared" si="181"/>
        <v>325597422.46194756</v>
      </c>
      <c r="I611" s="918"/>
    </row>
    <row r="612" spans="1:11" hidden="1" outlineLevel="1">
      <c r="A612" s="750" t="s">
        <v>1582</v>
      </c>
      <c r="B612" s="927" t="s">
        <v>4</v>
      </c>
      <c r="C612" s="753">
        <f t="shared" ref="C612:C617" si="182">C604</f>
        <v>12343836</v>
      </c>
      <c r="D612" s="753">
        <v>450000000</v>
      </c>
      <c r="E612" s="780">
        <v>459866511</v>
      </c>
      <c r="F612" s="730">
        <v>2477325</v>
      </c>
      <c r="G612" s="753">
        <v>0</v>
      </c>
      <c r="H612" s="901">
        <f t="shared" ref="H612:H618" si="183">C612+D612-E612</f>
        <v>2477325</v>
      </c>
      <c r="I612" s="753"/>
    </row>
    <row r="613" spans="1:11" hidden="1" outlineLevel="1">
      <c r="A613" s="751" t="s">
        <v>1582</v>
      </c>
      <c r="B613" s="928" t="s">
        <v>5</v>
      </c>
      <c r="C613" s="754">
        <f t="shared" si="182"/>
        <v>5368150</v>
      </c>
      <c r="D613" s="754">
        <v>48000000</v>
      </c>
      <c r="E613" s="782">
        <v>30533800</v>
      </c>
      <c r="F613" s="902">
        <v>5000000</v>
      </c>
      <c r="G613" s="767">
        <v>17834350</v>
      </c>
      <c r="H613" s="909">
        <f t="shared" si="183"/>
        <v>22834350</v>
      </c>
      <c r="I613" s="754"/>
    </row>
    <row r="614" spans="1:11" hidden="1" outlineLevel="1">
      <c r="A614" s="751" t="s">
        <v>1582</v>
      </c>
      <c r="B614" s="928" t="s">
        <v>6</v>
      </c>
      <c r="C614" s="754">
        <f t="shared" si="182"/>
        <v>308185583.45291674</v>
      </c>
      <c r="D614" s="754">
        <v>136200000</v>
      </c>
      <c r="E614" s="782">
        <v>177886196.99096918</v>
      </c>
      <c r="F614" s="732">
        <v>266499295.6619477</v>
      </c>
      <c r="G614" s="754">
        <v>0</v>
      </c>
      <c r="H614" s="909">
        <f t="shared" si="183"/>
        <v>266499386.46194756</v>
      </c>
      <c r="I614" s="754"/>
    </row>
    <row r="615" spans="1:11" hidden="1" outlineLevel="1">
      <c r="A615" s="751" t="s">
        <v>1582</v>
      </c>
      <c r="B615" s="920" t="s">
        <v>7</v>
      </c>
      <c r="C615" s="754">
        <f t="shared" si="182"/>
        <v>0</v>
      </c>
      <c r="D615" s="754">
        <v>0</v>
      </c>
      <c r="E615" s="767">
        <v>0</v>
      </c>
      <c r="F615" s="740">
        <v>0</v>
      </c>
      <c r="G615" s="767">
        <v>0</v>
      </c>
      <c r="H615" s="909">
        <f t="shared" si="183"/>
        <v>0</v>
      </c>
      <c r="I615" s="754"/>
    </row>
    <row r="616" spans="1:11" hidden="1" outlineLevel="1">
      <c r="A616" s="751" t="s">
        <v>1582</v>
      </c>
      <c r="B616" s="919" t="s">
        <v>8</v>
      </c>
      <c r="C616" s="754">
        <f t="shared" si="182"/>
        <v>29995863</v>
      </c>
      <c r="D616" s="754">
        <v>20000000</v>
      </c>
      <c r="E616" s="767">
        <v>35099000</v>
      </c>
      <c r="F616" s="777">
        <v>0</v>
      </c>
      <c r="G616" s="767">
        <v>14896863</v>
      </c>
      <c r="H616" s="909">
        <f t="shared" si="183"/>
        <v>14896863</v>
      </c>
      <c r="I616" s="754"/>
    </row>
    <row r="617" spans="1:11" s="720" customFormat="1" hidden="1" outlineLevel="1">
      <c r="A617" s="765" t="s">
        <v>1582</v>
      </c>
      <c r="B617" s="1250" t="s">
        <v>9</v>
      </c>
      <c r="C617" s="908">
        <f t="shared" si="182"/>
        <v>7168452</v>
      </c>
      <c r="D617" s="962">
        <v>186140559.99999997</v>
      </c>
      <c r="E617" s="903">
        <v>175289049.99999997</v>
      </c>
      <c r="F617" s="1007">
        <v>18002852.000000056</v>
      </c>
      <c r="G617" s="908">
        <v>17110.000000000047</v>
      </c>
      <c r="H617" s="1009">
        <f t="shared" si="183"/>
        <v>18019962</v>
      </c>
      <c r="I617" s="767"/>
    </row>
    <row r="618" spans="1:11" s="920" customFormat="1" ht="13.5" hidden="1" outlineLevel="1" thickBot="1">
      <c r="A618" s="922" t="s">
        <v>1582</v>
      </c>
      <c r="B618" s="926" t="s">
        <v>1604</v>
      </c>
      <c r="C618" s="1259">
        <v>0</v>
      </c>
      <c r="D618" s="773">
        <v>30000000</v>
      </c>
      <c r="E618" s="806">
        <v>23866000</v>
      </c>
      <c r="F618" s="785">
        <v>0</v>
      </c>
      <c r="G618" s="897">
        <v>6134000</v>
      </c>
      <c r="H618" s="924">
        <f t="shared" si="183"/>
        <v>6134000</v>
      </c>
      <c r="I618" s="769"/>
      <c r="J618" s="1018"/>
      <c r="K618" s="1018"/>
    </row>
    <row r="619" spans="1:11" ht="13.5" hidden="1" outlineLevel="1" thickBot="1">
      <c r="A619" s="810" t="s">
        <v>1582</v>
      </c>
      <c r="B619" s="1249" t="s">
        <v>31</v>
      </c>
      <c r="C619" s="813">
        <f t="shared" ref="C619:H619" si="184">SUM(C612:C617)</f>
        <v>363061884.45291674</v>
      </c>
      <c r="D619" s="921">
        <f t="shared" si="184"/>
        <v>840340560</v>
      </c>
      <c r="E619" s="813">
        <f t="shared" si="184"/>
        <v>878674557.99096918</v>
      </c>
      <c r="F619" s="900">
        <f t="shared" si="184"/>
        <v>291979472.66194779</v>
      </c>
      <c r="G619" s="813">
        <f t="shared" si="184"/>
        <v>32748323</v>
      </c>
      <c r="H619" s="900">
        <f t="shared" si="184"/>
        <v>324727886.46194756</v>
      </c>
      <c r="I619" s="918"/>
    </row>
    <row r="620" spans="1:11" hidden="1" outlineLevel="1">
      <c r="A620" s="750" t="s">
        <v>1583</v>
      </c>
      <c r="B620" s="927" t="s">
        <v>4</v>
      </c>
      <c r="C620" s="753">
        <f t="shared" ref="C620:C625" si="185">C612</f>
        <v>12343836</v>
      </c>
      <c r="D620" s="753">
        <v>450000000</v>
      </c>
      <c r="E620" s="780">
        <v>459866511</v>
      </c>
      <c r="F620" s="730">
        <v>2477325</v>
      </c>
      <c r="G620" s="753">
        <v>0</v>
      </c>
      <c r="H620" s="901">
        <f t="shared" ref="H620:H626" si="186">C620+D620-E620</f>
        <v>2477325</v>
      </c>
      <c r="I620" s="753"/>
    </row>
    <row r="621" spans="1:11" hidden="1" outlineLevel="1">
      <c r="A621" s="751" t="s">
        <v>1583</v>
      </c>
      <c r="B621" s="928" t="s">
        <v>5</v>
      </c>
      <c r="C621" s="754">
        <f t="shared" si="185"/>
        <v>5368150</v>
      </c>
      <c r="D621" s="754">
        <v>48000000</v>
      </c>
      <c r="E621" s="782">
        <v>31292800</v>
      </c>
      <c r="F621" s="902">
        <v>5000000</v>
      </c>
      <c r="G621" s="767">
        <v>17075350</v>
      </c>
      <c r="H621" s="909">
        <f t="shared" si="186"/>
        <v>22075350</v>
      </c>
      <c r="I621" s="754"/>
    </row>
    <row r="622" spans="1:11" hidden="1" outlineLevel="1">
      <c r="A622" s="751" t="s">
        <v>1583</v>
      </c>
      <c r="B622" s="928" t="s">
        <v>6</v>
      </c>
      <c r="C622" s="754">
        <f t="shared" si="185"/>
        <v>308185583.45291674</v>
      </c>
      <c r="D622" s="754">
        <v>136200000</v>
      </c>
      <c r="E622" s="782">
        <v>177886196.99096918</v>
      </c>
      <c r="F622" s="732">
        <v>266499295.6619477</v>
      </c>
      <c r="G622" s="754">
        <v>0</v>
      </c>
      <c r="H622" s="909">
        <f t="shared" si="186"/>
        <v>266499386.46194756</v>
      </c>
      <c r="I622" s="754"/>
    </row>
    <row r="623" spans="1:11" hidden="1" outlineLevel="1">
      <c r="A623" s="751" t="s">
        <v>1583</v>
      </c>
      <c r="B623" s="920" t="s">
        <v>7</v>
      </c>
      <c r="C623" s="754">
        <f t="shared" si="185"/>
        <v>0</v>
      </c>
      <c r="D623" s="754">
        <v>0</v>
      </c>
      <c r="E623" s="767">
        <v>0</v>
      </c>
      <c r="F623" s="740">
        <v>0</v>
      </c>
      <c r="G623" s="767">
        <v>0</v>
      </c>
      <c r="H623" s="909">
        <f t="shared" si="186"/>
        <v>0</v>
      </c>
      <c r="I623" s="754"/>
    </row>
    <row r="624" spans="1:11" hidden="1" outlineLevel="1">
      <c r="A624" s="751" t="s">
        <v>1583</v>
      </c>
      <c r="B624" s="919" t="s">
        <v>8</v>
      </c>
      <c r="C624" s="754">
        <f t="shared" si="185"/>
        <v>29995863</v>
      </c>
      <c r="D624" s="754">
        <v>20000000</v>
      </c>
      <c r="E624" s="767">
        <v>35099000</v>
      </c>
      <c r="F624" s="777">
        <v>0</v>
      </c>
      <c r="G624" s="767">
        <v>14896863</v>
      </c>
      <c r="H624" s="909">
        <f t="shared" si="186"/>
        <v>14896863</v>
      </c>
      <c r="I624" s="754"/>
    </row>
    <row r="625" spans="1:11" hidden="1" outlineLevel="1">
      <c r="A625" s="751" t="s">
        <v>1583</v>
      </c>
      <c r="B625" s="919" t="s">
        <v>9</v>
      </c>
      <c r="C625" s="1256">
        <f t="shared" si="185"/>
        <v>7168452</v>
      </c>
      <c r="D625" s="962">
        <v>186140559.99999997</v>
      </c>
      <c r="E625" s="903">
        <v>175289049.99999997</v>
      </c>
      <c r="F625" s="1006">
        <v>18002852.000000056</v>
      </c>
      <c r="G625" s="961">
        <v>17110.000000000047</v>
      </c>
      <c r="H625" s="909">
        <f t="shared" si="186"/>
        <v>18019962</v>
      </c>
      <c r="I625" s="754"/>
    </row>
    <row r="626" spans="1:11" s="920" customFormat="1" ht="13.5" hidden="1" outlineLevel="1" thickBot="1">
      <c r="A626" s="922" t="s">
        <v>1583</v>
      </c>
      <c r="B626" s="926" t="s">
        <v>1604</v>
      </c>
      <c r="C626" s="1259">
        <v>0</v>
      </c>
      <c r="D626" s="773">
        <v>30000000</v>
      </c>
      <c r="E626" s="806">
        <v>24259000</v>
      </c>
      <c r="F626" s="785">
        <v>0</v>
      </c>
      <c r="G626" s="897">
        <v>5741000</v>
      </c>
      <c r="H626" s="924">
        <f t="shared" si="186"/>
        <v>5741000</v>
      </c>
      <c r="I626" s="769"/>
      <c r="J626" s="1018"/>
      <c r="K626" s="1018"/>
    </row>
    <row r="627" spans="1:11" ht="13.5" hidden="1" outlineLevel="1" thickBot="1">
      <c r="A627" s="810" t="s">
        <v>1583</v>
      </c>
      <c r="B627" s="1249" t="s">
        <v>31</v>
      </c>
      <c r="C627" s="813">
        <f t="shared" ref="C627:H627" si="187">SUM(C620:C625)</f>
        <v>363061884.45291674</v>
      </c>
      <c r="D627" s="813">
        <f t="shared" si="187"/>
        <v>840340560</v>
      </c>
      <c r="E627" s="813">
        <f t="shared" si="187"/>
        <v>879433557.99096918</v>
      </c>
      <c r="F627" s="900">
        <f t="shared" si="187"/>
        <v>291979472.66194779</v>
      </c>
      <c r="G627" s="813">
        <f t="shared" si="187"/>
        <v>31989323</v>
      </c>
      <c r="H627" s="900">
        <f t="shared" si="187"/>
        <v>323968886.46194756</v>
      </c>
      <c r="I627" s="918"/>
    </row>
    <row r="628" spans="1:11" hidden="1" outlineLevel="1">
      <c r="A628" s="750" t="s">
        <v>1584</v>
      </c>
      <c r="B628" s="927" t="s">
        <v>4</v>
      </c>
      <c r="C628" s="753">
        <f t="shared" ref="C628:C633" si="188">C620</f>
        <v>12343836</v>
      </c>
      <c r="D628" s="753">
        <v>450000000</v>
      </c>
      <c r="E628" s="780">
        <v>459866511</v>
      </c>
      <c r="F628" s="730">
        <v>2477325</v>
      </c>
      <c r="G628" s="753">
        <v>0</v>
      </c>
      <c r="H628" s="901">
        <f t="shared" ref="H628:H634" si="189">C628+D628-E628</f>
        <v>2477325</v>
      </c>
      <c r="I628" s="753"/>
    </row>
    <row r="629" spans="1:11" hidden="1" outlineLevel="1">
      <c r="A629" s="751" t="s">
        <v>1584</v>
      </c>
      <c r="B629" s="928" t="s">
        <v>5</v>
      </c>
      <c r="C629" s="754">
        <f t="shared" si="188"/>
        <v>5368150</v>
      </c>
      <c r="D629" s="754">
        <v>48000000</v>
      </c>
      <c r="E629" s="782">
        <v>37042800</v>
      </c>
      <c r="F629" s="902">
        <v>5000000</v>
      </c>
      <c r="G629" s="767">
        <v>11325350</v>
      </c>
      <c r="H629" s="909">
        <f t="shared" si="189"/>
        <v>16325350</v>
      </c>
      <c r="I629" s="754"/>
    </row>
    <row r="630" spans="1:11" hidden="1" outlineLevel="1">
      <c r="A630" s="751" t="s">
        <v>1584</v>
      </c>
      <c r="B630" s="928" t="s">
        <v>6</v>
      </c>
      <c r="C630" s="754">
        <f t="shared" si="188"/>
        <v>308185583.45291674</v>
      </c>
      <c r="D630" s="754">
        <v>136200000</v>
      </c>
      <c r="E630" s="782">
        <v>177886196.99096918</v>
      </c>
      <c r="F630" s="732">
        <v>266499295.6619477</v>
      </c>
      <c r="G630" s="754">
        <v>0</v>
      </c>
      <c r="H630" s="909">
        <f t="shared" si="189"/>
        <v>266499386.46194756</v>
      </c>
      <c r="I630" s="754"/>
    </row>
    <row r="631" spans="1:11" hidden="1" outlineLevel="1">
      <c r="A631" s="751" t="s">
        <v>1584</v>
      </c>
      <c r="B631" s="920" t="s">
        <v>7</v>
      </c>
      <c r="C631" s="754">
        <f t="shared" si="188"/>
        <v>0</v>
      </c>
      <c r="D631" s="767">
        <v>0</v>
      </c>
      <c r="E631" s="767">
        <v>0</v>
      </c>
      <c r="F631" s="740">
        <v>0</v>
      </c>
      <c r="G631" s="767">
        <v>0</v>
      </c>
      <c r="H631" s="909">
        <f t="shared" si="189"/>
        <v>0</v>
      </c>
      <c r="I631" s="754"/>
    </row>
    <row r="632" spans="1:11" hidden="1" outlineLevel="1">
      <c r="A632" s="751" t="s">
        <v>1584</v>
      </c>
      <c r="B632" s="919" t="s">
        <v>8</v>
      </c>
      <c r="C632" s="754">
        <f t="shared" si="188"/>
        <v>29995863</v>
      </c>
      <c r="D632" s="767">
        <v>20000000</v>
      </c>
      <c r="E632" s="767">
        <v>35099000</v>
      </c>
      <c r="F632" s="777">
        <v>0</v>
      </c>
      <c r="G632" s="767">
        <v>14896863</v>
      </c>
      <c r="H632" s="909">
        <f t="shared" si="189"/>
        <v>14896863</v>
      </c>
      <c r="I632" s="754"/>
    </row>
    <row r="633" spans="1:11" hidden="1" outlineLevel="1">
      <c r="A633" s="751" t="s">
        <v>1584</v>
      </c>
      <c r="B633" s="919" t="s">
        <v>9</v>
      </c>
      <c r="C633" s="1256">
        <f t="shared" si="188"/>
        <v>7168452</v>
      </c>
      <c r="D633" s="962">
        <v>186140559.99999997</v>
      </c>
      <c r="E633" s="903">
        <v>175289049.99999997</v>
      </c>
      <c r="F633" s="1007">
        <v>18002852.000000056</v>
      </c>
      <c r="G633" s="908">
        <v>17110.000000000047</v>
      </c>
      <c r="H633" s="909">
        <f t="shared" si="189"/>
        <v>18019962</v>
      </c>
      <c r="I633" s="754"/>
    </row>
    <row r="634" spans="1:11" s="920" customFormat="1" ht="13.5" hidden="1" outlineLevel="1" thickBot="1">
      <c r="A634" s="922" t="s">
        <v>1584</v>
      </c>
      <c r="B634" s="926" t="s">
        <v>1604</v>
      </c>
      <c r="C634" s="1259">
        <v>0</v>
      </c>
      <c r="D634" s="964">
        <v>30000000</v>
      </c>
      <c r="E634" s="806">
        <v>24259000</v>
      </c>
      <c r="F634" s="965">
        <v>0</v>
      </c>
      <c r="G634" s="897">
        <v>5741000</v>
      </c>
      <c r="H634" s="924">
        <f t="shared" si="189"/>
        <v>5741000</v>
      </c>
      <c r="I634" s="769"/>
      <c r="J634" s="1018"/>
      <c r="K634" s="1018"/>
    </row>
    <row r="635" spans="1:11" ht="13.5" hidden="1" outlineLevel="1" thickBot="1">
      <c r="A635" s="810" t="s">
        <v>1584</v>
      </c>
      <c r="B635" s="1249" t="s">
        <v>31</v>
      </c>
      <c r="C635" s="813">
        <f t="shared" ref="C635:H635" si="190">SUM(C628:C633)</f>
        <v>363061884.45291674</v>
      </c>
      <c r="D635" s="813">
        <f t="shared" si="190"/>
        <v>840340560</v>
      </c>
      <c r="E635" s="813">
        <f t="shared" si="190"/>
        <v>885183557.99096918</v>
      </c>
      <c r="F635" s="900">
        <f t="shared" si="190"/>
        <v>291979472.66194779</v>
      </c>
      <c r="G635" s="813">
        <f t="shared" si="190"/>
        <v>26239323</v>
      </c>
      <c r="H635" s="900">
        <f t="shared" si="190"/>
        <v>318218886.46194756</v>
      </c>
      <c r="I635" s="918"/>
    </row>
    <row r="636" spans="1:11" hidden="1" outlineLevel="1">
      <c r="A636" s="750" t="s">
        <v>1585</v>
      </c>
      <c r="B636" s="927" t="s">
        <v>4</v>
      </c>
      <c r="C636" s="753">
        <f t="shared" ref="C636:C641" si="191">C628</f>
        <v>12343836</v>
      </c>
      <c r="D636" s="753">
        <v>450000000</v>
      </c>
      <c r="E636" s="780">
        <v>459866511</v>
      </c>
      <c r="F636" s="730">
        <v>2477325</v>
      </c>
      <c r="G636" s="753">
        <v>0</v>
      </c>
      <c r="H636" s="905">
        <f t="shared" ref="H636:H642" si="192">C636+D636-E636</f>
        <v>2477325</v>
      </c>
      <c r="I636" s="753"/>
    </row>
    <row r="637" spans="1:11" hidden="1" outlineLevel="1">
      <c r="A637" s="751" t="s">
        <v>1585</v>
      </c>
      <c r="B637" s="928" t="s">
        <v>5</v>
      </c>
      <c r="C637" s="754">
        <f t="shared" si="191"/>
        <v>5368150</v>
      </c>
      <c r="D637" s="754">
        <v>48000000</v>
      </c>
      <c r="E637" s="782">
        <v>37042800</v>
      </c>
      <c r="F637" s="902">
        <v>5000000</v>
      </c>
      <c r="G637" s="767">
        <v>11325350</v>
      </c>
      <c r="H637" s="906">
        <f t="shared" si="192"/>
        <v>16325350</v>
      </c>
      <c r="I637" s="754"/>
    </row>
    <row r="638" spans="1:11" hidden="1" outlineLevel="1">
      <c r="A638" s="751" t="s">
        <v>1585</v>
      </c>
      <c r="B638" s="928" t="s">
        <v>6</v>
      </c>
      <c r="C638" s="754">
        <f t="shared" si="191"/>
        <v>308185583.45291674</v>
      </c>
      <c r="D638" s="754">
        <v>136200000</v>
      </c>
      <c r="E638" s="782">
        <v>177886196.99096918</v>
      </c>
      <c r="F638" s="732">
        <v>266499295.6619477</v>
      </c>
      <c r="G638" s="754">
        <v>0</v>
      </c>
      <c r="H638" s="906">
        <f t="shared" si="192"/>
        <v>266499386.46194756</v>
      </c>
      <c r="I638" s="754"/>
    </row>
    <row r="639" spans="1:11" hidden="1" outlineLevel="1">
      <c r="A639" s="751" t="s">
        <v>1585</v>
      </c>
      <c r="B639" s="920" t="s">
        <v>7</v>
      </c>
      <c r="C639" s="754">
        <f t="shared" si="191"/>
        <v>0</v>
      </c>
      <c r="D639" s="754">
        <v>0</v>
      </c>
      <c r="E639" s="767">
        <v>0</v>
      </c>
      <c r="F639" s="740">
        <v>0</v>
      </c>
      <c r="G639" s="767">
        <v>0</v>
      </c>
      <c r="H639" s="906">
        <f t="shared" si="192"/>
        <v>0</v>
      </c>
      <c r="I639" s="754"/>
    </row>
    <row r="640" spans="1:11" hidden="1" outlineLevel="1">
      <c r="A640" s="751" t="s">
        <v>1585</v>
      </c>
      <c r="B640" s="919" t="s">
        <v>8</v>
      </c>
      <c r="C640" s="754">
        <f t="shared" si="191"/>
        <v>29995863</v>
      </c>
      <c r="D640" s="754">
        <v>20000000</v>
      </c>
      <c r="E640" s="767">
        <v>35099000</v>
      </c>
      <c r="F640" s="777">
        <v>0</v>
      </c>
      <c r="G640" s="767">
        <v>14896863</v>
      </c>
      <c r="H640" s="906">
        <f t="shared" si="192"/>
        <v>14896863</v>
      </c>
      <c r="I640" s="754"/>
    </row>
    <row r="641" spans="1:11" hidden="1" outlineLevel="1">
      <c r="A641" s="751" t="s">
        <v>1585</v>
      </c>
      <c r="B641" s="919" t="s">
        <v>9</v>
      </c>
      <c r="C641" s="1256">
        <f t="shared" si="191"/>
        <v>7168452</v>
      </c>
      <c r="D641" s="962">
        <v>186140559.99999997</v>
      </c>
      <c r="E641" s="903">
        <v>175289049.99999997</v>
      </c>
      <c r="F641" s="1007">
        <v>18002852.000000056</v>
      </c>
      <c r="G641" s="908">
        <v>17110.000000000047</v>
      </c>
      <c r="H641" s="906">
        <f t="shared" si="192"/>
        <v>18019962</v>
      </c>
      <c r="I641" s="754"/>
    </row>
    <row r="642" spans="1:11" s="920" customFormat="1" ht="13.5" hidden="1" outlineLevel="1" thickBot="1">
      <c r="A642" s="922" t="s">
        <v>1585</v>
      </c>
      <c r="B642" s="926" t="s">
        <v>1604</v>
      </c>
      <c r="C642" s="1259">
        <v>0</v>
      </c>
      <c r="D642" s="773">
        <v>44896863</v>
      </c>
      <c r="E642" s="806">
        <v>31449000</v>
      </c>
      <c r="F642" s="785">
        <v>0</v>
      </c>
      <c r="G642" s="897">
        <v>13447863</v>
      </c>
      <c r="H642" s="907">
        <f t="shared" si="192"/>
        <v>13447863</v>
      </c>
      <c r="I642" s="769"/>
      <c r="J642" s="1018"/>
      <c r="K642" s="1018"/>
    </row>
    <row r="643" spans="1:11" ht="13.5" hidden="1" outlineLevel="1" thickBot="1">
      <c r="A643" s="795" t="s">
        <v>1585</v>
      </c>
      <c r="B643" s="1249" t="s">
        <v>31</v>
      </c>
      <c r="C643" s="813">
        <f t="shared" ref="C643:H643" si="193">SUM(C636:C641)</f>
        <v>363061884.45291674</v>
      </c>
      <c r="D643" s="813">
        <f t="shared" si="193"/>
        <v>840340560</v>
      </c>
      <c r="E643" s="813">
        <f t="shared" si="193"/>
        <v>885183557.99096918</v>
      </c>
      <c r="F643" s="900">
        <f t="shared" si="193"/>
        <v>291979472.66194779</v>
      </c>
      <c r="G643" s="813">
        <f t="shared" si="193"/>
        <v>26239323</v>
      </c>
      <c r="H643" s="900">
        <f t="shared" si="193"/>
        <v>318218886.46194756</v>
      </c>
      <c r="I643" s="918"/>
    </row>
    <row r="644" spans="1:11" hidden="1" outlineLevel="1">
      <c r="A644" s="750" t="s">
        <v>1586</v>
      </c>
      <c r="B644" s="927" t="s">
        <v>4</v>
      </c>
      <c r="C644" s="753">
        <f t="shared" ref="C644:C649" si="194">C636</f>
        <v>12343836</v>
      </c>
      <c r="D644" s="753">
        <v>450000000</v>
      </c>
      <c r="E644" s="780">
        <v>459866511</v>
      </c>
      <c r="F644" s="730">
        <v>2477325</v>
      </c>
      <c r="G644" s="753">
        <v>0</v>
      </c>
      <c r="H644" s="905">
        <f t="shared" ref="H644:H650" si="195">C644+D644-E644</f>
        <v>2477325</v>
      </c>
      <c r="I644" s="753"/>
    </row>
    <row r="645" spans="1:11" hidden="1" outlineLevel="1">
      <c r="A645" s="751" t="s">
        <v>1586</v>
      </c>
      <c r="B645" s="928" t="s">
        <v>5</v>
      </c>
      <c r="C645" s="754">
        <f t="shared" si="194"/>
        <v>5368150</v>
      </c>
      <c r="D645" s="754">
        <v>48000000</v>
      </c>
      <c r="E645" s="782">
        <v>37042800</v>
      </c>
      <c r="F645" s="902">
        <v>5000000</v>
      </c>
      <c r="G645" s="767">
        <v>11325350</v>
      </c>
      <c r="H645" s="906">
        <f t="shared" si="195"/>
        <v>16325350</v>
      </c>
      <c r="I645" s="754"/>
    </row>
    <row r="646" spans="1:11" hidden="1" outlineLevel="1">
      <c r="A646" s="751" t="s">
        <v>1586</v>
      </c>
      <c r="B646" s="928" t="s">
        <v>6</v>
      </c>
      <c r="C646" s="754">
        <f t="shared" si="194"/>
        <v>308185583.45291674</v>
      </c>
      <c r="D646" s="754">
        <v>136200000</v>
      </c>
      <c r="E646" s="782">
        <v>177886196.99096918</v>
      </c>
      <c r="F646" s="732">
        <v>266499295.6619477</v>
      </c>
      <c r="G646" s="754">
        <v>0</v>
      </c>
      <c r="H646" s="906">
        <f t="shared" si="195"/>
        <v>266499386.46194756</v>
      </c>
      <c r="I646" s="754"/>
    </row>
    <row r="647" spans="1:11" hidden="1" outlineLevel="1">
      <c r="A647" s="751" t="s">
        <v>1586</v>
      </c>
      <c r="B647" s="920" t="s">
        <v>7</v>
      </c>
      <c r="C647" s="754">
        <f t="shared" si="194"/>
        <v>0</v>
      </c>
      <c r="D647" s="754">
        <v>0</v>
      </c>
      <c r="E647" s="767">
        <v>0</v>
      </c>
      <c r="F647" s="740">
        <v>0</v>
      </c>
      <c r="G647" s="767">
        <v>0</v>
      </c>
      <c r="H647" s="906">
        <f t="shared" si="195"/>
        <v>0</v>
      </c>
      <c r="I647" s="754"/>
    </row>
    <row r="648" spans="1:11" hidden="1" outlineLevel="1">
      <c r="A648" s="751" t="s">
        <v>1586</v>
      </c>
      <c r="B648" s="919" t="s">
        <v>8</v>
      </c>
      <c r="C648" s="754">
        <f t="shared" si="194"/>
        <v>29995863</v>
      </c>
      <c r="D648" s="754">
        <v>20000000</v>
      </c>
      <c r="E648" s="767">
        <v>35099000</v>
      </c>
      <c r="F648" s="777">
        <v>0</v>
      </c>
      <c r="G648" s="767">
        <v>14896863</v>
      </c>
      <c r="H648" s="906">
        <f t="shared" si="195"/>
        <v>14896863</v>
      </c>
      <c r="I648" s="754"/>
    </row>
    <row r="649" spans="1:11" hidden="1" outlineLevel="1">
      <c r="A649" s="751" t="s">
        <v>1586</v>
      </c>
      <c r="B649" s="919" t="s">
        <v>9</v>
      </c>
      <c r="C649" s="1256">
        <f t="shared" si="194"/>
        <v>7168452</v>
      </c>
      <c r="D649" s="962">
        <v>186140559.99999997</v>
      </c>
      <c r="E649" s="903">
        <v>175289049.99999997</v>
      </c>
      <c r="F649" s="1007">
        <v>18002852.000000056</v>
      </c>
      <c r="G649" s="908">
        <v>17110.000000000047</v>
      </c>
      <c r="H649" s="906">
        <f t="shared" si="195"/>
        <v>18019962</v>
      </c>
      <c r="I649" s="754"/>
    </row>
    <row r="650" spans="1:11" s="920" customFormat="1" ht="16.5" hidden="1" outlineLevel="1" thickBot="1">
      <c r="A650" s="922" t="s">
        <v>1586</v>
      </c>
      <c r="B650" s="1008" t="s">
        <v>1604</v>
      </c>
      <c r="C650" s="1259">
        <v>0</v>
      </c>
      <c r="D650" s="773">
        <v>44896863</v>
      </c>
      <c r="E650" s="806">
        <v>33024000</v>
      </c>
      <c r="F650" s="785">
        <v>0</v>
      </c>
      <c r="G650" s="897">
        <v>11872863</v>
      </c>
      <c r="H650" s="907">
        <f t="shared" si="195"/>
        <v>11872863</v>
      </c>
      <c r="I650" s="769"/>
      <c r="J650" s="1018"/>
      <c r="K650" s="1018"/>
    </row>
    <row r="651" spans="1:11" ht="13.5" hidden="1" outlineLevel="1" thickBot="1">
      <c r="A651" s="810" t="s">
        <v>1586</v>
      </c>
      <c r="B651" s="1249" t="s">
        <v>31</v>
      </c>
      <c r="C651" s="813">
        <f t="shared" ref="C651:H651" si="196">SUM(C644:C649)</f>
        <v>363061884.45291674</v>
      </c>
      <c r="D651" s="813">
        <f t="shared" si="196"/>
        <v>840340560</v>
      </c>
      <c r="E651" s="813">
        <f t="shared" si="196"/>
        <v>885183557.99096918</v>
      </c>
      <c r="F651" s="900">
        <f t="shared" si="196"/>
        <v>291979472.66194779</v>
      </c>
      <c r="G651" s="813">
        <f t="shared" si="196"/>
        <v>26239323</v>
      </c>
      <c r="H651" s="900">
        <f t="shared" si="196"/>
        <v>318218886.46194756</v>
      </c>
      <c r="I651" s="918"/>
    </row>
    <row r="652" spans="1:11" hidden="1" outlineLevel="1">
      <c r="A652" s="750" t="s">
        <v>1587</v>
      </c>
      <c r="B652" s="927" t="s">
        <v>4</v>
      </c>
      <c r="C652" s="753">
        <f t="shared" ref="C652:C657" si="197">C644</f>
        <v>12343836</v>
      </c>
      <c r="D652" s="753">
        <v>450000000</v>
      </c>
      <c r="E652" s="780">
        <v>459866511</v>
      </c>
      <c r="F652" s="730">
        <v>2477325</v>
      </c>
      <c r="G652" s="753">
        <v>0</v>
      </c>
      <c r="H652" s="901">
        <f t="shared" ref="H652:H658" si="198">C652+D652-E652</f>
        <v>2477325</v>
      </c>
      <c r="I652" s="753"/>
    </row>
    <row r="653" spans="1:11" hidden="1" outlineLevel="1">
      <c r="A653" s="751" t="s">
        <v>1587</v>
      </c>
      <c r="B653" s="928" t="s">
        <v>5</v>
      </c>
      <c r="C653" s="754">
        <f t="shared" si="197"/>
        <v>5368150</v>
      </c>
      <c r="D653" s="754">
        <v>48000000</v>
      </c>
      <c r="E653" s="782">
        <v>37042800</v>
      </c>
      <c r="F653" s="902">
        <v>5000000</v>
      </c>
      <c r="G653" s="767">
        <v>11325350</v>
      </c>
      <c r="H653" s="909">
        <f t="shared" si="198"/>
        <v>16325350</v>
      </c>
      <c r="I653" s="754"/>
    </row>
    <row r="654" spans="1:11" hidden="1" outlineLevel="1">
      <c r="A654" s="751" t="s">
        <v>1587</v>
      </c>
      <c r="B654" s="928" t="s">
        <v>6</v>
      </c>
      <c r="C654" s="754">
        <f t="shared" si="197"/>
        <v>308185583.45291674</v>
      </c>
      <c r="D654" s="754">
        <v>136200000</v>
      </c>
      <c r="E654" s="782">
        <v>177886196.99096918</v>
      </c>
      <c r="F654" s="732">
        <v>266499295.6619477</v>
      </c>
      <c r="G654" s="754">
        <v>0</v>
      </c>
      <c r="H654" s="909">
        <f t="shared" si="198"/>
        <v>266499386.46194756</v>
      </c>
      <c r="I654" s="754"/>
    </row>
    <row r="655" spans="1:11" hidden="1" outlineLevel="1">
      <c r="A655" s="751" t="s">
        <v>1587</v>
      </c>
      <c r="B655" s="920" t="s">
        <v>7</v>
      </c>
      <c r="C655" s="754">
        <f t="shared" si="197"/>
        <v>0</v>
      </c>
      <c r="D655" s="754">
        <v>0</v>
      </c>
      <c r="E655" s="767">
        <v>0</v>
      </c>
      <c r="F655" s="740">
        <v>0</v>
      </c>
      <c r="G655" s="767">
        <v>0</v>
      </c>
      <c r="H655" s="909">
        <f t="shared" si="198"/>
        <v>0</v>
      </c>
      <c r="I655" s="754"/>
    </row>
    <row r="656" spans="1:11" hidden="1" outlineLevel="1">
      <c r="A656" s="751" t="s">
        <v>1587</v>
      </c>
      <c r="B656" s="919" t="s">
        <v>8</v>
      </c>
      <c r="C656" s="754">
        <f t="shared" si="197"/>
        <v>29995863</v>
      </c>
      <c r="D656" s="754">
        <v>20000000</v>
      </c>
      <c r="E656" s="767">
        <v>35099000</v>
      </c>
      <c r="F656" s="777">
        <v>0</v>
      </c>
      <c r="G656" s="767">
        <v>14896863</v>
      </c>
      <c r="H656" s="909">
        <f t="shared" si="198"/>
        <v>14896863</v>
      </c>
      <c r="I656" s="754"/>
    </row>
    <row r="657" spans="1:11" hidden="1" outlineLevel="1">
      <c r="A657" s="751" t="s">
        <v>1587</v>
      </c>
      <c r="B657" s="919" t="s">
        <v>9</v>
      </c>
      <c r="C657" s="1256">
        <f t="shared" si="197"/>
        <v>7168452</v>
      </c>
      <c r="D657" s="962">
        <v>186140559.99999997</v>
      </c>
      <c r="E657" s="903">
        <v>175289049.99999997</v>
      </c>
      <c r="F657" s="1007">
        <v>18002852.000000056</v>
      </c>
      <c r="G657" s="908">
        <v>17110.000000000047</v>
      </c>
      <c r="H657" s="909">
        <f t="shared" si="198"/>
        <v>18019962</v>
      </c>
      <c r="I657" s="754"/>
    </row>
    <row r="658" spans="1:11" s="920" customFormat="1" ht="16.5" hidden="1" outlineLevel="1" thickBot="1">
      <c r="A658" s="922" t="s">
        <v>1587</v>
      </c>
      <c r="B658" s="1008" t="s">
        <v>1604</v>
      </c>
      <c r="C658" s="1259">
        <v>0</v>
      </c>
      <c r="D658" s="773">
        <v>44896863</v>
      </c>
      <c r="E658" s="806">
        <v>33794000</v>
      </c>
      <c r="F658" s="785">
        <v>0</v>
      </c>
      <c r="G658" s="897">
        <v>11102863</v>
      </c>
      <c r="H658" s="924">
        <f t="shared" si="198"/>
        <v>11102863</v>
      </c>
      <c r="I658" s="769"/>
      <c r="J658" s="1018"/>
      <c r="K658" s="1018"/>
    </row>
    <row r="659" spans="1:11" ht="13.5" hidden="1" outlineLevel="1" thickBot="1">
      <c r="A659" s="810" t="s">
        <v>1587</v>
      </c>
      <c r="B659" s="1249" t="s">
        <v>31</v>
      </c>
      <c r="C659" s="813">
        <f t="shared" ref="C659:H659" si="199">SUM(C652:C657)</f>
        <v>363061884.45291674</v>
      </c>
      <c r="D659" s="813">
        <f t="shared" si="199"/>
        <v>840340560</v>
      </c>
      <c r="E659" s="813">
        <f t="shared" si="199"/>
        <v>885183557.99096918</v>
      </c>
      <c r="F659" s="900">
        <f>SUM(F652:F657)</f>
        <v>291979472.66194779</v>
      </c>
      <c r="G659" s="813">
        <f t="shared" si="199"/>
        <v>26239323</v>
      </c>
      <c r="H659" s="900">
        <f t="shared" si="199"/>
        <v>318218886.46194756</v>
      </c>
      <c r="I659" s="918"/>
    </row>
    <row r="660" spans="1:11" hidden="1" outlineLevel="1">
      <c r="A660" s="750" t="s">
        <v>1588</v>
      </c>
      <c r="B660" s="927" t="s">
        <v>4</v>
      </c>
      <c r="C660" s="753">
        <f>C652</f>
        <v>12343836</v>
      </c>
      <c r="D660" s="753">
        <v>450000000</v>
      </c>
      <c r="E660" s="780">
        <v>459866511</v>
      </c>
      <c r="F660" s="730">
        <v>2477325</v>
      </c>
      <c r="G660" s="753">
        <v>0</v>
      </c>
      <c r="H660" s="905">
        <f t="shared" ref="H660:H666" si="200">C660+D660-E660</f>
        <v>2477325</v>
      </c>
      <c r="I660" s="753"/>
    </row>
    <row r="661" spans="1:11" hidden="1" outlineLevel="1">
      <c r="A661" s="751" t="s">
        <v>1588</v>
      </c>
      <c r="B661" s="928" t="s">
        <v>5</v>
      </c>
      <c r="C661" s="754">
        <f t="shared" ref="C661:C665" si="201">C653</f>
        <v>5368150</v>
      </c>
      <c r="D661" s="754">
        <v>48000000</v>
      </c>
      <c r="E661" s="782">
        <v>37042800</v>
      </c>
      <c r="F661" s="902">
        <v>5000000</v>
      </c>
      <c r="G661" s="767">
        <v>11325350</v>
      </c>
      <c r="H661" s="906">
        <f t="shared" si="200"/>
        <v>16325350</v>
      </c>
      <c r="I661" s="754"/>
    </row>
    <row r="662" spans="1:11" hidden="1" outlineLevel="1">
      <c r="A662" s="751" t="s">
        <v>1588</v>
      </c>
      <c r="B662" s="928" t="s">
        <v>6</v>
      </c>
      <c r="C662" s="754">
        <f t="shared" si="201"/>
        <v>308185583.45291674</v>
      </c>
      <c r="D662" s="754">
        <v>136200000</v>
      </c>
      <c r="E662" s="782">
        <v>177886196.99096918</v>
      </c>
      <c r="F662" s="732">
        <v>266499295.6619477</v>
      </c>
      <c r="G662" s="754">
        <v>0</v>
      </c>
      <c r="H662" s="906">
        <f t="shared" si="200"/>
        <v>266499386.46194756</v>
      </c>
      <c r="I662" s="754"/>
    </row>
    <row r="663" spans="1:11" hidden="1" outlineLevel="1">
      <c r="A663" s="751" t="s">
        <v>1588</v>
      </c>
      <c r="B663" s="920" t="s">
        <v>7</v>
      </c>
      <c r="C663" s="754">
        <f t="shared" si="201"/>
        <v>0</v>
      </c>
      <c r="D663" s="754">
        <v>0</v>
      </c>
      <c r="E663" s="767">
        <v>0</v>
      </c>
      <c r="F663" s="740">
        <v>0</v>
      </c>
      <c r="G663" s="767">
        <v>0</v>
      </c>
      <c r="H663" s="906">
        <f t="shared" si="200"/>
        <v>0</v>
      </c>
      <c r="I663" s="754"/>
    </row>
    <row r="664" spans="1:11" hidden="1" outlineLevel="1">
      <c r="A664" s="751" t="s">
        <v>1588</v>
      </c>
      <c r="B664" s="919" t="s">
        <v>8</v>
      </c>
      <c r="C664" s="754">
        <f t="shared" si="201"/>
        <v>29995863</v>
      </c>
      <c r="D664" s="754">
        <v>20000000</v>
      </c>
      <c r="E664" s="767">
        <v>35099000</v>
      </c>
      <c r="F664" s="777">
        <v>0</v>
      </c>
      <c r="G664" s="767">
        <v>14896863</v>
      </c>
      <c r="H664" s="906">
        <f t="shared" si="200"/>
        <v>14896863</v>
      </c>
      <c r="I664" s="754"/>
    </row>
    <row r="665" spans="1:11" hidden="1" outlineLevel="1">
      <c r="A665" s="751" t="s">
        <v>1588</v>
      </c>
      <c r="B665" s="919" t="s">
        <v>9</v>
      </c>
      <c r="C665" s="1256">
        <f t="shared" si="201"/>
        <v>7168452</v>
      </c>
      <c r="D665" s="962">
        <v>186140559.99999997</v>
      </c>
      <c r="E665" s="903">
        <v>175289049.99999997</v>
      </c>
      <c r="F665" s="1007">
        <v>18002852.000000056</v>
      </c>
      <c r="G665" s="908">
        <v>17110.000000000047</v>
      </c>
      <c r="H665" s="906">
        <f t="shared" si="200"/>
        <v>18019962</v>
      </c>
      <c r="I665" s="754"/>
    </row>
    <row r="666" spans="1:11" s="920" customFormat="1" ht="16.5" hidden="1" outlineLevel="1" thickBot="1">
      <c r="A666" s="922" t="s">
        <v>1588</v>
      </c>
      <c r="B666" s="1008" t="s">
        <v>1604</v>
      </c>
      <c r="C666" s="1259">
        <v>0</v>
      </c>
      <c r="D666" s="773">
        <v>44896863</v>
      </c>
      <c r="E666" s="806">
        <v>33794000</v>
      </c>
      <c r="F666" s="785">
        <v>0</v>
      </c>
      <c r="G666" s="897">
        <v>11102863</v>
      </c>
      <c r="H666" s="907">
        <f t="shared" si="200"/>
        <v>11102863</v>
      </c>
      <c r="I666" s="769"/>
      <c r="J666" s="1018"/>
      <c r="K666" s="1018"/>
    </row>
    <row r="667" spans="1:11" ht="13.5" hidden="1" outlineLevel="1" thickBot="1">
      <c r="A667" s="810" t="s">
        <v>1588</v>
      </c>
      <c r="B667" s="1249" t="s">
        <v>31</v>
      </c>
      <c r="C667" s="813">
        <f t="shared" ref="C667:H667" si="202">SUM(C660:C665)</f>
        <v>363061884.45291674</v>
      </c>
      <c r="D667" s="813">
        <f t="shared" si="202"/>
        <v>840340560</v>
      </c>
      <c r="E667" s="813">
        <f t="shared" si="202"/>
        <v>885183557.99096918</v>
      </c>
      <c r="F667" s="900">
        <f>SUM(F660:F665)</f>
        <v>291979472.66194779</v>
      </c>
      <c r="G667" s="813">
        <f t="shared" si="202"/>
        <v>26239323</v>
      </c>
      <c r="H667" s="900">
        <f t="shared" si="202"/>
        <v>318218886.46194756</v>
      </c>
      <c r="I667" s="918"/>
    </row>
    <row r="668" spans="1:11" hidden="1" outlineLevel="1">
      <c r="A668" s="750" t="s">
        <v>1589</v>
      </c>
      <c r="B668" s="927" t="s">
        <v>4</v>
      </c>
      <c r="C668" s="753">
        <f t="shared" ref="C668:C673" si="203">C660</f>
        <v>12343836</v>
      </c>
      <c r="D668" s="753">
        <v>455000000</v>
      </c>
      <c r="E668" s="780">
        <v>462075311</v>
      </c>
      <c r="F668" s="730">
        <v>5268525</v>
      </c>
      <c r="G668" s="753">
        <v>0</v>
      </c>
      <c r="H668" s="905">
        <f t="shared" ref="H668:H674" si="204">C668+D668-E668</f>
        <v>5268525</v>
      </c>
      <c r="I668" s="753"/>
    </row>
    <row r="669" spans="1:11" hidden="1" outlineLevel="1">
      <c r="A669" s="751" t="s">
        <v>1589</v>
      </c>
      <c r="B669" s="928" t="s">
        <v>5</v>
      </c>
      <c r="C669" s="754">
        <f t="shared" si="203"/>
        <v>5368150</v>
      </c>
      <c r="D669" s="754">
        <v>48000000</v>
      </c>
      <c r="E669" s="782">
        <v>37042800</v>
      </c>
      <c r="F669" s="902">
        <v>5000000</v>
      </c>
      <c r="G669" s="767">
        <v>11325350</v>
      </c>
      <c r="H669" s="906">
        <f t="shared" si="204"/>
        <v>16325350</v>
      </c>
      <c r="I669" s="754"/>
    </row>
    <row r="670" spans="1:11" hidden="1" outlineLevel="1">
      <c r="A670" s="751" t="s">
        <v>1589</v>
      </c>
      <c r="B670" s="928" t="s">
        <v>6</v>
      </c>
      <c r="C670" s="754">
        <f t="shared" si="203"/>
        <v>308185583.45291674</v>
      </c>
      <c r="D670" s="754">
        <v>227000000</v>
      </c>
      <c r="E670" s="782">
        <v>403560516.99096918</v>
      </c>
      <c r="F670" s="732">
        <v>131624975.6619477</v>
      </c>
      <c r="G670" s="754">
        <v>0</v>
      </c>
      <c r="H670" s="906">
        <f t="shared" si="204"/>
        <v>131625066.46194756</v>
      </c>
      <c r="I670" s="754"/>
    </row>
    <row r="671" spans="1:11" hidden="1" outlineLevel="1">
      <c r="A671" s="751" t="s">
        <v>1589</v>
      </c>
      <c r="B671" s="920" t="s">
        <v>7</v>
      </c>
      <c r="C671" s="754">
        <f t="shared" si="203"/>
        <v>0</v>
      </c>
      <c r="D671" s="754">
        <v>0</v>
      </c>
      <c r="E671" s="767">
        <v>0</v>
      </c>
      <c r="F671" s="788">
        <v>0</v>
      </c>
      <c r="G671" s="767">
        <v>0</v>
      </c>
      <c r="H671" s="906">
        <f t="shared" si="204"/>
        <v>0</v>
      </c>
      <c r="I671" s="754"/>
    </row>
    <row r="672" spans="1:11" hidden="1" outlineLevel="1">
      <c r="A672" s="751" t="s">
        <v>1589</v>
      </c>
      <c r="B672" s="919" t="s">
        <v>8</v>
      </c>
      <c r="C672" s="754">
        <f t="shared" si="203"/>
        <v>29995863</v>
      </c>
      <c r="D672" s="754">
        <v>20000000</v>
      </c>
      <c r="E672" s="767">
        <v>35099000</v>
      </c>
      <c r="F672" s="777">
        <v>0</v>
      </c>
      <c r="G672" s="767">
        <v>14896863</v>
      </c>
      <c r="H672" s="906">
        <f t="shared" si="204"/>
        <v>14896863</v>
      </c>
      <c r="I672" s="754"/>
    </row>
    <row r="673" spans="1:11" hidden="1" outlineLevel="1">
      <c r="A673" s="751" t="s">
        <v>1589</v>
      </c>
      <c r="B673" s="919" t="s">
        <v>9</v>
      </c>
      <c r="C673" s="1256">
        <f t="shared" si="203"/>
        <v>7168452</v>
      </c>
      <c r="D673" s="962">
        <v>186140559.99999997</v>
      </c>
      <c r="E673" s="903">
        <v>175289049.99999997</v>
      </c>
      <c r="F673" s="963">
        <v>18002852.000000056</v>
      </c>
      <c r="G673" s="908">
        <v>17110.000000000047</v>
      </c>
      <c r="H673" s="906">
        <f t="shared" si="204"/>
        <v>18019962</v>
      </c>
      <c r="I673" s="754"/>
    </row>
    <row r="674" spans="1:11" s="920" customFormat="1" ht="16.5" hidden="1" outlineLevel="1" thickBot="1">
      <c r="A674" s="922" t="s">
        <v>1589</v>
      </c>
      <c r="B674" s="1008" t="s">
        <v>1604</v>
      </c>
      <c r="C674" s="1259">
        <v>0</v>
      </c>
      <c r="D674" s="773">
        <v>44896863</v>
      </c>
      <c r="E674" s="806">
        <v>37684000</v>
      </c>
      <c r="F674" s="785">
        <v>0</v>
      </c>
      <c r="G674" s="897">
        <v>7212863</v>
      </c>
      <c r="H674" s="907">
        <f t="shared" si="204"/>
        <v>7212863</v>
      </c>
      <c r="I674" s="769"/>
      <c r="J674" s="1018"/>
      <c r="K674" s="1018"/>
    </row>
    <row r="675" spans="1:11" ht="13.5" hidden="1" outlineLevel="1" thickBot="1">
      <c r="A675" s="810" t="s">
        <v>1589</v>
      </c>
      <c r="B675" s="1249" t="s">
        <v>31</v>
      </c>
      <c r="C675" s="813">
        <f t="shared" ref="C675:H675" si="205">SUM(C668:C673)</f>
        <v>363061884.45291674</v>
      </c>
      <c r="D675" s="813">
        <f t="shared" si="205"/>
        <v>936140560</v>
      </c>
      <c r="E675" s="813">
        <f t="shared" si="205"/>
        <v>1113066677.9909692</v>
      </c>
      <c r="F675" s="900">
        <f>SUM(F668:F673)</f>
        <v>159896352.66194776</v>
      </c>
      <c r="G675" s="813">
        <f t="shared" si="205"/>
        <v>26239323</v>
      </c>
      <c r="H675" s="900">
        <f t="shared" si="205"/>
        <v>186135766.46194756</v>
      </c>
      <c r="I675" s="918"/>
    </row>
    <row r="676" spans="1:11" hidden="1" outlineLevel="1">
      <c r="A676" s="750" t="s">
        <v>1590</v>
      </c>
      <c r="B676" s="927" t="s">
        <v>4</v>
      </c>
      <c r="C676" s="753">
        <f t="shared" ref="C676:C681" si="206">C668</f>
        <v>12343836</v>
      </c>
      <c r="D676" s="753">
        <v>455000000</v>
      </c>
      <c r="E676" s="780">
        <v>462075311</v>
      </c>
      <c r="F676" s="730">
        <v>5268525</v>
      </c>
      <c r="G676" s="753">
        <v>0</v>
      </c>
      <c r="H676" s="905">
        <f t="shared" ref="H676:H682" si="207">C676+D676-E676</f>
        <v>5268525</v>
      </c>
      <c r="I676" s="753"/>
    </row>
    <row r="677" spans="1:11" hidden="1" outlineLevel="1">
      <c r="A677" s="751" t="s">
        <v>1590</v>
      </c>
      <c r="B677" s="928" t="s">
        <v>5</v>
      </c>
      <c r="C677" s="754">
        <f t="shared" si="206"/>
        <v>5368150</v>
      </c>
      <c r="D677" s="754">
        <v>48000000</v>
      </c>
      <c r="E677" s="782">
        <v>49706800</v>
      </c>
      <c r="F677" s="902">
        <v>5000000</v>
      </c>
      <c r="G677" s="767">
        <v>11325350</v>
      </c>
      <c r="H677" s="906">
        <f t="shared" si="207"/>
        <v>3661350</v>
      </c>
      <c r="I677" s="754"/>
    </row>
    <row r="678" spans="1:11" hidden="1" outlineLevel="1">
      <c r="A678" s="751" t="s">
        <v>1590</v>
      </c>
      <c r="B678" s="928" t="s">
        <v>6</v>
      </c>
      <c r="C678" s="754">
        <f t="shared" si="206"/>
        <v>308185583.45291674</v>
      </c>
      <c r="D678" s="754">
        <v>227000000</v>
      </c>
      <c r="E678" s="782">
        <v>403560516.99096918</v>
      </c>
      <c r="F678" s="732">
        <v>131624975.6619477</v>
      </c>
      <c r="G678" s="754">
        <v>0</v>
      </c>
      <c r="H678" s="906">
        <f t="shared" si="207"/>
        <v>131625066.46194756</v>
      </c>
      <c r="I678" s="754"/>
    </row>
    <row r="679" spans="1:11" hidden="1" outlineLevel="1">
      <c r="A679" s="751" t="s">
        <v>1590</v>
      </c>
      <c r="B679" s="920" t="s">
        <v>7</v>
      </c>
      <c r="C679" s="754">
        <f t="shared" si="206"/>
        <v>0</v>
      </c>
      <c r="D679" s="754">
        <v>0</v>
      </c>
      <c r="E679" s="767">
        <v>0</v>
      </c>
      <c r="F679" s="788">
        <v>0</v>
      </c>
      <c r="G679" s="767">
        <v>0</v>
      </c>
      <c r="H679" s="906">
        <f t="shared" si="207"/>
        <v>0</v>
      </c>
      <c r="I679" s="754"/>
    </row>
    <row r="680" spans="1:11" hidden="1" outlineLevel="1">
      <c r="A680" s="751" t="s">
        <v>1590</v>
      </c>
      <c r="B680" s="919" t="s">
        <v>8</v>
      </c>
      <c r="C680" s="754">
        <f t="shared" si="206"/>
        <v>29995863</v>
      </c>
      <c r="D680" s="754">
        <v>20000000</v>
      </c>
      <c r="E680" s="767">
        <v>35099000</v>
      </c>
      <c r="F680" s="777">
        <v>0</v>
      </c>
      <c r="G680" s="767">
        <v>14896863</v>
      </c>
      <c r="H680" s="906">
        <f t="shared" si="207"/>
        <v>14896863</v>
      </c>
      <c r="I680" s="754"/>
    </row>
    <row r="681" spans="1:11" hidden="1" outlineLevel="1">
      <c r="A681" s="751" t="s">
        <v>1590</v>
      </c>
      <c r="B681" s="919" t="s">
        <v>9</v>
      </c>
      <c r="C681" s="1256">
        <f t="shared" si="206"/>
        <v>7168452</v>
      </c>
      <c r="D681" s="962">
        <v>186140559.99999997</v>
      </c>
      <c r="E681" s="903">
        <v>175289049.99999997</v>
      </c>
      <c r="F681" s="963">
        <v>18002852.000000056</v>
      </c>
      <c r="G681" s="908">
        <v>17110.000000000047</v>
      </c>
      <c r="H681" s="906">
        <f t="shared" si="207"/>
        <v>18019962</v>
      </c>
      <c r="I681" s="754"/>
    </row>
    <row r="682" spans="1:11" s="920" customFormat="1" ht="16.5" hidden="1" outlineLevel="1" thickBot="1">
      <c r="A682" s="922" t="s">
        <v>1590</v>
      </c>
      <c r="B682" s="1008" t="s">
        <v>1604</v>
      </c>
      <c r="C682" s="1259">
        <v>0</v>
      </c>
      <c r="D682" s="773">
        <v>44896863</v>
      </c>
      <c r="E682" s="806">
        <v>37779000</v>
      </c>
      <c r="F682" s="785">
        <v>0</v>
      </c>
      <c r="G682" s="897">
        <v>7117863</v>
      </c>
      <c r="H682" s="907">
        <f t="shared" si="207"/>
        <v>7117863</v>
      </c>
      <c r="I682" s="769"/>
      <c r="J682" s="1018"/>
      <c r="K682" s="1018"/>
    </row>
    <row r="683" spans="1:11" ht="13.5" collapsed="1" thickBot="1">
      <c r="A683" s="932" t="s">
        <v>256</v>
      </c>
      <c r="B683" s="1251" t="s">
        <v>31</v>
      </c>
      <c r="C683" s="934">
        <f t="shared" ref="C683:H683" si="208">SUM(C676:C681)</f>
        <v>363061884.45291674</v>
      </c>
      <c r="D683" s="934">
        <f t="shared" si="208"/>
        <v>936140560</v>
      </c>
      <c r="E683" s="934">
        <f t="shared" si="208"/>
        <v>1125730677.9909692</v>
      </c>
      <c r="F683" s="933">
        <f>SUM(F676:F681)</f>
        <v>159896352.66194776</v>
      </c>
      <c r="G683" s="934">
        <f t="shared" si="208"/>
        <v>26239323</v>
      </c>
      <c r="H683" s="1272">
        <f t="shared" si="208"/>
        <v>173471766.46194756</v>
      </c>
      <c r="I683" s="934">
        <f>SUM(H676:H682)</f>
        <v>180589629.46194756</v>
      </c>
    </row>
    <row r="684" spans="1:11" hidden="1" outlineLevel="1">
      <c r="A684" s="1109" t="s">
        <v>1682</v>
      </c>
      <c r="B684" s="927" t="s">
        <v>4</v>
      </c>
      <c r="C684" s="753">
        <f t="shared" ref="C684:C690" si="209">H676</f>
        <v>5268525</v>
      </c>
      <c r="D684" s="753">
        <v>0</v>
      </c>
      <c r="E684" s="780">
        <v>600000</v>
      </c>
      <c r="F684" s="730">
        <v>4668525</v>
      </c>
      <c r="G684" s="753">
        <v>0</v>
      </c>
      <c r="H684" s="905">
        <f t="shared" ref="H684:H690" si="210">C684+D684-E684</f>
        <v>4668525</v>
      </c>
      <c r="I684" s="753"/>
    </row>
    <row r="685" spans="1:11" hidden="1" outlineLevel="1">
      <c r="A685" s="898" t="s">
        <v>1682</v>
      </c>
      <c r="B685" s="928" t="s">
        <v>5</v>
      </c>
      <c r="C685" s="754">
        <f t="shared" si="209"/>
        <v>3661350</v>
      </c>
      <c r="D685" s="754">
        <v>0</v>
      </c>
      <c r="E685" s="782">
        <v>0</v>
      </c>
      <c r="F685" s="902">
        <v>0</v>
      </c>
      <c r="G685" s="767">
        <v>3661350</v>
      </c>
      <c r="H685" s="906">
        <f t="shared" si="210"/>
        <v>3661350</v>
      </c>
      <c r="I685" s="754"/>
    </row>
    <row r="686" spans="1:11" hidden="1" outlineLevel="1">
      <c r="A686" s="898" t="s">
        <v>1682</v>
      </c>
      <c r="B686" s="928" t="s">
        <v>6</v>
      </c>
      <c r="C686" s="754">
        <f t="shared" si="209"/>
        <v>131625066.46194756</v>
      </c>
      <c r="D686" s="754"/>
      <c r="E686" s="782"/>
      <c r="F686" s="732">
        <v>131625066.46194756</v>
      </c>
      <c r="G686" s="754"/>
      <c r="H686" s="906">
        <f t="shared" si="210"/>
        <v>131625066.46194756</v>
      </c>
      <c r="I686" s="754"/>
    </row>
    <row r="687" spans="1:11" hidden="1" outlineLevel="1">
      <c r="A687" s="898" t="s">
        <v>1682</v>
      </c>
      <c r="B687" s="920" t="s">
        <v>7</v>
      </c>
      <c r="C687" s="754">
        <f t="shared" si="209"/>
        <v>0</v>
      </c>
      <c r="D687" s="754">
        <v>0</v>
      </c>
      <c r="E687" s="767">
        <v>0</v>
      </c>
      <c r="F687" s="788">
        <v>0</v>
      </c>
      <c r="G687" s="767">
        <v>0</v>
      </c>
      <c r="H687" s="906">
        <f t="shared" si="210"/>
        <v>0</v>
      </c>
      <c r="I687" s="754"/>
    </row>
    <row r="688" spans="1:11" hidden="1" outlineLevel="1">
      <c r="A688" s="898" t="s">
        <v>1682</v>
      </c>
      <c r="B688" s="919" t="s">
        <v>8</v>
      </c>
      <c r="C688" s="754">
        <f t="shared" si="209"/>
        <v>14896863</v>
      </c>
      <c r="D688" s="754">
        <v>0</v>
      </c>
      <c r="E688" s="767">
        <v>0</v>
      </c>
      <c r="F688" s="777">
        <v>0</v>
      </c>
      <c r="G688" s="767">
        <v>14896863</v>
      </c>
      <c r="H688" s="906">
        <f t="shared" si="210"/>
        <v>14896863</v>
      </c>
      <c r="I688" s="754"/>
    </row>
    <row r="689" spans="1:9" hidden="1" outlineLevel="1">
      <c r="A689" s="898" t="s">
        <v>1682</v>
      </c>
      <c r="B689" s="919" t="s">
        <v>9</v>
      </c>
      <c r="C689" s="1256">
        <f t="shared" si="209"/>
        <v>18019962</v>
      </c>
      <c r="D689" s="962">
        <v>229274000</v>
      </c>
      <c r="E689" s="903">
        <v>147487040</v>
      </c>
      <c r="F689" s="963">
        <v>99789812.000000015</v>
      </c>
      <c r="G689" s="908">
        <v>17110</v>
      </c>
      <c r="H689" s="906">
        <f t="shared" si="210"/>
        <v>99806922</v>
      </c>
      <c r="I689" s="754"/>
    </row>
    <row r="690" spans="1:9" ht="16.5" hidden="1" outlineLevel="1" thickBot="1">
      <c r="A690" s="922" t="s">
        <v>1682</v>
      </c>
      <c r="B690" s="1008" t="s">
        <v>1604</v>
      </c>
      <c r="C690" s="1259">
        <f t="shared" si="209"/>
        <v>7117863</v>
      </c>
      <c r="D690" s="773">
        <v>0</v>
      </c>
      <c r="E690" s="806">
        <v>528000</v>
      </c>
      <c r="F690" s="785">
        <v>0</v>
      </c>
      <c r="G690" s="897">
        <v>6589863</v>
      </c>
      <c r="H690" s="907">
        <f t="shared" si="210"/>
        <v>6589863</v>
      </c>
      <c r="I690" s="769"/>
    </row>
    <row r="691" spans="1:9" ht="13.5" hidden="1" outlineLevel="1" thickBot="1">
      <c r="A691" s="1111" t="s">
        <v>1682</v>
      </c>
      <c r="B691" s="1249" t="s">
        <v>31</v>
      </c>
      <c r="C691" s="813">
        <f>SUM(C684:C690)</f>
        <v>180589629.46194756</v>
      </c>
      <c r="D691" s="813">
        <f t="shared" ref="D691:H691" si="211">SUM(D684:D690)</f>
        <v>229274000</v>
      </c>
      <c r="E691" s="813">
        <f t="shared" si="211"/>
        <v>148615040</v>
      </c>
      <c r="F691" s="813">
        <f t="shared" si="211"/>
        <v>236083403.46194756</v>
      </c>
      <c r="G691" s="813">
        <f t="shared" si="211"/>
        <v>25165186</v>
      </c>
      <c r="H691" s="813">
        <f t="shared" si="211"/>
        <v>261248589.46194756</v>
      </c>
      <c r="I691" s="754"/>
    </row>
    <row r="692" spans="1:9" hidden="1" outlineLevel="1">
      <c r="A692" s="1109" t="s">
        <v>1683</v>
      </c>
      <c r="B692" s="927" t="s">
        <v>4</v>
      </c>
      <c r="C692" s="753">
        <f t="shared" ref="C692:C698" si="212">C684</f>
        <v>5268525</v>
      </c>
      <c r="D692" s="753">
        <v>0</v>
      </c>
      <c r="E692" s="780">
        <v>710000</v>
      </c>
      <c r="F692" s="730">
        <v>4558525</v>
      </c>
      <c r="G692" s="753">
        <v>0</v>
      </c>
      <c r="H692" s="905">
        <f t="shared" ref="H692:H698" si="213">C692+D692-E692</f>
        <v>4558525</v>
      </c>
      <c r="I692" s="753"/>
    </row>
    <row r="693" spans="1:9" hidden="1" outlineLevel="1">
      <c r="A693" s="898" t="s">
        <v>1683</v>
      </c>
      <c r="B693" s="928" t="s">
        <v>5</v>
      </c>
      <c r="C693" s="754">
        <f t="shared" si="212"/>
        <v>3661350</v>
      </c>
      <c r="D693" s="754">
        <v>0</v>
      </c>
      <c r="E693" s="782">
        <v>0</v>
      </c>
      <c r="F693" s="902">
        <v>0</v>
      </c>
      <c r="G693" s="767">
        <v>3661350</v>
      </c>
      <c r="H693" s="906">
        <f t="shared" si="213"/>
        <v>3661350</v>
      </c>
      <c r="I693" s="754"/>
    </row>
    <row r="694" spans="1:9" hidden="1" outlineLevel="1">
      <c r="A694" s="898" t="s">
        <v>1683</v>
      </c>
      <c r="B694" s="928" t="s">
        <v>6</v>
      </c>
      <c r="C694" s="754">
        <f t="shared" si="212"/>
        <v>131625066.46194756</v>
      </c>
      <c r="D694" s="754"/>
      <c r="E694" s="782"/>
      <c r="F694" s="732">
        <v>131625066.46194756</v>
      </c>
      <c r="G694" s="754"/>
      <c r="H694" s="906">
        <f t="shared" si="213"/>
        <v>131625066.46194756</v>
      </c>
      <c r="I694" s="754"/>
    </row>
    <row r="695" spans="1:9" hidden="1" outlineLevel="1">
      <c r="A695" s="898" t="s">
        <v>1683</v>
      </c>
      <c r="B695" s="920" t="s">
        <v>7</v>
      </c>
      <c r="C695" s="754">
        <f t="shared" si="212"/>
        <v>0</v>
      </c>
      <c r="D695" s="754">
        <v>0</v>
      </c>
      <c r="E695" s="767">
        <v>0</v>
      </c>
      <c r="F695" s="788">
        <v>0</v>
      </c>
      <c r="G695" s="767">
        <v>0</v>
      </c>
      <c r="H695" s="906">
        <f t="shared" si="213"/>
        <v>0</v>
      </c>
      <c r="I695" s="754"/>
    </row>
    <row r="696" spans="1:9" hidden="1" outlineLevel="1">
      <c r="A696" s="898" t="s">
        <v>1683</v>
      </c>
      <c r="B696" s="919" t="s">
        <v>8</v>
      </c>
      <c r="C696" s="754">
        <f t="shared" si="212"/>
        <v>14896863</v>
      </c>
      <c r="D696" s="754">
        <v>0</v>
      </c>
      <c r="E696" s="767">
        <v>0</v>
      </c>
      <c r="F696" s="777">
        <v>0</v>
      </c>
      <c r="G696" s="767">
        <v>14896863</v>
      </c>
      <c r="H696" s="906">
        <f t="shared" si="213"/>
        <v>14896863</v>
      </c>
      <c r="I696" s="754"/>
    </row>
    <row r="697" spans="1:9" hidden="1" outlineLevel="1">
      <c r="A697" s="898" t="s">
        <v>1683</v>
      </c>
      <c r="B697" s="919" t="s">
        <v>9</v>
      </c>
      <c r="C697" s="1256">
        <f t="shared" si="212"/>
        <v>18019962</v>
      </c>
      <c r="D697" s="962">
        <v>229274000</v>
      </c>
      <c r="E697" s="903">
        <v>147487040</v>
      </c>
      <c r="F697" s="963">
        <v>99789812.000000015</v>
      </c>
      <c r="G697" s="908">
        <v>17110</v>
      </c>
      <c r="H697" s="906">
        <f t="shared" si="213"/>
        <v>99806922</v>
      </c>
      <c r="I697" s="754"/>
    </row>
    <row r="698" spans="1:9" ht="16.5" hidden="1" outlineLevel="1" thickBot="1">
      <c r="A698" s="922" t="s">
        <v>1683</v>
      </c>
      <c r="B698" s="1008" t="s">
        <v>1604</v>
      </c>
      <c r="C698" s="1259">
        <f t="shared" si="212"/>
        <v>7117863</v>
      </c>
      <c r="D698" s="773">
        <v>0</v>
      </c>
      <c r="E698" s="806">
        <v>528000</v>
      </c>
      <c r="F698" s="785">
        <v>0</v>
      </c>
      <c r="G698" s="897">
        <v>6589863</v>
      </c>
      <c r="H698" s="907">
        <f t="shared" si="213"/>
        <v>6589863</v>
      </c>
      <c r="I698" s="769"/>
    </row>
    <row r="699" spans="1:9" ht="13.5" hidden="1" outlineLevel="1" thickBot="1">
      <c r="A699" s="1111" t="s">
        <v>1683</v>
      </c>
      <c r="B699" s="1249" t="s">
        <v>31</v>
      </c>
      <c r="C699" s="813">
        <f>SUM(C692:C698)</f>
        <v>180589629.46194756</v>
      </c>
      <c r="D699" s="813">
        <f t="shared" ref="D699:H699" si="214">SUM(D692:D698)</f>
        <v>229274000</v>
      </c>
      <c r="E699" s="813">
        <f t="shared" si="214"/>
        <v>148725040</v>
      </c>
      <c r="F699" s="813">
        <f t="shared" si="214"/>
        <v>235973403.46194756</v>
      </c>
      <c r="G699" s="813">
        <f t="shared" si="214"/>
        <v>25165186</v>
      </c>
      <c r="H699" s="813">
        <f t="shared" si="214"/>
        <v>261138589.46194756</v>
      </c>
      <c r="I699" s="754"/>
    </row>
    <row r="700" spans="1:9" hidden="1" outlineLevel="1">
      <c r="A700" s="898" t="s">
        <v>1684</v>
      </c>
      <c r="B700" s="927" t="s">
        <v>4</v>
      </c>
      <c r="C700" s="753">
        <f t="shared" ref="C700:C706" si="215">C692</f>
        <v>5268525</v>
      </c>
      <c r="D700" s="753">
        <v>0</v>
      </c>
      <c r="E700" s="780">
        <v>741300</v>
      </c>
      <c r="F700" s="730">
        <v>4527225</v>
      </c>
      <c r="G700" s="753">
        <v>0</v>
      </c>
      <c r="H700" s="905">
        <f t="shared" ref="H700:H706" si="216">C700+D700-E700</f>
        <v>4527225</v>
      </c>
      <c r="I700" s="753"/>
    </row>
    <row r="701" spans="1:9" hidden="1" outlineLevel="1">
      <c r="A701" s="898" t="s">
        <v>1684</v>
      </c>
      <c r="B701" s="928" t="s">
        <v>5</v>
      </c>
      <c r="C701" s="754">
        <f t="shared" si="215"/>
        <v>3661350</v>
      </c>
      <c r="D701" s="754">
        <v>0</v>
      </c>
      <c r="E701" s="782">
        <v>0</v>
      </c>
      <c r="F701" s="902">
        <v>0</v>
      </c>
      <c r="G701" s="767">
        <v>3661350</v>
      </c>
      <c r="H701" s="906">
        <f t="shared" si="216"/>
        <v>3661350</v>
      </c>
      <c r="I701" s="754"/>
    </row>
    <row r="702" spans="1:9" hidden="1" outlineLevel="1">
      <c r="A702" s="898" t="s">
        <v>1684</v>
      </c>
      <c r="B702" s="928" t="s">
        <v>6</v>
      </c>
      <c r="C702" s="754">
        <f t="shared" si="215"/>
        <v>131625066.46194756</v>
      </c>
      <c r="D702" s="754"/>
      <c r="E702" s="782"/>
      <c r="F702" s="732">
        <v>131625066.46194756</v>
      </c>
      <c r="G702" s="754"/>
      <c r="H702" s="906">
        <f t="shared" si="216"/>
        <v>131625066.46194756</v>
      </c>
      <c r="I702" s="754"/>
    </row>
    <row r="703" spans="1:9" hidden="1" outlineLevel="1">
      <c r="A703" s="898" t="s">
        <v>1684</v>
      </c>
      <c r="B703" s="920" t="s">
        <v>7</v>
      </c>
      <c r="C703" s="754">
        <f t="shared" si="215"/>
        <v>0</v>
      </c>
      <c r="D703" s="754">
        <v>0</v>
      </c>
      <c r="E703" s="767">
        <v>0</v>
      </c>
      <c r="F703" s="788">
        <v>0</v>
      </c>
      <c r="G703" s="767">
        <v>0</v>
      </c>
      <c r="H703" s="906">
        <f t="shared" si="216"/>
        <v>0</v>
      </c>
      <c r="I703" s="754"/>
    </row>
    <row r="704" spans="1:9" hidden="1" outlineLevel="1">
      <c r="A704" s="898" t="s">
        <v>1684</v>
      </c>
      <c r="B704" s="919" t="s">
        <v>8</v>
      </c>
      <c r="C704" s="754">
        <f t="shared" si="215"/>
        <v>14896863</v>
      </c>
      <c r="D704" s="754">
        <v>0</v>
      </c>
      <c r="E704" s="767">
        <v>0</v>
      </c>
      <c r="F704" s="777">
        <v>0</v>
      </c>
      <c r="G704" s="767">
        <v>14896863</v>
      </c>
      <c r="H704" s="906">
        <f t="shared" si="216"/>
        <v>14896863</v>
      </c>
      <c r="I704" s="754"/>
    </row>
    <row r="705" spans="1:9" hidden="1" outlineLevel="1">
      <c r="A705" s="898" t="s">
        <v>1684</v>
      </c>
      <c r="B705" s="919" t="s">
        <v>9</v>
      </c>
      <c r="C705" s="1256">
        <f t="shared" si="215"/>
        <v>18019962</v>
      </c>
      <c r="D705" s="962">
        <v>229274000</v>
      </c>
      <c r="E705" s="903">
        <v>147487040</v>
      </c>
      <c r="F705" s="963">
        <v>99789812.000000015</v>
      </c>
      <c r="G705" s="908">
        <v>17110</v>
      </c>
      <c r="H705" s="906">
        <f t="shared" si="216"/>
        <v>99806922</v>
      </c>
      <c r="I705" s="754"/>
    </row>
    <row r="706" spans="1:9" ht="16.5" hidden="1" outlineLevel="1" thickBot="1">
      <c r="A706" s="898" t="s">
        <v>1684</v>
      </c>
      <c r="B706" s="1008" t="s">
        <v>1604</v>
      </c>
      <c r="C706" s="1259">
        <f t="shared" si="215"/>
        <v>7117863</v>
      </c>
      <c r="D706" s="773">
        <v>0</v>
      </c>
      <c r="E706" s="806">
        <v>528000</v>
      </c>
      <c r="F706" s="785">
        <v>0</v>
      </c>
      <c r="G706" s="897">
        <v>6589863</v>
      </c>
      <c r="H706" s="907">
        <f t="shared" si="216"/>
        <v>6589863</v>
      </c>
      <c r="I706" s="769"/>
    </row>
    <row r="707" spans="1:9" ht="13.5" hidden="1" outlineLevel="1" thickBot="1">
      <c r="A707" s="1111" t="s">
        <v>1684</v>
      </c>
      <c r="B707" s="1252" t="s">
        <v>31</v>
      </c>
      <c r="C707" s="1224">
        <f>SUM(C700:C706)</f>
        <v>180589629.46194756</v>
      </c>
      <c r="D707" s="1224">
        <f t="shared" ref="D707:H707" si="217">SUM(D700:D706)</f>
        <v>229274000</v>
      </c>
      <c r="E707" s="1224">
        <f t="shared" si="217"/>
        <v>148756340</v>
      </c>
      <c r="F707" s="1224">
        <f t="shared" si="217"/>
        <v>235942103.46194756</v>
      </c>
      <c r="G707" s="1224">
        <f t="shared" si="217"/>
        <v>25165186</v>
      </c>
      <c r="H707" s="1224">
        <f t="shared" si="217"/>
        <v>261107289.46194756</v>
      </c>
      <c r="I707" s="754"/>
    </row>
    <row r="708" spans="1:9" hidden="1" outlineLevel="1">
      <c r="A708" s="898" t="s">
        <v>1685</v>
      </c>
      <c r="B708" s="927" t="s">
        <v>4</v>
      </c>
      <c r="C708" s="753">
        <f t="shared" ref="C708:C714" si="218">C700</f>
        <v>5268525</v>
      </c>
      <c r="D708" s="753">
        <v>0</v>
      </c>
      <c r="E708" s="780">
        <v>741300</v>
      </c>
      <c r="F708" s="730">
        <v>4527225</v>
      </c>
      <c r="G708" s="753">
        <v>0</v>
      </c>
      <c r="H708" s="905">
        <f t="shared" ref="H708:H714" si="219">C708+D708-E708</f>
        <v>4527225</v>
      </c>
      <c r="I708" s="753"/>
    </row>
    <row r="709" spans="1:9" hidden="1" outlineLevel="1">
      <c r="A709" s="898" t="s">
        <v>1685</v>
      </c>
      <c r="B709" s="928" t="s">
        <v>5</v>
      </c>
      <c r="C709" s="754">
        <f t="shared" si="218"/>
        <v>3661350</v>
      </c>
      <c r="D709" s="754">
        <v>0</v>
      </c>
      <c r="E709" s="782">
        <v>0</v>
      </c>
      <c r="F709" s="902">
        <v>0</v>
      </c>
      <c r="G709" s="767">
        <v>3661350</v>
      </c>
      <c r="H709" s="906">
        <f t="shared" si="219"/>
        <v>3661350</v>
      </c>
      <c r="I709" s="754"/>
    </row>
    <row r="710" spans="1:9" hidden="1" outlineLevel="1">
      <c r="A710" s="898" t="s">
        <v>1685</v>
      </c>
      <c r="B710" s="928" t="s">
        <v>6</v>
      </c>
      <c r="C710" s="754">
        <f t="shared" si="218"/>
        <v>131625066.46194756</v>
      </c>
      <c r="D710" s="754"/>
      <c r="E710" s="782"/>
      <c r="F710" s="732">
        <v>131625066.46194756</v>
      </c>
      <c r="G710" s="754"/>
      <c r="H710" s="906">
        <f t="shared" si="219"/>
        <v>131625066.46194756</v>
      </c>
      <c r="I710" s="754"/>
    </row>
    <row r="711" spans="1:9" hidden="1" outlineLevel="1">
      <c r="A711" s="898" t="s">
        <v>1685</v>
      </c>
      <c r="B711" s="920" t="s">
        <v>7</v>
      </c>
      <c r="C711" s="754">
        <f t="shared" si="218"/>
        <v>0</v>
      </c>
      <c r="D711" s="754">
        <v>0</v>
      </c>
      <c r="E711" s="767">
        <v>0</v>
      </c>
      <c r="F711" s="788">
        <v>0</v>
      </c>
      <c r="G711" s="767">
        <v>0</v>
      </c>
      <c r="H711" s="906">
        <f t="shared" si="219"/>
        <v>0</v>
      </c>
      <c r="I711" s="754"/>
    </row>
    <row r="712" spans="1:9" hidden="1" outlineLevel="1">
      <c r="A712" s="898" t="s">
        <v>1685</v>
      </c>
      <c r="B712" s="919" t="s">
        <v>8</v>
      </c>
      <c r="C712" s="754">
        <f t="shared" si="218"/>
        <v>14896863</v>
      </c>
      <c r="D712" s="754">
        <v>0</v>
      </c>
      <c r="E712" s="767">
        <v>0</v>
      </c>
      <c r="F712" s="777">
        <v>0</v>
      </c>
      <c r="G712" s="767">
        <v>14896863</v>
      </c>
      <c r="H712" s="906">
        <f t="shared" si="219"/>
        <v>14896863</v>
      </c>
      <c r="I712" s="754"/>
    </row>
    <row r="713" spans="1:9" hidden="1" outlineLevel="1">
      <c r="A713" s="898" t="s">
        <v>1685</v>
      </c>
      <c r="B713" s="919" t="s">
        <v>9</v>
      </c>
      <c r="C713" s="1256">
        <f t="shared" si="218"/>
        <v>18019962</v>
      </c>
      <c r="D713" s="962">
        <v>229274000</v>
      </c>
      <c r="E713" s="903">
        <v>166047620</v>
      </c>
      <c r="F713" s="963">
        <v>81229232.00000003</v>
      </c>
      <c r="G713" s="908">
        <v>17110</v>
      </c>
      <c r="H713" s="906">
        <f t="shared" si="219"/>
        <v>81246342</v>
      </c>
      <c r="I713" s="754"/>
    </row>
    <row r="714" spans="1:9" ht="16.5" hidden="1" outlineLevel="1" thickBot="1">
      <c r="A714" s="898" t="s">
        <v>1685</v>
      </c>
      <c r="B714" s="1008" t="s">
        <v>1604</v>
      </c>
      <c r="C714" s="1259">
        <f t="shared" si="218"/>
        <v>7117863</v>
      </c>
      <c r="D714" s="773">
        <v>0</v>
      </c>
      <c r="E714" s="806">
        <v>2033370</v>
      </c>
      <c r="F714" s="785">
        <v>0</v>
      </c>
      <c r="G714" s="897">
        <v>5084493</v>
      </c>
      <c r="H714" s="907">
        <f t="shared" si="219"/>
        <v>5084493</v>
      </c>
      <c r="I714" s="769"/>
    </row>
    <row r="715" spans="1:9" ht="13.5" hidden="1" outlineLevel="1" thickBot="1">
      <c r="A715" s="1111" t="s">
        <v>1685</v>
      </c>
      <c r="B715" s="1252" t="s">
        <v>31</v>
      </c>
      <c r="C715" s="1224">
        <f>SUM(C708:C714)</f>
        <v>180589629.46194756</v>
      </c>
      <c r="D715" s="1224">
        <f t="shared" ref="D715:H715" si="220">SUM(D708:D714)</f>
        <v>229274000</v>
      </c>
      <c r="E715" s="1224">
        <f t="shared" si="220"/>
        <v>168822290</v>
      </c>
      <c r="F715" s="1224">
        <f t="shared" si="220"/>
        <v>217381523.46194759</v>
      </c>
      <c r="G715" s="1224">
        <f t="shared" si="220"/>
        <v>23659816</v>
      </c>
      <c r="H715" s="1224">
        <f t="shared" si="220"/>
        <v>241041339.46194756</v>
      </c>
      <c r="I715" s="754"/>
    </row>
    <row r="716" spans="1:9" hidden="1" outlineLevel="1">
      <c r="A716" s="898" t="s">
        <v>1686</v>
      </c>
      <c r="B716" s="927" t="s">
        <v>4</v>
      </c>
      <c r="C716" s="753">
        <f t="shared" ref="C716:C722" si="221">C708</f>
        <v>5268525</v>
      </c>
      <c r="D716" s="753">
        <v>0</v>
      </c>
      <c r="E716" s="780">
        <v>741300</v>
      </c>
      <c r="F716" s="730">
        <v>4527225</v>
      </c>
      <c r="G716" s="753">
        <v>0</v>
      </c>
      <c r="H716" s="905">
        <f t="shared" ref="H716:H722" si="222">C716+D716-E716</f>
        <v>4527225</v>
      </c>
      <c r="I716" s="753"/>
    </row>
    <row r="717" spans="1:9" hidden="1" outlineLevel="1">
      <c r="A717" s="898" t="s">
        <v>1686</v>
      </c>
      <c r="B717" s="928" t="s">
        <v>5</v>
      </c>
      <c r="C717" s="754">
        <f t="shared" si="221"/>
        <v>3661350</v>
      </c>
      <c r="D717" s="754">
        <v>0</v>
      </c>
      <c r="E717" s="782">
        <v>0</v>
      </c>
      <c r="F717" s="902">
        <v>0</v>
      </c>
      <c r="G717" s="767">
        <v>0</v>
      </c>
      <c r="H717" s="906">
        <f t="shared" si="222"/>
        <v>3661350</v>
      </c>
      <c r="I717" s="754"/>
    </row>
    <row r="718" spans="1:9" hidden="1" outlineLevel="1">
      <c r="A718" s="898" t="s">
        <v>1686</v>
      </c>
      <c r="B718" s="928" t="s">
        <v>6</v>
      </c>
      <c r="C718" s="754">
        <f t="shared" si="221"/>
        <v>131625066.46194756</v>
      </c>
      <c r="D718" s="754"/>
      <c r="E718" s="782"/>
      <c r="F718" s="732">
        <v>131625066.46194756</v>
      </c>
      <c r="G718" s="754"/>
      <c r="H718" s="906">
        <f t="shared" si="222"/>
        <v>131625066.46194756</v>
      </c>
      <c r="I718" s="754"/>
    </row>
    <row r="719" spans="1:9" hidden="1" outlineLevel="1">
      <c r="A719" s="898" t="s">
        <v>1686</v>
      </c>
      <c r="B719" s="920" t="s">
        <v>7</v>
      </c>
      <c r="C719" s="754">
        <f t="shared" si="221"/>
        <v>0</v>
      </c>
      <c r="D719" s="754">
        <v>0</v>
      </c>
      <c r="E719" s="767">
        <v>0</v>
      </c>
      <c r="F719" s="788">
        <v>0</v>
      </c>
      <c r="G719" s="767">
        <v>0</v>
      </c>
      <c r="H719" s="906">
        <f t="shared" si="222"/>
        <v>0</v>
      </c>
      <c r="I719" s="754"/>
    </row>
    <row r="720" spans="1:9" hidden="1" outlineLevel="1">
      <c r="A720" s="898" t="s">
        <v>1686</v>
      </c>
      <c r="B720" s="919" t="s">
        <v>8</v>
      </c>
      <c r="C720" s="754">
        <f t="shared" si="221"/>
        <v>14896863</v>
      </c>
      <c r="D720" s="754">
        <v>0</v>
      </c>
      <c r="E720" s="767">
        <v>0</v>
      </c>
      <c r="F720" s="777">
        <v>0</v>
      </c>
      <c r="G720" s="767">
        <v>14896863</v>
      </c>
      <c r="H720" s="906">
        <f t="shared" si="222"/>
        <v>14896863</v>
      </c>
      <c r="I720" s="754"/>
    </row>
    <row r="721" spans="1:9" hidden="1" outlineLevel="1">
      <c r="A721" s="898" t="s">
        <v>1686</v>
      </c>
      <c r="B721" s="919" t="s">
        <v>9</v>
      </c>
      <c r="C721" s="1256">
        <f t="shared" si="221"/>
        <v>18019962</v>
      </c>
      <c r="D721" s="962">
        <v>229274000</v>
      </c>
      <c r="E721" s="903">
        <v>166047620</v>
      </c>
      <c r="F721" s="963">
        <v>81229232.00000003</v>
      </c>
      <c r="G721" s="908">
        <v>17110</v>
      </c>
      <c r="H721" s="906">
        <f t="shared" si="222"/>
        <v>81246342</v>
      </c>
      <c r="I721" s="754"/>
    </row>
    <row r="722" spans="1:9" ht="16.5" hidden="1" outlineLevel="1" thickBot="1">
      <c r="A722" s="898" t="s">
        <v>1686</v>
      </c>
      <c r="B722" s="1008" t="s">
        <v>1604</v>
      </c>
      <c r="C722" s="1259">
        <f t="shared" si="221"/>
        <v>7117863</v>
      </c>
      <c r="D722" s="773">
        <v>0</v>
      </c>
      <c r="E722" s="806">
        <v>2033370</v>
      </c>
      <c r="F722" s="785">
        <v>0</v>
      </c>
      <c r="G722" s="897">
        <v>5084493</v>
      </c>
      <c r="H722" s="907">
        <f t="shared" si="222"/>
        <v>5084493</v>
      </c>
      <c r="I722" s="769"/>
    </row>
    <row r="723" spans="1:9" ht="13.5" hidden="1" outlineLevel="1" thickBot="1">
      <c r="A723" s="1111" t="s">
        <v>1686</v>
      </c>
      <c r="B723" s="1252" t="s">
        <v>31</v>
      </c>
      <c r="C723" s="1224">
        <f>SUM(C716:C722)</f>
        <v>180589629.46194756</v>
      </c>
      <c r="D723" s="1224">
        <f t="shared" ref="D723:H723" si="223">SUM(D716:D722)</f>
        <v>229274000</v>
      </c>
      <c r="E723" s="1224">
        <f t="shared" si="223"/>
        <v>168822290</v>
      </c>
      <c r="F723" s="1224">
        <f t="shared" si="223"/>
        <v>217381523.46194759</v>
      </c>
      <c r="G723" s="1224">
        <f t="shared" si="223"/>
        <v>19998466</v>
      </c>
      <c r="H723" s="1224">
        <f t="shared" si="223"/>
        <v>241041339.46194756</v>
      </c>
      <c r="I723" s="754"/>
    </row>
    <row r="724" spans="1:9" hidden="1" outlineLevel="1">
      <c r="A724" s="898" t="s">
        <v>1687</v>
      </c>
      <c r="B724" s="927" t="s">
        <v>4</v>
      </c>
      <c r="C724" s="753">
        <f t="shared" ref="C724:C730" si="224">C716</f>
        <v>5268525</v>
      </c>
      <c r="D724" s="753">
        <v>0</v>
      </c>
      <c r="E724" s="780">
        <v>741300</v>
      </c>
      <c r="F724" s="730">
        <v>4527225</v>
      </c>
      <c r="G724" s="753">
        <v>0</v>
      </c>
      <c r="H724" s="905">
        <f t="shared" ref="H724:H730" si="225">C724+D724-E724</f>
        <v>4527225</v>
      </c>
      <c r="I724" s="753"/>
    </row>
    <row r="725" spans="1:9" hidden="1" outlineLevel="1">
      <c r="A725" s="898" t="s">
        <v>1687</v>
      </c>
      <c r="B725" s="928" t="s">
        <v>5</v>
      </c>
      <c r="C725" s="754">
        <f t="shared" si="224"/>
        <v>3661350</v>
      </c>
      <c r="D725" s="754">
        <v>0</v>
      </c>
      <c r="E725" s="782">
        <v>3661350</v>
      </c>
      <c r="F725" s="902">
        <v>0</v>
      </c>
      <c r="G725" s="767">
        <v>0</v>
      </c>
      <c r="H725" s="906">
        <f t="shared" si="225"/>
        <v>0</v>
      </c>
      <c r="I725" s="754"/>
    </row>
    <row r="726" spans="1:9" hidden="1" outlineLevel="1">
      <c r="A726" s="898" t="s">
        <v>1687</v>
      </c>
      <c r="B726" s="928" t="s">
        <v>6</v>
      </c>
      <c r="C726" s="754">
        <f t="shared" si="224"/>
        <v>131625066.46194756</v>
      </c>
      <c r="D726" s="754"/>
      <c r="E726" s="782"/>
      <c r="F726" s="732">
        <v>131625066.46194756</v>
      </c>
      <c r="G726" s="754"/>
      <c r="H726" s="906">
        <f t="shared" si="225"/>
        <v>131625066.46194756</v>
      </c>
      <c r="I726" s="754"/>
    </row>
    <row r="727" spans="1:9" hidden="1" outlineLevel="1">
      <c r="A727" s="898" t="s">
        <v>1687</v>
      </c>
      <c r="B727" s="920" t="s">
        <v>7</v>
      </c>
      <c r="C727" s="754">
        <f t="shared" si="224"/>
        <v>0</v>
      </c>
      <c r="D727" s="754">
        <v>0</v>
      </c>
      <c r="E727" s="767">
        <v>0</v>
      </c>
      <c r="F727" s="788">
        <v>0</v>
      </c>
      <c r="G727" s="767">
        <v>0</v>
      </c>
      <c r="H727" s="906">
        <f t="shared" si="225"/>
        <v>0</v>
      </c>
      <c r="I727" s="754"/>
    </row>
    <row r="728" spans="1:9" hidden="1" outlineLevel="1">
      <c r="A728" s="898" t="s">
        <v>1687</v>
      </c>
      <c r="B728" s="919" t="s">
        <v>8</v>
      </c>
      <c r="C728" s="754">
        <f t="shared" si="224"/>
        <v>14896863</v>
      </c>
      <c r="D728" s="754">
        <v>0</v>
      </c>
      <c r="E728" s="767">
        <v>0</v>
      </c>
      <c r="F728" s="777">
        <v>0</v>
      </c>
      <c r="G728" s="767">
        <v>14896863</v>
      </c>
      <c r="H728" s="906">
        <f t="shared" si="225"/>
        <v>14896863</v>
      </c>
      <c r="I728" s="754"/>
    </row>
    <row r="729" spans="1:9" hidden="1" outlineLevel="1">
      <c r="A729" s="898" t="s">
        <v>1687</v>
      </c>
      <c r="B729" s="919" t="s">
        <v>9</v>
      </c>
      <c r="C729" s="1256">
        <f t="shared" si="224"/>
        <v>18019962</v>
      </c>
      <c r="D729" s="962">
        <v>229274000</v>
      </c>
      <c r="E729" s="903">
        <v>166047620</v>
      </c>
      <c r="F729" s="963">
        <v>81229232.00000003</v>
      </c>
      <c r="G729" s="908">
        <v>17110</v>
      </c>
      <c r="H729" s="906">
        <f t="shared" si="225"/>
        <v>81246342</v>
      </c>
      <c r="I729" s="754"/>
    </row>
    <row r="730" spans="1:9" ht="16.5" hidden="1" outlineLevel="1" thickBot="1">
      <c r="A730" s="898" t="s">
        <v>1687</v>
      </c>
      <c r="B730" s="1008" t="s">
        <v>1604</v>
      </c>
      <c r="C730" s="1259">
        <f t="shared" si="224"/>
        <v>7117863</v>
      </c>
      <c r="D730" s="773">
        <v>0</v>
      </c>
      <c r="E730" s="806">
        <v>2033370</v>
      </c>
      <c r="F730" s="785">
        <v>0</v>
      </c>
      <c r="G730" s="897">
        <v>5084493</v>
      </c>
      <c r="H730" s="907">
        <f t="shared" si="225"/>
        <v>5084493</v>
      </c>
      <c r="I730" s="769"/>
    </row>
    <row r="731" spans="1:9" ht="13.5" hidden="1" outlineLevel="1" thickBot="1">
      <c r="A731" s="1111" t="s">
        <v>1687</v>
      </c>
      <c r="B731" s="1252" t="s">
        <v>31</v>
      </c>
      <c r="C731" s="1224">
        <f>SUM(C724:C730)</f>
        <v>180589629.46194756</v>
      </c>
      <c r="D731" s="1224">
        <f t="shared" ref="D731:H731" si="226">SUM(D724:D730)</f>
        <v>229274000</v>
      </c>
      <c r="E731" s="1224">
        <f t="shared" si="226"/>
        <v>172483640</v>
      </c>
      <c r="F731" s="1224">
        <f t="shared" si="226"/>
        <v>217381523.46194759</v>
      </c>
      <c r="G731" s="1224">
        <f t="shared" si="226"/>
        <v>19998466</v>
      </c>
      <c r="H731" s="1224">
        <f t="shared" si="226"/>
        <v>237379989.46194756</v>
      </c>
      <c r="I731" s="754"/>
    </row>
    <row r="732" spans="1:9" hidden="1" outlineLevel="1">
      <c r="A732" s="898" t="s">
        <v>1688</v>
      </c>
      <c r="B732" s="927" t="s">
        <v>4</v>
      </c>
      <c r="C732" s="753">
        <f t="shared" ref="C732:C738" si="227">C724</f>
        <v>5268525</v>
      </c>
      <c r="D732" s="753">
        <v>0</v>
      </c>
      <c r="E732" s="780">
        <v>741300</v>
      </c>
      <c r="F732" s="730">
        <v>4527225</v>
      </c>
      <c r="G732" s="753">
        <v>0</v>
      </c>
      <c r="H732" s="905">
        <f t="shared" ref="H732:H738" si="228">C732+D732-E732</f>
        <v>4527225</v>
      </c>
      <c r="I732" s="753"/>
    </row>
    <row r="733" spans="1:9" hidden="1" outlineLevel="1">
      <c r="A733" s="898" t="s">
        <v>1688</v>
      </c>
      <c r="B733" s="928" t="s">
        <v>5</v>
      </c>
      <c r="C733" s="754">
        <f t="shared" si="227"/>
        <v>3661350</v>
      </c>
      <c r="D733" s="754">
        <v>0</v>
      </c>
      <c r="E733" s="782">
        <v>3661350</v>
      </c>
      <c r="F733" s="902">
        <v>0</v>
      </c>
      <c r="G733" s="767">
        <v>0</v>
      </c>
      <c r="H733" s="906">
        <f t="shared" si="228"/>
        <v>0</v>
      </c>
      <c r="I733" s="754"/>
    </row>
    <row r="734" spans="1:9" hidden="1" outlineLevel="1">
      <c r="A734" s="898" t="s">
        <v>1688</v>
      </c>
      <c r="B734" s="928" t="s">
        <v>6</v>
      </c>
      <c r="C734" s="754">
        <f t="shared" si="227"/>
        <v>131625066.46194756</v>
      </c>
      <c r="D734" s="754"/>
      <c r="E734" s="782"/>
      <c r="F734" s="732">
        <v>131625066.46194756</v>
      </c>
      <c r="G734" s="754"/>
      <c r="H734" s="906">
        <f t="shared" si="228"/>
        <v>131625066.46194756</v>
      </c>
      <c r="I734" s="754"/>
    </row>
    <row r="735" spans="1:9" hidden="1" outlineLevel="1">
      <c r="A735" s="898" t="s">
        <v>1688</v>
      </c>
      <c r="B735" s="920" t="s">
        <v>7</v>
      </c>
      <c r="C735" s="754">
        <f t="shared" si="227"/>
        <v>0</v>
      </c>
      <c r="D735" s="754">
        <v>0</v>
      </c>
      <c r="E735" s="767">
        <v>0</v>
      </c>
      <c r="F735" s="788">
        <v>0</v>
      </c>
      <c r="G735" s="767">
        <v>0</v>
      </c>
      <c r="H735" s="906">
        <f t="shared" si="228"/>
        <v>0</v>
      </c>
      <c r="I735" s="754"/>
    </row>
    <row r="736" spans="1:9" hidden="1" outlineLevel="1">
      <c r="A736" s="898" t="s">
        <v>1688</v>
      </c>
      <c r="B736" s="919" t="s">
        <v>8</v>
      </c>
      <c r="C736" s="754">
        <f t="shared" si="227"/>
        <v>14896863</v>
      </c>
      <c r="D736" s="754">
        <v>0</v>
      </c>
      <c r="E736" s="767">
        <v>0</v>
      </c>
      <c r="F736" s="777">
        <v>0</v>
      </c>
      <c r="G736" s="767">
        <v>14896863</v>
      </c>
      <c r="H736" s="906">
        <f t="shared" si="228"/>
        <v>14896863</v>
      </c>
      <c r="I736" s="754"/>
    </row>
    <row r="737" spans="1:9" hidden="1" outlineLevel="1">
      <c r="A737" s="898" t="s">
        <v>1688</v>
      </c>
      <c r="B737" s="919" t="s">
        <v>9</v>
      </c>
      <c r="C737" s="1256">
        <f t="shared" si="227"/>
        <v>18019962</v>
      </c>
      <c r="D737" s="962">
        <v>229274000</v>
      </c>
      <c r="E737" s="903">
        <v>166047620</v>
      </c>
      <c r="F737" s="963">
        <v>81229232.00000003</v>
      </c>
      <c r="G737" s="908">
        <v>17110</v>
      </c>
      <c r="H737" s="906">
        <f t="shared" si="228"/>
        <v>81246342</v>
      </c>
      <c r="I737" s="754"/>
    </row>
    <row r="738" spans="1:9" ht="16.5" hidden="1" outlineLevel="1" thickBot="1">
      <c r="A738" s="898" t="s">
        <v>1688</v>
      </c>
      <c r="B738" s="1008" t="s">
        <v>1604</v>
      </c>
      <c r="C738" s="1259">
        <f t="shared" si="227"/>
        <v>7117863</v>
      </c>
      <c r="D738" s="773">
        <v>42001350</v>
      </c>
      <c r="E738" s="806">
        <v>26856370</v>
      </c>
      <c r="F738" s="785">
        <v>0</v>
      </c>
      <c r="G738" s="897">
        <v>22262843</v>
      </c>
      <c r="H738" s="907">
        <f t="shared" si="228"/>
        <v>22262843</v>
      </c>
      <c r="I738" s="769"/>
    </row>
    <row r="739" spans="1:9" ht="13.5" hidden="1" outlineLevel="1" thickBot="1">
      <c r="A739" s="1111" t="s">
        <v>1688</v>
      </c>
      <c r="B739" s="1252" t="s">
        <v>31</v>
      </c>
      <c r="C739" s="1224">
        <f>SUM(C732:C738)</f>
        <v>180589629.46194756</v>
      </c>
      <c r="D739" s="1224">
        <f t="shared" ref="D739:H739" si="229">SUM(D732:D738)</f>
        <v>271275350</v>
      </c>
      <c r="E739" s="1224">
        <f t="shared" si="229"/>
        <v>197306640</v>
      </c>
      <c r="F739" s="1224">
        <f t="shared" si="229"/>
        <v>217381523.46194759</v>
      </c>
      <c r="G739" s="1224">
        <f t="shared" si="229"/>
        <v>37176816</v>
      </c>
      <c r="H739" s="1224">
        <f t="shared" si="229"/>
        <v>254558339.46194756</v>
      </c>
      <c r="I739" s="754"/>
    </row>
    <row r="740" spans="1:9" hidden="1" outlineLevel="1">
      <c r="A740" s="898" t="s">
        <v>1689</v>
      </c>
      <c r="B740" s="927" t="s">
        <v>4</v>
      </c>
      <c r="C740" s="753">
        <f t="shared" ref="C740:C746" si="230">C732</f>
        <v>5268525</v>
      </c>
      <c r="D740" s="753">
        <v>0</v>
      </c>
      <c r="E740" s="780">
        <v>741300</v>
      </c>
      <c r="F740" s="730">
        <v>4527225</v>
      </c>
      <c r="G740" s="753">
        <v>0</v>
      </c>
      <c r="H740" s="905">
        <f t="shared" ref="H740:H746" si="231">C740+D740-E740</f>
        <v>4527225</v>
      </c>
      <c r="I740" s="753"/>
    </row>
    <row r="741" spans="1:9" hidden="1" outlineLevel="1">
      <c r="A741" s="898" t="s">
        <v>1689</v>
      </c>
      <c r="B741" s="928" t="s">
        <v>5</v>
      </c>
      <c r="C741" s="754">
        <f t="shared" si="230"/>
        <v>3661350</v>
      </c>
      <c r="D741" s="754">
        <v>0</v>
      </c>
      <c r="E741" s="782">
        <v>3661350</v>
      </c>
      <c r="F741" s="902">
        <v>0</v>
      </c>
      <c r="G741" s="767">
        <v>0</v>
      </c>
      <c r="H741" s="906">
        <f t="shared" si="231"/>
        <v>0</v>
      </c>
      <c r="I741" s="754"/>
    </row>
    <row r="742" spans="1:9" hidden="1" outlineLevel="1">
      <c r="A742" s="898" t="s">
        <v>1689</v>
      </c>
      <c r="B742" s="928" t="s">
        <v>6</v>
      </c>
      <c r="C742" s="754">
        <f t="shared" si="230"/>
        <v>131625066.46194756</v>
      </c>
      <c r="D742" s="754"/>
      <c r="E742" s="782"/>
      <c r="F742" s="732">
        <v>131625066.46194756</v>
      </c>
      <c r="G742" s="754"/>
      <c r="H742" s="906">
        <f t="shared" si="231"/>
        <v>131625066.46194756</v>
      </c>
      <c r="I742" s="754"/>
    </row>
    <row r="743" spans="1:9" hidden="1" outlineLevel="1">
      <c r="A743" s="898" t="s">
        <v>1689</v>
      </c>
      <c r="B743" s="920" t="s">
        <v>7</v>
      </c>
      <c r="C743" s="754">
        <f t="shared" si="230"/>
        <v>0</v>
      </c>
      <c r="D743" s="754">
        <v>0</v>
      </c>
      <c r="E743" s="767">
        <v>0</v>
      </c>
      <c r="F743" s="788">
        <v>0</v>
      </c>
      <c r="G743" s="767">
        <v>0</v>
      </c>
      <c r="H743" s="906">
        <f t="shared" si="231"/>
        <v>0</v>
      </c>
      <c r="I743" s="754"/>
    </row>
    <row r="744" spans="1:9" hidden="1" outlineLevel="1">
      <c r="A744" s="898" t="s">
        <v>1689</v>
      </c>
      <c r="B744" s="919" t="s">
        <v>8</v>
      </c>
      <c r="C744" s="754">
        <f t="shared" si="230"/>
        <v>14896863</v>
      </c>
      <c r="D744" s="754">
        <v>0</v>
      </c>
      <c r="E744" s="767">
        <v>0</v>
      </c>
      <c r="F744" s="777">
        <v>0</v>
      </c>
      <c r="G744" s="767">
        <v>14896863</v>
      </c>
      <c r="H744" s="906">
        <f t="shared" si="231"/>
        <v>14896863</v>
      </c>
      <c r="I744" s="754"/>
    </row>
    <row r="745" spans="1:9" hidden="1" outlineLevel="1">
      <c r="A745" s="898" t="s">
        <v>1689</v>
      </c>
      <c r="B745" s="919" t="s">
        <v>9</v>
      </c>
      <c r="C745" s="1256">
        <f t="shared" si="230"/>
        <v>18019962</v>
      </c>
      <c r="D745" s="962">
        <v>229274000</v>
      </c>
      <c r="E745" s="903">
        <v>166047620</v>
      </c>
      <c r="F745" s="963">
        <v>81229232.00000003</v>
      </c>
      <c r="G745" s="908">
        <v>17110</v>
      </c>
      <c r="H745" s="906">
        <f t="shared" si="231"/>
        <v>81246342</v>
      </c>
      <c r="I745" s="754"/>
    </row>
    <row r="746" spans="1:9" ht="16.5" hidden="1" outlineLevel="1" thickBot="1">
      <c r="A746" s="898" t="s">
        <v>1689</v>
      </c>
      <c r="B746" s="1008" t="s">
        <v>1604</v>
      </c>
      <c r="C746" s="1259">
        <f t="shared" si="230"/>
        <v>7117863</v>
      </c>
      <c r="D746" s="773">
        <v>42001350</v>
      </c>
      <c r="E746" s="806">
        <v>26856370</v>
      </c>
      <c r="F746" s="785">
        <v>0</v>
      </c>
      <c r="G746" s="897">
        <v>22262843</v>
      </c>
      <c r="H746" s="907">
        <f t="shared" si="231"/>
        <v>22262843</v>
      </c>
      <c r="I746" s="769"/>
    </row>
    <row r="747" spans="1:9" ht="13.5" hidden="1" outlineLevel="1" thickBot="1">
      <c r="A747" s="1111" t="s">
        <v>1689</v>
      </c>
      <c r="B747" s="1252" t="s">
        <v>31</v>
      </c>
      <c r="C747" s="1224">
        <f>SUM(C740:C746)</f>
        <v>180589629.46194756</v>
      </c>
      <c r="D747" s="1224">
        <f t="shared" ref="D747:H747" si="232">SUM(D740:D746)</f>
        <v>271275350</v>
      </c>
      <c r="E747" s="1224">
        <f t="shared" si="232"/>
        <v>197306640</v>
      </c>
      <c r="F747" s="1224">
        <f t="shared" si="232"/>
        <v>217381523.46194759</v>
      </c>
      <c r="G747" s="1224">
        <f t="shared" si="232"/>
        <v>37176816</v>
      </c>
      <c r="H747" s="1224">
        <f t="shared" si="232"/>
        <v>254558339.46194756</v>
      </c>
      <c r="I747" s="754"/>
    </row>
    <row r="748" spans="1:9" hidden="1" outlineLevel="1">
      <c r="A748" s="898" t="s">
        <v>1690</v>
      </c>
      <c r="B748" s="927" t="s">
        <v>4</v>
      </c>
      <c r="C748" s="753">
        <f t="shared" ref="C748:C754" si="233">C740</f>
        <v>5268525</v>
      </c>
      <c r="D748" s="753">
        <v>0</v>
      </c>
      <c r="E748" s="780">
        <v>741300</v>
      </c>
      <c r="F748" s="730">
        <v>4527225</v>
      </c>
      <c r="G748" s="753">
        <v>0</v>
      </c>
      <c r="H748" s="905">
        <f t="shared" ref="H748:H754" si="234">C748+D748-E748</f>
        <v>4527225</v>
      </c>
      <c r="I748" s="753"/>
    </row>
    <row r="749" spans="1:9" hidden="1" outlineLevel="1">
      <c r="A749" s="898" t="s">
        <v>1690</v>
      </c>
      <c r="B749" s="928" t="s">
        <v>5</v>
      </c>
      <c r="C749" s="754">
        <f t="shared" si="233"/>
        <v>3661350</v>
      </c>
      <c r="D749" s="754">
        <v>0</v>
      </c>
      <c r="E749" s="782">
        <v>3661350</v>
      </c>
      <c r="F749" s="902">
        <v>0</v>
      </c>
      <c r="G749" s="767">
        <v>0</v>
      </c>
      <c r="H749" s="906">
        <f t="shared" si="234"/>
        <v>0</v>
      </c>
      <c r="I749" s="754"/>
    </row>
    <row r="750" spans="1:9" hidden="1" outlineLevel="1">
      <c r="A750" s="898" t="s">
        <v>1690</v>
      </c>
      <c r="B750" s="928" t="s">
        <v>6</v>
      </c>
      <c r="C750" s="754">
        <f t="shared" si="233"/>
        <v>131625066.46194756</v>
      </c>
      <c r="D750" s="754"/>
      <c r="E750" s="782"/>
      <c r="F750" s="732">
        <v>131625066.46194756</v>
      </c>
      <c r="G750" s="754"/>
      <c r="H750" s="906">
        <f t="shared" si="234"/>
        <v>131625066.46194756</v>
      </c>
      <c r="I750" s="754"/>
    </row>
    <row r="751" spans="1:9" hidden="1" outlineLevel="1">
      <c r="A751" s="898" t="s">
        <v>1690</v>
      </c>
      <c r="B751" s="920" t="s">
        <v>7</v>
      </c>
      <c r="C751" s="754">
        <f t="shared" si="233"/>
        <v>0</v>
      </c>
      <c r="D751" s="754">
        <v>0</v>
      </c>
      <c r="E751" s="767">
        <v>0</v>
      </c>
      <c r="F751" s="788">
        <v>0</v>
      </c>
      <c r="G751" s="767">
        <v>0</v>
      </c>
      <c r="H751" s="906">
        <f t="shared" si="234"/>
        <v>0</v>
      </c>
      <c r="I751" s="754"/>
    </row>
    <row r="752" spans="1:9" hidden="1" outlineLevel="1">
      <c r="A752" s="898" t="s">
        <v>1690</v>
      </c>
      <c r="B752" s="919" t="s">
        <v>8</v>
      </c>
      <c r="C752" s="754">
        <f t="shared" si="233"/>
        <v>14896863</v>
      </c>
      <c r="D752" s="754">
        <v>0</v>
      </c>
      <c r="E752" s="767">
        <v>0</v>
      </c>
      <c r="F752" s="777">
        <v>0</v>
      </c>
      <c r="G752" s="767">
        <v>14896863</v>
      </c>
      <c r="H752" s="906">
        <f t="shared" si="234"/>
        <v>14896863</v>
      </c>
      <c r="I752" s="754"/>
    </row>
    <row r="753" spans="1:9" hidden="1" outlineLevel="1">
      <c r="A753" s="898" t="s">
        <v>1690</v>
      </c>
      <c r="B753" s="919" t="s">
        <v>9</v>
      </c>
      <c r="C753" s="1256">
        <f t="shared" si="233"/>
        <v>18019962</v>
      </c>
      <c r="D753" s="962">
        <v>229274000</v>
      </c>
      <c r="E753" s="903">
        <v>166047620</v>
      </c>
      <c r="F753" s="963">
        <v>81229232.00000003</v>
      </c>
      <c r="G753" s="908">
        <v>17110</v>
      </c>
      <c r="H753" s="906">
        <f t="shared" si="234"/>
        <v>81246342</v>
      </c>
      <c r="I753" s="754"/>
    </row>
    <row r="754" spans="1:9" ht="16.5" hidden="1" outlineLevel="1" thickBot="1">
      <c r="A754" s="898" t="s">
        <v>1690</v>
      </c>
      <c r="B754" s="1008" t="s">
        <v>1604</v>
      </c>
      <c r="C754" s="1259">
        <f t="shared" si="233"/>
        <v>7117863</v>
      </c>
      <c r="D754" s="773">
        <v>42001350</v>
      </c>
      <c r="E754" s="806">
        <v>26856370</v>
      </c>
      <c r="F754" s="785">
        <v>0</v>
      </c>
      <c r="G754" s="897">
        <v>22262843</v>
      </c>
      <c r="H754" s="907">
        <f t="shared" si="234"/>
        <v>22262843</v>
      </c>
      <c r="I754" s="769"/>
    </row>
    <row r="755" spans="1:9" ht="13.5" hidden="1" outlineLevel="1" thickBot="1">
      <c r="A755" s="1111" t="s">
        <v>1690</v>
      </c>
      <c r="B755" s="1252" t="s">
        <v>31</v>
      </c>
      <c r="C755" s="1224">
        <f>SUM(C748:C754)</f>
        <v>180589629.46194756</v>
      </c>
      <c r="D755" s="1224">
        <f t="shared" ref="D755:H755" si="235">SUM(D748:D754)</f>
        <v>271275350</v>
      </c>
      <c r="E755" s="1224">
        <f t="shared" si="235"/>
        <v>197306640</v>
      </c>
      <c r="F755" s="1224">
        <f t="shared" si="235"/>
        <v>217381523.46194759</v>
      </c>
      <c r="G755" s="1224">
        <f t="shared" si="235"/>
        <v>37176816</v>
      </c>
      <c r="H755" s="1224">
        <f t="shared" si="235"/>
        <v>254558339.46194756</v>
      </c>
      <c r="I755" s="754"/>
    </row>
    <row r="756" spans="1:9" hidden="1" outlineLevel="1">
      <c r="A756" s="898" t="s">
        <v>1691</v>
      </c>
      <c r="B756" s="927" t="s">
        <v>4</v>
      </c>
      <c r="C756" s="753">
        <f t="shared" ref="C756:C762" si="236">C748</f>
        <v>5268525</v>
      </c>
      <c r="D756" s="753">
        <v>0</v>
      </c>
      <c r="E756" s="780">
        <v>741300</v>
      </c>
      <c r="F756" s="730">
        <v>4527225</v>
      </c>
      <c r="G756" s="753">
        <v>0</v>
      </c>
      <c r="H756" s="905">
        <f t="shared" ref="H756:H762" si="237">C756+D756-E756</f>
        <v>4527225</v>
      </c>
      <c r="I756" s="753"/>
    </row>
    <row r="757" spans="1:9" hidden="1" outlineLevel="1">
      <c r="A757" s="898" t="s">
        <v>1691</v>
      </c>
      <c r="B757" s="928" t="s">
        <v>5</v>
      </c>
      <c r="C757" s="754">
        <f t="shared" si="236"/>
        <v>3661350</v>
      </c>
      <c r="D757" s="754"/>
      <c r="E757" s="782">
        <v>3661350</v>
      </c>
      <c r="F757" s="902">
        <v>0</v>
      </c>
      <c r="G757" s="767">
        <v>0</v>
      </c>
      <c r="H757" s="906">
        <f t="shared" si="237"/>
        <v>0</v>
      </c>
      <c r="I757" s="754"/>
    </row>
    <row r="758" spans="1:9" hidden="1" outlineLevel="1">
      <c r="A758" s="898" t="s">
        <v>1691</v>
      </c>
      <c r="B758" s="928" t="s">
        <v>6</v>
      </c>
      <c r="C758" s="754">
        <f t="shared" si="236"/>
        <v>131625066.46194756</v>
      </c>
      <c r="D758" s="754"/>
      <c r="E758" s="782"/>
      <c r="F758" s="732">
        <v>131625066.46194756</v>
      </c>
      <c r="G758" s="754"/>
      <c r="H758" s="906">
        <f t="shared" si="237"/>
        <v>131625066.46194756</v>
      </c>
      <c r="I758" s="754"/>
    </row>
    <row r="759" spans="1:9" hidden="1" outlineLevel="1">
      <c r="A759" s="898" t="s">
        <v>1691</v>
      </c>
      <c r="B759" s="920" t="s">
        <v>7</v>
      </c>
      <c r="C759" s="754">
        <f t="shared" si="236"/>
        <v>0</v>
      </c>
      <c r="D759" s="754">
        <v>0</v>
      </c>
      <c r="E759" s="767">
        <v>0</v>
      </c>
      <c r="F759" s="788">
        <v>0</v>
      </c>
      <c r="G759" s="767">
        <v>0</v>
      </c>
      <c r="H759" s="906">
        <f t="shared" si="237"/>
        <v>0</v>
      </c>
      <c r="I759" s="754"/>
    </row>
    <row r="760" spans="1:9" hidden="1" outlineLevel="1">
      <c r="A760" s="898" t="s">
        <v>1691</v>
      </c>
      <c r="B760" s="919" t="s">
        <v>8</v>
      </c>
      <c r="C760" s="754">
        <f t="shared" si="236"/>
        <v>14896863</v>
      </c>
      <c r="D760" s="754">
        <v>0</v>
      </c>
      <c r="E760" s="767">
        <v>0</v>
      </c>
      <c r="F760" s="777">
        <v>0</v>
      </c>
      <c r="G760" s="767">
        <v>14896863</v>
      </c>
      <c r="H760" s="906">
        <f t="shared" si="237"/>
        <v>14896863</v>
      </c>
      <c r="I760" s="754"/>
    </row>
    <row r="761" spans="1:9" hidden="1" outlineLevel="1">
      <c r="A761" s="898" t="s">
        <v>1691</v>
      </c>
      <c r="B761" s="919" t="s">
        <v>9</v>
      </c>
      <c r="C761" s="1256">
        <f t="shared" si="236"/>
        <v>18019962</v>
      </c>
      <c r="D761" s="962">
        <v>229274000</v>
      </c>
      <c r="E761" s="903">
        <v>166047620</v>
      </c>
      <c r="F761" s="963">
        <v>81229232.00000003</v>
      </c>
      <c r="G761" s="908">
        <v>17110</v>
      </c>
      <c r="H761" s="906">
        <f t="shared" si="237"/>
        <v>81246342</v>
      </c>
      <c r="I761" s="754"/>
    </row>
    <row r="762" spans="1:9" ht="16.5" hidden="1" outlineLevel="1" thickBot="1">
      <c r="A762" s="898" t="s">
        <v>1691</v>
      </c>
      <c r="B762" s="1008" t="s">
        <v>1604</v>
      </c>
      <c r="C762" s="1259">
        <f t="shared" si="236"/>
        <v>7117863</v>
      </c>
      <c r="D762" s="773">
        <v>42001350</v>
      </c>
      <c r="E762" s="806">
        <v>26856370</v>
      </c>
      <c r="F762" s="785">
        <v>0</v>
      </c>
      <c r="G762" s="897">
        <v>22262843</v>
      </c>
      <c r="H762" s="907">
        <f t="shared" si="237"/>
        <v>22262843</v>
      </c>
      <c r="I762" s="769"/>
    </row>
    <row r="763" spans="1:9" ht="13.5" hidden="1" outlineLevel="1" thickBot="1">
      <c r="A763" s="1111" t="s">
        <v>1691</v>
      </c>
      <c r="B763" s="1252" t="s">
        <v>31</v>
      </c>
      <c r="C763" s="1224">
        <f>SUM(C756:C762)</f>
        <v>180589629.46194756</v>
      </c>
      <c r="D763" s="1224">
        <f t="shared" ref="D763:H763" si="238">SUM(D756:D762)</f>
        <v>271275350</v>
      </c>
      <c r="E763" s="1224">
        <f t="shared" si="238"/>
        <v>197306640</v>
      </c>
      <c r="F763" s="1224">
        <f t="shared" si="238"/>
        <v>217381523.46194759</v>
      </c>
      <c r="G763" s="1224">
        <f t="shared" si="238"/>
        <v>37176816</v>
      </c>
      <c r="H763" s="1224">
        <f t="shared" si="238"/>
        <v>254558339.46194756</v>
      </c>
      <c r="I763" s="754"/>
    </row>
    <row r="764" spans="1:9" hidden="1" outlineLevel="1">
      <c r="A764" s="898" t="s">
        <v>1692</v>
      </c>
      <c r="B764" s="927" t="s">
        <v>4</v>
      </c>
      <c r="C764" s="753">
        <f t="shared" ref="C764:C770" si="239">C756</f>
        <v>5268525</v>
      </c>
      <c r="D764" s="753">
        <v>0</v>
      </c>
      <c r="E764" s="780">
        <v>741300</v>
      </c>
      <c r="F764" s="730">
        <v>4527225</v>
      </c>
      <c r="G764" s="753">
        <v>0</v>
      </c>
      <c r="H764" s="905">
        <f t="shared" ref="H764:H770" si="240">C764+D764-E764</f>
        <v>4527225</v>
      </c>
      <c r="I764" s="753"/>
    </row>
    <row r="765" spans="1:9" hidden="1" outlineLevel="1">
      <c r="A765" s="898" t="s">
        <v>1692</v>
      </c>
      <c r="B765" s="928" t="s">
        <v>5</v>
      </c>
      <c r="C765" s="754">
        <f t="shared" si="239"/>
        <v>3661350</v>
      </c>
      <c r="D765" s="754">
        <v>0</v>
      </c>
      <c r="E765" s="782">
        <v>3661350</v>
      </c>
      <c r="F765" s="902">
        <v>0</v>
      </c>
      <c r="G765" s="767">
        <v>0</v>
      </c>
      <c r="H765" s="906">
        <f t="shared" si="240"/>
        <v>0</v>
      </c>
      <c r="I765" s="754"/>
    </row>
    <row r="766" spans="1:9" hidden="1" outlineLevel="1">
      <c r="A766" s="898" t="s">
        <v>1692</v>
      </c>
      <c r="B766" s="928" t="s">
        <v>6</v>
      </c>
      <c r="C766" s="754">
        <f t="shared" si="239"/>
        <v>131625066.46194756</v>
      </c>
      <c r="D766" s="754"/>
      <c r="E766" s="782"/>
      <c r="F766" s="732">
        <v>131625066.46194756</v>
      </c>
      <c r="G766" s="754"/>
      <c r="H766" s="906">
        <f t="shared" si="240"/>
        <v>131625066.46194756</v>
      </c>
      <c r="I766" s="754"/>
    </row>
    <row r="767" spans="1:9" hidden="1" outlineLevel="1">
      <c r="A767" s="898" t="s">
        <v>1692</v>
      </c>
      <c r="B767" s="920" t="s">
        <v>7</v>
      </c>
      <c r="C767" s="754">
        <f t="shared" si="239"/>
        <v>0</v>
      </c>
      <c r="D767" s="754">
        <v>0</v>
      </c>
      <c r="E767" s="767">
        <v>0</v>
      </c>
      <c r="F767" s="788">
        <v>0</v>
      </c>
      <c r="G767" s="767">
        <v>0</v>
      </c>
      <c r="H767" s="906">
        <f t="shared" si="240"/>
        <v>0</v>
      </c>
      <c r="I767" s="754"/>
    </row>
    <row r="768" spans="1:9" hidden="1" outlineLevel="1">
      <c r="A768" s="898" t="s">
        <v>1692</v>
      </c>
      <c r="B768" s="919" t="s">
        <v>8</v>
      </c>
      <c r="C768" s="754">
        <f t="shared" si="239"/>
        <v>14896863</v>
      </c>
      <c r="D768" s="754">
        <v>0</v>
      </c>
      <c r="E768" s="767">
        <v>0</v>
      </c>
      <c r="F768" s="777">
        <v>0</v>
      </c>
      <c r="G768" s="767">
        <v>14896863</v>
      </c>
      <c r="H768" s="906">
        <f t="shared" si="240"/>
        <v>14896863</v>
      </c>
      <c r="I768" s="754"/>
    </row>
    <row r="769" spans="1:9" hidden="1" outlineLevel="1">
      <c r="A769" s="898" t="s">
        <v>1692</v>
      </c>
      <c r="B769" s="919" t="s">
        <v>9</v>
      </c>
      <c r="C769" s="1256">
        <f t="shared" si="239"/>
        <v>18019962</v>
      </c>
      <c r="D769" s="962">
        <v>229274000</v>
      </c>
      <c r="E769" s="903">
        <v>166047620</v>
      </c>
      <c r="F769" s="963">
        <v>81229232.00000003</v>
      </c>
      <c r="G769" s="908">
        <v>17110</v>
      </c>
      <c r="H769" s="906">
        <f t="shared" si="240"/>
        <v>81246342</v>
      </c>
      <c r="I769" s="754"/>
    </row>
    <row r="770" spans="1:9" ht="16.5" hidden="1" outlineLevel="1" thickBot="1">
      <c r="A770" s="898" t="s">
        <v>1692</v>
      </c>
      <c r="B770" s="1008" t="s">
        <v>1604</v>
      </c>
      <c r="C770" s="1259">
        <f t="shared" si="239"/>
        <v>7117863</v>
      </c>
      <c r="D770" s="773">
        <v>42001350</v>
      </c>
      <c r="E770" s="806">
        <v>26856370</v>
      </c>
      <c r="F770" s="785">
        <v>0</v>
      </c>
      <c r="G770" s="897">
        <v>22262843</v>
      </c>
      <c r="H770" s="907">
        <f t="shared" si="240"/>
        <v>22262843</v>
      </c>
      <c r="I770" s="769"/>
    </row>
    <row r="771" spans="1:9" ht="13.5" hidden="1" outlineLevel="1" thickBot="1">
      <c r="A771" s="1111" t="s">
        <v>1692</v>
      </c>
      <c r="B771" s="1252" t="s">
        <v>31</v>
      </c>
      <c r="C771" s="1224">
        <f>SUM(C764:C770)</f>
        <v>180589629.46194756</v>
      </c>
      <c r="D771" s="1224">
        <f t="shared" ref="D771:G771" si="241">SUM(D764:D770)</f>
        <v>271275350</v>
      </c>
      <c r="E771" s="1224">
        <f t="shared" si="241"/>
        <v>197306640</v>
      </c>
      <c r="F771" s="1224">
        <f t="shared" si="241"/>
        <v>217381523.46194759</v>
      </c>
      <c r="G771" s="1224">
        <f t="shared" si="241"/>
        <v>37176816</v>
      </c>
      <c r="H771" s="1224">
        <f>SUM(H764:H770)</f>
        <v>254558339.46194756</v>
      </c>
      <c r="I771" s="754"/>
    </row>
    <row r="772" spans="1:9" hidden="1" outlineLevel="1">
      <c r="A772" s="898" t="s">
        <v>1693</v>
      </c>
      <c r="B772" s="927" t="s">
        <v>4</v>
      </c>
      <c r="C772" s="753">
        <f t="shared" ref="C772:C778" si="242">C764</f>
        <v>5268525</v>
      </c>
      <c r="D772" s="753">
        <v>0</v>
      </c>
      <c r="E772" s="780">
        <v>741300</v>
      </c>
      <c r="F772" s="730">
        <v>4527225</v>
      </c>
      <c r="G772" s="753">
        <v>0</v>
      </c>
      <c r="H772" s="905">
        <f t="shared" ref="H772:H778" si="243">C772+D772-E772</f>
        <v>4527225</v>
      </c>
      <c r="I772" s="753"/>
    </row>
    <row r="773" spans="1:9" hidden="1" outlineLevel="1">
      <c r="A773" s="898" t="s">
        <v>1693</v>
      </c>
      <c r="B773" s="928" t="s">
        <v>5</v>
      </c>
      <c r="C773" s="754">
        <f t="shared" si="242"/>
        <v>3661350</v>
      </c>
      <c r="D773" s="754">
        <v>0</v>
      </c>
      <c r="E773" s="782">
        <v>3661350</v>
      </c>
      <c r="F773" s="902">
        <v>0</v>
      </c>
      <c r="G773" s="767">
        <v>0</v>
      </c>
      <c r="H773" s="906">
        <f t="shared" si="243"/>
        <v>0</v>
      </c>
      <c r="I773" s="754"/>
    </row>
    <row r="774" spans="1:9" hidden="1" outlineLevel="1">
      <c r="A774" s="898" t="s">
        <v>1693</v>
      </c>
      <c r="B774" s="928" t="s">
        <v>6</v>
      </c>
      <c r="C774" s="754">
        <f t="shared" si="242"/>
        <v>131625066.46194756</v>
      </c>
      <c r="D774" s="754"/>
      <c r="E774" s="782"/>
      <c r="F774" s="732">
        <v>131625066.46194756</v>
      </c>
      <c r="G774" s="754"/>
      <c r="H774" s="906">
        <f t="shared" si="243"/>
        <v>131625066.46194756</v>
      </c>
      <c r="I774" s="754"/>
    </row>
    <row r="775" spans="1:9" hidden="1" outlineLevel="1">
      <c r="A775" s="898" t="s">
        <v>1693</v>
      </c>
      <c r="B775" s="920" t="s">
        <v>7</v>
      </c>
      <c r="C775" s="754">
        <f t="shared" si="242"/>
        <v>0</v>
      </c>
      <c r="D775" s="754">
        <v>0</v>
      </c>
      <c r="E775" s="767">
        <v>0</v>
      </c>
      <c r="F775" s="788">
        <v>0</v>
      </c>
      <c r="G775" s="767">
        <v>0</v>
      </c>
      <c r="H775" s="906">
        <f t="shared" si="243"/>
        <v>0</v>
      </c>
      <c r="I775" s="754"/>
    </row>
    <row r="776" spans="1:9" hidden="1" outlineLevel="1">
      <c r="A776" s="898" t="s">
        <v>1693</v>
      </c>
      <c r="B776" s="919" t="s">
        <v>8</v>
      </c>
      <c r="C776" s="754">
        <f t="shared" si="242"/>
        <v>14896863</v>
      </c>
      <c r="D776" s="754">
        <v>0</v>
      </c>
      <c r="E776" s="767">
        <v>0</v>
      </c>
      <c r="F776" s="777">
        <v>0</v>
      </c>
      <c r="G776" s="767">
        <v>14896863</v>
      </c>
      <c r="H776" s="906">
        <f t="shared" si="243"/>
        <v>14896863</v>
      </c>
      <c r="I776" s="754"/>
    </row>
    <row r="777" spans="1:9" hidden="1" outlineLevel="1">
      <c r="A777" s="898" t="s">
        <v>1693</v>
      </c>
      <c r="B777" s="919" t="s">
        <v>9</v>
      </c>
      <c r="C777" s="1256">
        <f t="shared" si="242"/>
        <v>18019962</v>
      </c>
      <c r="D777" s="962">
        <v>229274000</v>
      </c>
      <c r="E777" s="903">
        <v>166047620</v>
      </c>
      <c r="F777" s="963">
        <v>81229232.00000003</v>
      </c>
      <c r="G777" s="908">
        <v>17110</v>
      </c>
      <c r="H777" s="906">
        <f t="shared" si="243"/>
        <v>81246342</v>
      </c>
      <c r="I777" s="754"/>
    </row>
    <row r="778" spans="1:9" ht="16.5" hidden="1" outlineLevel="1" thickBot="1">
      <c r="A778" s="898" t="s">
        <v>1693</v>
      </c>
      <c r="B778" s="1008" t="s">
        <v>1604</v>
      </c>
      <c r="C778" s="1259">
        <f t="shared" si="242"/>
        <v>7117863</v>
      </c>
      <c r="D778" s="773">
        <v>42001350</v>
      </c>
      <c r="E778" s="806">
        <v>26856370</v>
      </c>
      <c r="F778" s="785">
        <v>0</v>
      </c>
      <c r="G778" s="897">
        <v>22262843</v>
      </c>
      <c r="H778" s="907">
        <f t="shared" si="243"/>
        <v>22262843</v>
      </c>
      <c r="I778" s="769"/>
    </row>
    <row r="779" spans="1:9" ht="13.5" hidden="1" outlineLevel="1" thickBot="1">
      <c r="A779" s="1111" t="s">
        <v>1693</v>
      </c>
      <c r="B779" s="1252" t="s">
        <v>31</v>
      </c>
      <c r="C779" s="1224">
        <f>SUM(C772:C778)</f>
        <v>180589629.46194756</v>
      </c>
      <c r="D779" s="1224">
        <f t="shared" ref="D779:H779" si="244">SUM(D772:D778)</f>
        <v>271275350</v>
      </c>
      <c r="E779" s="1224">
        <f t="shared" si="244"/>
        <v>197306640</v>
      </c>
      <c r="F779" s="1224">
        <f t="shared" si="244"/>
        <v>217381523.46194759</v>
      </c>
      <c r="G779" s="1224">
        <f t="shared" si="244"/>
        <v>37176816</v>
      </c>
      <c r="H779" s="1224">
        <f t="shared" si="244"/>
        <v>254558339.46194756</v>
      </c>
      <c r="I779" s="754"/>
    </row>
    <row r="780" spans="1:9" hidden="1" outlineLevel="1">
      <c r="A780" s="898" t="s">
        <v>1694</v>
      </c>
      <c r="B780" s="927" t="s">
        <v>4</v>
      </c>
      <c r="C780" s="753">
        <f t="shared" ref="C780:C786" si="245">C772</f>
        <v>5268525</v>
      </c>
      <c r="D780" s="753">
        <v>0</v>
      </c>
      <c r="E780" s="780">
        <v>741300</v>
      </c>
      <c r="F780" s="730">
        <v>4527225</v>
      </c>
      <c r="G780" s="753">
        <v>0</v>
      </c>
      <c r="H780" s="905">
        <f t="shared" ref="H780:H786" si="246">C780+D780-E780</f>
        <v>4527225</v>
      </c>
      <c r="I780" s="753"/>
    </row>
    <row r="781" spans="1:9" hidden="1" outlineLevel="1">
      <c r="A781" s="898" t="s">
        <v>1694</v>
      </c>
      <c r="B781" s="928" t="s">
        <v>5</v>
      </c>
      <c r="C781" s="754">
        <f t="shared" si="245"/>
        <v>3661350</v>
      </c>
      <c r="D781" s="754">
        <v>0</v>
      </c>
      <c r="E781" s="782">
        <v>3661350</v>
      </c>
      <c r="F781" s="902">
        <v>0</v>
      </c>
      <c r="G781" s="767">
        <v>0</v>
      </c>
      <c r="H781" s="906">
        <f t="shared" si="246"/>
        <v>0</v>
      </c>
      <c r="I781" s="754"/>
    </row>
    <row r="782" spans="1:9" hidden="1" outlineLevel="1">
      <c r="A782" s="898" t="s">
        <v>1694</v>
      </c>
      <c r="B782" s="928" t="s">
        <v>6</v>
      </c>
      <c r="C782" s="754">
        <f t="shared" si="245"/>
        <v>131625066.46194756</v>
      </c>
      <c r="D782" s="754"/>
      <c r="E782" s="782"/>
      <c r="F782" s="732">
        <v>131625066.46194756</v>
      </c>
      <c r="G782" s="754"/>
      <c r="H782" s="906">
        <f t="shared" si="246"/>
        <v>131625066.46194756</v>
      </c>
      <c r="I782" s="754"/>
    </row>
    <row r="783" spans="1:9" hidden="1" outlineLevel="1">
      <c r="A783" s="898" t="s">
        <v>1694</v>
      </c>
      <c r="B783" s="920" t="s">
        <v>7</v>
      </c>
      <c r="C783" s="754">
        <f t="shared" si="245"/>
        <v>0</v>
      </c>
      <c r="D783" s="754">
        <v>0</v>
      </c>
      <c r="E783" s="767">
        <v>0</v>
      </c>
      <c r="F783" s="788">
        <v>0</v>
      </c>
      <c r="G783" s="767">
        <v>0</v>
      </c>
      <c r="H783" s="906">
        <f t="shared" si="246"/>
        <v>0</v>
      </c>
      <c r="I783" s="754"/>
    </row>
    <row r="784" spans="1:9" hidden="1" outlineLevel="1">
      <c r="A784" s="898" t="s">
        <v>1694</v>
      </c>
      <c r="B784" s="919" t="s">
        <v>8</v>
      </c>
      <c r="C784" s="754">
        <f t="shared" si="245"/>
        <v>14896863</v>
      </c>
      <c r="D784" s="754">
        <v>0</v>
      </c>
      <c r="E784" s="767">
        <v>0</v>
      </c>
      <c r="F784" s="777">
        <v>0</v>
      </c>
      <c r="G784" s="767">
        <v>14896863</v>
      </c>
      <c r="H784" s="906">
        <f t="shared" si="246"/>
        <v>14896863</v>
      </c>
      <c r="I784" s="754"/>
    </row>
    <row r="785" spans="1:9" hidden="1" outlineLevel="1">
      <c r="A785" s="898" t="s">
        <v>1694</v>
      </c>
      <c r="B785" s="919" t="s">
        <v>9</v>
      </c>
      <c r="C785" s="1256">
        <f t="shared" si="245"/>
        <v>18019962</v>
      </c>
      <c r="D785" s="962">
        <v>229274000</v>
      </c>
      <c r="E785" s="903">
        <v>166047620</v>
      </c>
      <c r="F785" s="963">
        <v>81229232.00000003</v>
      </c>
      <c r="G785" s="908">
        <v>17110</v>
      </c>
      <c r="H785" s="906">
        <f t="shared" si="246"/>
        <v>81246342</v>
      </c>
      <c r="I785" s="754"/>
    </row>
    <row r="786" spans="1:9" ht="15.75" hidden="1" outlineLevel="1">
      <c r="A786" s="898" t="s">
        <v>1694</v>
      </c>
      <c r="B786" s="1217" t="s">
        <v>1604</v>
      </c>
      <c r="C786" s="1256">
        <f t="shared" si="245"/>
        <v>7117863</v>
      </c>
      <c r="D786" s="1218">
        <v>42001350</v>
      </c>
      <c r="E786" s="903">
        <v>26856370</v>
      </c>
      <c r="F786" s="772">
        <v>0</v>
      </c>
      <c r="G786" s="908">
        <v>22262843</v>
      </c>
      <c r="H786" s="906">
        <f t="shared" si="246"/>
        <v>22262843</v>
      </c>
      <c r="I786" s="754"/>
    </row>
    <row r="787" spans="1:9" ht="16.5" hidden="1" outlineLevel="1" thickBot="1">
      <c r="A787" s="898" t="s">
        <v>1694</v>
      </c>
      <c r="B787" s="1253" t="s">
        <v>1810</v>
      </c>
      <c r="C787" s="1259">
        <v>0</v>
      </c>
      <c r="D787" s="773">
        <v>50000000</v>
      </c>
      <c r="E787" s="806">
        <v>30000000</v>
      </c>
      <c r="F787" s="785">
        <v>0</v>
      </c>
      <c r="G787" s="897">
        <v>20000000</v>
      </c>
      <c r="H787" s="907">
        <f>C787+D787-E787</f>
        <v>20000000</v>
      </c>
      <c r="I787" s="754"/>
    </row>
    <row r="788" spans="1:9" ht="13.5" hidden="1" outlineLevel="1" thickBot="1">
      <c r="A788" s="1111" t="s">
        <v>1694</v>
      </c>
      <c r="B788" s="1252" t="s">
        <v>31</v>
      </c>
      <c r="C788" s="1224">
        <f>SUM(C780:C787)</f>
        <v>180589629.46194756</v>
      </c>
      <c r="D788" s="1224">
        <f t="shared" ref="D788:H788" si="247">SUM(D780:D787)</f>
        <v>321275350</v>
      </c>
      <c r="E788" s="1224">
        <f t="shared" si="247"/>
        <v>227306640</v>
      </c>
      <c r="F788" s="1224">
        <f t="shared" si="247"/>
        <v>217381523.46194759</v>
      </c>
      <c r="G788" s="1224">
        <f t="shared" si="247"/>
        <v>57176816</v>
      </c>
      <c r="H788" s="1224">
        <f t="shared" si="247"/>
        <v>274558339.46194756</v>
      </c>
      <c r="I788" s="754"/>
    </row>
    <row r="789" spans="1:9" hidden="1" outlineLevel="1">
      <c r="A789" s="898" t="s">
        <v>1695</v>
      </c>
      <c r="B789" s="927" t="s">
        <v>4</v>
      </c>
      <c r="C789" s="753">
        <f t="shared" ref="C789:C795" si="248">C780</f>
        <v>5268525</v>
      </c>
      <c r="D789" s="753">
        <v>0</v>
      </c>
      <c r="E789" s="780">
        <v>741300</v>
      </c>
      <c r="F789" s="730">
        <v>4527225</v>
      </c>
      <c r="G789" s="753">
        <v>0</v>
      </c>
      <c r="H789" s="905">
        <f t="shared" ref="H789:H795" si="249">C789+D789-E789</f>
        <v>4527225</v>
      </c>
      <c r="I789" s="753"/>
    </row>
    <row r="790" spans="1:9" hidden="1" outlineLevel="1">
      <c r="A790" s="898" t="s">
        <v>1695</v>
      </c>
      <c r="B790" s="928" t="s">
        <v>5</v>
      </c>
      <c r="C790" s="754">
        <f t="shared" si="248"/>
        <v>3661350</v>
      </c>
      <c r="D790" s="754"/>
      <c r="E790" s="782">
        <v>3661350</v>
      </c>
      <c r="F790" s="902"/>
      <c r="G790" s="767"/>
      <c r="H790" s="906">
        <f t="shared" si="249"/>
        <v>0</v>
      </c>
      <c r="I790" s="754"/>
    </row>
    <row r="791" spans="1:9" hidden="1" outlineLevel="1">
      <c r="A791" s="898" t="s">
        <v>1695</v>
      </c>
      <c r="B791" s="928" t="s">
        <v>6</v>
      </c>
      <c r="C791" s="754">
        <f t="shared" si="248"/>
        <v>131625066.46194756</v>
      </c>
      <c r="D791" s="754"/>
      <c r="E791" s="782"/>
      <c r="F791" s="732">
        <v>131625066.46194756</v>
      </c>
      <c r="G791" s="754"/>
      <c r="H791" s="906">
        <f t="shared" si="249"/>
        <v>131625066.46194756</v>
      </c>
      <c r="I791" s="754"/>
    </row>
    <row r="792" spans="1:9" hidden="1" outlineLevel="1">
      <c r="A792" s="898" t="s">
        <v>1695</v>
      </c>
      <c r="B792" s="920" t="s">
        <v>7</v>
      </c>
      <c r="C792" s="754">
        <f t="shared" si="248"/>
        <v>0</v>
      </c>
      <c r="D792" s="754">
        <v>0</v>
      </c>
      <c r="E792" s="767">
        <v>0</v>
      </c>
      <c r="F792" s="788">
        <v>0</v>
      </c>
      <c r="G792" s="767">
        <v>0</v>
      </c>
      <c r="H792" s="906">
        <f t="shared" si="249"/>
        <v>0</v>
      </c>
      <c r="I792" s="754"/>
    </row>
    <row r="793" spans="1:9" hidden="1" outlineLevel="1">
      <c r="A793" s="898" t="s">
        <v>1695</v>
      </c>
      <c r="B793" s="919" t="s">
        <v>8</v>
      </c>
      <c r="C793" s="754">
        <f t="shared" si="248"/>
        <v>14896863</v>
      </c>
      <c r="D793" s="754">
        <v>0</v>
      </c>
      <c r="E793" s="767">
        <v>0</v>
      </c>
      <c r="F793" s="777">
        <v>0</v>
      </c>
      <c r="G793" s="767">
        <v>14896863</v>
      </c>
      <c r="H793" s="906">
        <f t="shared" si="249"/>
        <v>14896863</v>
      </c>
      <c r="I793" s="754"/>
    </row>
    <row r="794" spans="1:9" hidden="1" outlineLevel="1">
      <c r="A794" s="898" t="s">
        <v>1695</v>
      </c>
      <c r="B794" s="919" t="s">
        <v>9</v>
      </c>
      <c r="C794" s="1256">
        <f t="shared" si="248"/>
        <v>18019962</v>
      </c>
      <c r="D794" s="962">
        <v>229274000</v>
      </c>
      <c r="E794" s="903">
        <v>166047620</v>
      </c>
      <c r="F794" s="963">
        <v>81229232.00000003</v>
      </c>
      <c r="G794" s="908">
        <v>17110</v>
      </c>
      <c r="H794" s="906">
        <f t="shared" si="249"/>
        <v>81246342</v>
      </c>
      <c r="I794" s="754"/>
    </row>
    <row r="795" spans="1:9" ht="15.75" hidden="1" outlineLevel="1">
      <c r="A795" s="898" t="s">
        <v>1695</v>
      </c>
      <c r="B795" s="1217" t="s">
        <v>1604</v>
      </c>
      <c r="C795" s="1256">
        <f t="shared" si="248"/>
        <v>7117863</v>
      </c>
      <c r="D795" s="1218">
        <v>42001350</v>
      </c>
      <c r="E795" s="903">
        <v>26856370</v>
      </c>
      <c r="F795" s="772">
        <v>0</v>
      </c>
      <c r="G795" s="908">
        <v>22262843</v>
      </c>
      <c r="H795" s="906">
        <f t="shared" si="249"/>
        <v>22262843</v>
      </c>
      <c r="I795" s="754"/>
    </row>
    <row r="796" spans="1:9" ht="16.5" hidden="1" outlineLevel="1" thickBot="1">
      <c r="A796" s="898" t="s">
        <v>1695</v>
      </c>
      <c r="B796" s="1253" t="s">
        <v>1810</v>
      </c>
      <c r="C796" s="1259">
        <v>0</v>
      </c>
      <c r="D796" s="773">
        <v>50000000</v>
      </c>
      <c r="E796" s="806">
        <v>30000000</v>
      </c>
      <c r="F796" s="785">
        <v>0</v>
      </c>
      <c r="G796" s="897">
        <v>20000000</v>
      </c>
      <c r="H796" s="907">
        <f>C796+D796-E796</f>
        <v>20000000</v>
      </c>
      <c r="I796" s="754"/>
    </row>
    <row r="797" spans="1:9" ht="13.5" hidden="1" outlineLevel="1" thickBot="1">
      <c r="A797" s="1111" t="s">
        <v>1695</v>
      </c>
      <c r="B797" s="1252" t="s">
        <v>31</v>
      </c>
      <c r="C797" s="1224">
        <f>SUM(C789:C796)</f>
        <v>180589629.46194756</v>
      </c>
      <c r="D797" s="1224">
        <f t="shared" ref="D797:H797" si="250">SUM(D789:D796)</f>
        <v>321275350</v>
      </c>
      <c r="E797" s="1224">
        <f t="shared" si="250"/>
        <v>227306640</v>
      </c>
      <c r="F797" s="1224">
        <f t="shared" si="250"/>
        <v>217381523.46194759</v>
      </c>
      <c r="G797" s="1224">
        <f t="shared" si="250"/>
        <v>57176816</v>
      </c>
      <c r="H797" s="1224">
        <f t="shared" si="250"/>
        <v>274558339.46194756</v>
      </c>
      <c r="I797" s="754"/>
    </row>
    <row r="798" spans="1:9" hidden="1" outlineLevel="1">
      <c r="A798" s="898" t="s">
        <v>1696</v>
      </c>
      <c r="B798" s="927" t="s">
        <v>4</v>
      </c>
      <c r="C798" s="753">
        <f>C789</f>
        <v>5268525</v>
      </c>
      <c r="D798" s="753">
        <v>0</v>
      </c>
      <c r="E798" s="780">
        <v>741300</v>
      </c>
      <c r="F798" s="730">
        <v>4527225</v>
      </c>
      <c r="G798" s="753">
        <v>0</v>
      </c>
      <c r="H798" s="905">
        <f t="shared" ref="H798:H805" si="251">C798+D798-E798</f>
        <v>4527225</v>
      </c>
      <c r="I798" s="753"/>
    </row>
    <row r="799" spans="1:9" hidden="1" outlineLevel="1">
      <c r="A799" s="898" t="s">
        <v>1696</v>
      </c>
      <c r="B799" s="928" t="s">
        <v>5</v>
      </c>
      <c r="C799" s="754">
        <f t="shared" ref="C799:C804" si="252">C790</f>
        <v>3661350</v>
      </c>
      <c r="D799" s="754">
        <v>0</v>
      </c>
      <c r="E799" s="782">
        <v>3661350</v>
      </c>
      <c r="F799" s="902">
        <v>0</v>
      </c>
      <c r="G799" s="767">
        <v>0</v>
      </c>
      <c r="H799" s="906">
        <f t="shared" si="251"/>
        <v>0</v>
      </c>
      <c r="I799" s="754"/>
    </row>
    <row r="800" spans="1:9" hidden="1" outlineLevel="1">
      <c r="A800" s="898" t="s">
        <v>1696</v>
      </c>
      <c r="B800" s="928" t="s">
        <v>6</v>
      </c>
      <c r="C800" s="754">
        <f t="shared" si="252"/>
        <v>131625066.46194756</v>
      </c>
      <c r="D800" s="754"/>
      <c r="E800" s="782"/>
      <c r="F800" s="732">
        <v>131625066.46194756</v>
      </c>
      <c r="G800" s="754"/>
      <c r="H800" s="906">
        <f t="shared" si="251"/>
        <v>131625066.46194756</v>
      </c>
      <c r="I800" s="754"/>
    </row>
    <row r="801" spans="1:9" hidden="1" outlineLevel="1">
      <c r="A801" s="898" t="s">
        <v>1696</v>
      </c>
      <c r="B801" s="920" t="s">
        <v>7</v>
      </c>
      <c r="C801" s="754">
        <f t="shared" si="252"/>
        <v>0</v>
      </c>
      <c r="D801" s="754">
        <v>0</v>
      </c>
      <c r="E801" s="767">
        <v>0</v>
      </c>
      <c r="F801" s="788">
        <v>0</v>
      </c>
      <c r="G801" s="767">
        <v>0</v>
      </c>
      <c r="H801" s="906">
        <f t="shared" si="251"/>
        <v>0</v>
      </c>
      <c r="I801" s="754"/>
    </row>
    <row r="802" spans="1:9" hidden="1" outlineLevel="1">
      <c r="A802" s="898" t="s">
        <v>1696</v>
      </c>
      <c r="B802" s="919" t="s">
        <v>8</v>
      </c>
      <c r="C802" s="754">
        <f t="shared" si="252"/>
        <v>14896863</v>
      </c>
      <c r="D802" s="754">
        <v>0</v>
      </c>
      <c r="E802" s="767">
        <v>0</v>
      </c>
      <c r="F802" s="777">
        <v>0</v>
      </c>
      <c r="G802" s="767">
        <v>14896863</v>
      </c>
      <c r="H802" s="906">
        <f t="shared" si="251"/>
        <v>14896863</v>
      </c>
      <c r="I802" s="754"/>
    </row>
    <row r="803" spans="1:9" hidden="1" outlineLevel="1">
      <c r="A803" s="898" t="s">
        <v>1696</v>
      </c>
      <c r="B803" s="919" t="s">
        <v>9</v>
      </c>
      <c r="C803" s="1256">
        <f t="shared" si="252"/>
        <v>18019962</v>
      </c>
      <c r="D803" s="962">
        <v>229274000</v>
      </c>
      <c r="E803" s="903">
        <v>166047620</v>
      </c>
      <c r="F803" s="963">
        <v>81229232.00000003</v>
      </c>
      <c r="G803" s="908">
        <v>17110</v>
      </c>
      <c r="H803" s="906">
        <f t="shared" si="251"/>
        <v>81246342</v>
      </c>
      <c r="I803" s="754"/>
    </row>
    <row r="804" spans="1:9" ht="15.75" hidden="1" outlineLevel="1">
      <c r="A804" s="898" t="s">
        <v>1696</v>
      </c>
      <c r="B804" s="1217" t="s">
        <v>1604</v>
      </c>
      <c r="C804" s="1256">
        <f t="shared" si="252"/>
        <v>7117863</v>
      </c>
      <c r="D804" s="1218">
        <v>42001350</v>
      </c>
      <c r="E804" s="903">
        <v>26856370</v>
      </c>
      <c r="F804" s="772">
        <v>0</v>
      </c>
      <c r="G804" s="908">
        <v>22262843</v>
      </c>
      <c r="H804" s="906">
        <f t="shared" si="251"/>
        <v>22262843</v>
      </c>
      <c r="I804" s="754"/>
    </row>
    <row r="805" spans="1:9" ht="16.5" hidden="1" outlineLevel="1" thickBot="1">
      <c r="A805" s="898" t="s">
        <v>1697</v>
      </c>
      <c r="B805" s="1253" t="s">
        <v>1810</v>
      </c>
      <c r="C805" s="1259">
        <v>0</v>
      </c>
      <c r="D805" s="773">
        <v>50000000</v>
      </c>
      <c r="E805" s="806">
        <v>30000000</v>
      </c>
      <c r="F805" s="785">
        <v>0</v>
      </c>
      <c r="G805" s="897">
        <v>20000000</v>
      </c>
      <c r="H805" s="906">
        <f t="shared" si="251"/>
        <v>20000000</v>
      </c>
      <c r="I805" s="754"/>
    </row>
    <row r="806" spans="1:9" ht="13.5" hidden="1" outlineLevel="1" thickBot="1">
      <c r="A806" s="1111" t="s">
        <v>1696</v>
      </c>
      <c r="B806" s="1252" t="s">
        <v>31</v>
      </c>
      <c r="C806" s="1224">
        <f>SUM(C798:C805)</f>
        <v>180589629.46194756</v>
      </c>
      <c r="D806" s="1224">
        <f t="shared" ref="D806:H806" si="253">SUM(D798:D805)</f>
        <v>321275350</v>
      </c>
      <c r="E806" s="1224">
        <f t="shared" si="253"/>
        <v>227306640</v>
      </c>
      <c r="F806" s="1224">
        <f t="shared" si="253"/>
        <v>217381523.46194759</v>
      </c>
      <c r="G806" s="1224">
        <f t="shared" si="253"/>
        <v>57176816</v>
      </c>
      <c r="H806" s="1550">
        <f t="shared" si="253"/>
        <v>274558339.46194756</v>
      </c>
      <c r="I806" s="754"/>
    </row>
    <row r="807" spans="1:9" hidden="1" outlineLevel="1">
      <c r="A807" s="898" t="s">
        <v>1698</v>
      </c>
      <c r="B807" s="927" t="s">
        <v>4</v>
      </c>
      <c r="C807" s="753">
        <f t="shared" ref="C807:C813" si="254">C798</f>
        <v>5268525</v>
      </c>
      <c r="D807" s="753">
        <v>0</v>
      </c>
      <c r="E807" s="780">
        <v>741300</v>
      </c>
      <c r="F807" s="730">
        <v>4527225</v>
      </c>
      <c r="G807" s="753">
        <v>0</v>
      </c>
      <c r="H807" s="905">
        <f t="shared" ref="H807:H814" si="255">C807+D807-E807</f>
        <v>4527225</v>
      </c>
      <c r="I807" s="753"/>
    </row>
    <row r="808" spans="1:9" hidden="1" outlineLevel="1">
      <c r="A808" s="898" t="s">
        <v>1698</v>
      </c>
      <c r="B808" s="928" t="s">
        <v>5</v>
      </c>
      <c r="C808" s="754">
        <f t="shared" si="254"/>
        <v>3661350</v>
      </c>
      <c r="D808" s="754">
        <v>0</v>
      </c>
      <c r="E808" s="782">
        <v>3661350</v>
      </c>
      <c r="F808" s="902">
        <v>0</v>
      </c>
      <c r="G808" s="767">
        <v>0</v>
      </c>
      <c r="H808" s="906">
        <f t="shared" si="255"/>
        <v>0</v>
      </c>
      <c r="I808" s="754"/>
    </row>
    <row r="809" spans="1:9" hidden="1" outlineLevel="1">
      <c r="A809" s="898" t="s">
        <v>1698</v>
      </c>
      <c r="B809" s="928" t="s">
        <v>6</v>
      </c>
      <c r="C809" s="754">
        <f t="shared" si="254"/>
        <v>131625066.46194756</v>
      </c>
      <c r="D809" s="754"/>
      <c r="E809" s="782"/>
      <c r="F809" s="732">
        <v>131625066.46194756</v>
      </c>
      <c r="G809" s="754"/>
      <c r="H809" s="906">
        <f t="shared" si="255"/>
        <v>131625066.46194756</v>
      </c>
      <c r="I809" s="754"/>
    </row>
    <row r="810" spans="1:9" hidden="1" outlineLevel="1">
      <c r="A810" s="898" t="s">
        <v>1698</v>
      </c>
      <c r="B810" s="920" t="s">
        <v>7</v>
      </c>
      <c r="C810" s="754">
        <f t="shared" si="254"/>
        <v>0</v>
      </c>
      <c r="D810" s="754">
        <v>0</v>
      </c>
      <c r="E810" s="767">
        <v>0</v>
      </c>
      <c r="F810" s="788">
        <v>0</v>
      </c>
      <c r="G810" s="767">
        <v>0</v>
      </c>
      <c r="H810" s="906">
        <f t="shared" si="255"/>
        <v>0</v>
      </c>
      <c r="I810" s="754"/>
    </row>
    <row r="811" spans="1:9" hidden="1" outlineLevel="1">
      <c r="A811" s="898" t="s">
        <v>1698</v>
      </c>
      <c r="B811" s="919" t="s">
        <v>8</v>
      </c>
      <c r="C811" s="754">
        <f t="shared" si="254"/>
        <v>14896863</v>
      </c>
      <c r="D811" s="754">
        <v>0</v>
      </c>
      <c r="E811" s="767">
        <v>0</v>
      </c>
      <c r="F811" s="777">
        <v>0</v>
      </c>
      <c r="G811" s="767">
        <v>14896863</v>
      </c>
      <c r="H811" s="906">
        <f t="shared" si="255"/>
        <v>14896863</v>
      </c>
      <c r="I811" s="754"/>
    </row>
    <row r="812" spans="1:9" hidden="1" outlineLevel="1">
      <c r="A812" s="898" t="s">
        <v>1698</v>
      </c>
      <c r="B812" s="919" t="s">
        <v>9</v>
      </c>
      <c r="C812" s="1256">
        <f t="shared" si="254"/>
        <v>18019962</v>
      </c>
      <c r="D812" s="962">
        <v>229274000</v>
      </c>
      <c r="E812" s="903">
        <v>166047620</v>
      </c>
      <c r="F812" s="963">
        <v>81229232.00000003</v>
      </c>
      <c r="G812" s="908">
        <v>17110</v>
      </c>
      <c r="H812" s="906">
        <f t="shared" si="255"/>
        <v>81246342</v>
      </c>
      <c r="I812" s="754"/>
    </row>
    <row r="813" spans="1:9" ht="15.75" hidden="1" outlineLevel="1">
      <c r="A813" s="898" t="s">
        <v>1698</v>
      </c>
      <c r="B813" s="1217" t="s">
        <v>1604</v>
      </c>
      <c r="C813" s="1256">
        <f t="shared" si="254"/>
        <v>7117863</v>
      </c>
      <c r="D813" s="1218">
        <v>42001350</v>
      </c>
      <c r="E813" s="903">
        <v>26856370</v>
      </c>
      <c r="F813" s="772">
        <v>0</v>
      </c>
      <c r="G813" s="908">
        <v>22262843</v>
      </c>
      <c r="H813" s="906">
        <f t="shared" si="255"/>
        <v>22262843</v>
      </c>
      <c r="I813" s="754"/>
    </row>
    <row r="814" spans="1:9" ht="16.5" hidden="1" outlineLevel="1" thickBot="1">
      <c r="A814" s="898" t="s">
        <v>1698</v>
      </c>
      <c r="B814" s="1253" t="s">
        <v>1810</v>
      </c>
      <c r="C814" s="1259">
        <v>0</v>
      </c>
      <c r="D814" s="773">
        <v>50000000</v>
      </c>
      <c r="E814" s="806">
        <v>30000000</v>
      </c>
      <c r="F814" s="785">
        <v>0</v>
      </c>
      <c r="G814" s="897">
        <v>20000000</v>
      </c>
      <c r="H814" s="906">
        <f t="shared" si="255"/>
        <v>20000000</v>
      </c>
      <c r="I814" s="754"/>
    </row>
    <row r="815" spans="1:9" ht="13.5" hidden="1" outlineLevel="1" thickBot="1">
      <c r="A815" s="1111" t="s">
        <v>1698</v>
      </c>
      <c r="B815" s="1252" t="s">
        <v>31</v>
      </c>
      <c r="C815" s="1224">
        <f>SUM(C807:C814)</f>
        <v>180589629.46194756</v>
      </c>
      <c r="D815" s="1224">
        <f t="shared" ref="D815:H815" si="256">SUM(D807:D814)</f>
        <v>321275350</v>
      </c>
      <c r="E815" s="1224">
        <f t="shared" si="256"/>
        <v>227306640</v>
      </c>
      <c r="F815" s="1224">
        <f t="shared" si="256"/>
        <v>217381523.46194759</v>
      </c>
      <c r="G815" s="1224">
        <f t="shared" si="256"/>
        <v>57176816</v>
      </c>
      <c r="H815" s="1550">
        <f t="shared" si="256"/>
        <v>274558339.46194756</v>
      </c>
      <c r="I815" s="754"/>
    </row>
    <row r="816" spans="1:9" hidden="1" outlineLevel="1">
      <c r="A816" s="898" t="s">
        <v>1699</v>
      </c>
      <c r="B816" s="927" t="s">
        <v>4</v>
      </c>
      <c r="C816" s="753">
        <f t="shared" ref="C816:C822" si="257">C807</f>
        <v>5268525</v>
      </c>
      <c r="D816" s="753">
        <v>0</v>
      </c>
      <c r="E816" s="780">
        <v>741300</v>
      </c>
      <c r="F816" s="730">
        <v>4527225</v>
      </c>
      <c r="G816" s="753">
        <v>0</v>
      </c>
      <c r="H816" s="905">
        <f t="shared" ref="H816:H823" si="258">C816+D816-E816</f>
        <v>4527225</v>
      </c>
      <c r="I816" s="753"/>
    </row>
    <row r="817" spans="1:9" hidden="1" outlineLevel="1">
      <c r="A817" s="898" t="s">
        <v>1699</v>
      </c>
      <c r="B817" s="928" t="s">
        <v>5</v>
      </c>
      <c r="C817" s="754">
        <f t="shared" si="257"/>
        <v>3661350</v>
      </c>
      <c r="D817" s="754">
        <v>0</v>
      </c>
      <c r="E817" s="782">
        <v>3661350</v>
      </c>
      <c r="F817" s="902">
        <v>0</v>
      </c>
      <c r="G817" s="767">
        <v>0</v>
      </c>
      <c r="H817" s="906">
        <f t="shared" si="258"/>
        <v>0</v>
      </c>
      <c r="I817" s="754"/>
    </row>
    <row r="818" spans="1:9" hidden="1" outlineLevel="1">
      <c r="A818" s="898" t="s">
        <v>1699</v>
      </c>
      <c r="B818" s="928" t="s">
        <v>6</v>
      </c>
      <c r="C818" s="754">
        <f t="shared" si="257"/>
        <v>131625066.46194756</v>
      </c>
      <c r="D818" s="754"/>
      <c r="E818" s="782"/>
      <c r="F818" s="732">
        <v>131625066.46194756</v>
      </c>
      <c r="G818" s="754"/>
      <c r="H818" s="906">
        <f t="shared" si="258"/>
        <v>131625066.46194756</v>
      </c>
      <c r="I818" s="754"/>
    </row>
    <row r="819" spans="1:9" hidden="1" outlineLevel="1">
      <c r="A819" s="898" t="s">
        <v>1699</v>
      </c>
      <c r="B819" s="920" t="s">
        <v>7</v>
      </c>
      <c r="C819" s="754">
        <f t="shared" si="257"/>
        <v>0</v>
      </c>
      <c r="D819" s="754">
        <v>0</v>
      </c>
      <c r="E819" s="767">
        <v>0</v>
      </c>
      <c r="F819" s="788">
        <v>0</v>
      </c>
      <c r="G819" s="767">
        <v>0</v>
      </c>
      <c r="H819" s="906">
        <f t="shared" si="258"/>
        <v>0</v>
      </c>
      <c r="I819" s="754"/>
    </row>
    <row r="820" spans="1:9" hidden="1" outlineLevel="1">
      <c r="A820" s="898" t="s">
        <v>1699</v>
      </c>
      <c r="B820" s="919" t="s">
        <v>8</v>
      </c>
      <c r="C820" s="754">
        <f t="shared" si="257"/>
        <v>14896863</v>
      </c>
      <c r="D820" s="754">
        <v>0</v>
      </c>
      <c r="E820" s="767">
        <v>0</v>
      </c>
      <c r="F820" s="777">
        <v>0</v>
      </c>
      <c r="G820" s="767">
        <v>14896863</v>
      </c>
      <c r="H820" s="906">
        <f t="shared" si="258"/>
        <v>14896863</v>
      </c>
      <c r="I820" s="754"/>
    </row>
    <row r="821" spans="1:9" hidden="1" outlineLevel="1">
      <c r="A821" s="898" t="s">
        <v>1699</v>
      </c>
      <c r="B821" s="919" t="s">
        <v>9</v>
      </c>
      <c r="C821" s="1256">
        <f t="shared" si="257"/>
        <v>18019962</v>
      </c>
      <c r="D821" s="962">
        <v>229274000</v>
      </c>
      <c r="E821" s="903">
        <v>166047620</v>
      </c>
      <c r="F821" s="963">
        <v>81229232.00000003</v>
      </c>
      <c r="G821" s="908">
        <v>17110</v>
      </c>
      <c r="H821" s="906">
        <f t="shared" si="258"/>
        <v>81246342</v>
      </c>
      <c r="I821" s="754"/>
    </row>
    <row r="822" spans="1:9" ht="15.75" hidden="1" outlineLevel="1">
      <c r="A822" s="898" t="s">
        <v>1699</v>
      </c>
      <c r="B822" s="1217" t="s">
        <v>1604</v>
      </c>
      <c r="C822" s="1256">
        <f t="shared" si="257"/>
        <v>7117863</v>
      </c>
      <c r="D822" s="1218">
        <v>42001350</v>
      </c>
      <c r="E822" s="903">
        <v>26856370</v>
      </c>
      <c r="F822" s="772">
        <v>0</v>
      </c>
      <c r="G822" s="908">
        <v>22262843</v>
      </c>
      <c r="H822" s="906">
        <f t="shared" si="258"/>
        <v>22262843</v>
      </c>
      <c r="I822" s="754"/>
    </row>
    <row r="823" spans="1:9" ht="16.5" hidden="1" outlineLevel="1" thickBot="1">
      <c r="A823" s="898" t="s">
        <v>1699</v>
      </c>
      <c r="B823" s="1253" t="s">
        <v>1810</v>
      </c>
      <c r="C823" s="1259">
        <v>0</v>
      </c>
      <c r="D823" s="773">
        <v>50000000</v>
      </c>
      <c r="E823" s="806">
        <v>30000000</v>
      </c>
      <c r="F823" s="785">
        <v>0</v>
      </c>
      <c r="G823" s="897">
        <v>20000000</v>
      </c>
      <c r="H823" s="906">
        <f t="shared" si="258"/>
        <v>20000000</v>
      </c>
      <c r="I823" s="754"/>
    </row>
    <row r="824" spans="1:9" ht="13.5" hidden="1" outlineLevel="1" thickBot="1">
      <c r="A824" s="1111" t="s">
        <v>1699</v>
      </c>
      <c r="B824" s="1252" t="s">
        <v>31</v>
      </c>
      <c r="C824" s="1224">
        <f>SUM(C816:C823)</f>
        <v>180589629.46194756</v>
      </c>
      <c r="D824" s="1224">
        <f t="shared" ref="D824:H824" si="259">SUM(D816:D823)</f>
        <v>321275350</v>
      </c>
      <c r="E824" s="1224">
        <f t="shared" si="259"/>
        <v>227306640</v>
      </c>
      <c r="F824" s="1224">
        <f t="shared" si="259"/>
        <v>217381523.46194759</v>
      </c>
      <c r="G824" s="1224">
        <f t="shared" si="259"/>
        <v>57176816</v>
      </c>
      <c r="H824" s="1550">
        <f t="shared" si="259"/>
        <v>274558339.46194756</v>
      </c>
      <c r="I824" s="754"/>
    </row>
    <row r="825" spans="1:9" hidden="1" outlineLevel="1">
      <c r="A825" s="898" t="s">
        <v>1700</v>
      </c>
      <c r="B825" s="927" t="s">
        <v>4</v>
      </c>
      <c r="C825" s="753">
        <f t="shared" ref="C825:C831" si="260">C816</f>
        <v>5268525</v>
      </c>
      <c r="D825" s="753">
        <v>0</v>
      </c>
      <c r="E825" s="780">
        <v>741300</v>
      </c>
      <c r="F825" s="730">
        <v>4527225</v>
      </c>
      <c r="G825" s="753">
        <v>0</v>
      </c>
      <c r="H825" s="905">
        <f t="shared" ref="H825:H832" si="261">C825+D825-E825</f>
        <v>4527225</v>
      </c>
      <c r="I825" s="753"/>
    </row>
    <row r="826" spans="1:9" hidden="1" outlineLevel="1">
      <c r="A826" s="898" t="s">
        <v>1700</v>
      </c>
      <c r="B826" s="928" t="s">
        <v>5</v>
      </c>
      <c r="C826" s="754">
        <f t="shared" si="260"/>
        <v>3661350</v>
      </c>
      <c r="D826" s="754">
        <v>0</v>
      </c>
      <c r="E826" s="782">
        <v>3661350</v>
      </c>
      <c r="F826" s="902">
        <v>0</v>
      </c>
      <c r="G826" s="767">
        <v>0</v>
      </c>
      <c r="H826" s="906">
        <f t="shared" si="261"/>
        <v>0</v>
      </c>
      <c r="I826" s="754"/>
    </row>
    <row r="827" spans="1:9" hidden="1" outlineLevel="1">
      <c r="A827" s="898" t="s">
        <v>1700</v>
      </c>
      <c r="B827" s="928" t="s">
        <v>6</v>
      </c>
      <c r="C827" s="754">
        <f t="shared" si="260"/>
        <v>131625066.46194756</v>
      </c>
      <c r="D827" s="754"/>
      <c r="E827" s="782"/>
      <c r="F827" s="732">
        <v>131625066.46194756</v>
      </c>
      <c r="G827" s="754"/>
      <c r="H827" s="906">
        <f t="shared" si="261"/>
        <v>131625066.46194756</v>
      </c>
      <c r="I827" s="754"/>
    </row>
    <row r="828" spans="1:9" hidden="1" outlineLevel="1">
      <c r="A828" s="898" t="s">
        <v>1700</v>
      </c>
      <c r="B828" s="920" t="s">
        <v>7</v>
      </c>
      <c r="C828" s="754">
        <f t="shared" si="260"/>
        <v>0</v>
      </c>
      <c r="D828" s="754">
        <v>0</v>
      </c>
      <c r="E828" s="767">
        <v>0</v>
      </c>
      <c r="F828" s="788">
        <v>0</v>
      </c>
      <c r="G828" s="767">
        <v>0</v>
      </c>
      <c r="H828" s="906">
        <f t="shared" si="261"/>
        <v>0</v>
      </c>
      <c r="I828" s="754"/>
    </row>
    <row r="829" spans="1:9" hidden="1" outlineLevel="1">
      <c r="A829" s="898" t="s">
        <v>1700</v>
      </c>
      <c r="B829" s="919" t="s">
        <v>8</v>
      </c>
      <c r="C829" s="754">
        <f t="shared" si="260"/>
        <v>14896863</v>
      </c>
      <c r="D829" s="754">
        <v>0</v>
      </c>
      <c r="E829" s="767">
        <v>0</v>
      </c>
      <c r="F829" s="777">
        <v>0</v>
      </c>
      <c r="G829" s="767">
        <v>14896863</v>
      </c>
      <c r="H829" s="906">
        <f t="shared" si="261"/>
        <v>14896863</v>
      </c>
      <c r="I829" s="754"/>
    </row>
    <row r="830" spans="1:9" hidden="1" outlineLevel="1">
      <c r="A830" s="898" t="s">
        <v>1700</v>
      </c>
      <c r="B830" s="919" t="s">
        <v>9</v>
      </c>
      <c r="C830" s="1256">
        <f t="shared" si="260"/>
        <v>18019962</v>
      </c>
      <c r="D830" s="962">
        <v>229274000</v>
      </c>
      <c r="E830" s="903">
        <v>166047620</v>
      </c>
      <c r="F830" s="963">
        <v>81229232.00000003</v>
      </c>
      <c r="G830" s="908">
        <v>17110</v>
      </c>
      <c r="H830" s="906">
        <f t="shared" si="261"/>
        <v>81246342</v>
      </c>
      <c r="I830" s="754"/>
    </row>
    <row r="831" spans="1:9" ht="15.75" hidden="1" outlineLevel="1">
      <c r="A831" s="898" t="s">
        <v>1700</v>
      </c>
      <c r="B831" s="1217" t="s">
        <v>1604</v>
      </c>
      <c r="C831" s="1256">
        <f t="shared" si="260"/>
        <v>7117863</v>
      </c>
      <c r="D831" s="1218">
        <v>42001350</v>
      </c>
      <c r="E831" s="903">
        <v>26856370</v>
      </c>
      <c r="F831" s="772">
        <v>0</v>
      </c>
      <c r="G831" s="908">
        <v>22262843</v>
      </c>
      <c r="H831" s="906">
        <f t="shared" si="261"/>
        <v>22262843</v>
      </c>
      <c r="I831" s="754"/>
    </row>
    <row r="832" spans="1:9" ht="16.5" hidden="1" outlineLevel="1" thickBot="1">
      <c r="A832" s="898" t="s">
        <v>1700</v>
      </c>
      <c r="B832" s="1253" t="s">
        <v>1810</v>
      </c>
      <c r="C832" s="1259">
        <v>0</v>
      </c>
      <c r="D832" s="773">
        <v>50000000</v>
      </c>
      <c r="E832" s="806">
        <v>30000000</v>
      </c>
      <c r="F832" s="785">
        <v>0</v>
      </c>
      <c r="G832" s="897">
        <v>20000000</v>
      </c>
      <c r="H832" s="906">
        <f t="shared" si="261"/>
        <v>20000000</v>
      </c>
      <c r="I832" s="754"/>
    </row>
    <row r="833" spans="1:9" ht="13.5" hidden="1" outlineLevel="1" thickBot="1">
      <c r="A833" s="1111" t="s">
        <v>1700</v>
      </c>
      <c r="B833" s="1252" t="s">
        <v>31</v>
      </c>
      <c r="C833" s="1224">
        <f>SUM(C825:C832)</f>
        <v>180589629.46194756</v>
      </c>
      <c r="D833" s="1224">
        <f t="shared" ref="D833:H833" si="262">SUM(D825:D832)</f>
        <v>321275350</v>
      </c>
      <c r="E833" s="1224">
        <f t="shared" si="262"/>
        <v>227306640</v>
      </c>
      <c r="F833" s="1224">
        <f t="shared" si="262"/>
        <v>217381523.46194759</v>
      </c>
      <c r="G833" s="1224">
        <f t="shared" si="262"/>
        <v>57176816</v>
      </c>
      <c r="H833" s="1550">
        <f t="shared" si="262"/>
        <v>274558339.46194756</v>
      </c>
      <c r="I833" s="754"/>
    </row>
    <row r="834" spans="1:9" hidden="1" outlineLevel="1">
      <c r="A834" s="898" t="s">
        <v>1701</v>
      </c>
      <c r="B834" s="927" t="s">
        <v>4</v>
      </c>
      <c r="C834" s="753">
        <f t="shared" ref="C834:C840" si="263">C825</f>
        <v>5268525</v>
      </c>
      <c r="D834" s="753">
        <v>0</v>
      </c>
      <c r="E834" s="780">
        <v>741300</v>
      </c>
      <c r="F834" s="730">
        <v>4527225</v>
      </c>
      <c r="G834" s="753">
        <v>0</v>
      </c>
      <c r="H834" s="905">
        <f t="shared" ref="H834:H841" si="264">C834+D834-E834</f>
        <v>4527225</v>
      </c>
      <c r="I834" s="753"/>
    </row>
    <row r="835" spans="1:9" hidden="1" outlineLevel="1">
      <c r="A835" s="898" t="s">
        <v>1701</v>
      </c>
      <c r="B835" s="928" t="s">
        <v>5</v>
      </c>
      <c r="C835" s="754">
        <f t="shared" si="263"/>
        <v>3661350</v>
      </c>
      <c r="D835" s="754">
        <v>0</v>
      </c>
      <c r="E835" s="782">
        <v>3661350</v>
      </c>
      <c r="F835" s="902">
        <v>0</v>
      </c>
      <c r="G835" s="767">
        <v>0</v>
      </c>
      <c r="H835" s="906">
        <f t="shared" si="264"/>
        <v>0</v>
      </c>
      <c r="I835" s="754"/>
    </row>
    <row r="836" spans="1:9" hidden="1" outlineLevel="1">
      <c r="A836" s="898" t="s">
        <v>1701</v>
      </c>
      <c r="B836" s="928" t="s">
        <v>6</v>
      </c>
      <c r="C836" s="754">
        <f t="shared" si="263"/>
        <v>131625066.46194756</v>
      </c>
      <c r="D836" s="754"/>
      <c r="E836" s="782"/>
      <c r="F836" s="732">
        <v>131625066.46194756</v>
      </c>
      <c r="G836" s="754"/>
      <c r="H836" s="906">
        <f t="shared" si="264"/>
        <v>131625066.46194756</v>
      </c>
      <c r="I836" s="754"/>
    </row>
    <row r="837" spans="1:9" hidden="1" outlineLevel="1">
      <c r="A837" s="898" t="s">
        <v>1701</v>
      </c>
      <c r="B837" s="920" t="s">
        <v>7</v>
      </c>
      <c r="C837" s="754">
        <f t="shared" si="263"/>
        <v>0</v>
      </c>
      <c r="D837" s="754">
        <v>0</v>
      </c>
      <c r="E837" s="767">
        <v>0</v>
      </c>
      <c r="F837" s="788">
        <v>0</v>
      </c>
      <c r="G837" s="767">
        <v>0</v>
      </c>
      <c r="H837" s="906">
        <f t="shared" si="264"/>
        <v>0</v>
      </c>
      <c r="I837" s="754"/>
    </row>
    <row r="838" spans="1:9" hidden="1" outlineLevel="1">
      <c r="A838" s="898" t="s">
        <v>1701</v>
      </c>
      <c r="B838" s="919" t="s">
        <v>8</v>
      </c>
      <c r="C838" s="754">
        <f t="shared" si="263"/>
        <v>14896863</v>
      </c>
      <c r="D838" s="754">
        <v>0</v>
      </c>
      <c r="E838" s="767">
        <v>0</v>
      </c>
      <c r="F838" s="777">
        <v>0</v>
      </c>
      <c r="G838" s="767">
        <v>14896863</v>
      </c>
      <c r="H838" s="906">
        <f t="shared" si="264"/>
        <v>14896863</v>
      </c>
      <c r="I838" s="754"/>
    </row>
    <row r="839" spans="1:9" hidden="1" outlineLevel="1">
      <c r="A839" s="898" t="s">
        <v>1701</v>
      </c>
      <c r="B839" s="919" t="s">
        <v>9</v>
      </c>
      <c r="C839" s="1256">
        <f t="shared" si="263"/>
        <v>18019962</v>
      </c>
      <c r="D839" s="962">
        <v>229274000</v>
      </c>
      <c r="E839" s="903">
        <v>166047620</v>
      </c>
      <c r="F839" s="963">
        <v>81229232.00000003</v>
      </c>
      <c r="G839" s="908">
        <v>17110</v>
      </c>
      <c r="H839" s="906">
        <f t="shared" si="264"/>
        <v>81246342</v>
      </c>
      <c r="I839" s="754"/>
    </row>
    <row r="840" spans="1:9" ht="15.75" hidden="1" outlineLevel="1">
      <c r="A840" s="898" t="s">
        <v>1701</v>
      </c>
      <c r="B840" s="1217" t="s">
        <v>1604</v>
      </c>
      <c r="C840" s="1256">
        <f t="shared" si="263"/>
        <v>7117863</v>
      </c>
      <c r="D840" s="1218">
        <v>42001350</v>
      </c>
      <c r="E840" s="903">
        <v>26856370</v>
      </c>
      <c r="F840" s="772">
        <v>0</v>
      </c>
      <c r="G840" s="908">
        <v>22262843</v>
      </c>
      <c r="H840" s="906">
        <f t="shared" si="264"/>
        <v>22262843</v>
      </c>
      <c r="I840" s="754"/>
    </row>
    <row r="841" spans="1:9" ht="16.5" hidden="1" outlineLevel="1" thickBot="1">
      <c r="A841" s="898" t="s">
        <v>1701</v>
      </c>
      <c r="B841" s="1253" t="s">
        <v>1810</v>
      </c>
      <c r="C841" s="1259">
        <v>0</v>
      </c>
      <c r="D841" s="773">
        <v>50000000</v>
      </c>
      <c r="E841" s="806">
        <v>30000000</v>
      </c>
      <c r="F841" s="785">
        <v>0</v>
      </c>
      <c r="G841" s="897">
        <v>20000000</v>
      </c>
      <c r="H841" s="906">
        <f t="shared" si="264"/>
        <v>20000000</v>
      </c>
      <c r="I841" s="754"/>
    </row>
    <row r="842" spans="1:9" ht="13.5" hidden="1" outlineLevel="1" thickBot="1">
      <c r="A842" s="1111" t="s">
        <v>1701</v>
      </c>
      <c r="B842" s="1252" t="s">
        <v>31</v>
      </c>
      <c r="C842" s="1224">
        <f>SUM(C834:C841)</f>
        <v>180589629.46194756</v>
      </c>
      <c r="D842" s="1224">
        <f t="shared" ref="D842:H842" si="265">SUM(D834:D841)</f>
        <v>321275350</v>
      </c>
      <c r="E842" s="1224">
        <f t="shared" si="265"/>
        <v>227306640</v>
      </c>
      <c r="F842" s="1224">
        <f t="shared" si="265"/>
        <v>217381523.46194759</v>
      </c>
      <c r="G842" s="1224">
        <f t="shared" si="265"/>
        <v>57176816</v>
      </c>
      <c r="H842" s="1550">
        <f t="shared" si="265"/>
        <v>274558339.46194756</v>
      </c>
      <c r="I842" s="754"/>
    </row>
    <row r="843" spans="1:9" hidden="1" outlineLevel="1">
      <c r="A843" s="898" t="s">
        <v>1702</v>
      </c>
      <c r="B843" s="927" t="s">
        <v>4</v>
      </c>
      <c r="C843" s="753">
        <f t="shared" ref="C843:C849" si="266">C834</f>
        <v>5268525</v>
      </c>
      <c r="D843" s="753">
        <v>0</v>
      </c>
      <c r="E843" s="780">
        <v>741300</v>
      </c>
      <c r="F843" s="730">
        <v>4527225</v>
      </c>
      <c r="G843" s="753">
        <v>0</v>
      </c>
      <c r="H843" s="905">
        <f t="shared" ref="H843:H850" si="267">C843+D843-E843</f>
        <v>4527225</v>
      </c>
      <c r="I843" s="753"/>
    </row>
    <row r="844" spans="1:9" hidden="1" outlineLevel="1">
      <c r="A844" s="898" t="s">
        <v>1702</v>
      </c>
      <c r="B844" s="928" t="s">
        <v>5</v>
      </c>
      <c r="C844" s="754">
        <f t="shared" si="266"/>
        <v>3661350</v>
      </c>
      <c r="D844" s="754">
        <v>0</v>
      </c>
      <c r="E844" s="782">
        <v>3661350</v>
      </c>
      <c r="F844" s="902">
        <v>0</v>
      </c>
      <c r="G844" s="767"/>
      <c r="H844" s="906">
        <f t="shared" si="267"/>
        <v>0</v>
      </c>
      <c r="I844" s="754"/>
    </row>
    <row r="845" spans="1:9" hidden="1" outlineLevel="1">
      <c r="A845" s="898" t="s">
        <v>1702</v>
      </c>
      <c r="B845" s="928" t="s">
        <v>6</v>
      </c>
      <c r="C845" s="754">
        <f t="shared" si="266"/>
        <v>131625066.46194756</v>
      </c>
      <c r="D845" s="754"/>
      <c r="E845" s="782"/>
      <c r="F845" s="732">
        <v>131625066.46194756</v>
      </c>
      <c r="G845" s="754"/>
      <c r="H845" s="906">
        <f t="shared" si="267"/>
        <v>131625066.46194756</v>
      </c>
      <c r="I845" s="754"/>
    </row>
    <row r="846" spans="1:9" hidden="1" outlineLevel="1">
      <c r="A846" s="898" t="s">
        <v>1702</v>
      </c>
      <c r="B846" s="920" t="s">
        <v>7</v>
      </c>
      <c r="C846" s="754">
        <f t="shared" si="266"/>
        <v>0</v>
      </c>
      <c r="D846" s="754">
        <v>0</v>
      </c>
      <c r="E846" s="767">
        <v>0</v>
      </c>
      <c r="F846" s="788">
        <v>0</v>
      </c>
      <c r="G846" s="767">
        <v>0</v>
      </c>
      <c r="H846" s="906">
        <f t="shared" si="267"/>
        <v>0</v>
      </c>
      <c r="I846" s="754"/>
    </row>
    <row r="847" spans="1:9" hidden="1" outlineLevel="1">
      <c r="A847" s="898" t="s">
        <v>1702</v>
      </c>
      <c r="B847" s="919" t="s">
        <v>8</v>
      </c>
      <c r="C847" s="754">
        <f t="shared" si="266"/>
        <v>14896863</v>
      </c>
      <c r="D847" s="754">
        <v>0</v>
      </c>
      <c r="E847" s="767">
        <v>0</v>
      </c>
      <c r="F847" s="777">
        <v>0</v>
      </c>
      <c r="G847" s="767">
        <v>14896863</v>
      </c>
      <c r="H847" s="906">
        <f t="shared" si="267"/>
        <v>14896863</v>
      </c>
      <c r="I847" s="754"/>
    </row>
    <row r="848" spans="1:9" hidden="1" outlineLevel="1">
      <c r="A848" s="898" t="s">
        <v>1702</v>
      </c>
      <c r="B848" s="919" t="s">
        <v>9</v>
      </c>
      <c r="C848" s="1256">
        <f t="shared" si="266"/>
        <v>18019962</v>
      </c>
      <c r="D848" s="962">
        <v>229274000</v>
      </c>
      <c r="E848" s="903">
        <v>166047620</v>
      </c>
      <c r="F848" s="963">
        <v>81229232.00000003</v>
      </c>
      <c r="G848" s="908">
        <v>17110</v>
      </c>
      <c r="H848" s="906">
        <f t="shared" si="267"/>
        <v>81246342</v>
      </c>
      <c r="I848" s="754"/>
    </row>
    <row r="849" spans="1:9" ht="15.75" hidden="1" outlineLevel="1">
      <c r="A849" s="898" t="s">
        <v>1702</v>
      </c>
      <c r="B849" s="1217" t="s">
        <v>1604</v>
      </c>
      <c r="C849" s="1256">
        <f t="shared" si="266"/>
        <v>7117863</v>
      </c>
      <c r="D849" s="1218">
        <v>42001350</v>
      </c>
      <c r="E849" s="903">
        <v>26856370</v>
      </c>
      <c r="F849" s="772">
        <v>0</v>
      </c>
      <c r="G849" s="908">
        <v>22262843</v>
      </c>
      <c r="H849" s="906">
        <f t="shared" si="267"/>
        <v>22262843</v>
      </c>
      <c r="I849" s="754"/>
    </row>
    <row r="850" spans="1:9" ht="16.5" hidden="1" outlineLevel="1" thickBot="1">
      <c r="A850" s="898" t="s">
        <v>1702</v>
      </c>
      <c r="B850" s="1253" t="s">
        <v>1810</v>
      </c>
      <c r="C850" s="1259">
        <v>0</v>
      </c>
      <c r="D850" s="773">
        <v>50000000</v>
      </c>
      <c r="E850" s="806">
        <v>30000000</v>
      </c>
      <c r="F850" s="785">
        <v>0</v>
      </c>
      <c r="G850" s="897">
        <v>20000000</v>
      </c>
      <c r="H850" s="906">
        <f t="shared" si="267"/>
        <v>20000000</v>
      </c>
      <c r="I850" s="754"/>
    </row>
    <row r="851" spans="1:9" ht="13.5" hidden="1" outlineLevel="1" thickBot="1">
      <c r="A851" s="1111" t="s">
        <v>1702</v>
      </c>
      <c r="B851" s="1252" t="s">
        <v>31</v>
      </c>
      <c r="C851" s="1224">
        <f>SUM(C843:C850)</f>
        <v>180589629.46194756</v>
      </c>
      <c r="D851" s="1224">
        <f t="shared" ref="D851:H851" si="268">SUM(D843:D850)</f>
        <v>321275350</v>
      </c>
      <c r="E851" s="1224">
        <f t="shared" si="268"/>
        <v>227306640</v>
      </c>
      <c r="F851" s="1224">
        <f t="shared" si="268"/>
        <v>217381523.46194759</v>
      </c>
      <c r="G851" s="1224">
        <f t="shared" si="268"/>
        <v>57176816</v>
      </c>
      <c r="H851" s="1550">
        <f t="shared" si="268"/>
        <v>274558339.46194756</v>
      </c>
      <c r="I851" s="754"/>
    </row>
    <row r="852" spans="1:9" hidden="1" outlineLevel="1">
      <c r="A852" s="898" t="s">
        <v>1703</v>
      </c>
      <c r="B852" s="927" t="s">
        <v>4</v>
      </c>
      <c r="C852" s="753">
        <f t="shared" ref="C852:C858" si="269">C843</f>
        <v>5268525</v>
      </c>
      <c r="D852" s="753">
        <v>0</v>
      </c>
      <c r="E852" s="780">
        <v>741300</v>
      </c>
      <c r="F852" s="730">
        <v>4527225</v>
      </c>
      <c r="G852" s="753">
        <v>0</v>
      </c>
      <c r="H852" s="905">
        <f t="shared" ref="H852:H859" si="270">C852+D852-E852</f>
        <v>4527225</v>
      </c>
      <c r="I852" s="753"/>
    </row>
    <row r="853" spans="1:9" hidden="1" outlineLevel="1">
      <c r="A853" s="898" t="s">
        <v>1703</v>
      </c>
      <c r="B853" s="928" t="s">
        <v>5</v>
      </c>
      <c r="C853" s="754">
        <f t="shared" si="269"/>
        <v>3661350</v>
      </c>
      <c r="D853" s="754">
        <v>0</v>
      </c>
      <c r="E853" s="782">
        <v>3661350</v>
      </c>
      <c r="F853" s="902">
        <v>0</v>
      </c>
      <c r="G853" s="767">
        <v>0</v>
      </c>
      <c r="H853" s="906">
        <f t="shared" si="270"/>
        <v>0</v>
      </c>
      <c r="I853" s="754"/>
    </row>
    <row r="854" spans="1:9" hidden="1" outlineLevel="1">
      <c r="A854" s="898" t="s">
        <v>1703</v>
      </c>
      <c r="B854" s="928" t="s">
        <v>6</v>
      </c>
      <c r="C854" s="754">
        <f t="shared" si="269"/>
        <v>131625066.46194756</v>
      </c>
      <c r="D854" s="754"/>
      <c r="E854" s="782"/>
      <c r="F854" s="732">
        <v>131625066.46194756</v>
      </c>
      <c r="G854" s="754"/>
      <c r="H854" s="906">
        <f t="shared" si="270"/>
        <v>131625066.46194756</v>
      </c>
      <c r="I854" s="754"/>
    </row>
    <row r="855" spans="1:9" hidden="1" outlineLevel="1">
      <c r="A855" s="898" t="s">
        <v>1703</v>
      </c>
      <c r="B855" s="920" t="s">
        <v>7</v>
      </c>
      <c r="C855" s="754">
        <f t="shared" si="269"/>
        <v>0</v>
      </c>
      <c r="D855" s="754">
        <v>0</v>
      </c>
      <c r="E855" s="767">
        <v>0</v>
      </c>
      <c r="F855" s="788">
        <v>0</v>
      </c>
      <c r="G855" s="767">
        <v>0</v>
      </c>
      <c r="H855" s="906">
        <f t="shared" si="270"/>
        <v>0</v>
      </c>
      <c r="I855" s="754"/>
    </row>
    <row r="856" spans="1:9" hidden="1" outlineLevel="1">
      <c r="A856" s="898" t="s">
        <v>1703</v>
      </c>
      <c r="B856" s="919" t="s">
        <v>8</v>
      </c>
      <c r="C856" s="754">
        <f t="shared" si="269"/>
        <v>14896863</v>
      </c>
      <c r="D856" s="754">
        <v>0</v>
      </c>
      <c r="E856" s="767">
        <v>0</v>
      </c>
      <c r="F856" s="777">
        <v>0</v>
      </c>
      <c r="G856" s="767">
        <v>14896863</v>
      </c>
      <c r="H856" s="906">
        <f t="shared" si="270"/>
        <v>14896863</v>
      </c>
      <c r="I856" s="754"/>
    </row>
    <row r="857" spans="1:9" hidden="1" outlineLevel="1">
      <c r="A857" s="898" t="s">
        <v>1703</v>
      </c>
      <c r="B857" s="919" t="s">
        <v>9</v>
      </c>
      <c r="C857" s="1256">
        <f t="shared" si="269"/>
        <v>18019962</v>
      </c>
      <c r="D857" s="962">
        <v>229274000</v>
      </c>
      <c r="E857" s="903">
        <v>166047620</v>
      </c>
      <c r="F857" s="963">
        <v>81229232.00000003</v>
      </c>
      <c r="G857" s="908">
        <v>17110</v>
      </c>
      <c r="H857" s="906">
        <f t="shared" si="270"/>
        <v>81246342</v>
      </c>
      <c r="I857" s="754"/>
    </row>
    <row r="858" spans="1:9" ht="15.75" hidden="1" outlineLevel="1">
      <c r="A858" s="898" t="s">
        <v>1703</v>
      </c>
      <c r="B858" s="1217" t="s">
        <v>1604</v>
      </c>
      <c r="C858" s="1256">
        <f t="shared" si="269"/>
        <v>7117863</v>
      </c>
      <c r="D858" s="1218">
        <v>42001350</v>
      </c>
      <c r="E858" s="903">
        <v>26856370</v>
      </c>
      <c r="F858" s="772">
        <v>0</v>
      </c>
      <c r="G858" s="908">
        <v>22262843</v>
      </c>
      <c r="H858" s="906">
        <f t="shared" si="270"/>
        <v>22262843</v>
      </c>
      <c r="I858" s="754"/>
    </row>
    <row r="859" spans="1:9" ht="16.5" hidden="1" outlineLevel="1" thickBot="1">
      <c r="A859" s="898" t="s">
        <v>1703</v>
      </c>
      <c r="B859" s="1253" t="s">
        <v>1810</v>
      </c>
      <c r="C859" s="1259">
        <v>0</v>
      </c>
      <c r="D859" s="773">
        <v>50000000</v>
      </c>
      <c r="E859" s="806">
        <v>30000000</v>
      </c>
      <c r="F859" s="785">
        <v>0</v>
      </c>
      <c r="G859" s="897">
        <v>20000000</v>
      </c>
      <c r="H859" s="906">
        <f t="shared" si="270"/>
        <v>20000000</v>
      </c>
      <c r="I859" s="754"/>
    </row>
    <row r="860" spans="1:9" ht="13.5" hidden="1" outlineLevel="1" thickBot="1">
      <c r="A860" s="1111" t="s">
        <v>1703</v>
      </c>
      <c r="B860" s="1252" t="s">
        <v>31</v>
      </c>
      <c r="C860" s="1224">
        <f>SUM(C852:C859)</f>
        <v>180589629.46194756</v>
      </c>
      <c r="D860" s="1224">
        <f t="shared" ref="D860:H860" si="271">SUM(D852:D859)</f>
        <v>321275350</v>
      </c>
      <c r="E860" s="1224">
        <f t="shared" si="271"/>
        <v>227306640</v>
      </c>
      <c r="F860" s="1224">
        <f t="shared" si="271"/>
        <v>217381523.46194759</v>
      </c>
      <c r="G860" s="1224">
        <f t="shared" si="271"/>
        <v>57176816</v>
      </c>
      <c r="H860" s="1550">
        <f t="shared" si="271"/>
        <v>274558339.46194756</v>
      </c>
      <c r="I860" s="754"/>
    </row>
    <row r="861" spans="1:9" hidden="1" outlineLevel="1">
      <c r="A861" s="898" t="s">
        <v>1704</v>
      </c>
      <c r="B861" s="927" t="s">
        <v>4</v>
      </c>
      <c r="C861" s="753">
        <f t="shared" ref="C861:C867" si="272">C852</f>
        <v>5268525</v>
      </c>
      <c r="D861" s="753">
        <v>0</v>
      </c>
      <c r="E861" s="780">
        <v>741300</v>
      </c>
      <c r="F861" s="730">
        <v>4527225</v>
      </c>
      <c r="G861" s="753">
        <v>0</v>
      </c>
      <c r="H861" s="905">
        <f t="shared" ref="H861:H868" si="273">C861+D861-E861</f>
        <v>4527225</v>
      </c>
      <c r="I861" s="753"/>
    </row>
    <row r="862" spans="1:9" hidden="1" outlineLevel="1">
      <c r="A862" s="898" t="s">
        <v>1704</v>
      </c>
      <c r="B862" s="928" t="s">
        <v>5</v>
      </c>
      <c r="C862" s="754">
        <f t="shared" si="272"/>
        <v>3661350</v>
      </c>
      <c r="D862" s="754">
        <v>0</v>
      </c>
      <c r="E862" s="782">
        <v>3661350</v>
      </c>
      <c r="F862" s="902">
        <v>0</v>
      </c>
      <c r="G862" s="767">
        <v>0</v>
      </c>
      <c r="H862" s="906">
        <f t="shared" si="273"/>
        <v>0</v>
      </c>
      <c r="I862" s="754"/>
    </row>
    <row r="863" spans="1:9" hidden="1" outlineLevel="1">
      <c r="A863" s="898" t="s">
        <v>1704</v>
      </c>
      <c r="B863" s="928" t="s">
        <v>6</v>
      </c>
      <c r="C863" s="754">
        <f t="shared" si="272"/>
        <v>131625066.46194756</v>
      </c>
      <c r="D863" s="754"/>
      <c r="E863" s="782"/>
      <c r="F863" s="732">
        <v>131625066.46194756</v>
      </c>
      <c r="G863" s="754"/>
      <c r="H863" s="906">
        <f t="shared" si="273"/>
        <v>131625066.46194756</v>
      </c>
      <c r="I863" s="754"/>
    </row>
    <row r="864" spans="1:9" hidden="1" outlineLevel="1">
      <c r="A864" s="898" t="s">
        <v>1704</v>
      </c>
      <c r="B864" s="920" t="s">
        <v>7</v>
      </c>
      <c r="C864" s="754">
        <f t="shared" si="272"/>
        <v>0</v>
      </c>
      <c r="D864" s="754">
        <v>0</v>
      </c>
      <c r="E864" s="767">
        <v>0</v>
      </c>
      <c r="F864" s="788">
        <v>0</v>
      </c>
      <c r="G864" s="767">
        <v>0</v>
      </c>
      <c r="H864" s="906">
        <f t="shared" si="273"/>
        <v>0</v>
      </c>
      <c r="I864" s="754"/>
    </row>
    <row r="865" spans="1:9" hidden="1" outlineLevel="1">
      <c r="A865" s="898" t="s">
        <v>1704</v>
      </c>
      <c r="B865" s="919" t="s">
        <v>8</v>
      </c>
      <c r="C865" s="754">
        <f t="shared" si="272"/>
        <v>14896863</v>
      </c>
      <c r="D865" s="754">
        <v>0</v>
      </c>
      <c r="E865" s="767">
        <v>0</v>
      </c>
      <c r="F865" s="777">
        <v>0</v>
      </c>
      <c r="G865" s="767">
        <v>14896863</v>
      </c>
      <c r="H865" s="906">
        <f t="shared" si="273"/>
        <v>14896863</v>
      </c>
      <c r="I865" s="754"/>
    </row>
    <row r="866" spans="1:9" hidden="1" outlineLevel="1">
      <c r="A866" s="898" t="s">
        <v>1704</v>
      </c>
      <c r="B866" s="919" t="s">
        <v>9</v>
      </c>
      <c r="C866" s="1256">
        <f t="shared" si="272"/>
        <v>18019962</v>
      </c>
      <c r="D866" s="962">
        <v>229274000</v>
      </c>
      <c r="E866" s="903">
        <v>166047620</v>
      </c>
      <c r="F866" s="963">
        <v>81229232.00000003</v>
      </c>
      <c r="G866" s="908">
        <v>17110</v>
      </c>
      <c r="H866" s="906">
        <f t="shared" si="273"/>
        <v>81246342</v>
      </c>
      <c r="I866" s="754"/>
    </row>
    <row r="867" spans="1:9" ht="15.75" hidden="1" outlineLevel="1">
      <c r="A867" s="898" t="s">
        <v>1704</v>
      </c>
      <c r="B867" s="1217" t="s">
        <v>1604</v>
      </c>
      <c r="C867" s="1256">
        <f t="shared" si="272"/>
        <v>7117863</v>
      </c>
      <c r="D867" s="1218">
        <v>42001350</v>
      </c>
      <c r="E867" s="903">
        <v>26856370</v>
      </c>
      <c r="F867" s="772">
        <v>0</v>
      </c>
      <c r="G867" s="908">
        <v>22262843</v>
      </c>
      <c r="H867" s="906">
        <f t="shared" si="273"/>
        <v>22262843</v>
      </c>
      <c r="I867" s="754"/>
    </row>
    <row r="868" spans="1:9" ht="16.5" hidden="1" outlineLevel="1" thickBot="1">
      <c r="A868" s="898" t="s">
        <v>1704</v>
      </c>
      <c r="B868" s="1253" t="s">
        <v>1810</v>
      </c>
      <c r="C868" s="1259">
        <v>0</v>
      </c>
      <c r="D868" s="773">
        <v>50000000</v>
      </c>
      <c r="E868" s="806">
        <v>30000000</v>
      </c>
      <c r="F868" s="785">
        <v>0</v>
      </c>
      <c r="G868" s="897">
        <v>20000000</v>
      </c>
      <c r="H868" s="906">
        <f t="shared" si="273"/>
        <v>20000000</v>
      </c>
      <c r="I868" s="754"/>
    </row>
    <row r="869" spans="1:9" ht="13.5" hidden="1" outlineLevel="1" thickBot="1">
      <c r="A869" s="1111" t="s">
        <v>1704</v>
      </c>
      <c r="B869" s="1252" t="s">
        <v>31</v>
      </c>
      <c r="C869" s="1224">
        <f>SUM(C861:C868)</f>
        <v>180589629.46194756</v>
      </c>
      <c r="D869" s="1224">
        <f t="shared" ref="D869:H869" si="274">SUM(D861:D868)</f>
        <v>321275350</v>
      </c>
      <c r="E869" s="1224">
        <f t="shared" si="274"/>
        <v>227306640</v>
      </c>
      <c r="F869" s="1224">
        <f t="shared" si="274"/>
        <v>217381523.46194759</v>
      </c>
      <c r="G869" s="1224">
        <f t="shared" si="274"/>
        <v>57176816</v>
      </c>
      <c r="H869" s="1550">
        <f t="shared" si="274"/>
        <v>274558339.46194756</v>
      </c>
      <c r="I869" s="754"/>
    </row>
    <row r="870" spans="1:9" hidden="1" outlineLevel="1">
      <c r="A870" s="898" t="s">
        <v>1705</v>
      </c>
      <c r="B870" s="927" t="s">
        <v>4</v>
      </c>
      <c r="C870" s="753">
        <f t="shared" ref="C870:C876" si="275">C861</f>
        <v>5268525</v>
      </c>
      <c r="D870" s="753">
        <v>0</v>
      </c>
      <c r="E870" s="780">
        <v>741300</v>
      </c>
      <c r="F870" s="730">
        <v>4527225</v>
      </c>
      <c r="G870" s="753">
        <v>0</v>
      </c>
      <c r="H870" s="905">
        <f t="shared" ref="H870:H877" si="276">C870+D870-E870</f>
        <v>4527225</v>
      </c>
      <c r="I870" s="753"/>
    </row>
    <row r="871" spans="1:9" hidden="1" outlineLevel="1">
      <c r="A871" s="898" t="s">
        <v>1705</v>
      </c>
      <c r="B871" s="928" t="s">
        <v>5</v>
      </c>
      <c r="C871" s="754">
        <f t="shared" si="275"/>
        <v>3661350</v>
      </c>
      <c r="D871" s="754">
        <v>0</v>
      </c>
      <c r="E871" s="782">
        <v>3661350</v>
      </c>
      <c r="F871" s="902">
        <v>0</v>
      </c>
      <c r="G871" s="767">
        <v>0</v>
      </c>
      <c r="H871" s="906">
        <f t="shared" si="276"/>
        <v>0</v>
      </c>
      <c r="I871" s="754"/>
    </row>
    <row r="872" spans="1:9" hidden="1" outlineLevel="1">
      <c r="A872" s="898" t="s">
        <v>1705</v>
      </c>
      <c r="B872" s="928" t="s">
        <v>6</v>
      </c>
      <c r="C872" s="754">
        <f t="shared" si="275"/>
        <v>131625066.46194756</v>
      </c>
      <c r="D872" s="754"/>
      <c r="E872" s="782"/>
      <c r="F872" s="732">
        <v>131625066.46194756</v>
      </c>
      <c r="G872" s="754"/>
      <c r="H872" s="906">
        <f t="shared" si="276"/>
        <v>131625066.46194756</v>
      </c>
      <c r="I872" s="754"/>
    </row>
    <row r="873" spans="1:9" hidden="1" outlineLevel="1">
      <c r="A873" s="898" t="s">
        <v>1705</v>
      </c>
      <c r="B873" s="920" t="s">
        <v>7</v>
      </c>
      <c r="C873" s="754">
        <f t="shared" si="275"/>
        <v>0</v>
      </c>
      <c r="D873" s="754">
        <v>0</v>
      </c>
      <c r="E873" s="767">
        <v>0</v>
      </c>
      <c r="F873" s="788">
        <v>0</v>
      </c>
      <c r="G873" s="767">
        <v>0</v>
      </c>
      <c r="H873" s="906">
        <f t="shared" si="276"/>
        <v>0</v>
      </c>
      <c r="I873" s="754"/>
    </row>
    <row r="874" spans="1:9" hidden="1" outlineLevel="1">
      <c r="A874" s="898" t="s">
        <v>1705</v>
      </c>
      <c r="B874" s="919" t="s">
        <v>8</v>
      </c>
      <c r="C874" s="754">
        <f t="shared" si="275"/>
        <v>14896863</v>
      </c>
      <c r="D874" s="754">
        <v>0</v>
      </c>
      <c r="E874" s="767">
        <v>0</v>
      </c>
      <c r="F874" s="777">
        <v>0</v>
      </c>
      <c r="G874" s="767">
        <v>14896863</v>
      </c>
      <c r="H874" s="906">
        <f t="shared" si="276"/>
        <v>14896863</v>
      </c>
      <c r="I874" s="754"/>
    </row>
    <row r="875" spans="1:9" hidden="1" outlineLevel="1">
      <c r="A875" s="898" t="s">
        <v>1705</v>
      </c>
      <c r="B875" s="919" t="s">
        <v>9</v>
      </c>
      <c r="C875" s="1256">
        <f t="shared" si="275"/>
        <v>18019962</v>
      </c>
      <c r="D875" s="962">
        <v>229274000</v>
      </c>
      <c r="E875" s="903">
        <v>166047620</v>
      </c>
      <c r="F875" s="963">
        <v>81229232.00000003</v>
      </c>
      <c r="G875" s="908">
        <v>17110</v>
      </c>
      <c r="H875" s="906">
        <f t="shared" si="276"/>
        <v>81246342</v>
      </c>
      <c r="I875" s="754"/>
    </row>
    <row r="876" spans="1:9" ht="15.75" hidden="1" outlineLevel="1">
      <c r="A876" s="898" t="s">
        <v>1705</v>
      </c>
      <c r="B876" s="1217" t="s">
        <v>1604</v>
      </c>
      <c r="C876" s="1256">
        <f t="shared" si="275"/>
        <v>7117863</v>
      </c>
      <c r="D876" s="1218">
        <v>42001350</v>
      </c>
      <c r="E876" s="903">
        <v>26856370</v>
      </c>
      <c r="F876" s="772">
        <v>0</v>
      </c>
      <c r="G876" s="908">
        <v>22262843</v>
      </c>
      <c r="H876" s="906">
        <f t="shared" si="276"/>
        <v>22262843</v>
      </c>
      <c r="I876" s="754"/>
    </row>
    <row r="877" spans="1:9" ht="16.5" hidden="1" outlineLevel="1" thickBot="1">
      <c r="A877" s="898" t="s">
        <v>1705</v>
      </c>
      <c r="B877" s="1253" t="s">
        <v>1810</v>
      </c>
      <c r="C877" s="1259">
        <v>0</v>
      </c>
      <c r="D877" s="773">
        <v>50000000</v>
      </c>
      <c r="E877" s="806">
        <v>30000000</v>
      </c>
      <c r="F877" s="785">
        <v>0</v>
      </c>
      <c r="G877" s="897">
        <v>20000000</v>
      </c>
      <c r="H877" s="906">
        <f t="shared" si="276"/>
        <v>20000000</v>
      </c>
      <c r="I877" s="754"/>
    </row>
    <row r="878" spans="1:9" ht="13.5" hidden="1" outlineLevel="1" thickBot="1">
      <c r="A878" s="1111" t="s">
        <v>1705</v>
      </c>
      <c r="B878" s="1252" t="s">
        <v>31</v>
      </c>
      <c r="C878" s="1224">
        <f>SUM(C870:C877)</f>
        <v>180589629.46194756</v>
      </c>
      <c r="D878" s="1224">
        <f t="shared" ref="D878:H878" si="277">SUM(D870:D877)</f>
        <v>321275350</v>
      </c>
      <c r="E878" s="1224">
        <f t="shared" si="277"/>
        <v>227306640</v>
      </c>
      <c r="F878" s="1224">
        <f t="shared" si="277"/>
        <v>217381523.46194759</v>
      </c>
      <c r="G878" s="1224">
        <f t="shared" si="277"/>
        <v>57176816</v>
      </c>
      <c r="H878" s="1550">
        <f t="shared" si="277"/>
        <v>274558339.46194756</v>
      </c>
      <c r="I878" s="754"/>
    </row>
    <row r="879" spans="1:9" hidden="1" outlineLevel="1">
      <c r="A879" s="898" t="s">
        <v>1706</v>
      </c>
      <c r="B879" s="927" t="s">
        <v>4</v>
      </c>
      <c r="C879" s="753">
        <f t="shared" ref="C879:C885" si="278">C870</f>
        <v>5268525</v>
      </c>
      <c r="D879" s="753">
        <v>0</v>
      </c>
      <c r="E879" s="780">
        <v>741300</v>
      </c>
      <c r="F879" s="730">
        <v>4527225</v>
      </c>
      <c r="G879" s="753">
        <v>0</v>
      </c>
      <c r="H879" s="905">
        <f t="shared" ref="H879:H886" si="279">C879+D879-E879</f>
        <v>4527225</v>
      </c>
      <c r="I879" s="753"/>
    </row>
    <row r="880" spans="1:9" hidden="1" outlineLevel="1">
      <c r="A880" s="898" t="s">
        <v>1706</v>
      </c>
      <c r="B880" s="928" t="s">
        <v>5</v>
      </c>
      <c r="C880" s="754">
        <f t="shared" si="278"/>
        <v>3661350</v>
      </c>
      <c r="D880" s="754">
        <v>0</v>
      </c>
      <c r="E880" s="782">
        <v>3661350</v>
      </c>
      <c r="F880" s="902">
        <v>0</v>
      </c>
      <c r="G880" s="767">
        <v>0</v>
      </c>
      <c r="H880" s="906">
        <f t="shared" si="279"/>
        <v>0</v>
      </c>
      <c r="I880" s="754"/>
    </row>
    <row r="881" spans="1:9" hidden="1" outlineLevel="1">
      <c r="A881" s="898" t="s">
        <v>1706</v>
      </c>
      <c r="B881" s="928" t="s">
        <v>6</v>
      </c>
      <c r="C881" s="754">
        <f t="shared" si="278"/>
        <v>131625066.46194756</v>
      </c>
      <c r="D881" s="754"/>
      <c r="E881" s="782"/>
      <c r="F881" s="732">
        <v>131625066.46194756</v>
      </c>
      <c r="G881" s="754"/>
      <c r="H881" s="906">
        <f t="shared" si="279"/>
        <v>131625066.46194756</v>
      </c>
      <c r="I881" s="754"/>
    </row>
    <row r="882" spans="1:9" hidden="1" outlineLevel="1">
      <c r="A882" s="898" t="s">
        <v>1706</v>
      </c>
      <c r="B882" s="920" t="s">
        <v>7</v>
      </c>
      <c r="C882" s="754">
        <f t="shared" si="278"/>
        <v>0</v>
      </c>
      <c r="D882" s="754">
        <v>0</v>
      </c>
      <c r="E882" s="767">
        <v>0</v>
      </c>
      <c r="F882" s="788">
        <v>0</v>
      </c>
      <c r="G882" s="767">
        <v>0</v>
      </c>
      <c r="H882" s="906">
        <f t="shared" si="279"/>
        <v>0</v>
      </c>
      <c r="I882" s="754"/>
    </row>
    <row r="883" spans="1:9" hidden="1" outlineLevel="1">
      <c r="A883" s="898" t="s">
        <v>1706</v>
      </c>
      <c r="B883" s="919" t="s">
        <v>8</v>
      </c>
      <c r="C883" s="754">
        <f t="shared" si="278"/>
        <v>14896863</v>
      </c>
      <c r="D883" s="754">
        <v>0</v>
      </c>
      <c r="E883" s="767">
        <v>0</v>
      </c>
      <c r="F883" s="963"/>
      <c r="G883" s="767">
        <v>14896863</v>
      </c>
      <c r="H883" s="906">
        <f t="shared" si="279"/>
        <v>14896863</v>
      </c>
      <c r="I883" s="754"/>
    </row>
    <row r="884" spans="1:9" hidden="1" outlineLevel="1">
      <c r="A884" s="898" t="s">
        <v>1706</v>
      </c>
      <c r="B884" s="919" t="s">
        <v>9</v>
      </c>
      <c r="C884" s="1256">
        <f t="shared" si="278"/>
        <v>18019962</v>
      </c>
      <c r="D884" s="962">
        <v>229274000</v>
      </c>
      <c r="E884" s="903">
        <v>166047620</v>
      </c>
      <c r="F884" s="963">
        <v>81229232.00000003</v>
      </c>
      <c r="G884" s="908">
        <v>17110</v>
      </c>
      <c r="H884" s="906">
        <f t="shared" si="279"/>
        <v>81246342</v>
      </c>
      <c r="I884" s="754"/>
    </row>
    <row r="885" spans="1:9" ht="15.75" hidden="1" outlineLevel="1">
      <c r="A885" s="898" t="s">
        <v>1706</v>
      </c>
      <c r="B885" s="1217" t="s">
        <v>1604</v>
      </c>
      <c r="C885" s="1256">
        <f t="shared" si="278"/>
        <v>7117863</v>
      </c>
      <c r="D885" s="1218">
        <v>42001350</v>
      </c>
      <c r="E885" s="903">
        <v>26856370</v>
      </c>
      <c r="F885" s="772">
        <v>0</v>
      </c>
      <c r="G885" s="908">
        <v>22262843</v>
      </c>
      <c r="H885" s="906">
        <f t="shared" si="279"/>
        <v>22262843</v>
      </c>
      <c r="I885" s="754"/>
    </row>
    <row r="886" spans="1:9" ht="16.5" hidden="1" outlineLevel="1" thickBot="1">
      <c r="A886" s="898" t="s">
        <v>1706</v>
      </c>
      <c r="B886" s="1253" t="s">
        <v>1810</v>
      </c>
      <c r="C886" s="1259">
        <v>0</v>
      </c>
      <c r="D886" s="773">
        <v>50000000</v>
      </c>
      <c r="E886" s="806">
        <v>30000000</v>
      </c>
      <c r="F886" s="785">
        <v>0</v>
      </c>
      <c r="G886" s="897">
        <v>20000000</v>
      </c>
      <c r="H886" s="906">
        <f t="shared" si="279"/>
        <v>20000000</v>
      </c>
      <c r="I886" s="754"/>
    </row>
    <row r="887" spans="1:9" ht="13.5" hidden="1" outlineLevel="1" thickBot="1">
      <c r="A887" s="1111" t="s">
        <v>1706</v>
      </c>
      <c r="B887" s="1252" t="s">
        <v>31</v>
      </c>
      <c r="C887" s="1224">
        <f>SUM(C879:C886)</f>
        <v>180589629.46194756</v>
      </c>
      <c r="D887" s="1224">
        <f t="shared" ref="D887:H887" si="280">SUM(D879:D886)</f>
        <v>321275350</v>
      </c>
      <c r="E887" s="1224">
        <f t="shared" si="280"/>
        <v>227306640</v>
      </c>
      <c r="F887" s="1224">
        <f t="shared" si="280"/>
        <v>217381523.46194759</v>
      </c>
      <c r="G887" s="1224">
        <f t="shared" si="280"/>
        <v>57176816</v>
      </c>
      <c r="H887" s="1550">
        <f t="shared" si="280"/>
        <v>274558339.46194756</v>
      </c>
      <c r="I887" s="754"/>
    </row>
    <row r="888" spans="1:9" hidden="1" outlineLevel="1">
      <c r="A888" s="898" t="s">
        <v>1707</v>
      </c>
      <c r="B888" s="927" t="s">
        <v>4</v>
      </c>
      <c r="C888" s="753">
        <f t="shared" ref="C888:C894" si="281">C879</f>
        <v>5268525</v>
      </c>
      <c r="D888" s="753">
        <v>0</v>
      </c>
      <c r="E888" s="780">
        <v>741300</v>
      </c>
      <c r="F888" s="730">
        <v>4527225</v>
      </c>
      <c r="G888" s="753">
        <v>0</v>
      </c>
      <c r="H888" s="905">
        <f t="shared" ref="H888:H895" si="282">C888+D888-E888</f>
        <v>4527225</v>
      </c>
      <c r="I888" s="753"/>
    </row>
    <row r="889" spans="1:9" hidden="1" outlineLevel="1">
      <c r="A889" s="898" t="s">
        <v>1707</v>
      </c>
      <c r="B889" s="928" t="s">
        <v>5</v>
      </c>
      <c r="C889" s="754">
        <f t="shared" si="281"/>
        <v>3661350</v>
      </c>
      <c r="D889" s="754">
        <v>0</v>
      </c>
      <c r="E889" s="782">
        <v>3661350</v>
      </c>
      <c r="F889" s="902">
        <v>0</v>
      </c>
      <c r="G889" s="767">
        <v>0</v>
      </c>
      <c r="H889" s="906">
        <f t="shared" si="282"/>
        <v>0</v>
      </c>
      <c r="I889" s="754"/>
    </row>
    <row r="890" spans="1:9" hidden="1" outlineLevel="1">
      <c r="A890" s="898" t="s">
        <v>1707</v>
      </c>
      <c r="B890" s="928" t="s">
        <v>6</v>
      </c>
      <c r="C890" s="754">
        <f t="shared" si="281"/>
        <v>131625066.46194756</v>
      </c>
      <c r="D890" s="754"/>
      <c r="E890" s="782"/>
      <c r="F890" s="732">
        <v>131625066.46194756</v>
      </c>
      <c r="G890" s="754"/>
      <c r="H890" s="906">
        <f t="shared" si="282"/>
        <v>131625066.46194756</v>
      </c>
      <c r="I890" s="754"/>
    </row>
    <row r="891" spans="1:9" hidden="1" outlineLevel="1">
      <c r="A891" s="898" t="s">
        <v>1707</v>
      </c>
      <c r="B891" s="920" t="s">
        <v>7</v>
      </c>
      <c r="C891" s="754">
        <f t="shared" si="281"/>
        <v>0</v>
      </c>
      <c r="D891" s="754">
        <v>0</v>
      </c>
      <c r="E891" s="767">
        <v>0</v>
      </c>
      <c r="F891" s="788">
        <v>0</v>
      </c>
      <c r="G891" s="767">
        <v>0</v>
      </c>
      <c r="H891" s="906">
        <f t="shared" si="282"/>
        <v>0</v>
      </c>
      <c r="I891" s="754"/>
    </row>
    <row r="892" spans="1:9" hidden="1" outlineLevel="1">
      <c r="A892" s="898" t="s">
        <v>1707</v>
      </c>
      <c r="B892" s="919" t="s">
        <v>8</v>
      </c>
      <c r="C892" s="754">
        <f t="shared" si="281"/>
        <v>14896863</v>
      </c>
      <c r="D892" s="754">
        <v>0</v>
      </c>
      <c r="E892" s="767">
        <v>0</v>
      </c>
      <c r="F892" s="777">
        <v>0</v>
      </c>
      <c r="G892" s="767">
        <v>14896863</v>
      </c>
      <c r="H892" s="906">
        <f t="shared" si="282"/>
        <v>14896863</v>
      </c>
      <c r="I892" s="754"/>
    </row>
    <row r="893" spans="1:9" hidden="1" outlineLevel="1">
      <c r="A893" s="898" t="s">
        <v>1707</v>
      </c>
      <c r="B893" s="919" t="s">
        <v>9</v>
      </c>
      <c r="C893" s="1256">
        <f t="shared" si="281"/>
        <v>18019962</v>
      </c>
      <c r="D893" s="962">
        <v>229274000</v>
      </c>
      <c r="E893" s="903">
        <v>166047620</v>
      </c>
      <c r="F893" s="963">
        <v>81229232.00000003</v>
      </c>
      <c r="G893" s="908">
        <v>17110</v>
      </c>
      <c r="H893" s="906">
        <f t="shared" si="282"/>
        <v>81246342</v>
      </c>
      <c r="I893" s="754"/>
    </row>
    <row r="894" spans="1:9" ht="15.75" hidden="1" outlineLevel="1">
      <c r="A894" s="898" t="s">
        <v>1707</v>
      </c>
      <c r="B894" s="1217" t="s">
        <v>1604</v>
      </c>
      <c r="C894" s="1256">
        <f t="shared" si="281"/>
        <v>7117863</v>
      </c>
      <c r="D894" s="1218">
        <v>42001350</v>
      </c>
      <c r="E894" s="903">
        <v>26856370</v>
      </c>
      <c r="F894" s="772">
        <v>0</v>
      </c>
      <c r="G894" s="908">
        <v>22262843</v>
      </c>
      <c r="H894" s="906">
        <f t="shared" si="282"/>
        <v>22262843</v>
      </c>
      <c r="I894" s="754"/>
    </row>
    <row r="895" spans="1:9" ht="16.5" hidden="1" outlineLevel="1" thickBot="1">
      <c r="A895" s="898" t="s">
        <v>1707</v>
      </c>
      <c r="B895" s="1253" t="s">
        <v>1810</v>
      </c>
      <c r="C895" s="1259">
        <v>0</v>
      </c>
      <c r="D895" s="773">
        <v>50000000</v>
      </c>
      <c r="E895" s="806">
        <v>30000000</v>
      </c>
      <c r="F895" s="785">
        <v>0</v>
      </c>
      <c r="G895" s="897">
        <v>20000000</v>
      </c>
      <c r="H895" s="906">
        <f t="shared" si="282"/>
        <v>20000000</v>
      </c>
      <c r="I895" s="754"/>
    </row>
    <row r="896" spans="1:9" ht="13.5" hidden="1" outlineLevel="1" thickBot="1">
      <c r="A896" s="1111" t="s">
        <v>1707</v>
      </c>
      <c r="B896" s="1252" t="s">
        <v>31</v>
      </c>
      <c r="C896" s="1224">
        <f>SUM(C888:C895)</f>
        <v>180589629.46194756</v>
      </c>
      <c r="D896" s="1224">
        <f t="shared" ref="D896:H896" si="283">SUM(D888:D895)</f>
        <v>321275350</v>
      </c>
      <c r="E896" s="1224">
        <f t="shared" si="283"/>
        <v>227306640</v>
      </c>
      <c r="F896" s="1224">
        <f t="shared" si="283"/>
        <v>217381523.46194759</v>
      </c>
      <c r="G896" s="1224">
        <f t="shared" si="283"/>
        <v>57176816</v>
      </c>
      <c r="H896" s="1550">
        <f t="shared" si="283"/>
        <v>274558339.46194756</v>
      </c>
      <c r="I896" s="754"/>
    </row>
    <row r="897" spans="1:9" hidden="1" outlineLevel="1">
      <c r="A897" s="898" t="s">
        <v>1708</v>
      </c>
      <c r="B897" s="927" t="s">
        <v>4</v>
      </c>
      <c r="C897" s="753">
        <f t="shared" ref="C897:C903" si="284">C888</f>
        <v>5268525</v>
      </c>
      <c r="D897" s="753">
        <v>0</v>
      </c>
      <c r="E897" s="780">
        <v>741300</v>
      </c>
      <c r="F897" s="730">
        <v>4527225</v>
      </c>
      <c r="G897" s="753">
        <v>0</v>
      </c>
      <c r="H897" s="905">
        <f t="shared" ref="H897:H903" si="285">C897+D897-E897</f>
        <v>4527225</v>
      </c>
      <c r="I897" s="753"/>
    </row>
    <row r="898" spans="1:9" hidden="1" outlineLevel="1">
      <c r="A898" s="898" t="s">
        <v>1708</v>
      </c>
      <c r="B898" s="928" t="s">
        <v>5</v>
      </c>
      <c r="C898" s="754">
        <f t="shared" si="284"/>
        <v>3661350</v>
      </c>
      <c r="D898" s="754">
        <v>0</v>
      </c>
      <c r="E898" s="782">
        <v>3661350</v>
      </c>
      <c r="F898" s="902">
        <v>0</v>
      </c>
      <c r="G898" s="767">
        <v>0</v>
      </c>
      <c r="H898" s="906">
        <f t="shared" si="285"/>
        <v>0</v>
      </c>
      <c r="I898" s="754"/>
    </row>
    <row r="899" spans="1:9" hidden="1" outlineLevel="1">
      <c r="A899" s="898" t="s">
        <v>1708</v>
      </c>
      <c r="B899" s="928" t="s">
        <v>6</v>
      </c>
      <c r="C899" s="754">
        <f t="shared" si="284"/>
        <v>131625066.46194756</v>
      </c>
      <c r="D899" s="754"/>
      <c r="E899" s="782"/>
      <c r="F899" s="732">
        <v>131625066.46194756</v>
      </c>
      <c r="G899" s="754"/>
      <c r="H899" s="906">
        <f t="shared" si="285"/>
        <v>131625066.46194756</v>
      </c>
      <c r="I899" s="754"/>
    </row>
    <row r="900" spans="1:9" hidden="1" outlineLevel="1">
      <c r="A900" s="898" t="s">
        <v>1708</v>
      </c>
      <c r="B900" s="920" t="s">
        <v>7</v>
      </c>
      <c r="C900" s="754">
        <f t="shared" si="284"/>
        <v>0</v>
      </c>
      <c r="D900" s="754">
        <v>0</v>
      </c>
      <c r="E900" s="767">
        <v>0</v>
      </c>
      <c r="F900" s="788">
        <v>0</v>
      </c>
      <c r="G900" s="767">
        <v>0</v>
      </c>
      <c r="H900" s="906">
        <f t="shared" si="285"/>
        <v>0</v>
      </c>
      <c r="I900" s="754"/>
    </row>
    <row r="901" spans="1:9" hidden="1" outlineLevel="1">
      <c r="A901" s="898" t="s">
        <v>1708</v>
      </c>
      <c r="B901" s="919" t="s">
        <v>8</v>
      </c>
      <c r="C901" s="754">
        <f t="shared" si="284"/>
        <v>14896863</v>
      </c>
      <c r="D901" s="754">
        <v>0</v>
      </c>
      <c r="E901" s="767">
        <v>0</v>
      </c>
      <c r="F901" s="777">
        <v>0</v>
      </c>
      <c r="G901" s="767">
        <v>14896863</v>
      </c>
      <c r="H901" s="906">
        <f t="shared" si="285"/>
        <v>14896863</v>
      </c>
      <c r="I901" s="754"/>
    </row>
    <row r="902" spans="1:9" hidden="1" outlineLevel="1">
      <c r="A902" s="898" t="s">
        <v>1708</v>
      </c>
      <c r="B902" s="919" t="s">
        <v>9</v>
      </c>
      <c r="C902" s="1256">
        <f t="shared" si="284"/>
        <v>18019962</v>
      </c>
      <c r="D902" s="962">
        <v>229274000</v>
      </c>
      <c r="E902" s="903">
        <v>166047620</v>
      </c>
      <c r="F902" s="963">
        <v>81229232.00000003</v>
      </c>
      <c r="G902" s="908">
        <v>17110</v>
      </c>
      <c r="H902" s="906">
        <f t="shared" si="285"/>
        <v>81246342</v>
      </c>
      <c r="I902" s="754"/>
    </row>
    <row r="903" spans="1:9" ht="15.75" hidden="1" outlineLevel="1">
      <c r="A903" s="898" t="s">
        <v>1708</v>
      </c>
      <c r="B903" s="1217" t="s">
        <v>1604</v>
      </c>
      <c r="C903" s="1256">
        <f t="shared" si="284"/>
        <v>7117863</v>
      </c>
      <c r="D903" s="1218">
        <v>42001350</v>
      </c>
      <c r="E903" s="903">
        <v>26856370</v>
      </c>
      <c r="F903" s="772">
        <v>0</v>
      </c>
      <c r="G903" s="908">
        <v>22262843</v>
      </c>
      <c r="H903" s="906">
        <f t="shared" si="285"/>
        <v>22262843</v>
      </c>
      <c r="I903" s="754"/>
    </row>
    <row r="904" spans="1:9" ht="16.5" hidden="1" outlineLevel="1" thickBot="1">
      <c r="A904" s="898" t="s">
        <v>1708</v>
      </c>
      <c r="B904" s="1253" t="s">
        <v>1810</v>
      </c>
      <c r="C904" s="1259">
        <v>0</v>
      </c>
      <c r="D904" s="773">
        <v>50000000</v>
      </c>
      <c r="E904" s="806">
        <v>30000000</v>
      </c>
      <c r="F904" s="785">
        <v>0</v>
      </c>
      <c r="G904" s="897">
        <v>20000000</v>
      </c>
      <c r="H904" s="907"/>
      <c r="I904" s="754"/>
    </row>
    <row r="905" spans="1:9" ht="13.5" hidden="1" outlineLevel="1" thickBot="1">
      <c r="A905" s="1111" t="s">
        <v>1708</v>
      </c>
      <c r="B905" s="1252" t="s">
        <v>31</v>
      </c>
      <c r="C905" s="1224">
        <f>SUM(C897:C904)</f>
        <v>180589629.46194756</v>
      </c>
      <c r="D905" s="1224">
        <f t="shared" ref="D905:H905" si="286">SUM(D897:D904)</f>
        <v>321275350</v>
      </c>
      <c r="E905" s="1224">
        <f t="shared" si="286"/>
        <v>227306640</v>
      </c>
      <c r="F905" s="1224">
        <f t="shared" si="286"/>
        <v>217381523.46194759</v>
      </c>
      <c r="G905" s="1224">
        <f t="shared" si="286"/>
        <v>57176816</v>
      </c>
      <c r="H905" s="1224">
        <f t="shared" si="286"/>
        <v>254558339.46194756</v>
      </c>
      <c r="I905" s="754"/>
    </row>
    <row r="906" spans="1:9" hidden="1" outlineLevel="1">
      <c r="A906" s="898" t="s">
        <v>1709</v>
      </c>
      <c r="B906" s="927" t="s">
        <v>4</v>
      </c>
      <c r="C906" s="753">
        <f t="shared" ref="C906:C912" si="287">C897</f>
        <v>5268525</v>
      </c>
      <c r="D906" s="753">
        <v>5000000</v>
      </c>
      <c r="E906" s="780">
        <v>5420746</v>
      </c>
      <c r="F906" s="730">
        <v>4847779</v>
      </c>
      <c r="G906" s="753">
        <v>0</v>
      </c>
      <c r="H906" s="905">
        <f t="shared" ref="H906:H912" si="288">C906+D906-E906</f>
        <v>4847779</v>
      </c>
      <c r="I906" s="753"/>
    </row>
    <row r="907" spans="1:9" hidden="1" outlineLevel="1">
      <c r="A907" s="898" t="s">
        <v>1709</v>
      </c>
      <c r="B907" s="928" t="s">
        <v>5</v>
      </c>
      <c r="C907" s="754">
        <f t="shared" si="287"/>
        <v>3661350</v>
      </c>
      <c r="D907" s="754">
        <v>0</v>
      </c>
      <c r="E907" s="782">
        <v>3661350</v>
      </c>
      <c r="F907" s="902">
        <v>0</v>
      </c>
      <c r="G907" s="767">
        <v>0</v>
      </c>
      <c r="H907" s="906">
        <f t="shared" si="288"/>
        <v>0</v>
      </c>
      <c r="I907" s="754"/>
    </row>
    <row r="908" spans="1:9" hidden="1" outlineLevel="1">
      <c r="A908" s="898" t="s">
        <v>1709</v>
      </c>
      <c r="B908" s="928" t="s">
        <v>6</v>
      </c>
      <c r="C908" s="754">
        <f t="shared" si="287"/>
        <v>131625066.46194756</v>
      </c>
      <c r="D908" s="754">
        <v>0</v>
      </c>
      <c r="E908" s="782"/>
      <c r="F908" s="732">
        <v>131625066.46194756</v>
      </c>
      <c r="G908" s="754"/>
      <c r="H908" s="906">
        <f t="shared" si="288"/>
        <v>131625066.46194756</v>
      </c>
      <c r="I908" s="754"/>
    </row>
    <row r="909" spans="1:9" hidden="1" outlineLevel="1">
      <c r="A909" s="898" t="s">
        <v>1709</v>
      </c>
      <c r="B909" s="920" t="s">
        <v>7</v>
      </c>
      <c r="C909" s="754">
        <f t="shared" si="287"/>
        <v>0</v>
      </c>
      <c r="D909" s="754">
        <v>0</v>
      </c>
      <c r="E909" s="767">
        <v>0</v>
      </c>
      <c r="F909" s="788">
        <v>0</v>
      </c>
      <c r="G909" s="767">
        <v>0</v>
      </c>
      <c r="H909" s="906">
        <f t="shared" si="288"/>
        <v>0</v>
      </c>
      <c r="I909" s="754"/>
    </row>
    <row r="910" spans="1:9" hidden="1" outlineLevel="1">
      <c r="A910" s="898" t="s">
        <v>1709</v>
      </c>
      <c r="B910" s="919" t="s">
        <v>8</v>
      </c>
      <c r="C910" s="754">
        <f t="shared" si="287"/>
        <v>14896863</v>
      </c>
      <c r="D910" s="754">
        <v>0</v>
      </c>
      <c r="E910" s="767">
        <v>0</v>
      </c>
      <c r="F910" s="777">
        <v>0</v>
      </c>
      <c r="G910" s="767">
        <v>14896863</v>
      </c>
      <c r="H910" s="906">
        <f t="shared" si="288"/>
        <v>14896863</v>
      </c>
      <c r="I910" s="754"/>
    </row>
    <row r="911" spans="1:9" hidden="1" outlineLevel="1">
      <c r="A911" s="898" t="s">
        <v>1709</v>
      </c>
      <c r="B911" s="919" t="s">
        <v>9</v>
      </c>
      <c r="C911" s="1256">
        <f t="shared" si="287"/>
        <v>18019962</v>
      </c>
      <c r="D911" s="962">
        <v>229274000</v>
      </c>
      <c r="E911" s="903">
        <v>166047620</v>
      </c>
      <c r="F911" s="963">
        <v>81229232.00000003</v>
      </c>
      <c r="G911" s="908">
        <v>17110</v>
      </c>
      <c r="H911" s="906">
        <f t="shared" si="288"/>
        <v>81246342</v>
      </c>
      <c r="I911" s="754"/>
    </row>
    <row r="912" spans="1:9" ht="15.75" hidden="1" outlineLevel="1">
      <c r="A912" s="898" t="s">
        <v>1709</v>
      </c>
      <c r="B912" s="1217" t="s">
        <v>1604</v>
      </c>
      <c r="C912" s="1256">
        <f t="shared" si="287"/>
        <v>7117863</v>
      </c>
      <c r="D912" s="1218">
        <v>42001350</v>
      </c>
      <c r="E912" s="903">
        <v>26856370</v>
      </c>
      <c r="F912" s="772">
        <v>0</v>
      </c>
      <c r="G912" s="908">
        <v>22262843</v>
      </c>
      <c r="H912" s="906">
        <f t="shared" si="288"/>
        <v>22262843</v>
      </c>
      <c r="I912" s="754"/>
    </row>
    <row r="913" spans="1:9" ht="16.5" hidden="1" outlineLevel="1" thickBot="1">
      <c r="A913" s="898" t="s">
        <v>1709</v>
      </c>
      <c r="B913" s="1253" t="s">
        <v>1810</v>
      </c>
      <c r="C913" s="1259">
        <v>0</v>
      </c>
      <c r="D913" s="773">
        <v>50000000</v>
      </c>
      <c r="E913" s="806">
        <v>30000000</v>
      </c>
      <c r="F913" s="785">
        <v>0</v>
      </c>
      <c r="G913" s="897">
        <v>20000000</v>
      </c>
      <c r="H913" s="907"/>
      <c r="I913" s="754"/>
    </row>
    <row r="914" spans="1:9" ht="13.5" hidden="1" outlineLevel="1" thickBot="1">
      <c r="A914" s="1111" t="s">
        <v>1709</v>
      </c>
      <c r="B914" s="1252" t="s">
        <v>31</v>
      </c>
      <c r="C914" s="1224">
        <f>SUM(C906:C913)</f>
        <v>180589629.46194756</v>
      </c>
      <c r="D914" s="1224">
        <f t="shared" ref="D914:H914" si="289">SUM(D906:D913)</f>
        <v>326275350</v>
      </c>
      <c r="E914" s="1224">
        <f t="shared" si="289"/>
        <v>231986086</v>
      </c>
      <c r="F914" s="1224">
        <f t="shared" si="289"/>
        <v>217702077.46194759</v>
      </c>
      <c r="G914" s="1224">
        <f t="shared" si="289"/>
        <v>57176816</v>
      </c>
      <c r="H914" s="1224">
        <f t="shared" si="289"/>
        <v>254878893.46194756</v>
      </c>
      <c r="I914" s="754"/>
    </row>
    <row r="915" spans="1:9" hidden="1" outlineLevel="1">
      <c r="A915" s="898" t="s">
        <v>1710</v>
      </c>
      <c r="B915" s="927" t="s">
        <v>4</v>
      </c>
      <c r="C915" s="753">
        <f t="shared" ref="C915:C921" si="290">C906</f>
        <v>5268525</v>
      </c>
      <c r="D915" s="753">
        <v>5000000</v>
      </c>
      <c r="E915" s="780">
        <v>5420746</v>
      </c>
      <c r="F915" s="730">
        <v>4847779</v>
      </c>
      <c r="G915" s="753">
        <v>0</v>
      </c>
      <c r="H915" s="905">
        <f t="shared" ref="H915:H922" si="291">C915+D915-E915</f>
        <v>4847779</v>
      </c>
      <c r="I915" s="753"/>
    </row>
    <row r="916" spans="1:9" hidden="1" outlineLevel="1">
      <c r="A916" s="898" t="s">
        <v>1710</v>
      </c>
      <c r="B916" s="928" t="s">
        <v>5</v>
      </c>
      <c r="C916" s="754">
        <f t="shared" si="290"/>
        <v>3661350</v>
      </c>
      <c r="D916" s="754">
        <v>0</v>
      </c>
      <c r="E916" s="782">
        <v>3661350</v>
      </c>
      <c r="F916" s="902">
        <v>0</v>
      </c>
      <c r="G916" s="767">
        <v>0</v>
      </c>
      <c r="H916" s="906">
        <f t="shared" si="291"/>
        <v>0</v>
      </c>
      <c r="I916" s="754"/>
    </row>
    <row r="917" spans="1:9" hidden="1" outlineLevel="1">
      <c r="A917" s="898" t="s">
        <v>1710</v>
      </c>
      <c r="B917" s="928" t="s">
        <v>6</v>
      </c>
      <c r="C917" s="754">
        <f t="shared" si="290"/>
        <v>131625066.46194756</v>
      </c>
      <c r="D917" s="754">
        <v>0</v>
      </c>
      <c r="E917" s="782"/>
      <c r="F917" s="732">
        <v>131625066.46194756</v>
      </c>
      <c r="G917" s="754"/>
      <c r="H917" s="906">
        <f t="shared" si="291"/>
        <v>131625066.46194756</v>
      </c>
      <c r="I917" s="754"/>
    </row>
    <row r="918" spans="1:9" hidden="1" outlineLevel="1">
      <c r="A918" s="898" t="s">
        <v>1710</v>
      </c>
      <c r="B918" s="920" t="s">
        <v>7</v>
      </c>
      <c r="C918" s="754">
        <f t="shared" si="290"/>
        <v>0</v>
      </c>
      <c r="D918" s="754">
        <v>0</v>
      </c>
      <c r="E918" s="767">
        <v>0</v>
      </c>
      <c r="F918" s="788">
        <v>0</v>
      </c>
      <c r="G918" s="767">
        <v>0</v>
      </c>
      <c r="H918" s="906">
        <f t="shared" si="291"/>
        <v>0</v>
      </c>
      <c r="I918" s="754"/>
    </row>
    <row r="919" spans="1:9" hidden="1" outlineLevel="1">
      <c r="A919" s="898" t="s">
        <v>1710</v>
      </c>
      <c r="B919" s="919" t="s">
        <v>8</v>
      </c>
      <c r="C919" s="754">
        <f t="shared" si="290"/>
        <v>14896863</v>
      </c>
      <c r="D919" s="754">
        <v>0</v>
      </c>
      <c r="E919" s="767">
        <v>0</v>
      </c>
      <c r="F919" s="777">
        <v>0</v>
      </c>
      <c r="G919" s="767">
        <v>14896863</v>
      </c>
      <c r="H919" s="906">
        <f t="shared" si="291"/>
        <v>14896863</v>
      </c>
      <c r="I919" s="754"/>
    </row>
    <row r="920" spans="1:9" hidden="1" outlineLevel="1">
      <c r="A920" s="898" t="s">
        <v>1710</v>
      </c>
      <c r="B920" s="919" t="s">
        <v>9</v>
      </c>
      <c r="C920" s="1256">
        <f t="shared" si="290"/>
        <v>18019962</v>
      </c>
      <c r="D920" s="962">
        <v>229274000</v>
      </c>
      <c r="E920" s="903">
        <v>166047620</v>
      </c>
      <c r="F920" s="963">
        <v>81229232.00000003</v>
      </c>
      <c r="G920" s="908">
        <v>17110</v>
      </c>
      <c r="H920" s="906">
        <f t="shared" si="291"/>
        <v>81246342</v>
      </c>
      <c r="I920" s="754"/>
    </row>
    <row r="921" spans="1:9" ht="15.75" hidden="1" outlineLevel="1">
      <c r="A921" s="898" t="s">
        <v>1710</v>
      </c>
      <c r="B921" s="1217" t="s">
        <v>1604</v>
      </c>
      <c r="C921" s="1256">
        <f t="shared" si="290"/>
        <v>7117863</v>
      </c>
      <c r="D921" s="1218">
        <v>42001350</v>
      </c>
      <c r="E921" s="903">
        <v>26856370</v>
      </c>
      <c r="F921" s="772">
        <v>0</v>
      </c>
      <c r="G921" s="908">
        <v>22262843</v>
      </c>
      <c r="H921" s="906">
        <f t="shared" si="291"/>
        <v>22262843</v>
      </c>
      <c r="I921" s="754"/>
    </row>
    <row r="922" spans="1:9" ht="16.5" hidden="1" outlineLevel="1" thickBot="1">
      <c r="A922" s="898" t="s">
        <v>1710</v>
      </c>
      <c r="B922" s="1253" t="s">
        <v>1810</v>
      </c>
      <c r="C922" s="1259">
        <v>0</v>
      </c>
      <c r="D922" s="773">
        <v>50000000</v>
      </c>
      <c r="E922" s="806">
        <v>30000000</v>
      </c>
      <c r="F922" s="785">
        <v>0</v>
      </c>
      <c r="G922" s="897">
        <v>20000000</v>
      </c>
      <c r="H922" s="906">
        <f t="shared" si="291"/>
        <v>20000000</v>
      </c>
      <c r="I922" s="754"/>
    </row>
    <row r="923" spans="1:9" ht="13.5" hidden="1" outlineLevel="1" thickBot="1">
      <c r="A923" s="1111" t="s">
        <v>1710</v>
      </c>
      <c r="B923" s="1252" t="s">
        <v>31</v>
      </c>
      <c r="C923" s="1224">
        <f>SUM(C915:C922)</f>
        <v>180589629.46194756</v>
      </c>
      <c r="D923" s="1224">
        <f t="shared" ref="D923:H923" si="292">SUM(D915:D922)</f>
        <v>326275350</v>
      </c>
      <c r="E923" s="1224">
        <f t="shared" si="292"/>
        <v>231986086</v>
      </c>
      <c r="F923" s="1224">
        <f t="shared" si="292"/>
        <v>217702077.46194759</v>
      </c>
      <c r="G923" s="1224">
        <f t="shared" si="292"/>
        <v>57176816</v>
      </c>
      <c r="H923" s="1550">
        <f t="shared" si="292"/>
        <v>274878893.46194756</v>
      </c>
      <c r="I923" s="754"/>
    </row>
    <row r="924" spans="1:9" hidden="1" outlineLevel="1">
      <c r="A924" s="898" t="s">
        <v>1711</v>
      </c>
      <c r="B924" s="927" t="s">
        <v>4</v>
      </c>
      <c r="C924" s="753">
        <f t="shared" ref="C924:C930" si="293">C915</f>
        <v>5268525</v>
      </c>
      <c r="D924" s="753">
        <v>5000000</v>
      </c>
      <c r="E924" s="780">
        <v>5420746</v>
      </c>
      <c r="F924" s="730">
        <v>4847779</v>
      </c>
      <c r="G924" s="753">
        <v>0</v>
      </c>
      <c r="H924" s="905">
        <f t="shared" ref="H924:H931" si="294">C924+D924-E924</f>
        <v>4847779</v>
      </c>
      <c r="I924" s="753"/>
    </row>
    <row r="925" spans="1:9" hidden="1" outlineLevel="1">
      <c r="A925" s="898" t="s">
        <v>1711</v>
      </c>
      <c r="B925" s="928" t="s">
        <v>5</v>
      </c>
      <c r="C925" s="754">
        <f t="shared" si="293"/>
        <v>3661350</v>
      </c>
      <c r="D925" s="754">
        <v>0</v>
      </c>
      <c r="E925" s="782">
        <v>3661350</v>
      </c>
      <c r="F925" s="902">
        <v>0</v>
      </c>
      <c r="G925" s="767">
        <v>0</v>
      </c>
      <c r="H925" s="906">
        <f t="shared" si="294"/>
        <v>0</v>
      </c>
      <c r="I925" s="754"/>
    </row>
    <row r="926" spans="1:9" hidden="1" outlineLevel="1">
      <c r="A926" s="898" t="s">
        <v>1711</v>
      </c>
      <c r="B926" s="928" t="s">
        <v>6</v>
      </c>
      <c r="C926" s="754">
        <f t="shared" si="293"/>
        <v>131625066.46194756</v>
      </c>
      <c r="D926" s="754">
        <v>0</v>
      </c>
      <c r="E926" s="782"/>
      <c r="F926" s="732">
        <v>131625066.46194756</v>
      </c>
      <c r="G926" s="754"/>
      <c r="H926" s="906">
        <f t="shared" si="294"/>
        <v>131625066.46194756</v>
      </c>
      <c r="I926" s="754"/>
    </row>
    <row r="927" spans="1:9" hidden="1" outlineLevel="1">
      <c r="A927" s="898" t="s">
        <v>1711</v>
      </c>
      <c r="B927" s="920" t="s">
        <v>7</v>
      </c>
      <c r="C927" s="754">
        <f t="shared" si="293"/>
        <v>0</v>
      </c>
      <c r="D927" s="754">
        <v>0</v>
      </c>
      <c r="E927" s="767">
        <v>0</v>
      </c>
      <c r="F927" s="788">
        <v>0</v>
      </c>
      <c r="G927" s="767">
        <v>0</v>
      </c>
      <c r="H927" s="906">
        <f t="shared" si="294"/>
        <v>0</v>
      </c>
      <c r="I927" s="754"/>
    </row>
    <row r="928" spans="1:9" hidden="1" outlineLevel="1">
      <c r="A928" s="898" t="s">
        <v>1711</v>
      </c>
      <c r="B928" s="919" t="s">
        <v>8</v>
      </c>
      <c r="C928" s="754">
        <f t="shared" si="293"/>
        <v>14896863</v>
      </c>
      <c r="D928" s="754">
        <v>0</v>
      </c>
      <c r="E928" s="767">
        <v>0</v>
      </c>
      <c r="F928" s="777">
        <v>0</v>
      </c>
      <c r="G928" s="767">
        <v>14896863</v>
      </c>
      <c r="H928" s="906">
        <f t="shared" si="294"/>
        <v>14896863</v>
      </c>
      <c r="I928" s="754"/>
    </row>
    <row r="929" spans="1:9" hidden="1" outlineLevel="1">
      <c r="A929" s="898" t="s">
        <v>1711</v>
      </c>
      <c r="B929" s="919" t="s">
        <v>9</v>
      </c>
      <c r="C929" s="1256">
        <f t="shared" si="293"/>
        <v>18019962</v>
      </c>
      <c r="D929" s="962">
        <v>229274000</v>
      </c>
      <c r="E929" s="903">
        <v>166047620</v>
      </c>
      <c r="F929" s="963">
        <v>81229232.00000003</v>
      </c>
      <c r="G929" s="908">
        <v>17110</v>
      </c>
      <c r="H929" s="906">
        <f t="shared" si="294"/>
        <v>81246342</v>
      </c>
      <c r="I929" s="754"/>
    </row>
    <row r="930" spans="1:9" ht="15.75" hidden="1" outlineLevel="1">
      <c r="A930" s="898" t="s">
        <v>1711</v>
      </c>
      <c r="B930" s="1217" t="s">
        <v>1604</v>
      </c>
      <c r="C930" s="1256">
        <f t="shared" si="293"/>
        <v>7117863</v>
      </c>
      <c r="D930" s="1218">
        <v>42001350</v>
      </c>
      <c r="E930" s="903">
        <v>26856370</v>
      </c>
      <c r="F930" s="772">
        <v>0</v>
      </c>
      <c r="G930" s="908">
        <v>22262843</v>
      </c>
      <c r="H930" s="906">
        <f t="shared" si="294"/>
        <v>22262843</v>
      </c>
      <c r="I930" s="754"/>
    </row>
    <row r="931" spans="1:9" ht="16.5" hidden="1" outlineLevel="1" thickBot="1">
      <c r="A931" s="898" t="s">
        <v>1711</v>
      </c>
      <c r="B931" s="1253" t="s">
        <v>1810</v>
      </c>
      <c r="C931" s="1259">
        <v>0</v>
      </c>
      <c r="D931" s="773">
        <v>50000000</v>
      </c>
      <c r="E931" s="806">
        <v>30000000</v>
      </c>
      <c r="F931" s="785">
        <v>0</v>
      </c>
      <c r="G931" s="897">
        <v>20000000</v>
      </c>
      <c r="H931" s="906">
        <f t="shared" si="294"/>
        <v>20000000</v>
      </c>
      <c r="I931" s="754"/>
    </row>
    <row r="932" spans="1:9" ht="13.5" hidden="1" outlineLevel="1" thickBot="1">
      <c r="A932" s="1111" t="s">
        <v>1711</v>
      </c>
      <c r="B932" s="1252" t="s">
        <v>31</v>
      </c>
      <c r="C932" s="1224">
        <f>SUM(C924:C931)</f>
        <v>180589629.46194756</v>
      </c>
      <c r="D932" s="1224">
        <f t="shared" ref="D932:H932" si="295">SUM(D924:D931)</f>
        <v>326275350</v>
      </c>
      <c r="E932" s="1224">
        <f t="shared" si="295"/>
        <v>231986086</v>
      </c>
      <c r="F932" s="1224">
        <f t="shared" si="295"/>
        <v>217702077.46194759</v>
      </c>
      <c r="G932" s="1224">
        <f t="shared" si="295"/>
        <v>57176816</v>
      </c>
      <c r="H932" s="1550">
        <f t="shared" si="295"/>
        <v>274878893.46194756</v>
      </c>
      <c r="I932" s="754"/>
    </row>
    <row r="933" spans="1:9" hidden="1" outlineLevel="1">
      <c r="A933" s="898" t="s">
        <v>1712</v>
      </c>
      <c r="B933" s="927" t="s">
        <v>4</v>
      </c>
      <c r="C933" s="753">
        <f t="shared" ref="C933:C939" si="296">C924</f>
        <v>5268525</v>
      </c>
      <c r="D933" s="753">
        <v>5000000</v>
      </c>
      <c r="E933" s="780">
        <v>5420746</v>
      </c>
      <c r="F933" s="730">
        <v>4847779</v>
      </c>
      <c r="G933" s="753">
        <v>0</v>
      </c>
      <c r="H933" s="905">
        <f t="shared" ref="H933:H939" si="297">C933+D933-E933</f>
        <v>4847779</v>
      </c>
      <c r="I933" s="753"/>
    </row>
    <row r="934" spans="1:9" hidden="1" outlineLevel="1">
      <c r="A934" s="898" t="s">
        <v>1712</v>
      </c>
      <c r="B934" s="928" t="s">
        <v>5</v>
      </c>
      <c r="C934" s="754">
        <f t="shared" si="296"/>
        <v>3661350</v>
      </c>
      <c r="D934" s="754">
        <v>0</v>
      </c>
      <c r="E934" s="782">
        <v>3661350</v>
      </c>
      <c r="F934" s="902">
        <v>0</v>
      </c>
      <c r="G934" s="767">
        <v>0</v>
      </c>
      <c r="H934" s="906">
        <f t="shared" si="297"/>
        <v>0</v>
      </c>
      <c r="I934" s="754"/>
    </row>
    <row r="935" spans="1:9" hidden="1" outlineLevel="1">
      <c r="A935" s="898" t="s">
        <v>1712</v>
      </c>
      <c r="B935" s="928" t="s">
        <v>6</v>
      </c>
      <c r="C935" s="754">
        <f t="shared" si="296"/>
        <v>131625066.46194756</v>
      </c>
      <c r="D935" s="754">
        <v>0</v>
      </c>
      <c r="E935" s="782">
        <v>98251710.839999989</v>
      </c>
      <c r="F935" s="732">
        <v>0</v>
      </c>
      <c r="G935" s="754">
        <v>33373355.621947803</v>
      </c>
      <c r="H935" s="906">
        <f t="shared" si="297"/>
        <v>33373355.621947572</v>
      </c>
      <c r="I935" s="754"/>
    </row>
    <row r="936" spans="1:9" hidden="1" outlineLevel="1">
      <c r="A936" s="898" t="s">
        <v>1712</v>
      </c>
      <c r="B936" s="920" t="s">
        <v>7</v>
      </c>
      <c r="C936" s="754">
        <f t="shared" si="296"/>
        <v>0</v>
      </c>
      <c r="D936" s="754">
        <v>0</v>
      </c>
      <c r="E936" s="767">
        <v>0</v>
      </c>
      <c r="F936" s="788">
        <v>0</v>
      </c>
      <c r="G936" s="767">
        <v>0</v>
      </c>
      <c r="H936" s="906">
        <f t="shared" si="297"/>
        <v>0</v>
      </c>
      <c r="I936" s="754"/>
    </row>
    <row r="937" spans="1:9" hidden="1" outlineLevel="1">
      <c r="A937" s="898" t="s">
        <v>1712</v>
      </c>
      <c r="B937" s="919" t="s">
        <v>8</v>
      </c>
      <c r="C937" s="754">
        <f t="shared" si="296"/>
        <v>14896863</v>
      </c>
      <c r="D937" s="754">
        <v>0</v>
      </c>
      <c r="E937" s="767">
        <v>0</v>
      </c>
      <c r="F937" s="777">
        <v>0</v>
      </c>
      <c r="G937" s="767">
        <v>14896863</v>
      </c>
      <c r="H937" s="906">
        <f t="shared" si="297"/>
        <v>14896863</v>
      </c>
      <c r="I937" s="754"/>
    </row>
    <row r="938" spans="1:9" hidden="1" outlineLevel="1">
      <c r="A938" s="898" t="s">
        <v>1712</v>
      </c>
      <c r="B938" s="919" t="s">
        <v>9</v>
      </c>
      <c r="C938" s="1256">
        <f t="shared" si="296"/>
        <v>18019962</v>
      </c>
      <c r="D938" s="962">
        <v>308502000</v>
      </c>
      <c r="E938" s="903">
        <v>308845649.99999994</v>
      </c>
      <c r="F938" s="963">
        <v>17659202.000000041</v>
      </c>
      <c r="G938" s="908">
        <v>17110</v>
      </c>
      <c r="H938" s="906">
        <f t="shared" si="297"/>
        <v>17676312.00000006</v>
      </c>
      <c r="I938" s="754"/>
    </row>
    <row r="939" spans="1:9" ht="15.75" hidden="1" outlineLevel="1">
      <c r="A939" s="898" t="s">
        <v>1712</v>
      </c>
      <c r="B939" s="1217" t="s">
        <v>1604</v>
      </c>
      <c r="C939" s="1256">
        <f t="shared" si="296"/>
        <v>7117863</v>
      </c>
      <c r="D939" s="1218">
        <v>115001350</v>
      </c>
      <c r="E939" s="903">
        <v>100337210</v>
      </c>
      <c r="F939" s="772">
        <v>0</v>
      </c>
      <c r="G939" s="908">
        <v>21782003</v>
      </c>
      <c r="H939" s="906">
        <f t="shared" si="297"/>
        <v>21782003</v>
      </c>
      <c r="I939" s="754"/>
    </row>
    <row r="940" spans="1:9" ht="16.5" hidden="1" outlineLevel="1" thickBot="1">
      <c r="A940" s="898" t="s">
        <v>1712</v>
      </c>
      <c r="B940" s="1253" t="s">
        <v>1810</v>
      </c>
      <c r="C940" s="1259">
        <v>0</v>
      </c>
      <c r="D940" s="773">
        <v>88000000</v>
      </c>
      <c r="E940" s="806">
        <v>81847000</v>
      </c>
      <c r="F940" s="785">
        <v>0</v>
      </c>
      <c r="G940" s="897">
        <v>6153000</v>
      </c>
      <c r="H940" s="906">
        <f>C940+D940-E940</f>
        <v>6153000</v>
      </c>
      <c r="I940" s="754"/>
    </row>
    <row r="941" spans="1:9" ht="13.5" collapsed="1" thickBot="1">
      <c r="A941" s="1114" t="s">
        <v>1601</v>
      </c>
      <c r="B941" s="1254" t="s">
        <v>31</v>
      </c>
      <c r="C941" s="1225">
        <f>SUM(C933:C940)</f>
        <v>180589629.46194756</v>
      </c>
      <c r="D941" s="1225">
        <f t="shared" ref="D941:H941" si="298">SUM(D933:D940)</f>
        <v>516503350</v>
      </c>
      <c r="E941" s="1225">
        <f t="shared" si="298"/>
        <v>598363666.83999991</v>
      </c>
      <c r="F941" s="1225">
        <f t="shared" si="298"/>
        <v>22506981.000000041</v>
      </c>
      <c r="G941" s="1225">
        <f t="shared" si="298"/>
        <v>76222331.621947795</v>
      </c>
      <c r="H941" s="1225">
        <f t="shared" si="298"/>
        <v>98729312.621947631</v>
      </c>
      <c r="I941" s="1225">
        <f>SUM(H933:H940)</f>
        <v>98729312.621947631</v>
      </c>
    </row>
    <row r="942" spans="1:9" hidden="1" outlineLevel="1">
      <c r="A942" s="898" t="s">
        <v>1713</v>
      </c>
      <c r="B942" s="927" t="s">
        <v>4</v>
      </c>
      <c r="C942" s="803">
        <f t="shared" ref="C942:C949" si="299">H933</f>
        <v>4847779</v>
      </c>
      <c r="D942" s="803">
        <v>0</v>
      </c>
      <c r="E942" s="930">
        <v>0</v>
      </c>
      <c r="F942" s="753">
        <v>4847779</v>
      </c>
      <c r="G942" s="753">
        <v>0</v>
      </c>
      <c r="H942" s="905">
        <f t="shared" ref="H942:H948" si="300">C942+D942-E942</f>
        <v>4847779</v>
      </c>
      <c r="I942" s="730"/>
    </row>
    <row r="943" spans="1:9" hidden="1" outlineLevel="1">
      <c r="A943" s="898" t="s">
        <v>1713</v>
      </c>
      <c r="B943" s="928" t="s">
        <v>5</v>
      </c>
      <c r="C943" s="804">
        <f t="shared" si="299"/>
        <v>0</v>
      </c>
      <c r="D943" s="754">
        <v>0</v>
      </c>
      <c r="E943" s="782">
        <v>0</v>
      </c>
      <c r="F943" s="904"/>
      <c r="G943" s="1330">
        <v>0</v>
      </c>
      <c r="H943" s="906">
        <f t="shared" si="300"/>
        <v>0</v>
      </c>
      <c r="I943" s="732"/>
    </row>
    <row r="944" spans="1:9" hidden="1" outlineLevel="1">
      <c r="A944" s="898" t="s">
        <v>1713</v>
      </c>
      <c r="B944" s="928" t="s">
        <v>6</v>
      </c>
      <c r="C944" s="804">
        <f t="shared" si="299"/>
        <v>33373355.621947572</v>
      </c>
      <c r="D944" s="804"/>
      <c r="E944" s="931"/>
      <c r="F944" s="754">
        <v>33373355.621947572</v>
      </c>
      <c r="G944" s="754"/>
      <c r="H944" s="906">
        <f t="shared" si="300"/>
        <v>33373355.621947572</v>
      </c>
      <c r="I944" s="732"/>
    </row>
    <row r="945" spans="1:11" hidden="1" outlineLevel="1">
      <c r="A945" s="898" t="s">
        <v>1713</v>
      </c>
      <c r="B945" s="920" t="s">
        <v>7</v>
      </c>
      <c r="C945" s="804">
        <f t="shared" si="299"/>
        <v>0</v>
      </c>
      <c r="D945" s="804">
        <v>0</v>
      </c>
      <c r="E945" s="767">
        <v>0</v>
      </c>
      <c r="F945" s="788">
        <v>0</v>
      </c>
      <c r="G945" s="767">
        <v>0</v>
      </c>
      <c r="H945" s="906">
        <f t="shared" si="300"/>
        <v>0</v>
      </c>
      <c r="I945" s="732"/>
    </row>
    <row r="946" spans="1:11" hidden="1" outlineLevel="1">
      <c r="A946" s="898" t="s">
        <v>1713</v>
      </c>
      <c r="B946" s="919" t="s">
        <v>8</v>
      </c>
      <c r="C946" s="804">
        <f t="shared" si="299"/>
        <v>14896863</v>
      </c>
      <c r="D946" s="754">
        <v>0</v>
      </c>
      <c r="E946" s="740">
        <v>0</v>
      </c>
      <c r="F946" s="777">
        <v>0</v>
      </c>
      <c r="G946" s="767">
        <v>14896863</v>
      </c>
      <c r="H946" s="906">
        <f t="shared" si="300"/>
        <v>14896863</v>
      </c>
      <c r="I946" s="732"/>
    </row>
    <row r="947" spans="1:11" hidden="1" outlineLevel="1">
      <c r="A947" s="898" t="s">
        <v>1713</v>
      </c>
      <c r="B947" s="919" t="s">
        <v>9</v>
      </c>
      <c r="C947" s="929">
        <f t="shared" si="299"/>
        <v>17676312.00000006</v>
      </c>
      <c r="D947" s="962">
        <v>0</v>
      </c>
      <c r="E947" s="923">
        <v>0</v>
      </c>
      <c r="F947" s="963">
        <v>17676312.00000006</v>
      </c>
      <c r="G947" s="908">
        <v>0</v>
      </c>
      <c r="H947" s="906">
        <f t="shared" si="300"/>
        <v>17676312.00000006</v>
      </c>
      <c r="I947" s="732"/>
    </row>
    <row r="948" spans="1:11" ht="15.75" hidden="1" outlineLevel="1">
      <c r="A948" s="898" t="s">
        <v>1713</v>
      </c>
      <c r="B948" s="1331" t="s">
        <v>1604</v>
      </c>
      <c r="C948" s="1256">
        <f t="shared" si="299"/>
        <v>21782003</v>
      </c>
      <c r="D948" s="1218">
        <v>0</v>
      </c>
      <c r="E948" s="903">
        <v>4909460</v>
      </c>
      <c r="F948" s="1218"/>
      <c r="G948" s="908">
        <v>16872543</v>
      </c>
      <c r="H948" s="1332">
        <f t="shared" si="300"/>
        <v>16872543</v>
      </c>
      <c r="I948" s="754"/>
    </row>
    <row r="949" spans="1:11" ht="16.5" hidden="1" outlineLevel="1" thickBot="1">
      <c r="A949" s="898" t="s">
        <v>1713</v>
      </c>
      <c r="B949" s="1253" t="s">
        <v>1810</v>
      </c>
      <c r="C949" s="1259">
        <f t="shared" si="299"/>
        <v>6153000</v>
      </c>
      <c r="D949" s="773">
        <v>0</v>
      </c>
      <c r="E949" s="806">
        <v>0</v>
      </c>
      <c r="F949" s="785">
        <v>6153000</v>
      </c>
      <c r="G949" s="897">
        <v>0</v>
      </c>
      <c r="H949" s="906">
        <f>C949+D949-E949</f>
        <v>6153000</v>
      </c>
      <c r="I949" s="754"/>
    </row>
    <row r="950" spans="1:11" ht="13.5" hidden="1" outlineLevel="1" thickBot="1">
      <c r="A950" s="1111" t="s">
        <v>1713</v>
      </c>
      <c r="B950" s="1112" t="s">
        <v>31</v>
      </c>
      <c r="C950" s="1113">
        <f>SUM(C942:C949)</f>
        <v>98729312.621947631</v>
      </c>
      <c r="D950" s="1113">
        <f t="shared" ref="D950:H950" si="301">SUM(D942:D949)</f>
        <v>0</v>
      </c>
      <c r="E950" s="1113">
        <f t="shared" si="301"/>
        <v>4909460</v>
      </c>
      <c r="F950" s="1113">
        <f t="shared" si="301"/>
        <v>62050446.621947631</v>
      </c>
      <c r="G950" s="1113">
        <f t="shared" si="301"/>
        <v>31769406</v>
      </c>
      <c r="H950" s="1113">
        <f t="shared" si="301"/>
        <v>93819852.621947631</v>
      </c>
    </row>
    <row r="951" spans="1:11" hidden="1" outlineLevel="1">
      <c r="A951" s="898" t="s">
        <v>1714</v>
      </c>
      <c r="B951" s="927" t="s">
        <v>4</v>
      </c>
      <c r="C951" s="803">
        <f t="shared" ref="C951:C958" si="302">C942</f>
        <v>4847779</v>
      </c>
      <c r="D951" s="803">
        <v>0</v>
      </c>
      <c r="E951" s="930">
        <v>741300</v>
      </c>
      <c r="F951" s="753">
        <v>4106479</v>
      </c>
      <c r="G951" s="730">
        <v>0</v>
      </c>
      <c r="H951" s="905">
        <f t="shared" ref="H951:H957" si="303">C951+D951-E951</f>
        <v>4106479</v>
      </c>
      <c r="I951" s="730"/>
    </row>
    <row r="952" spans="1:11" hidden="1" outlineLevel="1">
      <c r="A952" s="898" t="s">
        <v>1714</v>
      </c>
      <c r="B952" s="928" t="s">
        <v>5</v>
      </c>
      <c r="C952" s="804">
        <f t="shared" si="302"/>
        <v>0</v>
      </c>
      <c r="D952" s="754">
        <v>0</v>
      </c>
      <c r="E952" s="782">
        <v>0</v>
      </c>
      <c r="F952" s="902">
        <v>0</v>
      </c>
      <c r="G952" s="1330">
        <v>0</v>
      </c>
      <c r="H952" s="906">
        <f t="shared" si="303"/>
        <v>0</v>
      </c>
      <c r="I952" s="732"/>
    </row>
    <row r="953" spans="1:11" hidden="1" outlineLevel="1">
      <c r="A953" s="898" t="s">
        <v>1714</v>
      </c>
      <c r="B953" s="928" t="s">
        <v>6</v>
      </c>
      <c r="C953" s="804">
        <f t="shared" si="302"/>
        <v>33373355.621947572</v>
      </c>
      <c r="D953" s="804"/>
      <c r="E953" s="931"/>
      <c r="F953" s="754">
        <v>33373355.621947572</v>
      </c>
      <c r="G953" s="732"/>
      <c r="H953" s="906">
        <f t="shared" si="303"/>
        <v>33373355.621947572</v>
      </c>
      <c r="I953" s="732"/>
    </row>
    <row r="954" spans="1:11" hidden="1" outlineLevel="1">
      <c r="A954" s="898" t="s">
        <v>1714</v>
      </c>
      <c r="B954" s="920" t="s">
        <v>7</v>
      </c>
      <c r="C954" s="804">
        <f t="shared" si="302"/>
        <v>0</v>
      </c>
      <c r="D954" s="804">
        <v>0</v>
      </c>
      <c r="E954" s="767">
        <v>0</v>
      </c>
      <c r="F954" s="788">
        <v>0</v>
      </c>
      <c r="G954" s="767">
        <v>0</v>
      </c>
      <c r="H954" s="906">
        <f t="shared" si="303"/>
        <v>0</v>
      </c>
      <c r="I954" s="732"/>
    </row>
    <row r="955" spans="1:11" hidden="1" outlineLevel="1">
      <c r="A955" s="898" t="s">
        <v>1714</v>
      </c>
      <c r="B955" s="919" t="s">
        <v>8</v>
      </c>
      <c r="C955" s="804">
        <f t="shared" si="302"/>
        <v>14896863</v>
      </c>
      <c r="D955" s="754">
        <v>0</v>
      </c>
      <c r="E955" s="740">
        <v>0</v>
      </c>
      <c r="F955" s="777">
        <v>0</v>
      </c>
      <c r="G955" s="767">
        <v>14896863</v>
      </c>
      <c r="H955" s="906">
        <f t="shared" si="303"/>
        <v>14896863</v>
      </c>
      <c r="I955" s="732"/>
    </row>
    <row r="956" spans="1:11" hidden="1" outlineLevel="1">
      <c r="A956" s="898" t="s">
        <v>1714</v>
      </c>
      <c r="B956" s="919" t="s">
        <v>9</v>
      </c>
      <c r="C956" s="929">
        <f t="shared" si="302"/>
        <v>17676312.00000006</v>
      </c>
      <c r="D956" s="962">
        <v>0</v>
      </c>
      <c r="E956" s="923">
        <v>0</v>
      </c>
      <c r="F956" s="963">
        <v>17676312.00000006</v>
      </c>
      <c r="G956" s="908">
        <v>0</v>
      </c>
      <c r="H956" s="906">
        <f t="shared" si="303"/>
        <v>17676312.00000006</v>
      </c>
      <c r="I956" s="732"/>
    </row>
    <row r="957" spans="1:11" ht="15.75" hidden="1" outlineLevel="1">
      <c r="A957" s="898" t="s">
        <v>1714</v>
      </c>
      <c r="B957" s="1331" t="s">
        <v>1604</v>
      </c>
      <c r="C957" s="1256">
        <f t="shared" si="302"/>
        <v>21782003</v>
      </c>
      <c r="D957" s="1333">
        <v>0</v>
      </c>
      <c r="E957" s="903">
        <v>4909460</v>
      </c>
      <c r="F957" s="1218">
        <v>0</v>
      </c>
      <c r="G957" s="908">
        <v>16872543</v>
      </c>
      <c r="H957" s="1332">
        <f t="shared" si="303"/>
        <v>16872543</v>
      </c>
      <c r="I957" s="754"/>
    </row>
    <row r="958" spans="1:11" ht="16.5" hidden="1" outlineLevel="1" thickBot="1">
      <c r="A958" s="898" t="s">
        <v>1714</v>
      </c>
      <c r="B958" s="1253" t="s">
        <v>1810</v>
      </c>
      <c r="C958" s="1259">
        <f t="shared" si="302"/>
        <v>6153000</v>
      </c>
      <c r="D958" s="773">
        <v>0</v>
      </c>
      <c r="E958" s="806">
        <v>0</v>
      </c>
      <c r="F958" s="785">
        <v>6153000</v>
      </c>
      <c r="G958" s="897">
        <v>0</v>
      </c>
      <c r="H958" s="906">
        <f>C958+D958-E958</f>
        <v>6153000</v>
      </c>
      <c r="I958" s="754"/>
    </row>
    <row r="959" spans="1:11" ht="13.5" hidden="1" outlineLevel="1" thickBot="1">
      <c r="A959" s="1111" t="s">
        <v>1714</v>
      </c>
      <c r="B959" s="1112" t="s">
        <v>31</v>
      </c>
      <c r="C959" s="1113">
        <f>SUM(C951:C958)</f>
        <v>98729312.621947631</v>
      </c>
      <c r="D959" s="1113">
        <f>SUM(D951:D958)</f>
        <v>0</v>
      </c>
      <c r="E959" s="1113">
        <f t="shared" ref="E959:H959" si="304">SUM(E951:E958)</f>
        <v>5650760</v>
      </c>
      <c r="F959" s="1113">
        <f t="shared" si="304"/>
        <v>61309146.621947631</v>
      </c>
      <c r="G959" s="1113">
        <f t="shared" si="304"/>
        <v>31769406</v>
      </c>
      <c r="H959" s="1550">
        <f t="shared" si="304"/>
        <v>93078552.621947631</v>
      </c>
      <c r="K959" s="1018"/>
    </row>
    <row r="960" spans="1:11" hidden="1" outlineLevel="1">
      <c r="A960" s="898" t="s">
        <v>1715</v>
      </c>
      <c r="B960" s="927" t="s">
        <v>4</v>
      </c>
      <c r="C960" s="803">
        <f t="shared" ref="C960:C967" si="305">C951</f>
        <v>4847779</v>
      </c>
      <c r="D960" s="803">
        <v>0</v>
      </c>
      <c r="E960" s="930">
        <v>741300</v>
      </c>
      <c r="F960" s="753">
        <v>4106479</v>
      </c>
      <c r="G960" s="730">
        <v>0</v>
      </c>
      <c r="H960" s="905">
        <f t="shared" ref="H960:H966" si="306">C960+D960-E960</f>
        <v>4106479</v>
      </c>
      <c r="I960" s="730"/>
      <c r="K960" s="1335"/>
    </row>
    <row r="961" spans="1:9" hidden="1" outlineLevel="1">
      <c r="A961" s="898" t="s">
        <v>1715</v>
      </c>
      <c r="B961" s="928" t="s">
        <v>5</v>
      </c>
      <c r="C961" s="804">
        <f t="shared" si="305"/>
        <v>0</v>
      </c>
      <c r="D961" s="754">
        <v>0</v>
      </c>
      <c r="E961" s="782">
        <v>0</v>
      </c>
      <c r="F961" s="902">
        <v>0</v>
      </c>
      <c r="G961" s="1330">
        <v>0</v>
      </c>
      <c r="H961" s="906">
        <f t="shared" si="306"/>
        <v>0</v>
      </c>
      <c r="I961" s="732"/>
    </row>
    <row r="962" spans="1:9" hidden="1" outlineLevel="1">
      <c r="A962" s="898" t="s">
        <v>1715</v>
      </c>
      <c r="B962" s="928" t="s">
        <v>6</v>
      </c>
      <c r="C962" s="804">
        <f t="shared" si="305"/>
        <v>33373355.621947572</v>
      </c>
      <c r="D962" s="804"/>
      <c r="E962" s="931"/>
      <c r="F962" s="754">
        <v>33373355.621947572</v>
      </c>
      <c r="G962" s="732"/>
      <c r="H962" s="906">
        <f t="shared" si="306"/>
        <v>33373355.621947572</v>
      </c>
      <c r="I962" s="732"/>
    </row>
    <row r="963" spans="1:9" hidden="1" outlineLevel="1">
      <c r="A963" s="898" t="s">
        <v>1715</v>
      </c>
      <c r="B963" s="920" t="s">
        <v>7</v>
      </c>
      <c r="C963" s="804">
        <f t="shared" si="305"/>
        <v>0</v>
      </c>
      <c r="D963" s="804">
        <v>0</v>
      </c>
      <c r="E963" s="767">
        <v>0</v>
      </c>
      <c r="F963" s="788">
        <v>0</v>
      </c>
      <c r="G963" s="767">
        <v>0</v>
      </c>
      <c r="H963" s="906">
        <f t="shared" si="306"/>
        <v>0</v>
      </c>
      <c r="I963" s="732"/>
    </row>
    <row r="964" spans="1:9" hidden="1" outlineLevel="1">
      <c r="A964" s="898" t="s">
        <v>1715</v>
      </c>
      <c r="B964" s="919" t="s">
        <v>8</v>
      </c>
      <c r="C964" s="804">
        <f t="shared" si="305"/>
        <v>14896863</v>
      </c>
      <c r="D964" s="754">
        <v>0</v>
      </c>
      <c r="E964" s="740">
        <v>0</v>
      </c>
      <c r="F964" s="777">
        <v>0</v>
      </c>
      <c r="G964" s="767">
        <v>14896863</v>
      </c>
      <c r="H964" s="906">
        <f t="shared" si="306"/>
        <v>14896863</v>
      </c>
      <c r="I964" s="732"/>
    </row>
    <row r="965" spans="1:9" hidden="1" outlineLevel="1">
      <c r="A965" s="898" t="s">
        <v>1715</v>
      </c>
      <c r="B965" s="919" t="s">
        <v>9</v>
      </c>
      <c r="C965" s="929">
        <f t="shared" si="305"/>
        <v>17676312.00000006</v>
      </c>
      <c r="D965" s="962">
        <v>0</v>
      </c>
      <c r="E965" s="923">
        <v>16240000</v>
      </c>
      <c r="F965" s="963">
        <v>1419202.0000000389</v>
      </c>
      <c r="G965" s="908">
        <v>17110</v>
      </c>
      <c r="H965" s="906">
        <f t="shared" si="306"/>
        <v>1436312.0000000596</v>
      </c>
      <c r="I965" s="732"/>
    </row>
    <row r="966" spans="1:9" ht="15.75" hidden="1" outlineLevel="1">
      <c r="A966" s="898" t="s">
        <v>1715</v>
      </c>
      <c r="B966" s="1331" t="s">
        <v>1604</v>
      </c>
      <c r="C966" s="929">
        <f t="shared" si="305"/>
        <v>21782003</v>
      </c>
      <c r="D966" s="1218">
        <v>0</v>
      </c>
      <c r="E966" s="903">
        <v>4909460</v>
      </c>
      <c r="F966" s="1218">
        <v>0</v>
      </c>
      <c r="G966" s="908">
        <v>16872543</v>
      </c>
      <c r="H966" s="906">
        <f t="shared" si="306"/>
        <v>16872543</v>
      </c>
      <c r="I966" s="754"/>
    </row>
    <row r="967" spans="1:9" ht="16.5" hidden="1" outlineLevel="1" thickBot="1">
      <c r="A967" s="898" t="s">
        <v>1715</v>
      </c>
      <c r="B967" s="1253" t="s">
        <v>1810</v>
      </c>
      <c r="C967" s="1259">
        <f t="shared" si="305"/>
        <v>6153000</v>
      </c>
      <c r="D967" s="773">
        <v>0</v>
      </c>
      <c r="E967" s="806">
        <v>0</v>
      </c>
      <c r="F967" s="785">
        <v>6153000</v>
      </c>
      <c r="G967" s="897">
        <v>0</v>
      </c>
      <c r="H967" s="1334">
        <f>C967+D967-E967</f>
        <v>6153000</v>
      </c>
      <c r="I967" s="754"/>
    </row>
    <row r="968" spans="1:9" ht="13.5" hidden="1" outlineLevel="1" thickBot="1">
      <c r="A968" s="1111" t="s">
        <v>1715</v>
      </c>
      <c r="B968" s="1112" t="s">
        <v>31</v>
      </c>
      <c r="C968" s="1113">
        <f>SUM(C960:C967)</f>
        <v>98729312.621947631</v>
      </c>
      <c r="D968" s="1113">
        <f t="shared" ref="D968:H968" si="307">SUM(D960:D967)</f>
        <v>0</v>
      </c>
      <c r="E968" s="1113">
        <f t="shared" si="307"/>
        <v>21890760</v>
      </c>
      <c r="F968" s="1113">
        <f t="shared" si="307"/>
        <v>45052036.621947609</v>
      </c>
      <c r="G968" s="1113">
        <f t="shared" si="307"/>
        <v>31786516</v>
      </c>
      <c r="H968" s="1113">
        <f t="shared" si="307"/>
        <v>76838552.621947631</v>
      </c>
    </row>
    <row r="969" spans="1:9" hidden="1" outlineLevel="1">
      <c r="A969" s="898" t="s">
        <v>1966</v>
      </c>
      <c r="B969" s="927" t="s">
        <v>4</v>
      </c>
      <c r="C969" s="803">
        <f t="shared" ref="C969:C976" si="308">C960</f>
        <v>4847779</v>
      </c>
      <c r="D969" s="803">
        <v>0</v>
      </c>
      <c r="E969" s="930">
        <v>741300</v>
      </c>
      <c r="F969" s="753">
        <v>4106479</v>
      </c>
      <c r="G969" s="730">
        <v>0</v>
      </c>
      <c r="H969" s="905">
        <f t="shared" ref="H969:H975" si="309">C969+D969-E969</f>
        <v>4106479</v>
      </c>
      <c r="I969" s="730"/>
    </row>
    <row r="970" spans="1:9" hidden="1" outlineLevel="1">
      <c r="A970" s="898" t="s">
        <v>1966</v>
      </c>
      <c r="B970" s="928" t="s">
        <v>5</v>
      </c>
      <c r="C970" s="804">
        <f t="shared" si="308"/>
        <v>0</v>
      </c>
      <c r="D970" s="754">
        <v>0</v>
      </c>
      <c r="E970" s="782">
        <v>0</v>
      </c>
      <c r="F970" s="902">
        <v>0</v>
      </c>
      <c r="G970" s="1330">
        <v>0</v>
      </c>
      <c r="H970" s="906">
        <f t="shared" si="309"/>
        <v>0</v>
      </c>
      <c r="I970" s="732"/>
    </row>
    <row r="971" spans="1:9" hidden="1" outlineLevel="1">
      <c r="A971" s="898" t="s">
        <v>1966</v>
      </c>
      <c r="B971" s="928" t="s">
        <v>6</v>
      </c>
      <c r="C971" s="804">
        <f t="shared" si="308"/>
        <v>33373355.621947572</v>
      </c>
      <c r="D971" s="804"/>
      <c r="E971" s="931"/>
      <c r="F971" s="754">
        <v>33373355.621947572</v>
      </c>
      <c r="G971" s="732"/>
      <c r="H971" s="906">
        <f t="shared" si="309"/>
        <v>33373355.621947572</v>
      </c>
      <c r="I971" s="732"/>
    </row>
    <row r="972" spans="1:9" hidden="1" outlineLevel="1">
      <c r="A972" s="898" t="s">
        <v>1966</v>
      </c>
      <c r="B972" s="920" t="s">
        <v>7</v>
      </c>
      <c r="C972" s="804">
        <f t="shared" si="308"/>
        <v>0</v>
      </c>
      <c r="D972" s="804">
        <v>0</v>
      </c>
      <c r="E972" s="767">
        <v>0</v>
      </c>
      <c r="F972" s="788">
        <v>0</v>
      </c>
      <c r="G972" s="767">
        <v>0</v>
      </c>
      <c r="H972" s="906">
        <f t="shared" si="309"/>
        <v>0</v>
      </c>
      <c r="I972" s="732"/>
    </row>
    <row r="973" spans="1:9" hidden="1" outlineLevel="1">
      <c r="A973" s="898" t="s">
        <v>1966</v>
      </c>
      <c r="B973" s="919" t="s">
        <v>8</v>
      </c>
      <c r="C973" s="804">
        <f t="shared" si="308"/>
        <v>14896863</v>
      </c>
      <c r="D973" s="754">
        <v>0</v>
      </c>
      <c r="E973" s="740">
        <v>0</v>
      </c>
      <c r="F973" s="777">
        <v>0</v>
      </c>
      <c r="G973" s="767">
        <v>14896863</v>
      </c>
      <c r="H973" s="906">
        <f t="shared" si="309"/>
        <v>14896863</v>
      </c>
      <c r="I973" s="732"/>
    </row>
    <row r="974" spans="1:9" hidden="1" outlineLevel="1">
      <c r="A974" s="898" t="s">
        <v>1966</v>
      </c>
      <c r="B974" s="919" t="s">
        <v>9</v>
      </c>
      <c r="C974" s="929">
        <f t="shared" si="308"/>
        <v>17676312.00000006</v>
      </c>
      <c r="D974" s="962">
        <v>0</v>
      </c>
      <c r="E974" s="923">
        <v>16240000</v>
      </c>
      <c r="F974" s="963">
        <v>1419202.0000000389</v>
      </c>
      <c r="G974" s="908">
        <v>17110</v>
      </c>
      <c r="H974" s="906">
        <f t="shared" si="309"/>
        <v>1436312.0000000596</v>
      </c>
      <c r="I974" s="732"/>
    </row>
    <row r="975" spans="1:9" ht="15.75" hidden="1" outlineLevel="1">
      <c r="A975" s="898" t="s">
        <v>1966</v>
      </c>
      <c r="B975" s="1331" t="s">
        <v>1604</v>
      </c>
      <c r="C975" s="929">
        <f t="shared" si="308"/>
        <v>21782003</v>
      </c>
      <c r="D975" s="1218">
        <v>0</v>
      </c>
      <c r="E975" s="903">
        <v>10819460</v>
      </c>
      <c r="F975" s="1218">
        <v>0</v>
      </c>
      <c r="G975" s="908">
        <v>10962543</v>
      </c>
      <c r="H975" s="906">
        <f t="shared" si="309"/>
        <v>10962543</v>
      </c>
      <c r="I975" s="754"/>
    </row>
    <row r="976" spans="1:9" ht="16.5" hidden="1" outlineLevel="1" thickBot="1">
      <c r="A976" s="898" t="s">
        <v>1966</v>
      </c>
      <c r="B976" s="1253" t="s">
        <v>1810</v>
      </c>
      <c r="C976" s="1259">
        <f t="shared" si="308"/>
        <v>6153000</v>
      </c>
      <c r="D976" s="773">
        <v>0</v>
      </c>
      <c r="E976" s="806">
        <v>0</v>
      </c>
      <c r="F976" s="785">
        <v>6153000</v>
      </c>
      <c r="G976" s="897">
        <v>0</v>
      </c>
      <c r="H976" s="1334">
        <f>C976+D976-E976</f>
        <v>6153000</v>
      </c>
      <c r="I976" s="754"/>
    </row>
    <row r="977" spans="1:9" ht="13.5" hidden="1" outlineLevel="1" thickBot="1">
      <c r="A977" s="1111" t="s">
        <v>1966</v>
      </c>
      <c r="B977" s="1112" t="s">
        <v>31</v>
      </c>
      <c r="C977" s="1113">
        <f>SUM(C969:C976)</f>
        <v>98729312.621947631</v>
      </c>
      <c r="D977" s="1113">
        <f t="shared" ref="D977:H977" si="310">SUM(D969:D976)</f>
        <v>0</v>
      </c>
      <c r="E977" s="1113">
        <f t="shared" si="310"/>
        <v>27800760</v>
      </c>
      <c r="F977" s="1113">
        <f t="shared" si="310"/>
        <v>45052036.621947609</v>
      </c>
      <c r="G977" s="1113">
        <f t="shared" si="310"/>
        <v>25876516</v>
      </c>
      <c r="H977" s="1113">
        <f t="shared" si="310"/>
        <v>70928552.621947631</v>
      </c>
    </row>
    <row r="978" spans="1:9" hidden="1" outlineLevel="1">
      <c r="A978" s="898" t="s">
        <v>1967</v>
      </c>
      <c r="B978" s="927" t="s">
        <v>4</v>
      </c>
      <c r="C978" s="803">
        <f t="shared" ref="C978:C1041" si="311">C969</f>
        <v>4847779</v>
      </c>
      <c r="D978" s="803">
        <v>0</v>
      </c>
      <c r="E978" s="930">
        <v>741300</v>
      </c>
      <c r="F978" s="753">
        <v>4106479</v>
      </c>
      <c r="G978" s="730">
        <v>0</v>
      </c>
      <c r="H978" s="905">
        <f t="shared" ref="H978:H984" si="312">C978+D978-E978</f>
        <v>4106479</v>
      </c>
      <c r="I978" s="730"/>
    </row>
    <row r="979" spans="1:9" hidden="1" outlineLevel="1">
      <c r="A979" s="898" t="s">
        <v>1967</v>
      </c>
      <c r="B979" s="928" t="s">
        <v>5</v>
      </c>
      <c r="C979" s="804">
        <f t="shared" si="311"/>
        <v>0</v>
      </c>
      <c r="D979" s="754">
        <v>0</v>
      </c>
      <c r="E979" s="782">
        <v>0</v>
      </c>
      <c r="F979" s="902">
        <v>0</v>
      </c>
      <c r="G979" s="1330">
        <v>0</v>
      </c>
      <c r="H979" s="906">
        <f t="shared" si="312"/>
        <v>0</v>
      </c>
      <c r="I979" s="732"/>
    </row>
    <row r="980" spans="1:9" hidden="1" outlineLevel="1">
      <c r="A980" s="898" t="s">
        <v>1967</v>
      </c>
      <c r="B980" s="928" t="s">
        <v>6</v>
      </c>
      <c r="C980" s="804">
        <f t="shared" si="311"/>
        <v>33373355.621947572</v>
      </c>
      <c r="D980" s="804"/>
      <c r="E980" s="931"/>
      <c r="F980" s="754">
        <v>33373355.621947572</v>
      </c>
      <c r="G980" s="732"/>
      <c r="H980" s="906">
        <f t="shared" si="312"/>
        <v>33373355.621947572</v>
      </c>
      <c r="I980" s="732"/>
    </row>
    <row r="981" spans="1:9" hidden="1" outlineLevel="1">
      <c r="A981" s="898" t="s">
        <v>1967</v>
      </c>
      <c r="B981" s="920" t="s">
        <v>7</v>
      </c>
      <c r="C981" s="804">
        <f t="shared" si="311"/>
        <v>0</v>
      </c>
      <c r="D981" s="804">
        <v>0</v>
      </c>
      <c r="E981" s="767">
        <v>0</v>
      </c>
      <c r="F981" s="788">
        <v>0</v>
      </c>
      <c r="G981" s="767">
        <v>0</v>
      </c>
      <c r="H981" s="906">
        <f t="shared" si="312"/>
        <v>0</v>
      </c>
      <c r="I981" s="732"/>
    </row>
    <row r="982" spans="1:9" hidden="1" outlineLevel="1">
      <c r="A982" s="898" t="s">
        <v>1967</v>
      </c>
      <c r="B982" s="919" t="s">
        <v>8</v>
      </c>
      <c r="C982" s="804">
        <f t="shared" si="311"/>
        <v>14896863</v>
      </c>
      <c r="D982" s="754">
        <v>0</v>
      </c>
      <c r="E982" s="740">
        <v>0</v>
      </c>
      <c r="F982" s="777">
        <v>0</v>
      </c>
      <c r="G982" s="767">
        <v>14896863</v>
      </c>
      <c r="H982" s="906">
        <f t="shared" si="312"/>
        <v>14896863</v>
      </c>
      <c r="I982" s="732"/>
    </row>
    <row r="983" spans="1:9" hidden="1" outlineLevel="1">
      <c r="A983" s="898" t="s">
        <v>1967</v>
      </c>
      <c r="B983" s="919" t="s">
        <v>9</v>
      </c>
      <c r="C983" s="929">
        <f t="shared" si="311"/>
        <v>17676312.00000006</v>
      </c>
      <c r="D983" s="962">
        <v>0</v>
      </c>
      <c r="E983" s="923">
        <v>16240000</v>
      </c>
      <c r="F983" s="963">
        <v>1419202.0000000389</v>
      </c>
      <c r="G983" s="908">
        <v>17110</v>
      </c>
      <c r="H983" s="906">
        <f t="shared" si="312"/>
        <v>1436312.0000000596</v>
      </c>
      <c r="I983" s="732"/>
    </row>
    <row r="984" spans="1:9" ht="15.75" hidden="1" outlineLevel="1">
      <c r="A984" s="898" t="s">
        <v>1967</v>
      </c>
      <c r="B984" s="1331" t="s">
        <v>1604</v>
      </c>
      <c r="C984" s="929">
        <f t="shared" si="311"/>
        <v>21782003</v>
      </c>
      <c r="D984" s="1218">
        <v>50000000</v>
      </c>
      <c r="E984" s="903">
        <v>44544460</v>
      </c>
      <c r="F984" s="1218">
        <v>0</v>
      </c>
      <c r="G984" s="908">
        <v>27237543</v>
      </c>
      <c r="H984" s="906">
        <f t="shared" si="312"/>
        <v>27237543</v>
      </c>
      <c r="I984" s="754"/>
    </row>
    <row r="985" spans="1:9" ht="16.5" hidden="1" outlineLevel="1" thickBot="1">
      <c r="A985" s="898" t="s">
        <v>1967</v>
      </c>
      <c r="B985" s="1253" t="s">
        <v>1810</v>
      </c>
      <c r="C985" s="1259">
        <f t="shared" si="311"/>
        <v>6153000</v>
      </c>
      <c r="D985" s="773">
        <v>0</v>
      </c>
      <c r="E985" s="806">
        <v>6784000</v>
      </c>
      <c r="F985" s="785"/>
      <c r="G985" s="897">
        <v>-631000</v>
      </c>
      <c r="H985" s="1334">
        <f>C985+D985-E985</f>
        <v>-631000</v>
      </c>
      <c r="I985" s="754"/>
    </row>
    <row r="986" spans="1:9" ht="13.5" hidden="1" outlineLevel="1" thickBot="1">
      <c r="A986" s="1111" t="s">
        <v>1967</v>
      </c>
      <c r="B986" s="1112" t="s">
        <v>31</v>
      </c>
      <c r="C986" s="1113">
        <f>SUM(C978:C985)</f>
        <v>98729312.621947631</v>
      </c>
      <c r="D986" s="1113">
        <f t="shared" ref="D986:H986" si="313">SUM(D978:D985)</f>
        <v>50000000</v>
      </c>
      <c r="E986" s="1113">
        <f t="shared" si="313"/>
        <v>68309760</v>
      </c>
      <c r="F986" s="1113">
        <f t="shared" si="313"/>
        <v>38899036.621947609</v>
      </c>
      <c r="G986" s="1113">
        <f t="shared" si="313"/>
        <v>41520516</v>
      </c>
      <c r="H986" s="1113">
        <f t="shared" si="313"/>
        <v>80419552.621947631</v>
      </c>
    </row>
    <row r="987" spans="1:9" hidden="1" outlineLevel="1">
      <c r="A987" s="898" t="s">
        <v>1979</v>
      </c>
      <c r="B987" s="927" t="s">
        <v>4</v>
      </c>
      <c r="C987" s="803">
        <f t="shared" si="311"/>
        <v>4847779</v>
      </c>
      <c r="D987" s="803">
        <v>0</v>
      </c>
      <c r="E987" s="930">
        <v>741300</v>
      </c>
      <c r="F987" s="753">
        <v>4106479</v>
      </c>
      <c r="G987" s="730">
        <v>0</v>
      </c>
      <c r="H987" s="905">
        <f t="shared" ref="H987:H993" si="314">C987+D987-E987</f>
        <v>4106479</v>
      </c>
      <c r="I987" s="730"/>
    </row>
    <row r="988" spans="1:9" hidden="1" outlineLevel="1">
      <c r="A988" s="898" t="s">
        <v>1979</v>
      </c>
      <c r="B988" s="928" t="s">
        <v>5</v>
      </c>
      <c r="C988" s="804">
        <f t="shared" si="311"/>
        <v>0</v>
      </c>
      <c r="D988" s="754">
        <v>0</v>
      </c>
      <c r="E988" s="782">
        <v>0</v>
      </c>
      <c r="F988" s="902">
        <v>0</v>
      </c>
      <c r="G988" s="1330">
        <v>0</v>
      </c>
      <c r="H988" s="906">
        <f t="shared" si="314"/>
        <v>0</v>
      </c>
      <c r="I988" s="732"/>
    </row>
    <row r="989" spans="1:9" hidden="1" outlineLevel="1">
      <c r="A989" s="898" t="s">
        <v>1979</v>
      </c>
      <c r="B989" s="928" t="s">
        <v>6</v>
      </c>
      <c r="C989" s="804">
        <f t="shared" si="311"/>
        <v>33373355.621947572</v>
      </c>
      <c r="D989" s="804"/>
      <c r="E989" s="931"/>
      <c r="F989" s="754">
        <v>33373355.621947572</v>
      </c>
      <c r="G989" s="732"/>
      <c r="H989" s="906">
        <f t="shared" si="314"/>
        <v>33373355.621947572</v>
      </c>
      <c r="I989" s="732"/>
    </row>
    <row r="990" spans="1:9" hidden="1" outlineLevel="1">
      <c r="A990" s="898" t="s">
        <v>1979</v>
      </c>
      <c r="B990" s="920" t="s">
        <v>7</v>
      </c>
      <c r="C990" s="804">
        <f t="shared" si="311"/>
        <v>0</v>
      </c>
      <c r="D990" s="804">
        <v>0</v>
      </c>
      <c r="E990" s="767">
        <v>0</v>
      </c>
      <c r="F990" s="788">
        <v>0</v>
      </c>
      <c r="G990" s="767">
        <v>0</v>
      </c>
      <c r="H990" s="906">
        <f t="shared" si="314"/>
        <v>0</v>
      </c>
      <c r="I990" s="732"/>
    </row>
    <row r="991" spans="1:9" hidden="1" outlineLevel="1">
      <c r="A991" s="898" t="s">
        <v>1979</v>
      </c>
      <c r="B991" s="919" t="s">
        <v>8</v>
      </c>
      <c r="C991" s="804">
        <f t="shared" si="311"/>
        <v>14896863</v>
      </c>
      <c r="D991" s="754">
        <v>0</v>
      </c>
      <c r="E991" s="740">
        <v>0</v>
      </c>
      <c r="F991" s="777">
        <v>0</v>
      </c>
      <c r="G991" s="767">
        <v>14896863</v>
      </c>
      <c r="H991" s="906">
        <f t="shared" si="314"/>
        <v>14896863</v>
      </c>
      <c r="I991" s="732"/>
    </row>
    <row r="992" spans="1:9" hidden="1" outlineLevel="1">
      <c r="A992" s="898" t="s">
        <v>1979</v>
      </c>
      <c r="B992" s="919" t="s">
        <v>9</v>
      </c>
      <c r="C992" s="929">
        <f t="shared" si="311"/>
        <v>17676312.00000006</v>
      </c>
      <c r="D992" s="962">
        <v>0</v>
      </c>
      <c r="E992" s="923">
        <v>16240000</v>
      </c>
      <c r="F992" s="963">
        <v>1419202.0000000389</v>
      </c>
      <c r="G992" s="908">
        <v>17110</v>
      </c>
      <c r="H992" s="906">
        <f t="shared" si="314"/>
        <v>1436312.0000000596</v>
      </c>
      <c r="I992" s="732"/>
    </row>
    <row r="993" spans="1:9" ht="15.75" hidden="1" outlineLevel="1">
      <c r="A993" s="898" t="s">
        <v>1979</v>
      </c>
      <c r="B993" s="1331" t="s">
        <v>1604</v>
      </c>
      <c r="C993" s="929">
        <f t="shared" si="311"/>
        <v>21782003</v>
      </c>
      <c r="D993" s="1218">
        <v>50000000</v>
      </c>
      <c r="E993" s="903">
        <v>44544460</v>
      </c>
      <c r="F993" s="1218">
        <v>0</v>
      </c>
      <c r="G993" s="908">
        <v>27237543</v>
      </c>
      <c r="H993" s="906">
        <f t="shared" si="314"/>
        <v>27237543</v>
      </c>
      <c r="I993" s="754"/>
    </row>
    <row r="994" spans="1:9" ht="16.5" hidden="1" outlineLevel="1" thickBot="1">
      <c r="A994" s="898" t="s">
        <v>1979</v>
      </c>
      <c r="B994" s="1253" t="s">
        <v>1810</v>
      </c>
      <c r="C994" s="1259">
        <f t="shared" si="311"/>
        <v>6153000</v>
      </c>
      <c r="D994" s="773">
        <v>0</v>
      </c>
      <c r="E994" s="806">
        <v>6784000</v>
      </c>
      <c r="F994" s="785">
        <v>0</v>
      </c>
      <c r="G994" s="897">
        <v>-631000</v>
      </c>
      <c r="H994" s="1334">
        <f>C994+D994-E994</f>
        <v>-631000</v>
      </c>
      <c r="I994" s="754"/>
    </row>
    <row r="995" spans="1:9" ht="13.5" hidden="1" outlineLevel="1" thickBot="1">
      <c r="A995" s="1111" t="s">
        <v>1979</v>
      </c>
      <c r="B995" s="1112" t="s">
        <v>31</v>
      </c>
      <c r="C995" s="1113">
        <f>SUM(C987:C994)</f>
        <v>98729312.621947631</v>
      </c>
      <c r="D995" s="1113">
        <f t="shared" ref="D995:H995" si="315">SUM(D987:D994)</f>
        <v>50000000</v>
      </c>
      <c r="E995" s="1113">
        <f t="shared" si="315"/>
        <v>68309760</v>
      </c>
      <c r="F995" s="1113">
        <f t="shared" si="315"/>
        <v>38899036.621947609</v>
      </c>
      <c r="G995" s="1113">
        <f t="shared" si="315"/>
        <v>41520516</v>
      </c>
      <c r="H995" s="1113">
        <f t="shared" si="315"/>
        <v>80419552.621947631</v>
      </c>
    </row>
    <row r="996" spans="1:9" hidden="1" outlineLevel="1">
      <c r="A996" s="898" t="s">
        <v>1980</v>
      </c>
      <c r="B996" s="927" t="s">
        <v>4</v>
      </c>
      <c r="C996" s="803">
        <f t="shared" si="311"/>
        <v>4847779</v>
      </c>
      <c r="D996" s="803">
        <v>0</v>
      </c>
      <c r="E996" s="930">
        <v>741300</v>
      </c>
      <c r="F996" s="753">
        <v>4106479</v>
      </c>
      <c r="G996" s="730">
        <v>0</v>
      </c>
      <c r="H996" s="905">
        <f t="shared" ref="H996:H1002" si="316">C996+D996-E996</f>
        <v>4106479</v>
      </c>
      <c r="I996" s="730"/>
    </row>
    <row r="997" spans="1:9" hidden="1" outlineLevel="1">
      <c r="A997" s="898" t="s">
        <v>1980</v>
      </c>
      <c r="B997" s="928" t="s">
        <v>5</v>
      </c>
      <c r="C997" s="804">
        <f t="shared" si="311"/>
        <v>0</v>
      </c>
      <c r="D997" s="754">
        <v>0</v>
      </c>
      <c r="E997" s="782">
        <v>0</v>
      </c>
      <c r="F997" s="902">
        <v>0</v>
      </c>
      <c r="G997" s="1330">
        <v>0</v>
      </c>
      <c r="H997" s="906">
        <f t="shared" si="316"/>
        <v>0</v>
      </c>
      <c r="I997" s="732"/>
    </row>
    <row r="998" spans="1:9" hidden="1" outlineLevel="1">
      <c r="A998" s="898" t="s">
        <v>1980</v>
      </c>
      <c r="B998" s="928" t="s">
        <v>6</v>
      </c>
      <c r="C998" s="804">
        <f t="shared" si="311"/>
        <v>33373355.621947572</v>
      </c>
      <c r="D998" s="804"/>
      <c r="E998" s="931"/>
      <c r="F998" s="754">
        <v>33373355.621947572</v>
      </c>
      <c r="G998" s="732"/>
      <c r="H998" s="906">
        <f t="shared" si="316"/>
        <v>33373355.621947572</v>
      </c>
      <c r="I998" s="732"/>
    </row>
    <row r="999" spans="1:9" hidden="1" outlineLevel="1">
      <c r="A999" s="898" t="s">
        <v>1980</v>
      </c>
      <c r="B999" s="920" t="s">
        <v>7</v>
      </c>
      <c r="C999" s="804">
        <f t="shared" si="311"/>
        <v>0</v>
      </c>
      <c r="D999" s="804">
        <v>0</v>
      </c>
      <c r="E999" s="767">
        <v>0</v>
      </c>
      <c r="F999" s="788">
        <v>0</v>
      </c>
      <c r="G999" s="767">
        <v>0</v>
      </c>
      <c r="H999" s="906">
        <f t="shared" si="316"/>
        <v>0</v>
      </c>
      <c r="I999" s="732"/>
    </row>
    <row r="1000" spans="1:9" hidden="1" outlineLevel="1">
      <c r="A1000" s="898" t="s">
        <v>1980</v>
      </c>
      <c r="B1000" s="919" t="s">
        <v>8</v>
      </c>
      <c r="C1000" s="804">
        <f t="shared" si="311"/>
        <v>14896863</v>
      </c>
      <c r="D1000" s="754">
        <v>0</v>
      </c>
      <c r="E1000" s="740">
        <v>0</v>
      </c>
      <c r="F1000" s="777">
        <v>0</v>
      </c>
      <c r="G1000" s="767">
        <v>14896863</v>
      </c>
      <c r="H1000" s="906">
        <f t="shared" si="316"/>
        <v>14896863</v>
      </c>
      <c r="I1000" s="732"/>
    </row>
    <row r="1001" spans="1:9" hidden="1" outlineLevel="1">
      <c r="A1001" s="898" t="s">
        <v>1980</v>
      </c>
      <c r="B1001" s="919" t="s">
        <v>9</v>
      </c>
      <c r="C1001" s="929">
        <f t="shared" si="311"/>
        <v>17676312.00000006</v>
      </c>
      <c r="D1001" s="962">
        <v>0</v>
      </c>
      <c r="E1001" s="923">
        <v>16240000</v>
      </c>
      <c r="F1001" s="963">
        <v>1419202.0000000389</v>
      </c>
      <c r="G1001" s="908">
        <v>17110</v>
      </c>
      <c r="H1001" s="906">
        <f t="shared" si="316"/>
        <v>1436312.0000000596</v>
      </c>
      <c r="I1001" s="732"/>
    </row>
    <row r="1002" spans="1:9" ht="15.75" hidden="1" outlineLevel="1">
      <c r="A1002" s="898" t="s">
        <v>1980</v>
      </c>
      <c r="B1002" s="1331" t="s">
        <v>1604</v>
      </c>
      <c r="C1002" s="929">
        <f t="shared" si="311"/>
        <v>21782003</v>
      </c>
      <c r="D1002" s="1218">
        <v>50000000</v>
      </c>
      <c r="E1002" s="903">
        <v>44544460</v>
      </c>
      <c r="F1002" s="1218">
        <v>0</v>
      </c>
      <c r="G1002" s="908">
        <v>27237543</v>
      </c>
      <c r="H1002" s="906">
        <f t="shared" si="316"/>
        <v>27237543</v>
      </c>
      <c r="I1002" s="754"/>
    </row>
    <row r="1003" spans="1:9" ht="16.5" hidden="1" outlineLevel="1" thickBot="1">
      <c r="A1003" s="898" t="s">
        <v>1980</v>
      </c>
      <c r="B1003" s="1253" t="s">
        <v>1810</v>
      </c>
      <c r="C1003" s="1259">
        <f t="shared" si="311"/>
        <v>6153000</v>
      </c>
      <c r="D1003" s="773">
        <v>0</v>
      </c>
      <c r="E1003" s="806">
        <v>6784000</v>
      </c>
      <c r="F1003" s="785">
        <v>0</v>
      </c>
      <c r="G1003" s="897">
        <v>-631000</v>
      </c>
      <c r="H1003" s="1334">
        <f>C1003+D1003-E1003</f>
        <v>-631000</v>
      </c>
      <c r="I1003" s="754"/>
    </row>
    <row r="1004" spans="1:9" ht="13.5" hidden="1" outlineLevel="1" thickBot="1">
      <c r="A1004" s="1111" t="s">
        <v>1980</v>
      </c>
      <c r="B1004" s="1112" t="s">
        <v>31</v>
      </c>
      <c r="C1004" s="1113">
        <f>SUM(C996:C1003)</f>
        <v>98729312.621947631</v>
      </c>
      <c r="D1004" s="1113">
        <f t="shared" ref="D1004:H1004" si="317">SUM(D996:D1003)</f>
        <v>50000000</v>
      </c>
      <c r="E1004" s="1113">
        <f t="shared" si="317"/>
        <v>68309760</v>
      </c>
      <c r="F1004" s="1113">
        <f t="shared" si="317"/>
        <v>38899036.621947609</v>
      </c>
      <c r="G1004" s="1113">
        <f t="shared" si="317"/>
        <v>41520516</v>
      </c>
      <c r="H1004" s="1113">
        <f t="shared" si="317"/>
        <v>80419552.621947631</v>
      </c>
    </row>
    <row r="1005" spans="1:9" hidden="1" outlineLevel="1">
      <c r="A1005" s="898" t="s">
        <v>1981</v>
      </c>
      <c r="B1005" s="927" t="s">
        <v>4</v>
      </c>
      <c r="C1005" s="803">
        <f t="shared" si="311"/>
        <v>4847779</v>
      </c>
      <c r="D1005" s="803">
        <v>0</v>
      </c>
      <c r="E1005" s="930">
        <v>741300</v>
      </c>
      <c r="F1005" s="753">
        <v>4106479</v>
      </c>
      <c r="G1005" s="730">
        <v>0</v>
      </c>
      <c r="H1005" s="905">
        <f t="shared" ref="H1005:H1011" si="318">C1005+D1005-E1005</f>
        <v>4106479</v>
      </c>
      <c r="I1005" s="730"/>
    </row>
    <row r="1006" spans="1:9" hidden="1" outlineLevel="1">
      <c r="A1006" s="898" t="s">
        <v>1981</v>
      </c>
      <c r="B1006" s="928" t="s">
        <v>5</v>
      </c>
      <c r="C1006" s="804">
        <f t="shared" si="311"/>
        <v>0</v>
      </c>
      <c r="D1006" s="754">
        <v>0</v>
      </c>
      <c r="E1006" s="782">
        <v>0</v>
      </c>
      <c r="F1006" s="902">
        <v>0</v>
      </c>
      <c r="G1006" s="1330">
        <v>0</v>
      </c>
      <c r="H1006" s="906">
        <f t="shared" si="318"/>
        <v>0</v>
      </c>
      <c r="I1006" s="732"/>
    </row>
    <row r="1007" spans="1:9" hidden="1" outlineLevel="1">
      <c r="A1007" s="898" t="s">
        <v>1981</v>
      </c>
      <c r="B1007" s="928" t="s">
        <v>6</v>
      </c>
      <c r="C1007" s="804">
        <f t="shared" si="311"/>
        <v>33373355.621947572</v>
      </c>
      <c r="D1007" s="804">
        <v>0</v>
      </c>
      <c r="E1007" s="931">
        <v>0</v>
      </c>
      <c r="F1007" s="754">
        <v>33373355.621947572</v>
      </c>
      <c r="G1007" s="732">
        <v>0</v>
      </c>
      <c r="H1007" s="906">
        <f t="shared" si="318"/>
        <v>33373355.621947572</v>
      </c>
      <c r="I1007" s="732"/>
    </row>
    <row r="1008" spans="1:9" hidden="1" outlineLevel="1">
      <c r="A1008" s="898" t="s">
        <v>1981</v>
      </c>
      <c r="B1008" s="920" t="s">
        <v>7</v>
      </c>
      <c r="C1008" s="804">
        <f t="shared" si="311"/>
        <v>0</v>
      </c>
      <c r="D1008" s="804">
        <v>0</v>
      </c>
      <c r="E1008" s="767">
        <v>0</v>
      </c>
      <c r="F1008" s="788">
        <v>0</v>
      </c>
      <c r="G1008" s="767">
        <v>0</v>
      </c>
      <c r="H1008" s="906">
        <f t="shared" si="318"/>
        <v>0</v>
      </c>
      <c r="I1008" s="732"/>
    </row>
    <row r="1009" spans="1:9" hidden="1" outlineLevel="1">
      <c r="A1009" s="898" t="s">
        <v>1981</v>
      </c>
      <c r="B1009" s="919" t="s">
        <v>8</v>
      </c>
      <c r="C1009" s="804">
        <f t="shared" si="311"/>
        <v>14896863</v>
      </c>
      <c r="D1009" s="754">
        <v>0</v>
      </c>
      <c r="E1009" s="740">
        <v>0</v>
      </c>
      <c r="F1009" s="777">
        <v>0</v>
      </c>
      <c r="G1009" s="767">
        <v>14896863</v>
      </c>
      <c r="H1009" s="906">
        <f t="shared" si="318"/>
        <v>14896863</v>
      </c>
      <c r="I1009" s="732"/>
    </row>
    <row r="1010" spans="1:9" hidden="1" outlineLevel="1">
      <c r="A1010" s="898" t="s">
        <v>1981</v>
      </c>
      <c r="B1010" s="919" t="s">
        <v>9</v>
      </c>
      <c r="C1010" s="929">
        <f t="shared" si="311"/>
        <v>17676312.00000006</v>
      </c>
      <c r="D1010" s="962">
        <v>0</v>
      </c>
      <c r="E1010" s="923">
        <v>16240000</v>
      </c>
      <c r="F1010" s="963">
        <v>1419202.0000000389</v>
      </c>
      <c r="G1010" s="908">
        <v>17110</v>
      </c>
      <c r="H1010" s="906">
        <f t="shared" si="318"/>
        <v>1436312.0000000596</v>
      </c>
      <c r="I1010" s="732"/>
    </row>
    <row r="1011" spans="1:9" ht="15.75" hidden="1" outlineLevel="1">
      <c r="A1011" s="898" t="s">
        <v>1981</v>
      </c>
      <c r="B1011" s="1331" t="s">
        <v>1604</v>
      </c>
      <c r="C1011" s="929">
        <f t="shared" si="311"/>
        <v>21782003</v>
      </c>
      <c r="D1011" s="1218">
        <v>50000000</v>
      </c>
      <c r="E1011" s="903">
        <v>44544460</v>
      </c>
      <c r="F1011" s="1218">
        <v>0</v>
      </c>
      <c r="G1011" s="908">
        <v>27237543</v>
      </c>
      <c r="H1011" s="906">
        <f t="shared" si="318"/>
        <v>27237543</v>
      </c>
      <c r="I1011" s="754"/>
    </row>
    <row r="1012" spans="1:9" ht="16.5" hidden="1" outlineLevel="1" thickBot="1">
      <c r="A1012" s="898" t="s">
        <v>1981</v>
      </c>
      <c r="B1012" s="1253" t="s">
        <v>1810</v>
      </c>
      <c r="C1012" s="1259">
        <f t="shared" si="311"/>
        <v>6153000</v>
      </c>
      <c r="D1012" s="773">
        <v>0</v>
      </c>
      <c r="E1012" s="806">
        <v>6784000</v>
      </c>
      <c r="F1012" s="785">
        <v>0</v>
      </c>
      <c r="G1012" s="897">
        <v>-631000</v>
      </c>
      <c r="H1012" s="1334">
        <f>C1012+D1012-E1012</f>
        <v>-631000</v>
      </c>
      <c r="I1012" s="754"/>
    </row>
    <row r="1013" spans="1:9" ht="13.5" hidden="1" outlineLevel="1" thickBot="1">
      <c r="A1013" s="1111" t="s">
        <v>1981</v>
      </c>
      <c r="B1013" s="1112" t="s">
        <v>31</v>
      </c>
      <c r="C1013" s="1113">
        <f>SUM(C1005:C1012)</f>
        <v>98729312.621947631</v>
      </c>
      <c r="D1013" s="1113">
        <f t="shared" ref="D1013:H1013" si="319">SUM(D1005:D1012)</f>
        <v>50000000</v>
      </c>
      <c r="E1013" s="1113">
        <f t="shared" si="319"/>
        <v>68309760</v>
      </c>
      <c r="F1013" s="1113">
        <f t="shared" si="319"/>
        <v>38899036.621947609</v>
      </c>
      <c r="G1013" s="1113">
        <f t="shared" si="319"/>
        <v>41520516</v>
      </c>
      <c r="H1013" s="1113">
        <f t="shared" si="319"/>
        <v>80419552.621947631</v>
      </c>
    </row>
    <row r="1014" spans="1:9" hidden="1" outlineLevel="1">
      <c r="A1014" s="898" t="s">
        <v>1982</v>
      </c>
      <c r="B1014" s="927" t="s">
        <v>4</v>
      </c>
      <c r="C1014" s="803">
        <f t="shared" si="311"/>
        <v>4847779</v>
      </c>
      <c r="D1014" s="803">
        <v>0</v>
      </c>
      <c r="E1014" s="930">
        <v>741300</v>
      </c>
      <c r="F1014" s="753">
        <v>4106479</v>
      </c>
      <c r="G1014" s="730">
        <v>0</v>
      </c>
      <c r="H1014" s="905">
        <f t="shared" ref="H1014:H1020" si="320">C1014+D1014-E1014</f>
        <v>4106479</v>
      </c>
      <c r="I1014" s="730"/>
    </row>
    <row r="1015" spans="1:9" hidden="1" outlineLevel="1">
      <c r="A1015" s="898" t="s">
        <v>1982</v>
      </c>
      <c r="B1015" s="928" t="s">
        <v>5</v>
      </c>
      <c r="C1015" s="804">
        <f t="shared" si="311"/>
        <v>0</v>
      </c>
      <c r="D1015" s="754">
        <v>0</v>
      </c>
      <c r="E1015" s="782">
        <v>0</v>
      </c>
      <c r="F1015" s="902">
        <v>0</v>
      </c>
      <c r="G1015" s="1330">
        <v>0</v>
      </c>
      <c r="H1015" s="906">
        <f t="shared" si="320"/>
        <v>0</v>
      </c>
      <c r="I1015" s="732"/>
    </row>
    <row r="1016" spans="1:9" hidden="1" outlineLevel="1">
      <c r="A1016" s="898" t="s">
        <v>1982</v>
      </c>
      <c r="B1016" s="928" t="s">
        <v>6</v>
      </c>
      <c r="C1016" s="804">
        <f t="shared" si="311"/>
        <v>33373355.621947572</v>
      </c>
      <c r="D1016" s="804">
        <v>0</v>
      </c>
      <c r="E1016" s="931">
        <v>0</v>
      </c>
      <c r="F1016" s="754">
        <v>33373355.621947572</v>
      </c>
      <c r="G1016" s="732">
        <v>0</v>
      </c>
      <c r="H1016" s="906">
        <f t="shared" si="320"/>
        <v>33373355.621947572</v>
      </c>
      <c r="I1016" s="732"/>
    </row>
    <row r="1017" spans="1:9" hidden="1" outlineLevel="1">
      <c r="A1017" s="898" t="s">
        <v>1982</v>
      </c>
      <c r="B1017" s="920" t="s">
        <v>7</v>
      </c>
      <c r="C1017" s="804">
        <f t="shared" si="311"/>
        <v>0</v>
      </c>
      <c r="D1017" s="804">
        <v>0</v>
      </c>
      <c r="E1017" s="767">
        <v>0</v>
      </c>
      <c r="F1017" s="788">
        <v>0</v>
      </c>
      <c r="G1017" s="767">
        <v>0</v>
      </c>
      <c r="H1017" s="906">
        <f t="shared" si="320"/>
        <v>0</v>
      </c>
      <c r="I1017" s="732"/>
    </row>
    <row r="1018" spans="1:9" hidden="1" outlineLevel="1">
      <c r="A1018" s="898" t="s">
        <v>1982</v>
      </c>
      <c r="B1018" s="919" t="s">
        <v>8</v>
      </c>
      <c r="C1018" s="804">
        <f t="shared" si="311"/>
        <v>14896863</v>
      </c>
      <c r="D1018" s="754">
        <v>0</v>
      </c>
      <c r="E1018" s="740">
        <v>0</v>
      </c>
      <c r="F1018" s="777">
        <v>0</v>
      </c>
      <c r="G1018" s="767">
        <v>14896863</v>
      </c>
      <c r="H1018" s="906">
        <f t="shared" si="320"/>
        <v>14896863</v>
      </c>
      <c r="I1018" s="732"/>
    </row>
    <row r="1019" spans="1:9" hidden="1" outlineLevel="1">
      <c r="A1019" s="898" t="s">
        <v>1982</v>
      </c>
      <c r="B1019" s="919" t="s">
        <v>9</v>
      </c>
      <c r="C1019" s="929">
        <f t="shared" si="311"/>
        <v>17676312.00000006</v>
      </c>
      <c r="D1019" s="962">
        <v>0</v>
      </c>
      <c r="E1019" s="923">
        <v>16240000</v>
      </c>
      <c r="F1019" s="963">
        <v>1419202.0000000389</v>
      </c>
      <c r="G1019" s="908">
        <v>17110</v>
      </c>
      <c r="H1019" s="906">
        <f t="shared" si="320"/>
        <v>1436312.0000000596</v>
      </c>
      <c r="I1019" s="732"/>
    </row>
    <row r="1020" spans="1:9" ht="15.75" hidden="1" outlineLevel="1">
      <c r="A1020" s="898" t="s">
        <v>1982</v>
      </c>
      <c r="B1020" s="1331" t="s">
        <v>1604</v>
      </c>
      <c r="C1020" s="929">
        <f t="shared" si="311"/>
        <v>21782003</v>
      </c>
      <c r="D1020" s="1218">
        <v>50000000</v>
      </c>
      <c r="E1020" s="903">
        <v>44544460</v>
      </c>
      <c r="F1020" s="1218">
        <v>0</v>
      </c>
      <c r="G1020" s="908">
        <v>27237543</v>
      </c>
      <c r="H1020" s="906">
        <f t="shared" si="320"/>
        <v>27237543</v>
      </c>
      <c r="I1020" s="754"/>
    </row>
    <row r="1021" spans="1:9" ht="16.5" hidden="1" outlineLevel="1" thickBot="1">
      <c r="A1021" s="898" t="s">
        <v>1982</v>
      </c>
      <c r="B1021" s="1253" t="s">
        <v>1810</v>
      </c>
      <c r="C1021" s="1259">
        <f t="shared" si="311"/>
        <v>6153000</v>
      </c>
      <c r="D1021" s="773">
        <v>0</v>
      </c>
      <c r="E1021" s="806">
        <v>6784000</v>
      </c>
      <c r="F1021" s="785">
        <v>0</v>
      </c>
      <c r="G1021" s="897">
        <v>-631000</v>
      </c>
      <c r="H1021" s="1334">
        <f>C1021+D1021-E1021</f>
        <v>-631000</v>
      </c>
      <c r="I1021" s="754"/>
    </row>
    <row r="1022" spans="1:9" ht="13.5" hidden="1" outlineLevel="1" thickBot="1">
      <c r="A1022" s="1111" t="s">
        <v>1982</v>
      </c>
      <c r="B1022" s="1112" t="s">
        <v>31</v>
      </c>
      <c r="C1022" s="1113">
        <f>SUM(C1014:C1021)</f>
        <v>98729312.621947631</v>
      </c>
      <c r="D1022" s="1113">
        <f t="shared" ref="D1022:H1022" si="321">SUM(D1014:D1021)</f>
        <v>50000000</v>
      </c>
      <c r="E1022" s="1113">
        <f t="shared" si="321"/>
        <v>68309760</v>
      </c>
      <c r="F1022" s="1113">
        <f t="shared" si="321"/>
        <v>38899036.621947609</v>
      </c>
      <c r="G1022" s="1113">
        <f t="shared" si="321"/>
        <v>41520516</v>
      </c>
      <c r="H1022" s="1113">
        <f t="shared" si="321"/>
        <v>80419552.621947631</v>
      </c>
    </row>
    <row r="1023" spans="1:9" hidden="1" outlineLevel="1">
      <c r="A1023" s="898" t="s">
        <v>1983</v>
      </c>
      <c r="B1023" s="927" t="s">
        <v>4</v>
      </c>
      <c r="C1023" s="803">
        <f t="shared" si="311"/>
        <v>4847779</v>
      </c>
      <c r="D1023" s="803">
        <v>20000000</v>
      </c>
      <c r="E1023" s="930">
        <v>7034000</v>
      </c>
      <c r="F1023" s="753">
        <v>17813779</v>
      </c>
      <c r="G1023" s="730">
        <v>0</v>
      </c>
      <c r="H1023" s="905">
        <f t="shared" ref="H1023:H1029" si="322">C1023+D1023-E1023</f>
        <v>17813779</v>
      </c>
      <c r="I1023" s="730"/>
    </row>
    <row r="1024" spans="1:9" hidden="1" outlineLevel="1">
      <c r="A1024" s="898" t="s">
        <v>1983</v>
      </c>
      <c r="B1024" s="928" t="s">
        <v>5</v>
      </c>
      <c r="C1024" s="804">
        <f t="shared" si="311"/>
        <v>0</v>
      </c>
      <c r="D1024" s="754">
        <v>0</v>
      </c>
      <c r="E1024" s="782">
        <v>0</v>
      </c>
      <c r="F1024" s="902">
        <v>0</v>
      </c>
      <c r="G1024" s="1330">
        <v>0</v>
      </c>
      <c r="H1024" s="906">
        <f t="shared" si="322"/>
        <v>0</v>
      </c>
      <c r="I1024" s="732"/>
    </row>
    <row r="1025" spans="1:9" hidden="1" outlineLevel="1">
      <c r="A1025" s="898" t="s">
        <v>1983</v>
      </c>
      <c r="B1025" s="928" t="s">
        <v>6</v>
      </c>
      <c r="C1025" s="804">
        <f t="shared" si="311"/>
        <v>33373355.621947572</v>
      </c>
      <c r="D1025" s="804">
        <v>0</v>
      </c>
      <c r="E1025" s="931">
        <v>0</v>
      </c>
      <c r="F1025" s="754">
        <v>33373355.621947572</v>
      </c>
      <c r="G1025" s="732">
        <v>0</v>
      </c>
      <c r="H1025" s="906">
        <f t="shared" si="322"/>
        <v>33373355.621947572</v>
      </c>
      <c r="I1025" s="732"/>
    </row>
    <row r="1026" spans="1:9" hidden="1" outlineLevel="1">
      <c r="A1026" s="898" t="s">
        <v>1983</v>
      </c>
      <c r="B1026" s="920" t="s">
        <v>7</v>
      </c>
      <c r="C1026" s="804">
        <f t="shared" si="311"/>
        <v>0</v>
      </c>
      <c r="D1026" s="804">
        <v>0</v>
      </c>
      <c r="E1026" s="767">
        <v>0</v>
      </c>
      <c r="F1026" s="788">
        <v>0</v>
      </c>
      <c r="G1026" s="767">
        <v>0</v>
      </c>
      <c r="H1026" s="906">
        <f t="shared" si="322"/>
        <v>0</v>
      </c>
      <c r="I1026" s="732"/>
    </row>
    <row r="1027" spans="1:9" hidden="1" outlineLevel="1">
      <c r="A1027" s="898" t="s">
        <v>1983</v>
      </c>
      <c r="B1027" s="919" t="s">
        <v>8</v>
      </c>
      <c r="C1027" s="804">
        <f t="shared" si="311"/>
        <v>14896863</v>
      </c>
      <c r="D1027" s="754">
        <v>0</v>
      </c>
      <c r="E1027" s="740">
        <v>0</v>
      </c>
      <c r="F1027" s="777">
        <v>0</v>
      </c>
      <c r="G1027" s="767">
        <v>14896863</v>
      </c>
      <c r="H1027" s="906">
        <f t="shared" si="322"/>
        <v>14896863</v>
      </c>
      <c r="I1027" s="732"/>
    </row>
    <row r="1028" spans="1:9" hidden="1" outlineLevel="1">
      <c r="A1028" s="898" t="s">
        <v>1983</v>
      </c>
      <c r="B1028" s="919" t="s">
        <v>9</v>
      </c>
      <c r="C1028" s="929">
        <f t="shared" si="311"/>
        <v>17676312.00000006</v>
      </c>
      <c r="D1028" s="962">
        <v>193314000</v>
      </c>
      <c r="E1028" s="923">
        <v>123763416</v>
      </c>
      <c r="F1028" s="963">
        <v>85469786.00000003</v>
      </c>
      <c r="G1028" s="908">
        <v>1757110</v>
      </c>
      <c r="H1028" s="906">
        <f>C1028+D1028-E1028</f>
        <v>87226896.00000006</v>
      </c>
      <c r="I1028" s="732"/>
    </row>
    <row r="1029" spans="1:9" ht="15.75" hidden="1" outlineLevel="1">
      <c r="A1029" s="898" t="s">
        <v>1983</v>
      </c>
      <c r="B1029" s="1331" t="s">
        <v>1604</v>
      </c>
      <c r="C1029" s="929">
        <f t="shared" si="311"/>
        <v>21782003</v>
      </c>
      <c r="D1029" s="1218">
        <v>50000000</v>
      </c>
      <c r="E1029" s="903">
        <v>64361910</v>
      </c>
      <c r="F1029" s="1218">
        <v>0</v>
      </c>
      <c r="G1029" s="908">
        <v>7420093</v>
      </c>
      <c r="H1029" s="906">
        <f t="shared" si="322"/>
        <v>7420093</v>
      </c>
      <c r="I1029" s="754"/>
    </row>
    <row r="1030" spans="1:9" ht="16.5" hidden="1" outlineLevel="1" thickBot="1">
      <c r="A1030" s="898" t="s">
        <v>1983</v>
      </c>
      <c r="B1030" s="1253" t="s">
        <v>1810</v>
      </c>
      <c r="C1030" s="1259">
        <f t="shared" si="311"/>
        <v>6153000</v>
      </c>
      <c r="D1030" s="773">
        <v>40000000</v>
      </c>
      <c r="E1030" s="806">
        <v>15634000</v>
      </c>
      <c r="F1030" s="785">
        <v>9000000</v>
      </c>
      <c r="G1030" s="897">
        <v>21519000</v>
      </c>
      <c r="H1030" s="1334">
        <f>C1030+D1030-E1030</f>
        <v>30519000</v>
      </c>
      <c r="I1030" s="754"/>
    </row>
    <row r="1031" spans="1:9" ht="13.5" hidden="1" outlineLevel="1" thickBot="1">
      <c r="A1031" s="1111" t="s">
        <v>1983</v>
      </c>
      <c r="B1031" s="1112" t="s">
        <v>31</v>
      </c>
      <c r="C1031" s="1113">
        <f>SUM(C1023:C1030)</f>
        <v>98729312.621947631</v>
      </c>
      <c r="D1031" s="1113">
        <f t="shared" ref="D1031:H1031" si="323">SUM(D1023:D1030)</f>
        <v>303314000</v>
      </c>
      <c r="E1031" s="1113">
        <f t="shared" si="323"/>
        <v>210793326</v>
      </c>
      <c r="F1031" s="1113">
        <f t="shared" si="323"/>
        <v>145656920.62194759</v>
      </c>
      <c r="G1031" s="1113">
        <f t="shared" si="323"/>
        <v>45593066</v>
      </c>
      <c r="H1031" s="1113">
        <f t="shared" si="323"/>
        <v>191249986.62194765</v>
      </c>
    </row>
    <row r="1032" spans="1:9" hidden="1" outlineLevel="1">
      <c r="A1032" s="898" t="s">
        <v>1984</v>
      </c>
      <c r="B1032" s="927" t="s">
        <v>4</v>
      </c>
      <c r="C1032" s="803">
        <f t="shared" si="311"/>
        <v>4847779</v>
      </c>
      <c r="D1032" s="803">
        <v>20000000</v>
      </c>
      <c r="E1032" s="930">
        <v>17122000</v>
      </c>
      <c r="F1032" s="753">
        <v>7725779</v>
      </c>
      <c r="G1032" s="730">
        <v>0</v>
      </c>
      <c r="H1032" s="905">
        <f t="shared" ref="H1032:H1038" si="324">C1032+D1032-E1032</f>
        <v>7725779</v>
      </c>
      <c r="I1032" s="730"/>
    </row>
    <row r="1033" spans="1:9" hidden="1" outlineLevel="1">
      <c r="A1033" s="898" t="s">
        <v>1984</v>
      </c>
      <c r="B1033" s="928" t="s">
        <v>5</v>
      </c>
      <c r="C1033" s="804">
        <f t="shared" si="311"/>
        <v>0</v>
      </c>
      <c r="D1033" s="754">
        <v>0</v>
      </c>
      <c r="E1033" s="782">
        <v>0</v>
      </c>
      <c r="F1033" s="902">
        <v>0</v>
      </c>
      <c r="G1033" s="1330">
        <v>0</v>
      </c>
      <c r="H1033" s="906">
        <f t="shared" si="324"/>
        <v>0</v>
      </c>
      <c r="I1033" s="732"/>
    </row>
    <row r="1034" spans="1:9" hidden="1" outlineLevel="1">
      <c r="A1034" s="898" t="s">
        <v>1984</v>
      </c>
      <c r="B1034" s="928" t="s">
        <v>6</v>
      </c>
      <c r="C1034" s="804">
        <f t="shared" si="311"/>
        <v>33373355.621947572</v>
      </c>
      <c r="D1034" s="804">
        <v>0</v>
      </c>
      <c r="E1034" s="931">
        <v>0</v>
      </c>
      <c r="F1034" s="754">
        <v>33373355.621947572</v>
      </c>
      <c r="G1034" s="732">
        <v>0</v>
      </c>
      <c r="H1034" s="906">
        <f t="shared" si="324"/>
        <v>33373355.621947572</v>
      </c>
      <c r="I1034" s="732"/>
    </row>
    <row r="1035" spans="1:9" hidden="1" outlineLevel="1">
      <c r="A1035" s="898" t="s">
        <v>1984</v>
      </c>
      <c r="B1035" s="920" t="s">
        <v>7</v>
      </c>
      <c r="C1035" s="804">
        <f t="shared" si="311"/>
        <v>0</v>
      </c>
      <c r="D1035" s="804">
        <v>0</v>
      </c>
      <c r="E1035" s="767">
        <v>0</v>
      </c>
      <c r="F1035" s="788">
        <v>0</v>
      </c>
      <c r="G1035" s="767">
        <v>0</v>
      </c>
      <c r="H1035" s="906">
        <f t="shared" si="324"/>
        <v>0</v>
      </c>
      <c r="I1035" s="732"/>
    </row>
    <row r="1036" spans="1:9" hidden="1" outlineLevel="1">
      <c r="A1036" s="898" t="s">
        <v>1984</v>
      </c>
      <c r="B1036" s="919" t="s">
        <v>8</v>
      </c>
      <c r="C1036" s="804">
        <f t="shared" si="311"/>
        <v>14896863</v>
      </c>
      <c r="D1036" s="754">
        <v>0</v>
      </c>
      <c r="E1036" s="740">
        <v>0</v>
      </c>
      <c r="F1036" s="777">
        <v>0</v>
      </c>
      <c r="G1036" s="767">
        <v>14896863</v>
      </c>
      <c r="H1036" s="906">
        <f t="shared" si="324"/>
        <v>14896863</v>
      </c>
      <c r="I1036" s="732"/>
    </row>
    <row r="1037" spans="1:9" hidden="1" outlineLevel="1">
      <c r="A1037" s="898" t="s">
        <v>1984</v>
      </c>
      <c r="B1037" s="919" t="s">
        <v>9</v>
      </c>
      <c r="C1037" s="929">
        <f t="shared" si="311"/>
        <v>17676312.00000006</v>
      </c>
      <c r="D1037" s="962">
        <v>193314000</v>
      </c>
      <c r="E1037" s="923">
        <v>147559482</v>
      </c>
      <c r="F1037" s="963">
        <v>61504940.000000037</v>
      </c>
      <c r="G1037" s="908">
        <v>1925889.9999999998</v>
      </c>
      <c r="H1037" s="906">
        <f t="shared" si="324"/>
        <v>63430830.00000006</v>
      </c>
      <c r="I1037" s="732"/>
    </row>
    <row r="1038" spans="1:9" ht="15.75" hidden="1" outlineLevel="1">
      <c r="A1038" s="898" t="s">
        <v>1984</v>
      </c>
      <c r="B1038" s="1331" t="s">
        <v>1604</v>
      </c>
      <c r="C1038" s="929">
        <f t="shared" si="311"/>
        <v>21782003</v>
      </c>
      <c r="D1038" s="1218">
        <v>100000000</v>
      </c>
      <c r="E1038" s="903">
        <v>70066510</v>
      </c>
      <c r="F1038" s="1218">
        <v>0</v>
      </c>
      <c r="G1038" s="908">
        <v>51715493</v>
      </c>
      <c r="H1038" s="906">
        <f t="shared" si="324"/>
        <v>51715493</v>
      </c>
      <c r="I1038" s="754"/>
    </row>
    <row r="1039" spans="1:9" ht="16.5" hidden="1" outlineLevel="1" thickBot="1">
      <c r="A1039" s="898" t="s">
        <v>1984</v>
      </c>
      <c r="B1039" s="1253" t="s">
        <v>1810</v>
      </c>
      <c r="C1039" s="1259">
        <f t="shared" si="311"/>
        <v>6153000</v>
      </c>
      <c r="D1039" s="773">
        <v>40000000</v>
      </c>
      <c r="E1039" s="806">
        <v>15634000</v>
      </c>
      <c r="F1039" s="785">
        <v>9000000</v>
      </c>
      <c r="G1039" s="897">
        <v>21519000</v>
      </c>
      <c r="H1039" s="1334">
        <f>C1039+D1039-E1039</f>
        <v>30519000</v>
      </c>
      <c r="I1039" s="754"/>
    </row>
    <row r="1040" spans="1:9" ht="13.5" hidden="1" outlineLevel="1" thickBot="1">
      <c r="A1040" s="1111" t="s">
        <v>1984</v>
      </c>
      <c r="B1040" s="1112" t="s">
        <v>31</v>
      </c>
      <c r="C1040" s="1113">
        <f>SUM(C1032:C1039)</f>
        <v>98729312.621947631</v>
      </c>
      <c r="D1040" s="1113">
        <f t="shared" ref="D1040:H1040" si="325">SUM(D1032:D1039)</f>
        <v>353314000</v>
      </c>
      <c r="E1040" s="1113">
        <f t="shared" si="325"/>
        <v>250381992</v>
      </c>
      <c r="F1040" s="1113">
        <f t="shared" si="325"/>
        <v>111604074.62194762</v>
      </c>
      <c r="G1040" s="1113">
        <f t="shared" si="325"/>
        <v>90057246</v>
      </c>
      <c r="H1040" s="1113">
        <f t="shared" si="325"/>
        <v>201661320.62194765</v>
      </c>
    </row>
    <row r="1041" spans="1:9" hidden="1" outlineLevel="1">
      <c r="A1041" s="898" t="s">
        <v>2043</v>
      </c>
      <c r="B1041" s="927" t="s">
        <v>4</v>
      </c>
      <c r="C1041" s="803">
        <f t="shared" si="311"/>
        <v>4847779</v>
      </c>
      <c r="D1041" s="803">
        <v>20000000</v>
      </c>
      <c r="E1041" s="930">
        <v>17122000</v>
      </c>
      <c r="F1041" s="753">
        <v>7725779</v>
      </c>
      <c r="G1041" s="730">
        <v>0</v>
      </c>
      <c r="H1041" s="905">
        <f t="shared" ref="H1041:H1047" si="326">C1041+D1041-E1041</f>
        <v>7725779</v>
      </c>
      <c r="I1041" s="730"/>
    </row>
    <row r="1042" spans="1:9" hidden="1" outlineLevel="1">
      <c r="A1042" s="898" t="s">
        <v>2043</v>
      </c>
      <c r="B1042" s="928" t="s">
        <v>5</v>
      </c>
      <c r="C1042" s="804">
        <f t="shared" ref="C1042:C1048" si="327">C1033</f>
        <v>0</v>
      </c>
      <c r="D1042" s="754">
        <v>0</v>
      </c>
      <c r="E1042" s="782">
        <v>0</v>
      </c>
      <c r="F1042" s="902">
        <v>0</v>
      </c>
      <c r="G1042" s="1330">
        <v>0</v>
      </c>
      <c r="H1042" s="906">
        <f t="shared" si="326"/>
        <v>0</v>
      </c>
      <c r="I1042" s="732"/>
    </row>
    <row r="1043" spans="1:9" hidden="1" outlineLevel="1">
      <c r="A1043" s="898" t="s">
        <v>2043</v>
      </c>
      <c r="B1043" s="928" t="s">
        <v>6</v>
      </c>
      <c r="C1043" s="804">
        <f t="shared" si="327"/>
        <v>33373355.621947572</v>
      </c>
      <c r="D1043" s="804">
        <v>0</v>
      </c>
      <c r="E1043" s="931">
        <v>0</v>
      </c>
      <c r="F1043" s="754">
        <v>33373355.621947572</v>
      </c>
      <c r="G1043" s="732">
        <v>0</v>
      </c>
      <c r="H1043" s="906">
        <f t="shared" si="326"/>
        <v>33373355.621947572</v>
      </c>
      <c r="I1043" s="732"/>
    </row>
    <row r="1044" spans="1:9" hidden="1" outlineLevel="1">
      <c r="A1044" s="898" t="s">
        <v>2043</v>
      </c>
      <c r="B1044" s="920" t="s">
        <v>7</v>
      </c>
      <c r="C1044" s="804">
        <f t="shared" si="327"/>
        <v>0</v>
      </c>
      <c r="D1044" s="804">
        <v>0</v>
      </c>
      <c r="E1044" s="767">
        <v>0</v>
      </c>
      <c r="F1044" s="788">
        <v>0</v>
      </c>
      <c r="G1044" s="767">
        <v>0</v>
      </c>
      <c r="H1044" s="906">
        <f t="shared" si="326"/>
        <v>0</v>
      </c>
      <c r="I1044" s="732"/>
    </row>
    <row r="1045" spans="1:9" hidden="1" outlineLevel="1">
      <c r="A1045" s="898" t="s">
        <v>2043</v>
      </c>
      <c r="B1045" s="919" t="s">
        <v>8</v>
      </c>
      <c r="C1045" s="804">
        <f t="shared" si="327"/>
        <v>14896863</v>
      </c>
      <c r="D1045" s="754">
        <v>0</v>
      </c>
      <c r="E1045" s="740">
        <v>0</v>
      </c>
      <c r="F1045" s="777">
        <v>0</v>
      </c>
      <c r="G1045" s="767">
        <v>14896863</v>
      </c>
      <c r="H1045" s="906">
        <f t="shared" si="326"/>
        <v>14896863</v>
      </c>
      <c r="I1045" s="732"/>
    </row>
    <row r="1046" spans="1:9" hidden="1" outlineLevel="1">
      <c r="A1046" s="898" t="s">
        <v>2043</v>
      </c>
      <c r="B1046" s="919" t="s">
        <v>9</v>
      </c>
      <c r="C1046" s="929">
        <f t="shared" si="327"/>
        <v>17676312.00000006</v>
      </c>
      <c r="D1046" s="962">
        <v>193314000</v>
      </c>
      <c r="E1046" s="923">
        <v>163471781.99999997</v>
      </c>
      <c r="F1046" s="963">
        <v>45930780.000000052</v>
      </c>
      <c r="G1046" s="908">
        <v>1587750</v>
      </c>
      <c r="H1046" s="906">
        <f t="shared" si="326"/>
        <v>47518530.000000089</v>
      </c>
      <c r="I1046" s="732"/>
    </row>
    <row r="1047" spans="1:9" ht="15.75" hidden="1" outlineLevel="1">
      <c r="A1047" s="898" t="s">
        <v>2043</v>
      </c>
      <c r="B1047" s="1331" t="s">
        <v>1604</v>
      </c>
      <c r="C1047" s="929">
        <f t="shared" si="327"/>
        <v>21782003</v>
      </c>
      <c r="D1047" s="1218">
        <v>100000000</v>
      </c>
      <c r="E1047" s="903">
        <v>70066510</v>
      </c>
      <c r="F1047" s="1218">
        <v>0</v>
      </c>
      <c r="G1047" s="908">
        <v>51715493</v>
      </c>
      <c r="H1047" s="906">
        <f t="shared" si="326"/>
        <v>51715493</v>
      </c>
      <c r="I1047" s="754"/>
    </row>
    <row r="1048" spans="1:9" ht="16.5" hidden="1" outlineLevel="1" thickBot="1">
      <c r="A1048" s="898" t="s">
        <v>2043</v>
      </c>
      <c r="B1048" s="1253" t="s">
        <v>1810</v>
      </c>
      <c r="C1048" s="1259">
        <f t="shared" si="327"/>
        <v>6153000</v>
      </c>
      <c r="D1048" s="773">
        <v>40000000</v>
      </c>
      <c r="E1048" s="806">
        <v>15634000</v>
      </c>
      <c r="F1048" s="785">
        <v>9000000</v>
      </c>
      <c r="G1048" s="897">
        <v>21519000</v>
      </c>
      <c r="H1048" s="1334">
        <f>C1048+D1048-E1048</f>
        <v>30519000</v>
      </c>
      <c r="I1048" s="754"/>
    </row>
    <row r="1049" spans="1:9" ht="13.5" hidden="1" outlineLevel="1" thickBot="1">
      <c r="A1049" s="1111" t="s">
        <v>2043</v>
      </c>
      <c r="B1049" s="1112" t="s">
        <v>31</v>
      </c>
      <c r="C1049" s="1113">
        <f>SUM(C1041:C1048)</f>
        <v>98729312.621947631</v>
      </c>
      <c r="D1049" s="1113">
        <f t="shared" ref="D1049:H1049" si="328">SUM(D1041:D1048)</f>
        <v>353314000</v>
      </c>
      <c r="E1049" s="1113">
        <f t="shared" si="328"/>
        <v>266294291.99999997</v>
      </c>
      <c r="F1049" s="1113">
        <f t="shared" si="328"/>
        <v>96029914.621947616</v>
      </c>
      <c r="G1049" s="1113">
        <f t="shared" si="328"/>
        <v>89719106</v>
      </c>
      <c r="H1049" s="1113">
        <f t="shared" si="328"/>
        <v>185749020.62194765</v>
      </c>
    </row>
    <row r="1050" spans="1:9" hidden="1" outlineLevel="1">
      <c r="A1050" s="898" t="s">
        <v>2046</v>
      </c>
      <c r="B1050" s="927" t="s">
        <v>4</v>
      </c>
      <c r="C1050" s="803">
        <f t="shared" ref="C1050:C1057" si="329">C1041</f>
        <v>4847779</v>
      </c>
      <c r="D1050" s="803">
        <v>20000000</v>
      </c>
      <c r="E1050" s="930">
        <v>17122000</v>
      </c>
      <c r="F1050" s="753">
        <v>7725779</v>
      </c>
      <c r="G1050" s="730">
        <v>0</v>
      </c>
      <c r="H1050" s="905">
        <f t="shared" ref="H1050:H1056" si="330">C1050+D1050-E1050</f>
        <v>7725779</v>
      </c>
      <c r="I1050" s="730"/>
    </row>
    <row r="1051" spans="1:9" hidden="1" outlineLevel="1">
      <c r="A1051" s="898" t="s">
        <v>2046</v>
      </c>
      <c r="B1051" s="928" t="s">
        <v>5</v>
      </c>
      <c r="C1051" s="804">
        <f t="shared" si="329"/>
        <v>0</v>
      </c>
      <c r="D1051" s="754">
        <v>0</v>
      </c>
      <c r="E1051" s="782">
        <v>0</v>
      </c>
      <c r="F1051" s="902">
        <v>0</v>
      </c>
      <c r="G1051" s="1330">
        <v>0</v>
      </c>
      <c r="H1051" s="906">
        <f t="shared" si="330"/>
        <v>0</v>
      </c>
      <c r="I1051" s="732"/>
    </row>
    <row r="1052" spans="1:9" hidden="1" outlineLevel="1">
      <c r="A1052" s="898" t="s">
        <v>2046</v>
      </c>
      <c r="B1052" s="928" t="s">
        <v>6</v>
      </c>
      <c r="C1052" s="804">
        <f t="shared" si="329"/>
        <v>33373355.621947572</v>
      </c>
      <c r="D1052" s="804">
        <v>0</v>
      </c>
      <c r="E1052" s="931">
        <v>0</v>
      </c>
      <c r="F1052" s="754">
        <v>33373355.621947572</v>
      </c>
      <c r="G1052" s="732">
        <v>0</v>
      </c>
      <c r="H1052" s="906">
        <f t="shared" si="330"/>
        <v>33373355.621947572</v>
      </c>
      <c r="I1052" s="732"/>
    </row>
    <row r="1053" spans="1:9" hidden="1" outlineLevel="1">
      <c r="A1053" s="898" t="s">
        <v>2046</v>
      </c>
      <c r="B1053" s="920" t="s">
        <v>7</v>
      </c>
      <c r="C1053" s="804">
        <f t="shared" si="329"/>
        <v>0</v>
      </c>
      <c r="D1053" s="804">
        <v>0</v>
      </c>
      <c r="E1053" s="767">
        <v>0</v>
      </c>
      <c r="F1053" s="788">
        <v>0</v>
      </c>
      <c r="G1053" s="767">
        <v>0</v>
      </c>
      <c r="H1053" s="906">
        <f t="shared" si="330"/>
        <v>0</v>
      </c>
      <c r="I1053" s="732"/>
    </row>
    <row r="1054" spans="1:9" hidden="1" outlineLevel="1">
      <c r="A1054" s="898" t="s">
        <v>2046</v>
      </c>
      <c r="B1054" s="919" t="s">
        <v>8</v>
      </c>
      <c r="C1054" s="804">
        <f t="shared" si="329"/>
        <v>14896863</v>
      </c>
      <c r="D1054" s="754">
        <v>0</v>
      </c>
      <c r="E1054" s="740">
        <v>0</v>
      </c>
      <c r="F1054" s="777">
        <v>0</v>
      </c>
      <c r="G1054" s="767">
        <v>14896863</v>
      </c>
      <c r="H1054" s="906">
        <f t="shared" si="330"/>
        <v>14896863</v>
      </c>
      <c r="I1054" s="732"/>
    </row>
    <row r="1055" spans="1:9" hidden="1" outlineLevel="1">
      <c r="A1055" s="898" t="s">
        <v>2046</v>
      </c>
      <c r="B1055" s="919" t="s">
        <v>9</v>
      </c>
      <c r="C1055" s="929">
        <f t="shared" si="329"/>
        <v>17676312.00000006</v>
      </c>
      <c r="D1055" s="962">
        <v>193314000</v>
      </c>
      <c r="E1055" s="923">
        <v>163471781.99999997</v>
      </c>
      <c r="F1055" s="963">
        <v>45930780.000000052</v>
      </c>
      <c r="G1055" s="908">
        <v>1587750</v>
      </c>
      <c r="H1055" s="906">
        <f t="shared" si="330"/>
        <v>47518530.000000089</v>
      </c>
      <c r="I1055" s="732"/>
    </row>
    <row r="1056" spans="1:9" ht="15.75" hidden="1" outlineLevel="1">
      <c r="A1056" s="898" t="s">
        <v>2046</v>
      </c>
      <c r="B1056" s="1331" t="s">
        <v>1604</v>
      </c>
      <c r="C1056" s="929">
        <f t="shared" si="329"/>
        <v>21782003</v>
      </c>
      <c r="D1056" s="1218">
        <v>100000000</v>
      </c>
      <c r="E1056" s="903">
        <v>83301410</v>
      </c>
      <c r="F1056" s="1218">
        <v>0</v>
      </c>
      <c r="G1056" s="908">
        <v>38480593</v>
      </c>
      <c r="H1056" s="906">
        <f t="shared" si="330"/>
        <v>38480593</v>
      </c>
      <c r="I1056" s="754"/>
    </row>
    <row r="1057" spans="1:9" ht="16.5" hidden="1" outlineLevel="1" thickBot="1">
      <c r="A1057" s="898" t="s">
        <v>2046</v>
      </c>
      <c r="B1057" s="1253" t="s">
        <v>1810</v>
      </c>
      <c r="C1057" s="1259">
        <f t="shared" si="329"/>
        <v>6153000</v>
      </c>
      <c r="D1057" s="773">
        <v>40000000</v>
      </c>
      <c r="E1057" s="806">
        <v>15634000</v>
      </c>
      <c r="F1057" s="785">
        <v>9000000</v>
      </c>
      <c r="G1057" s="897">
        <v>21519000</v>
      </c>
      <c r="H1057" s="1334">
        <f>C1057+D1057-E1057</f>
        <v>30519000</v>
      </c>
      <c r="I1057" s="754"/>
    </row>
    <row r="1058" spans="1:9" ht="13.5" hidden="1" outlineLevel="1" thickBot="1">
      <c r="A1058" s="1111" t="s">
        <v>2046</v>
      </c>
      <c r="B1058" s="1112" t="s">
        <v>31</v>
      </c>
      <c r="C1058" s="1113">
        <f>SUM(C1050:C1057)</f>
        <v>98729312.621947631</v>
      </c>
      <c r="D1058" s="1113">
        <f t="shared" ref="D1058:H1058" si="331">SUM(D1050:D1057)</f>
        <v>353314000</v>
      </c>
      <c r="E1058" s="1113">
        <f t="shared" si="331"/>
        <v>279529192</v>
      </c>
      <c r="F1058" s="1113">
        <f t="shared" si="331"/>
        <v>96029914.621947616</v>
      </c>
      <c r="G1058" s="1113">
        <f t="shared" si="331"/>
        <v>76484206</v>
      </c>
      <c r="H1058" s="1113">
        <f t="shared" si="331"/>
        <v>172514120.62194765</v>
      </c>
    </row>
    <row r="1059" spans="1:9" hidden="1" outlineLevel="1">
      <c r="A1059" s="898" t="s">
        <v>2047</v>
      </c>
      <c r="B1059" s="927" t="s">
        <v>4</v>
      </c>
      <c r="C1059" s="803">
        <f t="shared" ref="C1059:C1066" si="332">C1050</f>
        <v>4847779</v>
      </c>
      <c r="D1059" s="803">
        <v>20000000</v>
      </c>
      <c r="E1059" s="930">
        <v>17122000</v>
      </c>
      <c r="F1059" s="753">
        <v>7725779</v>
      </c>
      <c r="G1059" s="730">
        <v>0</v>
      </c>
      <c r="H1059" s="905">
        <f t="shared" ref="H1059:H1065" si="333">C1059+D1059-E1059</f>
        <v>7725779</v>
      </c>
      <c r="I1059" s="730"/>
    </row>
    <row r="1060" spans="1:9" hidden="1" outlineLevel="1">
      <c r="A1060" s="898" t="s">
        <v>2047</v>
      </c>
      <c r="B1060" s="928" t="s">
        <v>5</v>
      </c>
      <c r="C1060" s="804">
        <f t="shared" si="332"/>
        <v>0</v>
      </c>
      <c r="D1060" s="754">
        <v>0</v>
      </c>
      <c r="E1060" s="782">
        <v>0</v>
      </c>
      <c r="F1060" s="902">
        <v>0</v>
      </c>
      <c r="G1060" s="1330">
        <v>0</v>
      </c>
      <c r="H1060" s="906">
        <f t="shared" si="333"/>
        <v>0</v>
      </c>
      <c r="I1060" s="732"/>
    </row>
    <row r="1061" spans="1:9" hidden="1" outlineLevel="1">
      <c r="A1061" s="898" t="s">
        <v>2047</v>
      </c>
      <c r="B1061" s="928" t="s">
        <v>6</v>
      </c>
      <c r="C1061" s="804">
        <f t="shared" si="332"/>
        <v>33373355.621947572</v>
      </c>
      <c r="D1061" s="804">
        <v>0</v>
      </c>
      <c r="E1061" s="931">
        <v>0</v>
      </c>
      <c r="F1061" s="754">
        <v>33373355.621947572</v>
      </c>
      <c r="G1061" s="732">
        <v>0</v>
      </c>
      <c r="H1061" s="906">
        <f t="shared" si="333"/>
        <v>33373355.621947572</v>
      </c>
      <c r="I1061" s="732"/>
    </row>
    <row r="1062" spans="1:9" hidden="1" outlineLevel="1">
      <c r="A1062" s="898" t="s">
        <v>2047</v>
      </c>
      <c r="B1062" s="920" t="s">
        <v>7</v>
      </c>
      <c r="C1062" s="804">
        <f t="shared" si="332"/>
        <v>0</v>
      </c>
      <c r="D1062" s="804">
        <v>0</v>
      </c>
      <c r="E1062" s="767">
        <v>0</v>
      </c>
      <c r="F1062" s="788">
        <v>0</v>
      </c>
      <c r="G1062" s="767">
        <v>0</v>
      </c>
      <c r="H1062" s="906">
        <f t="shared" si="333"/>
        <v>0</v>
      </c>
      <c r="I1062" s="732"/>
    </row>
    <row r="1063" spans="1:9" hidden="1" outlineLevel="1">
      <c r="A1063" s="898" t="s">
        <v>2047</v>
      </c>
      <c r="B1063" s="919" t="s">
        <v>8</v>
      </c>
      <c r="C1063" s="804">
        <f t="shared" si="332"/>
        <v>14896863</v>
      </c>
      <c r="D1063" s="754">
        <v>0</v>
      </c>
      <c r="E1063" s="740">
        <v>0</v>
      </c>
      <c r="F1063" s="777">
        <v>0</v>
      </c>
      <c r="G1063" s="767">
        <v>14896863</v>
      </c>
      <c r="H1063" s="906">
        <f t="shared" si="333"/>
        <v>14896863</v>
      </c>
      <c r="I1063" s="732"/>
    </row>
    <row r="1064" spans="1:9" hidden="1" outlineLevel="1">
      <c r="A1064" s="898" t="s">
        <v>2047</v>
      </c>
      <c r="B1064" s="919" t="s">
        <v>9</v>
      </c>
      <c r="C1064" s="929">
        <f t="shared" si="332"/>
        <v>17676312.00000006</v>
      </c>
      <c r="D1064" s="962">
        <v>193314000</v>
      </c>
      <c r="E1064" s="923">
        <v>163471781.99999997</v>
      </c>
      <c r="F1064" s="963">
        <v>45930780.000000052</v>
      </c>
      <c r="G1064" s="908">
        <v>1587750</v>
      </c>
      <c r="H1064" s="906">
        <f t="shared" si="333"/>
        <v>47518530.000000089</v>
      </c>
      <c r="I1064" s="732"/>
    </row>
    <row r="1065" spans="1:9" ht="15.75" hidden="1" outlineLevel="1">
      <c r="A1065" s="898" t="s">
        <v>2047</v>
      </c>
      <c r="B1065" s="1331" t="s">
        <v>1604</v>
      </c>
      <c r="C1065" s="929">
        <f t="shared" si="332"/>
        <v>21782003</v>
      </c>
      <c r="D1065" s="1218">
        <v>100000000</v>
      </c>
      <c r="E1065" s="903">
        <v>83301410</v>
      </c>
      <c r="F1065" s="1218">
        <v>0</v>
      </c>
      <c r="G1065" s="908">
        <v>38480593</v>
      </c>
      <c r="H1065" s="906">
        <f t="shared" si="333"/>
        <v>38480593</v>
      </c>
      <c r="I1065" s="754"/>
    </row>
    <row r="1066" spans="1:9" ht="16.5" hidden="1" outlineLevel="1" thickBot="1">
      <c r="A1066" s="898" t="s">
        <v>2047</v>
      </c>
      <c r="B1066" s="1253" t="s">
        <v>1810</v>
      </c>
      <c r="C1066" s="1259">
        <f t="shared" si="332"/>
        <v>6153000</v>
      </c>
      <c r="D1066" s="773">
        <v>40000000</v>
      </c>
      <c r="E1066" s="806">
        <v>15634000</v>
      </c>
      <c r="F1066" s="785">
        <v>9000000</v>
      </c>
      <c r="G1066" s="897">
        <v>21519000</v>
      </c>
      <c r="H1066" s="1334">
        <f>C1066+D1066-E1066</f>
        <v>30519000</v>
      </c>
      <c r="I1066" s="754"/>
    </row>
    <row r="1067" spans="1:9" ht="13.5" hidden="1" outlineLevel="1" thickBot="1">
      <c r="A1067" s="1111" t="s">
        <v>2047</v>
      </c>
      <c r="B1067" s="1112" t="s">
        <v>31</v>
      </c>
      <c r="C1067" s="1113">
        <f>SUM(C1059:C1066)</f>
        <v>98729312.621947631</v>
      </c>
      <c r="D1067" s="1113">
        <f t="shared" ref="D1067:H1067" si="334">SUM(D1059:D1066)</f>
        <v>353314000</v>
      </c>
      <c r="E1067" s="1113">
        <f t="shared" si="334"/>
        <v>279529192</v>
      </c>
      <c r="F1067" s="1113">
        <f t="shared" si="334"/>
        <v>96029914.621947616</v>
      </c>
      <c r="G1067" s="1113">
        <f t="shared" si="334"/>
        <v>76484206</v>
      </c>
      <c r="H1067" s="1113">
        <f t="shared" si="334"/>
        <v>172514120.62194765</v>
      </c>
    </row>
    <row r="1068" spans="1:9" hidden="1" outlineLevel="1">
      <c r="A1068" s="898" t="s">
        <v>2048</v>
      </c>
      <c r="B1068" s="927" t="s">
        <v>4</v>
      </c>
      <c r="C1068" s="803">
        <f t="shared" ref="C1068:C1131" si="335">C1059</f>
        <v>4847779</v>
      </c>
      <c r="D1068" s="803">
        <v>20000000</v>
      </c>
      <c r="E1068" s="930">
        <v>17122000</v>
      </c>
      <c r="F1068" s="753">
        <v>7725779</v>
      </c>
      <c r="G1068" s="730">
        <v>0</v>
      </c>
      <c r="H1068" s="905">
        <f t="shared" ref="H1068:H1074" si="336">C1068+D1068-E1068</f>
        <v>7725779</v>
      </c>
      <c r="I1068" s="730"/>
    </row>
    <row r="1069" spans="1:9" hidden="1" outlineLevel="1">
      <c r="A1069" s="898" t="s">
        <v>2048</v>
      </c>
      <c r="B1069" s="928" t="s">
        <v>5</v>
      </c>
      <c r="C1069" s="804">
        <f t="shared" si="335"/>
        <v>0</v>
      </c>
      <c r="D1069" s="754">
        <v>0</v>
      </c>
      <c r="E1069" s="782">
        <v>0</v>
      </c>
      <c r="F1069" s="902">
        <v>0</v>
      </c>
      <c r="G1069" s="1330">
        <v>0</v>
      </c>
      <c r="H1069" s="906">
        <f t="shared" si="336"/>
        <v>0</v>
      </c>
      <c r="I1069" s="732"/>
    </row>
    <row r="1070" spans="1:9" hidden="1" outlineLevel="1">
      <c r="A1070" s="898" t="s">
        <v>2048</v>
      </c>
      <c r="B1070" s="928" t="s">
        <v>6</v>
      </c>
      <c r="C1070" s="804">
        <f t="shared" si="335"/>
        <v>33373355.621947572</v>
      </c>
      <c r="D1070" s="804">
        <v>0</v>
      </c>
      <c r="E1070" s="931">
        <v>0</v>
      </c>
      <c r="F1070" s="754">
        <v>33373355.621947572</v>
      </c>
      <c r="G1070" s="732">
        <v>0</v>
      </c>
      <c r="H1070" s="906">
        <f t="shared" si="336"/>
        <v>33373355.621947572</v>
      </c>
      <c r="I1070" s="732"/>
    </row>
    <row r="1071" spans="1:9" hidden="1" outlineLevel="1">
      <c r="A1071" s="898" t="s">
        <v>2048</v>
      </c>
      <c r="B1071" s="920" t="s">
        <v>7</v>
      </c>
      <c r="C1071" s="804">
        <f t="shared" si="335"/>
        <v>0</v>
      </c>
      <c r="D1071" s="804">
        <v>0</v>
      </c>
      <c r="E1071" s="767">
        <v>0</v>
      </c>
      <c r="F1071" s="788">
        <v>0</v>
      </c>
      <c r="G1071" s="767">
        <v>0</v>
      </c>
      <c r="H1071" s="906">
        <f t="shared" si="336"/>
        <v>0</v>
      </c>
      <c r="I1071" s="732"/>
    </row>
    <row r="1072" spans="1:9" hidden="1" outlineLevel="1">
      <c r="A1072" s="898" t="s">
        <v>2048</v>
      </c>
      <c r="B1072" s="919" t="s">
        <v>8</v>
      </c>
      <c r="C1072" s="804">
        <f t="shared" si="335"/>
        <v>14896863</v>
      </c>
      <c r="D1072" s="754">
        <v>0</v>
      </c>
      <c r="E1072" s="740">
        <v>0</v>
      </c>
      <c r="F1072" s="777">
        <v>0</v>
      </c>
      <c r="G1072" s="767">
        <v>14896863</v>
      </c>
      <c r="H1072" s="906">
        <f t="shared" si="336"/>
        <v>14896863</v>
      </c>
      <c r="I1072" s="732"/>
    </row>
    <row r="1073" spans="1:9" hidden="1" outlineLevel="1">
      <c r="A1073" s="898" t="s">
        <v>2048</v>
      </c>
      <c r="B1073" s="919" t="s">
        <v>9</v>
      </c>
      <c r="C1073" s="929">
        <f t="shared" si="335"/>
        <v>17676312.00000006</v>
      </c>
      <c r="D1073" s="962">
        <v>193314000</v>
      </c>
      <c r="E1073" s="923">
        <v>163471781.99999997</v>
      </c>
      <c r="F1073" s="963">
        <v>45930780.000000052</v>
      </c>
      <c r="G1073" s="908">
        <v>1587750</v>
      </c>
      <c r="H1073" s="906">
        <f t="shared" si="336"/>
        <v>47518530.000000089</v>
      </c>
      <c r="I1073" s="732"/>
    </row>
    <row r="1074" spans="1:9" ht="15.75" hidden="1" outlineLevel="1">
      <c r="A1074" s="898" t="s">
        <v>2048</v>
      </c>
      <c r="B1074" s="1331" t="s">
        <v>1604</v>
      </c>
      <c r="C1074" s="929">
        <f t="shared" si="335"/>
        <v>21782003</v>
      </c>
      <c r="D1074" s="1218">
        <v>100000000</v>
      </c>
      <c r="E1074" s="903">
        <v>83301410</v>
      </c>
      <c r="F1074" s="1218">
        <v>0</v>
      </c>
      <c r="G1074" s="908">
        <v>38480593</v>
      </c>
      <c r="H1074" s="906">
        <f t="shared" si="336"/>
        <v>38480593</v>
      </c>
      <c r="I1074" s="754"/>
    </row>
    <row r="1075" spans="1:9" ht="16.5" hidden="1" outlineLevel="1" thickBot="1">
      <c r="A1075" s="898" t="s">
        <v>2048</v>
      </c>
      <c r="B1075" s="1253" t="s">
        <v>1810</v>
      </c>
      <c r="C1075" s="1259">
        <f t="shared" si="335"/>
        <v>6153000</v>
      </c>
      <c r="D1075" s="773">
        <v>40000000</v>
      </c>
      <c r="E1075" s="806">
        <v>15634000</v>
      </c>
      <c r="F1075" s="785">
        <v>9000000</v>
      </c>
      <c r="G1075" s="897">
        <v>21519000</v>
      </c>
      <c r="H1075" s="1334">
        <f>C1075+D1075-E1075</f>
        <v>30519000</v>
      </c>
      <c r="I1075" s="754"/>
    </row>
    <row r="1076" spans="1:9" ht="13.5" hidden="1" outlineLevel="1" thickBot="1">
      <c r="A1076" s="1111" t="s">
        <v>2048</v>
      </c>
      <c r="B1076" s="1112" t="s">
        <v>31</v>
      </c>
      <c r="C1076" s="1113">
        <f>SUM(C1068:C1075)</f>
        <v>98729312.621947631</v>
      </c>
      <c r="D1076" s="1113">
        <f t="shared" ref="D1076:H1076" si="337">SUM(D1068:D1075)</f>
        <v>353314000</v>
      </c>
      <c r="E1076" s="1113">
        <f t="shared" si="337"/>
        <v>279529192</v>
      </c>
      <c r="F1076" s="1113">
        <f t="shared" si="337"/>
        <v>96029914.621947616</v>
      </c>
      <c r="G1076" s="1113">
        <f t="shared" si="337"/>
        <v>76484206</v>
      </c>
      <c r="H1076" s="1113">
        <f t="shared" si="337"/>
        <v>172514120.62194765</v>
      </c>
    </row>
    <row r="1077" spans="1:9" hidden="1" outlineLevel="1">
      <c r="A1077" s="898" t="s">
        <v>2053</v>
      </c>
      <c r="B1077" s="927" t="s">
        <v>4</v>
      </c>
      <c r="C1077" s="803">
        <f t="shared" si="335"/>
        <v>4847779</v>
      </c>
      <c r="D1077" s="803">
        <v>20000000</v>
      </c>
      <c r="E1077" s="930">
        <v>17122000</v>
      </c>
      <c r="F1077" s="753">
        <v>7725779</v>
      </c>
      <c r="G1077" s="730">
        <v>0</v>
      </c>
      <c r="H1077" s="905">
        <f t="shared" ref="H1077:H1083" si="338">C1077+D1077-E1077</f>
        <v>7725779</v>
      </c>
      <c r="I1077" s="730"/>
    </row>
    <row r="1078" spans="1:9" hidden="1" outlineLevel="1">
      <c r="A1078" s="898" t="s">
        <v>2053</v>
      </c>
      <c r="B1078" s="928" t="s">
        <v>5</v>
      </c>
      <c r="C1078" s="804">
        <f t="shared" si="335"/>
        <v>0</v>
      </c>
      <c r="D1078" s="754">
        <v>0</v>
      </c>
      <c r="E1078" s="782">
        <v>0</v>
      </c>
      <c r="F1078" s="902">
        <v>0</v>
      </c>
      <c r="G1078" s="1330">
        <v>0</v>
      </c>
      <c r="H1078" s="906">
        <f t="shared" si="338"/>
        <v>0</v>
      </c>
      <c r="I1078" s="732"/>
    </row>
    <row r="1079" spans="1:9" hidden="1" outlineLevel="1">
      <c r="A1079" s="898" t="s">
        <v>2053</v>
      </c>
      <c r="B1079" s="928" t="s">
        <v>6</v>
      </c>
      <c r="C1079" s="804">
        <f t="shared" si="335"/>
        <v>33373355.621947572</v>
      </c>
      <c r="D1079" s="804">
        <v>0</v>
      </c>
      <c r="E1079" s="931">
        <v>0</v>
      </c>
      <c r="F1079" s="754">
        <v>33373355.621947572</v>
      </c>
      <c r="G1079" s="732">
        <v>0</v>
      </c>
      <c r="H1079" s="906">
        <f t="shared" si="338"/>
        <v>33373355.621947572</v>
      </c>
      <c r="I1079" s="732"/>
    </row>
    <row r="1080" spans="1:9" hidden="1" outlineLevel="1">
      <c r="A1080" s="898" t="s">
        <v>2053</v>
      </c>
      <c r="B1080" s="920" t="s">
        <v>7</v>
      </c>
      <c r="C1080" s="804">
        <f t="shared" si="335"/>
        <v>0</v>
      </c>
      <c r="D1080" s="804">
        <v>0</v>
      </c>
      <c r="E1080" s="767">
        <v>0</v>
      </c>
      <c r="F1080" s="788">
        <v>0</v>
      </c>
      <c r="G1080" s="767">
        <v>0</v>
      </c>
      <c r="H1080" s="906">
        <f t="shared" si="338"/>
        <v>0</v>
      </c>
      <c r="I1080" s="732"/>
    </row>
    <row r="1081" spans="1:9" hidden="1" outlineLevel="1">
      <c r="A1081" s="898" t="s">
        <v>2053</v>
      </c>
      <c r="B1081" s="919" t="s">
        <v>8</v>
      </c>
      <c r="C1081" s="804">
        <f t="shared" si="335"/>
        <v>14896863</v>
      </c>
      <c r="D1081" s="754">
        <v>0</v>
      </c>
      <c r="E1081" s="740">
        <v>0</v>
      </c>
      <c r="F1081" s="777">
        <v>0</v>
      </c>
      <c r="G1081" s="767">
        <v>14896863</v>
      </c>
      <c r="H1081" s="906">
        <f t="shared" si="338"/>
        <v>14896863</v>
      </c>
      <c r="I1081" s="732"/>
    </row>
    <row r="1082" spans="1:9" hidden="1" outlineLevel="1">
      <c r="A1082" s="898" t="s">
        <v>2053</v>
      </c>
      <c r="B1082" s="919" t="s">
        <v>9</v>
      </c>
      <c r="C1082" s="929">
        <f t="shared" si="335"/>
        <v>17676312.00000006</v>
      </c>
      <c r="D1082" s="962">
        <v>193314000</v>
      </c>
      <c r="E1082" s="923">
        <v>164376581.99999997</v>
      </c>
      <c r="F1082" s="963">
        <v>45350780.000000052</v>
      </c>
      <c r="G1082" s="908">
        <v>1262950</v>
      </c>
      <c r="H1082" s="906">
        <f t="shared" si="338"/>
        <v>46613730.000000089</v>
      </c>
      <c r="I1082" s="732"/>
    </row>
    <row r="1083" spans="1:9" ht="15.75" hidden="1" outlineLevel="1">
      <c r="A1083" s="898" t="s">
        <v>2053</v>
      </c>
      <c r="B1083" s="1331" t="s">
        <v>1604</v>
      </c>
      <c r="C1083" s="929">
        <f t="shared" si="335"/>
        <v>21782003</v>
      </c>
      <c r="D1083" s="1218">
        <v>100000000</v>
      </c>
      <c r="E1083" s="903">
        <v>85066410</v>
      </c>
      <c r="F1083" s="1218">
        <v>0</v>
      </c>
      <c r="G1083" s="908">
        <v>38480593</v>
      </c>
      <c r="H1083" s="906">
        <f t="shared" si="338"/>
        <v>36715593</v>
      </c>
      <c r="I1083" s="754"/>
    </row>
    <row r="1084" spans="1:9" ht="16.5" hidden="1" outlineLevel="1" thickBot="1">
      <c r="A1084" s="898" t="s">
        <v>2053</v>
      </c>
      <c r="B1084" s="1253" t="s">
        <v>1810</v>
      </c>
      <c r="C1084" s="1259">
        <f t="shared" si="335"/>
        <v>6153000</v>
      </c>
      <c r="D1084" s="773">
        <v>40000000</v>
      </c>
      <c r="E1084" s="806">
        <v>56360640</v>
      </c>
      <c r="F1084" s="785">
        <v>0</v>
      </c>
      <c r="G1084" s="897">
        <v>0</v>
      </c>
      <c r="H1084" s="1334">
        <f>C1084+D1084-E1084</f>
        <v>-10207640</v>
      </c>
      <c r="I1084" s="754"/>
    </row>
    <row r="1085" spans="1:9" ht="13.5" hidden="1" outlineLevel="1" thickBot="1">
      <c r="A1085" s="1111" t="s">
        <v>2053</v>
      </c>
      <c r="B1085" s="1112" t="s">
        <v>31</v>
      </c>
      <c r="C1085" s="1113">
        <f>SUM(C1077:C1084)</f>
        <v>98729312.621947631</v>
      </c>
      <c r="D1085" s="1113">
        <f t="shared" ref="D1085:H1085" si="339">SUM(D1077:D1084)</f>
        <v>353314000</v>
      </c>
      <c r="E1085" s="1113">
        <f t="shared" si="339"/>
        <v>322925632</v>
      </c>
      <c r="F1085" s="1113">
        <f t="shared" si="339"/>
        <v>86449914.621947616</v>
      </c>
      <c r="G1085" s="1113">
        <f t="shared" si="339"/>
        <v>54640406</v>
      </c>
      <c r="H1085" s="1113">
        <f t="shared" si="339"/>
        <v>129117680.62194765</v>
      </c>
    </row>
    <row r="1086" spans="1:9" hidden="1" outlineLevel="1">
      <c r="A1086" s="898" t="s">
        <v>2070</v>
      </c>
      <c r="B1086" s="927" t="s">
        <v>4</v>
      </c>
      <c r="C1086" s="803">
        <f t="shared" si="335"/>
        <v>4847779</v>
      </c>
      <c r="D1086" s="803">
        <v>20000000</v>
      </c>
      <c r="E1086" s="930">
        <v>18151000</v>
      </c>
      <c r="F1086" s="753">
        <v>6696779</v>
      </c>
      <c r="G1086" s="730">
        <v>0</v>
      </c>
      <c r="H1086" s="905">
        <f t="shared" ref="H1086:H1092" si="340">C1086+D1086-E1086</f>
        <v>6696779</v>
      </c>
      <c r="I1086" s="730"/>
    </row>
    <row r="1087" spans="1:9" hidden="1" outlineLevel="1">
      <c r="A1087" s="898" t="s">
        <v>2070</v>
      </c>
      <c r="B1087" s="928" t="s">
        <v>5</v>
      </c>
      <c r="C1087" s="804">
        <f t="shared" si="335"/>
        <v>0</v>
      </c>
      <c r="D1087" s="754">
        <v>0</v>
      </c>
      <c r="E1087" s="782">
        <v>0</v>
      </c>
      <c r="F1087" s="902">
        <v>0</v>
      </c>
      <c r="G1087" s="1330">
        <v>0</v>
      </c>
      <c r="H1087" s="906">
        <f t="shared" si="340"/>
        <v>0</v>
      </c>
      <c r="I1087" s="732"/>
    </row>
    <row r="1088" spans="1:9" hidden="1" outlineLevel="1">
      <c r="A1088" s="898" t="s">
        <v>2070</v>
      </c>
      <c r="B1088" s="928" t="s">
        <v>6</v>
      </c>
      <c r="C1088" s="804">
        <f t="shared" si="335"/>
        <v>33373355.621947572</v>
      </c>
      <c r="D1088" s="804">
        <v>0</v>
      </c>
      <c r="E1088" s="931">
        <v>0</v>
      </c>
      <c r="F1088" s="754">
        <v>33373355.621947572</v>
      </c>
      <c r="G1088" s="732">
        <v>0</v>
      </c>
      <c r="H1088" s="906">
        <f t="shared" si="340"/>
        <v>33373355.621947572</v>
      </c>
      <c r="I1088" s="732"/>
    </row>
    <row r="1089" spans="1:9" hidden="1" outlineLevel="1">
      <c r="A1089" s="898" t="s">
        <v>2070</v>
      </c>
      <c r="B1089" s="920" t="s">
        <v>7</v>
      </c>
      <c r="C1089" s="804">
        <f t="shared" si="335"/>
        <v>0</v>
      </c>
      <c r="D1089" s="804">
        <v>0</v>
      </c>
      <c r="E1089" s="767">
        <v>0</v>
      </c>
      <c r="F1089" s="788">
        <v>0</v>
      </c>
      <c r="G1089" s="767">
        <v>0</v>
      </c>
      <c r="H1089" s="906">
        <f t="shared" si="340"/>
        <v>0</v>
      </c>
      <c r="I1089" s="732"/>
    </row>
    <row r="1090" spans="1:9" hidden="1" outlineLevel="1">
      <c r="A1090" s="898" t="s">
        <v>2070</v>
      </c>
      <c r="B1090" s="919" t="s">
        <v>8</v>
      </c>
      <c r="C1090" s="804">
        <f t="shared" si="335"/>
        <v>14896863</v>
      </c>
      <c r="D1090" s="754">
        <v>0</v>
      </c>
      <c r="E1090" s="740">
        <v>0</v>
      </c>
      <c r="F1090" s="777">
        <v>0</v>
      </c>
      <c r="G1090" s="767">
        <v>14896863</v>
      </c>
      <c r="H1090" s="906">
        <f t="shared" si="340"/>
        <v>14896863</v>
      </c>
      <c r="I1090" s="732"/>
    </row>
    <row r="1091" spans="1:9" hidden="1" outlineLevel="1">
      <c r="A1091" s="898" t="s">
        <v>2070</v>
      </c>
      <c r="B1091" s="919" t="s">
        <v>9</v>
      </c>
      <c r="C1091" s="929">
        <f t="shared" si="335"/>
        <v>17676312.00000006</v>
      </c>
      <c r="D1091" s="962">
        <v>193314000</v>
      </c>
      <c r="E1091" s="923">
        <v>164376581.99999997</v>
      </c>
      <c r="F1091" s="963">
        <v>45350780.000000052</v>
      </c>
      <c r="G1091" s="908">
        <v>1262950</v>
      </c>
      <c r="H1091" s="906">
        <f t="shared" si="340"/>
        <v>46613730.000000089</v>
      </c>
      <c r="I1091" s="732"/>
    </row>
    <row r="1092" spans="1:9" ht="15.75" hidden="1" outlineLevel="1">
      <c r="A1092" s="898" t="s">
        <v>2070</v>
      </c>
      <c r="B1092" s="1331" t="s">
        <v>1604</v>
      </c>
      <c r="C1092" s="929">
        <f t="shared" si="335"/>
        <v>21782003</v>
      </c>
      <c r="D1092" s="1218">
        <v>100000000</v>
      </c>
      <c r="E1092" s="903">
        <v>85066410</v>
      </c>
      <c r="F1092" s="1218">
        <v>0</v>
      </c>
      <c r="G1092" s="908">
        <v>38480593</v>
      </c>
      <c r="H1092" s="906">
        <f t="shared" si="340"/>
        <v>36715593</v>
      </c>
      <c r="I1092" s="754"/>
    </row>
    <row r="1093" spans="1:9" ht="16.5" hidden="1" outlineLevel="1" thickBot="1">
      <c r="A1093" s="898" t="s">
        <v>2070</v>
      </c>
      <c r="B1093" s="1253" t="s">
        <v>1810</v>
      </c>
      <c r="C1093" s="1259">
        <f t="shared" si="335"/>
        <v>6153000</v>
      </c>
      <c r="D1093" s="773">
        <v>40000000</v>
      </c>
      <c r="E1093" s="806">
        <v>56360640</v>
      </c>
      <c r="F1093" s="785">
        <v>0</v>
      </c>
      <c r="G1093" s="897">
        <v>0</v>
      </c>
      <c r="H1093" s="1334">
        <f>C1093+D1093-E1093</f>
        <v>-10207640</v>
      </c>
      <c r="I1093" s="754"/>
    </row>
    <row r="1094" spans="1:9" ht="13.5" hidden="1" outlineLevel="1" thickBot="1">
      <c r="A1094" s="1111" t="s">
        <v>2070</v>
      </c>
      <c r="B1094" s="1112" t="s">
        <v>31</v>
      </c>
      <c r="C1094" s="1113">
        <f>SUM(C1086:C1093)</f>
        <v>98729312.621947631</v>
      </c>
      <c r="D1094" s="1113">
        <f t="shared" ref="D1094:H1094" si="341">SUM(D1086:D1093)</f>
        <v>353314000</v>
      </c>
      <c r="E1094" s="1113">
        <f t="shared" si="341"/>
        <v>323954632</v>
      </c>
      <c r="F1094" s="1113">
        <f t="shared" si="341"/>
        <v>85420914.621947616</v>
      </c>
      <c r="G1094" s="1113">
        <f t="shared" si="341"/>
        <v>54640406</v>
      </c>
      <c r="H1094" s="1113">
        <f t="shared" si="341"/>
        <v>128088680.62194765</v>
      </c>
    </row>
    <row r="1095" spans="1:9" hidden="1" outlineLevel="1">
      <c r="A1095" s="898" t="s">
        <v>2071</v>
      </c>
      <c r="B1095" s="927" t="s">
        <v>4</v>
      </c>
      <c r="C1095" s="803">
        <f t="shared" si="335"/>
        <v>4847779</v>
      </c>
      <c r="D1095" s="803">
        <v>20000000</v>
      </c>
      <c r="E1095" s="930">
        <v>18309800</v>
      </c>
      <c r="F1095" s="753">
        <v>6537979</v>
      </c>
      <c r="G1095" s="730">
        <v>0</v>
      </c>
      <c r="H1095" s="905">
        <f t="shared" ref="H1095:H1101" si="342">C1095+D1095-E1095</f>
        <v>6537979</v>
      </c>
      <c r="I1095" s="730"/>
    </row>
    <row r="1096" spans="1:9" hidden="1" outlineLevel="1">
      <c r="A1096" s="898" t="s">
        <v>2071</v>
      </c>
      <c r="B1096" s="928" t="s">
        <v>5</v>
      </c>
      <c r="C1096" s="804">
        <f t="shared" si="335"/>
        <v>0</v>
      </c>
      <c r="D1096" s="754">
        <v>0</v>
      </c>
      <c r="E1096" s="782">
        <v>0</v>
      </c>
      <c r="F1096" s="902">
        <v>0</v>
      </c>
      <c r="G1096" s="1330">
        <v>0</v>
      </c>
      <c r="H1096" s="906">
        <f t="shared" si="342"/>
        <v>0</v>
      </c>
      <c r="I1096" s="732"/>
    </row>
    <row r="1097" spans="1:9" hidden="1" outlineLevel="1">
      <c r="A1097" s="898" t="s">
        <v>2071</v>
      </c>
      <c r="B1097" s="928" t="s">
        <v>6</v>
      </c>
      <c r="C1097" s="804">
        <f t="shared" si="335"/>
        <v>33373355.621947572</v>
      </c>
      <c r="D1097" s="804">
        <v>0</v>
      </c>
      <c r="E1097" s="931">
        <v>0</v>
      </c>
      <c r="F1097" s="754">
        <v>33373355.621947572</v>
      </c>
      <c r="G1097" s="732">
        <v>0</v>
      </c>
      <c r="H1097" s="906">
        <f t="shared" si="342"/>
        <v>33373355.621947572</v>
      </c>
      <c r="I1097" s="732"/>
    </row>
    <row r="1098" spans="1:9" hidden="1" outlineLevel="1">
      <c r="A1098" s="898" t="s">
        <v>2071</v>
      </c>
      <c r="B1098" s="920" t="s">
        <v>7</v>
      </c>
      <c r="C1098" s="804">
        <f t="shared" si="335"/>
        <v>0</v>
      </c>
      <c r="D1098" s="804">
        <v>0</v>
      </c>
      <c r="E1098" s="767">
        <v>0</v>
      </c>
      <c r="F1098" s="788">
        <v>0</v>
      </c>
      <c r="G1098" s="767">
        <v>0</v>
      </c>
      <c r="H1098" s="906">
        <f t="shared" si="342"/>
        <v>0</v>
      </c>
      <c r="I1098" s="732"/>
    </row>
    <row r="1099" spans="1:9" hidden="1" outlineLevel="1">
      <c r="A1099" s="898" t="s">
        <v>2071</v>
      </c>
      <c r="B1099" s="919" t="s">
        <v>8</v>
      </c>
      <c r="C1099" s="804">
        <f t="shared" si="335"/>
        <v>14896863</v>
      </c>
      <c r="D1099" s="754">
        <v>0</v>
      </c>
      <c r="E1099" s="740">
        <v>0</v>
      </c>
      <c r="F1099" s="777">
        <v>0</v>
      </c>
      <c r="G1099" s="767">
        <v>14896863</v>
      </c>
      <c r="H1099" s="906">
        <f t="shared" si="342"/>
        <v>14896863</v>
      </c>
      <c r="I1099" s="732"/>
    </row>
    <row r="1100" spans="1:9" hidden="1" outlineLevel="1">
      <c r="A1100" s="898" t="s">
        <v>2071</v>
      </c>
      <c r="B1100" s="919" t="s">
        <v>9</v>
      </c>
      <c r="C1100" s="929">
        <f t="shared" si="335"/>
        <v>17676312.00000006</v>
      </c>
      <c r="D1100" s="962">
        <v>193314000</v>
      </c>
      <c r="E1100" s="923">
        <v>198092736</v>
      </c>
      <c r="F1100" s="963">
        <v>11932746.00000005</v>
      </c>
      <c r="G1100" s="1592">
        <v>964830</v>
      </c>
      <c r="H1100" s="906">
        <f t="shared" si="342"/>
        <v>12897576.00000006</v>
      </c>
      <c r="I1100" s="732"/>
    </row>
    <row r="1101" spans="1:9" ht="15.75" hidden="1" outlineLevel="1">
      <c r="A1101" s="898" t="s">
        <v>2071</v>
      </c>
      <c r="B1101" s="1331" t="s">
        <v>1604</v>
      </c>
      <c r="C1101" s="929">
        <f t="shared" si="335"/>
        <v>21782003</v>
      </c>
      <c r="D1101" s="1218">
        <v>100000000</v>
      </c>
      <c r="E1101" s="903">
        <v>98824183</v>
      </c>
      <c r="F1101" s="1218">
        <v>0</v>
      </c>
      <c r="G1101" s="908">
        <v>22957820</v>
      </c>
      <c r="H1101" s="906">
        <f t="shared" si="342"/>
        <v>22957820</v>
      </c>
      <c r="I1101" s="754"/>
    </row>
    <row r="1102" spans="1:9" ht="16.5" hidden="1" outlineLevel="1" thickBot="1">
      <c r="A1102" s="898" t="s">
        <v>2071</v>
      </c>
      <c r="B1102" s="1253" t="s">
        <v>1810</v>
      </c>
      <c r="C1102" s="1259">
        <f t="shared" si="335"/>
        <v>6153000</v>
      </c>
      <c r="D1102" s="773">
        <v>40000000</v>
      </c>
      <c r="E1102" s="806">
        <v>56360640</v>
      </c>
      <c r="F1102" s="785">
        <v>0</v>
      </c>
      <c r="G1102" s="897">
        <v>0</v>
      </c>
      <c r="H1102" s="1334">
        <f>C1102+D1102-E1102</f>
        <v>-10207640</v>
      </c>
      <c r="I1102" s="754"/>
    </row>
    <row r="1103" spans="1:9" ht="13.5" hidden="1" outlineLevel="1" thickBot="1">
      <c r="A1103" s="1111" t="s">
        <v>2071</v>
      </c>
      <c r="B1103" s="1112" t="s">
        <v>31</v>
      </c>
      <c r="C1103" s="1113">
        <f>SUM(C1095:C1102)</f>
        <v>98729312.621947631</v>
      </c>
      <c r="D1103" s="1113">
        <f t="shared" ref="D1103:H1103" si="343">SUM(D1095:D1102)</f>
        <v>353314000</v>
      </c>
      <c r="E1103" s="1113">
        <f t="shared" si="343"/>
        <v>371587359</v>
      </c>
      <c r="F1103" s="1113">
        <f t="shared" si="343"/>
        <v>51844080.621947624</v>
      </c>
      <c r="G1103" s="1113">
        <f t="shared" si="343"/>
        <v>38819513</v>
      </c>
      <c r="H1103" s="1113">
        <f t="shared" si="343"/>
        <v>80455953.621947631</v>
      </c>
    </row>
    <row r="1104" spans="1:9" hidden="1" outlineLevel="1">
      <c r="A1104" s="898" t="s">
        <v>2093</v>
      </c>
      <c r="B1104" s="927" t="s">
        <v>4</v>
      </c>
      <c r="C1104" s="803">
        <f t="shared" si="335"/>
        <v>4847779</v>
      </c>
      <c r="D1104" s="803">
        <v>20000000</v>
      </c>
      <c r="E1104" s="930">
        <v>19618600</v>
      </c>
      <c r="F1104" s="753">
        <v>5229179</v>
      </c>
      <c r="G1104" s="730">
        <v>0</v>
      </c>
      <c r="H1104" s="905">
        <f t="shared" ref="H1104:H1110" si="344">C1104+D1104-E1104</f>
        <v>5229179</v>
      </c>
      <c r="I1104" s="730"/>
    </row>
    <row r="1105" spans="1:9" hidden="1" outlineLevel="1">
      <c r="A1105" s="898" t="s">
        <v>2093</v>
      </c>
      <c r="B1105" s="928" t="s">
        <v>5</v>
      </c>
      <c r="C1105" s="804">
        <f t="shared" si="335"/>
        <v>0</v>
      </c>
      <c r="D1105" s="754">
        <v>0</v>
      </c>
      <c r="E1105" s="782">
        <v>0</v>
      </c>
      <c r="F1105" s="902">
        <v>0</v>
      </c>
      <c r="G1105" s="1330">
        <v>0</v>
      </c>
      <c r="H1105" s="906">
        <f t="shared" si="344"/>
        <v>0</v>
      </c>
      <c r="I1105" s="732"/>
    </row>
    <row r="1106" spans="1:9" hidden="1" outlineLevel="1">
      <c r="A1106" s="898" t="s">
        <v>2093</v>
      </c>
      <c r="B1106" s="928" t="s">
        <v>6</v>
      </c>
      <c r="C1106" s="804">
        <f t="shared" si="335"/>
        <v>33373355.621947572</v>
      </c>
      <c r="D1106" s="804">
        <v>0</v>
      </c>
      <c r="E1106" s="931">
        <v>0</v>
      </c>
      <c r="F1106" s="754">
        <v>33373355.621947572</v>
      </c>
      <c r="G1106" s="732">
        <v>0</v>
      </c>
      <c r="H1106" s="906">
        <f t="shared" si="344"/>
        <v>33373355.621947572</v>
      </c>
      <c r="I1106" s="732"/>
    </row>
    <row r="1107" spans="1:9" hidden="1" outlineLevel="1">
      <c r="A1107" s="898" t="s">
        <v>2093</v>
      </c>
      <c r="B1107" s="920" t="s">
        <v>7</v>
      </c>
      <c r="C1107" s="804">
        <f t="shared" si="335"/>
        <v>0</v>
      </c>
      <c r="D1107" s="804">
        <v>0</v>
      </c>
      <c r="E1107" s="767">
        <v>0</v>
      </c>
      <c r="F1107" s="788">
        <v>0</v>
      </c>
      <c r="G1107" s="767">
        <v>0</v>
      </c>
      <c r="H1107" s="906">
        <f t="shared" si="344"/>
        <v>0</v>
      </c>
      <c r="I1107" s="732"/>
    </row>
    <row r="1108" spans="1:9" hidden="1" outlineLevel="1">
      <c r="A1108" s="898" t="s">
        <v>2093</v>
      </c>
      <c r="B1108" s="919" t="s">
        <v>8</v>
      </c>
      <c r="C1108" s="804">
        <f t="shared" si="335"/>
        <v>14896863</v>
      </c>
      <c r="D1108" s="754">
        <v>0</v>
      </c>
      <c r="E1108" s="740">
        <v>0</v>
      </c>
      <c r="F1108" s="777">
        <v>0</v>
      </c>
      <c r="G1108" s="767">
        <v>14896863</v>
      </c>
      <c r="H1108" s="906">
        <f t="shared" si="344"/>
        <v>14896863</v>
      </c>
      <c r="I1108" s="732"/>
    </row>
    <row r="1109" spans="1:9" hidden="1" outlineLevel="1">
      <c r="A1109" s="898" t="s">
        <v>2093</v>
      </c>
      <c r="B1109" s="919" t="s">
        <v>9</v>
      </c>
      <c r="C1109" s="929">
        <f t="shared" si="335"/>
        <v>17676312.00000006</v>
      </c>
      <c r="D1109" s="962">
        <v>193314000</v>
      </c>
      <c r="E1109" s="923">
        <v>200876736</v>
      </c>
      <c r="F1109" s="963">
        <v>9148746.0000000503</v>
      </c>
      <c r="G1109" s="1592">
        <v>964830</v>
      </c>
      <c r="H1109" s="906">
        <f t="shared" si="344"/>
        <v>10113576.00000006</v>
      </c>
      <c r="I1109" s="732"/>
    </row>
    <row r="1110" spans="1:9" ht="15.75" hidden="1" outlineLevel="1">
      <c r="A1110" s="898" t="s">
        <v>2093</v>
      </c>
      <c r="B1110" s="1331" t="s">
        <v>1604</v>
      </c>
      <c r="C1110" s="929">
        <f t="shared" si="335"/>
        <v>21782003</v>
      </c>
      <c r="D1110" s="1218">
        <v>100000000</v>
      </c>
      <c r="E1110" s="903">
        <v>99934183</v>
      </c>
      <c r="F1110" s="1218">
        <v>0</v>
      </c>
      <c r="G1110" s="908">
        <v>21847820</v>
      </c>
      <c r="H1110" s="906">
        <f t="shared" si="344"/>
        <v>21847820</v>
      </c>
      <c r="I1110" s="754"/>
    </row>
    <row r="1111" spans="1:9" ht="16.5" hidden="1" outlineLevel="1" thickBot="1">
      <c r="A1111" s="898" t="s">
        <v>2093</v>
      </c>
      <c r="B1111" s="1253" t="s">
        <v>1810</v>
      </c>
      <c r="C1111" s="1259">
        <f t="shared" si="335"/>
        <v>6153000</v>
      </c>
      <c r="D1111" s="773">
        <v>40000000</v>
      </c>
      <c r="E1111" s="806">
        <v>56360640</v>
      </c>
      <c r="F1111" s="785">
        <v>0</v>
      </c>
      <c r="G1111" s="897">
        <v>0</v>
      </c>
      <c r="H1111" s="1334">
        <f>C1111+D1111-E1111</f>
        <v>-10207640</v>
      </c>
      <c r="I1111" s="754"/>
    </row>
    <row r="1112" spans="1:9" ht="13.5" hidden="1" outlineLevel="1" thickBot="1">
      <c r="A1112" s="1111" t="s">
        <v>2093</v>
      </c>
      <c r="B1112" s="1112" t="s">
        <v>31</v>
      </c>
      <c r="C1112" s="1113">
        <f>SUM(C1104:C1111)</f>
        <v>98729312.621947631</v>
      </c>
      <c r="D1112" s="1113">
        <f t="shared" ref="D1112:H1112" si="345">SUM(D1104:D1111)</f>
        <v>353314000</v>
      </c>
      <c r="E1112" s="1113">
        <f t="shared" si="345"/>
        <v>376790159</v>
      </c>
      <c r="F1112" s="1113">
        <f t="shared" si="345"/>
        <v>47751280.621947624</v>
      </c>
      <c r="G1112" s="1113">
        <f t="shared" si="345"/>
        <v>37709513</v>
      </c>
      <c r="H1112" s="1113">
        <f t="shared" si="345"/>
        <v>75253153.621947631</v>
      </c>
    </row>
    <row r="1113" spans="1:9" hidden="1" outlineLevel="1">
      <c r="A1113" s="898" t="s">
        <v>2105</v>
      </c>
      <c r="B1113" s="927" t="s">
        <v>4</v>
      </c>
      <c r="C1113" s="803">
        <f t="shared" si="335"/>
        <v>4847779</v>
      </c>
      <c r="D1113" s="803">
        <v>20000000</v>
      </c>
      <c r="E1113" s="930">
        <v>19618600</v>
      </c>
      <c r="F1113" s="753">
        <v>5229179</v>
      </c>
      <c r="G1113" s="730">
        <v>0</v>
      </c>
      <c r="H1113" s="905">
        <f t="shared" ref="H1113:H1119" si="346">C1113+D1113-E1113</f>
        <v>5229179</v>
      </c>
      <c r="I1113" s="730"/>
    </row>
    <row r="1114" spans="1:9" hidden="1" outlineLevel="1">
      <c r="A1114" s="898" t="s">
        <v>2105</v>
      </c>
      <c r="B1114" s="928" t="s">
        <v>5</v>
      </c>
      <c r="C1114" s="804">
        <f t="shared" si="335"/>
        <v>0</v>
      </c>
      <c r="D1114" s="754">
        <v>0</v>
      </c>
      <c r="E1114" s="782">
        <v>0</v>
      </c>
      <c r="F1114" s="902">
        <v>0</v>
      </c>
      <c r="G1114" s="1330">
        <v>0</v>
      </c>
      <c r="H1114" s="906">
        <f t="shared" si="346"/>
        <v>0</v>
      </c>
      <c r="I1114" s="732"/>
    </row>
    <row r="1115" spans="1:9" hidden="1" outlineLevel="1">
      <c r="A1115" s="898" t="s">
        <v>2105</v>
      </c>
      <c r="B1115" s="928" t="s">
        <v>6</v>
      </c>
      <c r="C1115" s="804">
        <f t="shared" si="335"/>
        <v>33373355.621947572</v>
      </c>
      <c r="D1115" s="804">
        <v>0</v>
      </c>
      <c r="E1115" s="931">
        <v>0</v>
      </c>
      <c r="F1115" s="754">
        <v>33373355.621947572</v>
      </c>
      <c r="G1115" s="732">
        <v>0</v>
      </c>
      <c r="H1115" s="906">
        <f t="shared" si="346"/>
        <v>33373355.621947572</v>
      </c>
      <c r="I1115" s="732"/>
    </row>
    <row r="1116" spans="1:9" hidden="1" outlineLevel="1">
      <c r="A1116" s="898" t="s">
        <v>2105</v>
      </c>
      <c r="B1116" s="920" t="s">
        <v>7</v>
      </c>
      <c r="C1116" s="804">
        <f t="shared" si="335"/>
        <v>0</v>
      </c>
      <c r="D1116" s="804">
        <v>0</v>
      </c>
      <c r="E1116" s="767">
        <v>0</v>
      </c>
      <c r="F1116" s="788">
        <v>0</v>
      </c>
      <c r="G1116" s="767">
        <v>0</v>
      </c>
      <c r="H1116" s="906">
        <f t="shared" si="346"/>
        <v>0</v>
      </c>
      <c r="I1116" s="732"/>
    </row>
    <row r="1117" spans="1:9" hidden="1" outlineLevel="1">
      <c r="A1117" s="898" t="s">
        <v>2105</v>
      </c>
      <c r="B1117" s="919" t="s">
        <v>8</v>
      </c>
      <c r="C1117" s="804">
        <f t="shared" si="335"/>
        <v>14896863</v>
      </c>
      <c r="D1117" s="754">
        <v>0</v>
      </c>
      <c r="E1117" s="740">
        <v>0</v>
      </c>
      <c r="F1117" s="777">
        <v>0</v>
      </c>
      <c r="G1117" s="767">
        <v>14896863</v>
      </c>
      <c r="H1117" s="906">
        <f t="shared" si="346"/>
        <v>14896863</v>
      </c>
      <c r="I1117" s="732"/>
    </row>
    <row r="1118" spans="1:9" hidden="1" outlineLevel="1">
      <c r="A1118" s="898" t="s">
        <v>2105</v>
      </c>
      <c r="B1118" s="919" t="s">
        <v>9</v>
      </c>
      <c r="C1118" s="929">
        <f t="shared" si="335"/>
        <v>17676312.00000006</v>
      </c>
      <c r="D1118" s="962">
        <v>193314000</v>
      </c>
      <c r="E1118" s="923">
        <v>200876736</v>
      </c>
      <c r="F1118" s="963">
        <v>9148746.0000000503</v>
      </c>
      <c r="G1118" s="1592">
        <v>964830</v>
      </c>
      <c r="H1118" s="906">
        <f t="shared" si="346"/>
        <v>10113576.00000006</v>
      </c>
      <c r="I1118" s="732"/>
    </row>
    <row r="1119" spans="1:9" ht="15.75" hidden="1" outlineLevel="1">
      <c r="A1119" s="898" t="s">
        <v>2105</v>
      </c>
      <c r="B1119" s="1331" t="s">
        <v>1604</v>
      </c>
      <c r="C1119" s="929">
        <f t="shared" si="335"/>
        <v>21782003</v>
      </c>
      <c r="D1119" s="1218">
        <v>100000000</v>
      </c>
      <c r="E1119" s="903">
        <v>111734183</v>
      </c>
      <c r="F1119" s="1218">
        <v>0</v>
      </c>
      <c r="G1119" s="908">
        <v>10047820</v>
      </c>
      <c r="H1119" s="906">
        <f t="shared" si="346"/>
        <v>10047820</v>
      </c>
      <c r="I1119" s="754"/>
    </row>
    <row r="1120" spans="1:9" ht="16.5" hidden="1" outlineLevel="1" thickBot="1">
      <c r="A1120" s="898" t="s">
        <v>2105</v>
      </c>
      <c r="B1120" s="1253" t="s">
        <v>1810</v>
      </c>
      <c r="C1120" s="1259">
        <f t="shared" si="335"/>
        <v>6153000</v>
      </c>
      <c r="D1120" s="773">
        <v>40000000</v>
      </c>
      <c r="E1120" s="806">
        <v>56360640</v>
      </c>
      <c r="F1120" s="785">
        <v>0</v>
      </c>
      <c r="G1120" s="897">
        <v>0</v>
      </c>
      <c r="H1120" s="1334">
        <f>C1120+D1120-E1120</f>
        <v>-10207640</v>
      </c>
      <c r="I1120" s="754"/>
    </row>
    <row r="1121" spans="1:9" ht="13.5" hidden="1" outlineLevel="1" thickBot="1">
      <c r="A1121" s="1111" t="s">
        <v>2105</v>
      </c>
      <c r="B1121" s="1112" t="s">
        <v>31</v>
      </c>
      <c r="C1121" s="1113">
        <f>SUM(C1113:C1120)</f>
        <v>98729312.621947631</v>
      </c>
      <c r="D1121" s="1113">
        <f t="shared" ref="D1121:H1121" si="347">SUM(D1113:D1120)</f>
        <v>353314000</v>
      </c>
      <c r="E1121" s="1113">
        <f t="shared" si="347"/>
        <v>388590159</v>
      </c>
      <c r="F1121" s="1113">
        <f t="shared" si="347"/>
        <v>47751280.621947624</v>
      </c>
      <c r="G1121" s="1113">
        <f t="shared" si="347"/>
        <v>25909513</v>
      </c>
      <c r="H1121" s="1113">
        <f t="shared" si="347"/>
        <v>63453153.621947631</v>
      </c>
    </row>
    <row r="1122" spans="1:9" hidden="1" outlineLevel="1">
      <c r="A1122" s="898" t="s">
        <v>2106</v>
      </c>
      <c r="B1122" s="927" t="s">
        <v>4</v>
      </c>
      <c r="C1122" s="803">
        <f t="shared" si="335"/>
        <v>4847779</v>
      </c>
      <c r="D1122" s="803">
        <v>20000000</v>
      </c>
      <c r="E1122" s="930">
        <v>19618600</v>
      </c>
      <c r="F1122" s="753">
        <v>5229179</v>
      </c>
      <c r="G1122" s="730">
        <v>0</v>
      </c>
      <c r="H1122" s="905">
        <f t="shared" ref="H1122:H1128" si="348">C1122+D1122-E1122</f>
        <v>5229179</v>
      </c>
      <c r="I1122" s="730"/>
    </row>
    <row r="1123" spans="1:9" hidden="1" outlineLevel="1">
      <c r="A1123" s="898" t="s">
        <v>2106</v>
      </c>
      <c r="B1123" s="928" t="s">
        <v>5</v>
      </c>
      <c r="C1123" s="804">
        <f t="shared" si="335"/>
        <v>0</v>
      </c>
      <c r="D1123" s="754">
        <v>0</v>
      </c>
      <c r="E1123" s="782">
        <v>0</v>
      </c>
      <c r="F1123" s="902">
        <v>0</v>
      </c>
      <c r="G1123" s="1330">
        <v>0</v>
      </c>
      <c r="H1123" s="906">
        <f t="shared" si="348"/>
        <v>0</v>
      </c>
      <c r="I1123" s="732"/>
    </row>
    <row r="1124" spans="1:9" hidden="1" outlineLevel="1">
      <c r="A1124" s="898" t="s">
        <v>2106</v>
      </c>
      <c r="B1124" s="928" t="s">
        <v>6</v>
      </c>
      <c r="C1124" s="804">
        <f t="shared" si="335"/>
        <v>33373355.621947572</v>
      </c>
      <c r="D1124" s="804">
        <v>0</v>
      </c>
      <c r="E1124" s="931">
        <v>0</v>
      </c>
      <c r="F1124" s="754">
        <v>33373355.621947572</v>
      </c>
      <c r="G1124" s="732">
        <v>0</v>
      </c>
      <c r="H1124" s="906">
        <f t="shared" si="348"/>
        <v>33373355.621947572</v>
      </c>
      <c r="I1124" s="732"/>
    </row>
    <row r="1125" spans="1:9" hidden="1" outlineLevel="1">
      <c r="A1125" s="898" t="s">
        <v>2106</v>
      </c>
      <c r="B1125" s="920" t="s">
        <v>7</v>
      </c>
      <c r="C1125" s="804">
        <f t="shared" si="335"/>
        <v>0</v>
      </c>
      <c r="D1125" s="804">
        <v>0</v>
      </c>
      <c r="E1125" s="767">
        <v>0</v>
      </c>
      <c r="F1125" s="788">
        <v>0</v>
      </c>
      <c r="G1125" s="767">
        <v>0</v>
      </c>
      <c r="H1125" s="906">
        <f t="shared" si="348"/>
        <v>0</v>
      </c>
      <c r="I1125" s="732"/>
    </row>
    <row r="1126" spans="1:9" hidden="1" outlineLevel="1">
      <c r="A1126" s="898" t="s">
        <v>2106</v>
      </c>
      <c r="B1126" s="919" t="s">
        <v>8</v>
      </c>
      <c r="C1126" s="804">
        <f t="shared" si="335"/>
        <v>14896863</v>
      </c>
      <c r="D1126" s="754">
        <v>0</v>
      </c>
      <c r="E1126" s="740">
        <v>0</v>
      </c>
      <c r="F1126" s="777">
        <v>0</v>
      </c>
      <c r="G1126" s="767">
        <v>14896863</v>
      </c>
      <c r="H1126" s="906">
        <f t="shared" si="348"/>
        <v>14896863</v>
      </c>
      <c r="I1126" s="732"/>
    </row>
    <row r="1127" spans="1:9" hidden="1" outlineLevel="1">
      <c r="A1127" s="898" t="s">
        <v>2106</v>
      </c>
      <c r="B1127" s="919" t="s">
        <v>9</v>
      </c>
      <c r="C1127" s="929">
        <f t="shared" si="335"/>
        <v>17676312.00000006</v>
      </c>
      <c r="D1127" s="962">
        <v>193314000</v>
      </c>
      <c r="E1127" s="923">
        <v>200876736</v>
      </c>
      <c r="F1127" s="963">
        <v>9148746.0000000503</v>
      </c>
      <c r="G1127" s="1592">
        <v>964830</v>
      </c>
      <c r="H1127" s="906">
        <f t="shared" si="348"/>
        <v>10113576.00000006</v>
      </c>
      <c r="I1127" s="732"/>
    </row>
    <row r="1128" spans="1:9" ht="15.75" hidden="1" outlineLevel="1">
      <c r="A1128" s="898" t="s">
        <v>2106</v>
      </c>
      <c r="B1128" s="1331" t="s">
        <v>1604</v>
      </c>
      <c r="C1128" s="929">
        <f t="shared" si="335"/>
        <v>21782003</v>
      </c>
      <c r="D1128" s="1218">
        <v>100000000</v>
      </c>
      <c r="E1128" s="903">
        <v>111734183</v>
      </c>
      <c r="F1128" s="1218">
        <v>0</v>
      </c>
      <c r="G1128" s="908">
        <v>10047820</v>
      </c>
      <c r="H1128" s="906">
        <f t="shared" si="348"/>
        <v>10047820</v>
      </c>
      <c r="I1128" s="754"/>
    </row>
    <row r="1129" spans="1:9" ht="16.5" hidden="1" outlineLevel="1" thickBot="1">
      <c r="A1129" s="898" t="s">
        <v>2106</v>
      </c>
      <c r="B1129" s="1253" t="s">
        <v>1810</v>
      </c>
      <c r="C1129" s="1259">
        <f t="shared" si="335"/>
        <v>6153000</v>
      </c>
      <c r="D1129" s="773">
        <v>40000000</v>
      </c>
      <c r="E1129" s="806">
        <v>56360640</v>
      </c>
      <c r="F1129" s="785">
        <v>0</v>
      </c>
      <c r="G1129" s="897">
        <v>0</v>
      </c>
      <c r="H1129" s="1334">
        <f>C1129+D1129-E1129</f>
        <v>-10207640</v>
      </c>
      <c r="I1129" s="754"/>
    </row>
    <row r="1130" spans="1:9" ht="13.5" hidden="1" outlineLevel="1" thickBot="1">
      <c r="A1130" s="1111" t="s">
        <v>2106</v>
      </c>
      <c r="B1130" s="1112" t="s">
        <v>31</v>
      </c>
      <c r="C1130" s="1113">
        <f>SUM(C1122:C1129)</f>
        <v>98729312.621947631</v>
      </c>
      <c r="D1130" s="1113">
        <f t="shared" ref="D1130:H1130" si="349">SUM(D1122:D1129)</f>
        <v>353314000</v>
      </c>
      <c r="E1130" s="1113">
        <f t="shared" si="349"/>
        <v>388590159</v>
      </c>
      <c r="F1130" s="1113">
        <f t="shared" si="349"/>
        <v>47751280.621947624</v>
      </c>
      <c r="G1130" s="1113">
        <f t="shared" si="349"/>
        <v>25909513</v>
      </c>
      <c r="H1130" s="1113">
        <f t="shared" si="349"/>
        <v>63453153.621947631</v>
      </c>
    </row>
    <row r="1131" spans="1:9" hidden="1" outlineLevel="1">
      <c r="A1131" s="898" t="s">
        <v>2107</v>
      </c>
      <c r="B1131" s="927" t="s">
        <v>4</v>
      </c>
      <c r="C1131" s="803">
        <f t="shared" si="335"/>
        <v>4847779</v>
      </c>
      <c r="D1131" s="803">
        <v>20000000</v>
      </c>
      <c r="E1131" s="930">
        <v>20243600</v>
      </c>
      <c r="F1131" s="753">
        <v>4604179</v>
      </c>
      <c r="G1131" s="730">
        <v>0</v>
      </c>
      <c r="H1131" s="905">
        <f t="shared" ref="H1131:H1137" si="350">C1131+D1131-E1131</f>
        <v>4604179</v>
      </c>
      <c r="I1131" s="730"/>
    </row>
    <row r="1132" spans="1:9" hidden="1" outlineLevel="1">
      <c r="A1132" s="898" t="s">
        <v>2107</v>
      </c>
      <c r="B1132" s="928" t="s">
        <v>5</v>
      </c>
      <c r="C1132" s="804">
        <f t="shared" ref="C1132:C1138" si="351">C1123</f>
        <v>0</v>
      </c>
      <c r="D1132" s="754">
        <v>0</v>
      </c>
      <c r="E1132" s="782">
        <v>0</v>
      </c>
      <c r="F1132" s="902">
        <v>0</v>
      </c>
      <c r="G1132" s="1330">
        <v>0</v>
      </c>
      <c r="H1132" s="906">
        <f t="shared" si="350"/>
        <v>0</v>
      </c>
      <c r="I1132" s="732"/>
    </row>
    <row r="1133" spans="1:9" hidden="1" outlineLevel="1">
      <c r="A1133" s="898" t="s">
        <v>2107</v>
      </c>
      <c r="B1133" s="928" t="s">
        <v>6</v>
      </c>
      <c r="C1133" s="804">
        <f t="shared" si="351"/>
        <v>33373355.621947572</v>
      </c>
      <c r="D1133" s="804">
        <v>0</v>
      </c>
      <c r="E1133" s="931">
        <v>0</v>
      </c>
      <c r="F1133" s="754">
        <v>33373355.621947572</v>
      </c>
      <c r="G1133" s="732">
        <v>0</v>
      </c>
      <c r="H1133" s="906">
        <f t="shared" si="350"/>
        <v>33373355.621947572</v>
      </c>
      <c r="I1133" s="732"/>
    </row>
    <row r="1134" spans="1:9" hidden="1" outlineLevel="1">
      <c r="A1134" s="898" t="s">
        <v>2107</v>
      </c>
      <c r="B1134" s="920" t="s">
        <v>7</v>
      </c>
      <c r="C1134" s="804">
        <f t="shared" si="351"/>
        <v>0</v>
      </c>
      <c r="D1134" s="804">
        <v>0</v>
      </c>
      <c r="E1134" s="767">
        <v>0</v>
      </c>
      <c r="F1134" s="788">
        <v>0</v>
      </c>
      <c r="G1134" s="767">
        <v>0</v>
      </c>
      <c r="H1134" s="906">
        <f t="shared" si="350"/>
        <v>0</v>
      </c>
      <c r="I1134" s="732"/>
    </row>
    <row r="1135" spans="1:9" hidden="1" outlineLevel="1">
      <c r="A1135" s="898" t="s">
        <v>2107</v>
      </c>
      <c r="B1135" s="919" t="s">
        <v>8</v>
      </c>
      <c r="C1135" s="804">
        <f t="shared" si="351"/>
        <v>14896863</v>
      </c>
      <c r="D1135" s="754">
        <v>0</v>
      </c>
      <c r="E1135" s="740">
        <v>0</v>
      </c>
      <c r="F1135" s="777">
        <v>0</v>
      </c>
      <c r="G1135" s="767">
        <v>14896863</v>
      </c>
      <c r="H1135" s="906">
        <f t="shared" si="350"/>
        <v>14896863</v>
      </c>
      <c r="I1135" s="732"/>
    </row>
    <row r="1136" spans="1:9" hidden="1" outlineLevel="1">
      <c r="A1136" s="898" t="s">
        <v>2107</v>
      </c>
      <c r="B1136" s="919" t="s">
        <v>9</v>
      </c>
      <c r="C1136" s="929">
        <f t="shared" si="351"/>
        <v>17676312.00000006</v>
      </c>
      <c r="D1136" s="962">
        <v>193314000</v>
      </c>
      <c r="E1136" s="923">
        <v>200876736</v>
      </c>
      <c r="F1136" s="963">
        <v>9148746.0000000503</v>
      </c>
      <c r="G1136" s="1592">
        <v>964830</v>
      </c>
      <c r="H1136" s="906">
        <f t="shared" si="350"/>
        <v>10113576.00000006</v>
      </c>
      <c r="I1136" s="732"/>
    </row>
    <row r="1137" spans="1:9" ht="15.75" hidden="1" outlineLevel="1">
      <c r="A1137" s="898" t="s">
        <v>2107</v>
      </c>
      <c r="B1137" s="1331" t="s">
        <v>1604</v>
      </c>
      <c r="C1137" s="929">
        <f t="shared" si="351"/>
        <v>21782003</v>
      </c>
      <c r="D1137" s="1218">
        <v>100000000</v>
      </c>
      <c r="E1137" s="903">
        <v>111734183</v>
      </c>
      <c r="F1137" s="1218">
        <v>0</v>
      </c>
      <c r="G1137" s="908">
        <v>10047820</v>
      </c>
      <c r="H1137" s="906">
        <f t="shared" si="350"/>
        <v>10047820</v>
      </c>
      <c r="I1137" s="754"/>
    </row>
    <row r="1138" spans="1:9" ht="16.5" hidden="1" outlineLevel="1" thickBot="1">
      <c r="A1138" s="898" t="s">
        <v>2107</v>
      </c>
      <c r="B1138" s="1253" t="s">
        <v>1810</v>
      </c>
      <c r="C1138" s="1259">
        <f t="shared" si="351"/>
        <v>6153000</v>
      </c>
      <c r="D1138" s="773">
        <v>40000000</v>
      </c>
      <c r="E1138" s="806">
        <v>56360640</v>
      </c>
      <c r="F1138" s="785">
        <v>0</v>
      </c>
      <c r="G1138" s="897">
        <v>0</v>
      </c>
      <c r="H1138" s="1334">
        <f>C1138+D1138-E1138</f>
        <v>-10207640</v>
      </c>
      <c r="I1138" s="754"/>
    </row>
    <row r="1139" spans="1:9" ht="13.5" hidden="1" outlineLevel="1" thickBot="1">
      <c r="A1139" s="1111" t="s">
        <v>2107</v>
      </c>
      <c r="B1139" s="1112" t="s">
        <v>31</v>
      </c>
      <c r="C1139" s="1113">
        <f>SUM(C1131:C1138)</f>
        <v>98729312.621947631</v>
      </c>
      <c r="D1139" s="1113">
        <f t="shared" ref="D1139:H1139" si="352">SUM(D1131:D1138)</f>
        <v>353314000</v>
      </c>
      <c r="E1139" s="1113">
        <f t="shared" si="352"/>
        <v>389215159</v>
      </c>
      <c r="F1139" s="1113">
        <f t="shared" si="352"/>
        <v>47126280.621947624</v>
      </c>
      <c r="G1139" s="1113">
        <f t="shared" si="352"/>
        <v>25909513</v>
      </c>
      <c r="H1139" s="1113">
        <f t="shared" si="352"/>
        <v>62828153.621947631</v>
      </c>
    </row>
    <row r="1140" spans="1:9" hidden="1" outlineLevel="1">
      <c r="A1140" s="898" t="s">
        <v>2116</v>
      </c>
      <c r="B1140" s="927" t="s">
        <v>4</v>
      </c>
      <c r="C1140" s="803">
        <f t="shared" ref="C1140:C1203" si="353">C1131</f>
        <v>4847779</v>
      </c>
      <c r="D1140" s="803">
        <v>20000000</v>
      </c>
      <c r="E1140" s="930">
        <v>20243600</v>
      </c>
      <c r="F1140" s="753">
        <v>4604179</v>
      </c>
      <c r="G1140" s="730">
        <v>0</v>
      </c>
      <c r="H1140" s="905">
        <f t="shared" ref="H1140:H1146" si="354">C1140+D1140-E1140</f>
        <v>4604179</v>
      </c>
      <c r="I1140" s="730"/>
    </row>
    <row r="1141" spans="1:9" hidden="1" outlineLevel="1">
      <c r="A1141" s="898" t="s">
        <v>2116</v>
      </c>
      <c r="B1141" s="928" t="s">
        <v>5</v>
      </c>
      <c r="C1141" s="804">
        <f t="shared" si="353"/>
        <v>0</v>
      </c>
      <c r="D1141" s="754">
        <v>0</v>
      </c>
      <c r="E1141" s="782">
        <v>0</v>
      </c>
      <c r="F1141" s="902">
        <v>0</v>
      </c>
      <c r="G1141" s="1330">
        <v>0</v>
      </c>
      <c r="H1141" s="906">
        <f t="shared" si="354"/>
        <v>0</v>
      </c>
      <c r="I1141" s="732"/>
    </row>
    <row r="1142" spans="1:9" hidden="1" outlineLevel="1">
      <c r="A1142" s="898" t="s">
        <v>2116</v>
      </c>
      <c r="B1142" s="928" t="s">
        <v>6</v>
      </c>
      <c r="C1142" s="804">
        <f t="shared" si="353"/>
        <v>33373355.621947572</v>
      </c>
      <c r="D1142" s="804">
        <v>0</v>
      </c>
      <c r="E1142" s="931">
        <v>0</v>
      </c>
      <c r="F1142" s="754">
        <v>33373355.621947572</v>
      </c>
      <c r="G1142" s="732">
        <v>0</v>
      </c>
      <c r="H1142" s="906">
        <f t="shared" si="354"/>
        <v>33373355.621947572</v>
      </c>
      <c r="I1142" s="732"/>
    </row>
    <row r="1143" spans="1:9" hidden="1" outlineLevel="1">
      <c r="A1143" s="898" t="s">
        <v>2116</v>
      </c>
      <c r="B1143" s="920" t="s">
        <v>7</v>
      </c>
      <c r="C1143" s="804">
        <f t="shared" si="353"/>
        <v>0</v>
      </c>
      <c r="D1143" s="804">
        <v>0</v>
      </c>
      <c r="E1143" s="767">
        <v>0</v>
      </c>
      <c r="F1143" s="788">
        <v>0</v>
      </c>
      <c r="G1143" s="767">
        <v>0</v>
      </c>
      <c r="H1143" s="906">
        <f t="shared" si="354"/>
        <v>0</v>
      </c>
      <c r="I1143" s="732"/>
    </row>
    <row r="1144" spans="1:9" hidden="1" outlineLevel="1">
      <c r="A1144" s="898" t="s">
        <v>2116</v>
      </c>
      <c r="B1144" s="919" t="s">
        <v>8</v>
      </c>
      <c r="C1144" s="804">
        <f t="shared" si="353"/>
        <v>14896863</v>
      </c>
      <c r="D1144" s="754">
        <v>0</v>
      </c>
      <c r="E1144" s="740">
        <v>0</v>
      </c>
      <c r="F1144" s="777">
        <v>0</v>
      </c>
      <c r="G1144" s="767">
        <v>14896863</v>
      </c>
      <c r="H1144" s="906">
        <f t="shared" si="354"/>
        <v>14896863</v>
      </c>
      <c r="I1144" s="732"/>
    </row>
    <row r="1145" spans="1:9" hidden="1" outlineLevel="1">
      <c r="A1145" s="898" t="s">
        <v>2116</v>
      </c>
      <c r="B1145" s="919" t="s">
        <v>9</v>
      </c>
      <c r="C1145" s="929">
        <f t="shared" si="353"/>
        <v>17676312.00000006</v>
      </c>
      <c r="D1145" s="962">
        <v>193314000</v>
      </c>
      <c r="E1145" s="923">
        <v>200876736</v>
      </c>
      <c r="F1145" s="963">
        <v>9148746.0000000503</v>
      </c>
      <c r="G1145" s="1592">
        <v>964830</v>
      </c>
      <c r="H1145" s="906">
        <f t="shared" si="354"/>
        <v>10113576.00000006</v>
      </c>
      <c r="I1145" s="732"/>
    </row>
    <row r="1146" spans="1:9" ht="15.75" hidden="1" outlineLevel="1">
      <c r="A1146" s="898" t="s">
        <v>2116</v>
      </c>
      <c r="B1146" s="1331" t="s">
        <v>1604</v>
      </c>
      <c r="C1146" s="929">
        <f t="shared" si="353"/>
        <v>21782003</v>
      </c>
      <c r="D1146" s="1218">
        <v>100000000</v>
      </c>
      <c r="E1146" s="903">
        <v>111734183</v>
      </c>
      <c r="F1146" s="1218">
        <v>0</v>
      </c>
      <c r="G1146" s="908">
        <v>10047820</v>
      </c>
      <c r="H1146" s="906">
        <f t="shared" si="354"/>
        <v>10047820</v>
      </c>
      <c r="I1146" s="754"/>
    </row>
    <row r="1147" spans="1:9" ht="16.5" hidden="1" outlineLevel="1" thickBot="1">
      <c r="A1147" s="898" t="s">
        <v>2116</v>
      </c>
      <c r="B1147" s="1253" t="s">
        <v>1810</v>
      </c>
      <c r="C1147" s="1259">
        <f t="shared" si="353"/>
        <v>6153000</v>
      </c>
      <c r="D1147" s="773">
        <v>40000000</v>
      </c>
      <c r="E1147" s="806">
        <v>57052640</v>
      </c>
      <c r="F1147" s="785">
        <v>0</v>
      </c>
      <c r="G1147" s="897">
        <v>0</v>
      </c>
      <c r="H1147" s="1334">
        <f>C1147+D1147-E1147</f>
        <v>-10899640</v>
      </c>
      <c r="I1147" s="754"/>
    </row>
    <row r="1148" spans="1:9" ht="13.5" hidden="1" outlineLevel="1" thickBot="1">
      <c r="A1148" s="1111" t="s">
        <v>2116</v>
      </c>
      <c r="B1148" s="1112" t="s">
        <v>31</v>
      </c>
      <c r="C1148" s="1113">
        <f>SUM(C1140:C1147)</f>
        <v>98729312.621947631</v>
      </c>
      <c r="D1148" s="1113">
        <f t="shared" ref="D1148:H1148" si="355">SUM(D1140:D1147)</f>
        <v>353314000</v>
      </c>
      <c r="E1148" s="1113">
        <f t="shared" si="355"/>
        <v>389907159</v>
      </c>
      <c r="F1148" s="1113">
        <f t="shared" si="355"/>
        <v>47126280.621947624</v>
      </c>
      <c r="G1148" s="1113">
        <f t="shared" si="355"/>
        <v>25909513</v>
      </c>
      <c r="H1148" s="1113">
        <f t="shared" si="355"/>
        <v>62136153.621947631</v>
      </c>
    </row>
    <row r="1149" spans="1:9" hidden="1" outlineLevel="1">
      <c r="A1149" s="898" t="s">
        <v>2117</v>
      </c>
      <c r="B1149" s="927" t="s">
        <v>4</v>
      </c>
      <c r="C1149" s="803">
        <f t="shared" si="353"/>
        <v>4847779</v>
      </c>
      <c r="D1149" s="803">
        <v>20000000</v>
      </c>
      <c r="E1149" s="930">
        <v>20243600</v>
      </c>
      <c r="F1149" s="753">
        <v>4604179</v>
      </c>
      <c r="G1149" s="730">
        <v>0</v>
      </c>
      <c r="H1149" s="905">
        <f t="shared" ref="H1149:H1155" si="356">C1149+D1149-E1149</f>
        <v>4604179</v>
      </c>
      <c r="I1149" s="730"/>
    </row>
    <row r="1150" spans="1:9" hidden="1" outlineLevel="1">
      <c r="A1150" s="898" t="s">
        <v>2117</v>
      </c>
      <c r="B1150" s="928" t="s">
        <v>5</v>
      </c>
      <c r="C1150" s="804">
        <f t="shared" si="353"/>
        <v>0</v>
      </c>
      <c r="D1150" s="754">
        <v>0</v>
      </c>
      <c r="E1150" s="782">
        <v>0</v>
      </c>
      <c r="F1150" s="902">
        <v>0</v>
      </c>
      <c r="G1150" s="1330">
        <v>0</v>
      </c>
      <c r="H1150" s="906">
        <f t="shared" si="356"/>
        <v>0</v>
      </c>
      <c r="I1150" s="732"/>
    </row>
    <row r="1151" spans="1:9" hidden="1" outlineLevel="1">
      <c r="A1151" s="898" t="s">
        <v>2117</v>
      </c>
      <c r="B1151" s="928" t="s">
        <v>6</v>
      </c>
      <c r="C1151" s="804">
        <f t="shared" si="353"/>
        <v>33373355.621947572</v>
      </c>
      <c r="D1151" s="804">
        <v>0</v>
      </c>
      <c r="E1151" s="931">
        <v>0</v>
      </c>
      <c r="F1151" s="754">
        <v>33373355.621947572</v>
      </c>
      <c r="G1151" s="732">
        <v>0</v>
      </c>
      <c r="H1151" s="906">
        <f t="shared" si="356"/>
        <v>33373355.621947572</v>
      </c>
      <c r="I1151" s="732"/>
    </row>
    <row r="1152" spans="1:9" hidden="1" outlineLevel="1">
      <c r="A1152" s="898" t="s">
        <v>2117</v>
      </c>
      <c r="B1152" s="920" t="s">
        <v>7</v>
      </c>
      <c r="C1152" s="804">
        <f t="shared" si="353"/>
        <v>0</v>
      </c>
      <c r="D1152" s="804">
        <v>0</v>
      </c>
      <c r="E1152" s="767">
        <v>0</v>
      </c>
      <c r="F1152" s="788">
        <v>0</v>
      </c>
      <c r="G1152" s="767">
        <v>0</v>
      </c>
      <c r="H1152" s="906">
        <f t="shared" si="356"/>
        <v>0</v>
      </c>
      <c r="I1152" s="732"/>
    </row>
    <row r="1153" spans="1:9" hidden="1" outlineLevel="1">
      <c r="A1153" s="898" t="s">
        <v>2117</v>
      </c>
      <c r="B1153" s="919" t="s">
        <v>8</v>
      </c>
      <c r="C1153" s="804">
        <f t="shared" si="353"/>
        <v>14896863</v>
      </c>
      <c r="D1153" s="754">
        <v>0</v>
      </c>
      <c r="E1153" s="740">
        <v>0</v>
      </c>
      <c r="F1153" s="777">
        <v>0</v>
      </c>
      <c r="G1153" s="767">
        <v>14896863</v>
      </c>
      <c r="H1153" s="906">
        <f t="shared" si="356"/>
        <v>14896863</v>
      </c>
      <c r="I1153" s="732"/>
    </row>
    <row r="1154" spans="1:9" hidden="1" outlineLevel="1">
      <c r="A1154" s="898" t="s">
        <v>2117</v>
      </c>
      <c r="B1154" s="919" t="s">
        <v>9</v>
      </c>
      <c r="C1154" s="929">
        <f t="shared" si="353"/>
        <v>17676312.00000006</v>
      </c>
      <c r="D1154" s="962">
        <v>193314000</v>
      </c>
      <c r="E1154" s="923">
        <v>200876736</v>
      </c>
      <c r="F1154" s="963">
        <v>9148746.0000000503</v>
      </c>
      <c r="G1154" s="1592">
        <v>964830</v>
      </c>
      <c r="H1154" s="906">
        <f t="shared" si="356"/>
        <v>10113576.00000006</v>
      </c>
      <c r="I1154" s="732"/>
    </row>
    <row r="1155" spans="1:9" ht="15.75" hidden="1" outlineLevel="1">
      <c r="A1155" s="898" t="s">
        <v>2117</v>
      </c>
      <c r="B1155" s="1331" t="s">
        <v>1604</v>
      </c>
      <c r="C1155" s="929">
        <f t="shared" si="353"/>
        <v>21782003</v>
      </c>
      <c r="D1155" s="1218">
        <v>100000000</v>
      </c>
      <c r="E1155" s="903">
        <v>111734183</v>
      </c>
      <c r="F1155" s="1218">
        <v>0</v>
      </c>
      <c r="G1155" s="908">
        <v>10047820</v>
      </c>
      <c r="H1155" s="906">
        <f t="shared" si="356"/>
        <v>10047820</v>
      </c>
      <c r="I1155" s="754"/>
    </row>
    <row r="1156" spans="1:9" ht="16.5" hidden="1" outlineLevel="1" thickBot="1">
      <c r="A1156" s="898" t="s">
        <v>2117</v>
      </c>
      <c r="B1156" s="1253" t="s">
        <v>1810</v>
      </c>
      <c r="C1156" s="1259">
        <f t="shared" si="353"/>
        <v>6153000</v>
      </c>
      <c r="D1156" s="773">
        <v>40000000</v>
      </c>
      <c r="E1156" s="806">
        <v>57052640</v>
      </c>
      <c r="F1156" s="785">
        <v>0</v>
      </c>
      <c r="G1156" s="897">
        <v>0</v>
      </c>
      <c r="H1156" s="1334">
        <f>C1156+D1156-E1156</f>
        <v>-10899640</v>
      </c>
      <c r="I1156" s="754"/>
    </row>
    <row r="1157" spans="1:9" ht="13.5" hidden="1" outlineLevel="1" thickBot="1">
      <c r="A1157" s="1111" t="s">
        <v>2117</v>
      </c>
      <c r="B1157" s="1112" t="s">
        <v>31</v>
      </c>
      <c r="C1157" s="1113">
        <f>SUM(C1149:C1156)</f>
        <v>98729312.621947631</v>
      </c>
      <c r="D1157" s="1113">
        <f t="shared" ref="D1157:H1157" si="357">SUM(D1149:D1156)</f>
        <v>353314000</v>
      </c>
      <c r="E1157" s="1113">
        <f t="shared" si="357"/>
        <v>389907159</v>
      </c>
      <c r="F1157" s="1113">
        <f t="shared" si="357"/>
        <v>47126280.621947624</v>
      </c>
      <c r="G1157" s="1113">
        <f t="shared" si="357"/>
        <v>25909513</v>
      </c>
      <c r="H1157" s="1113">
        <f t="shared" si="357"/>
        <v>62136153.621947631</v>
      </c>
    </row>
    <row r="1158" spans="1:9" hidden="1" outlineLevel="1">
      <c r="A1158" s="898" t="s">
        <v>2123</v>
      </c>
      <c r="B1158" s="927" t="s">
        <v>4</v>
      </c>
      <c r="C1158" s="803">
        <f t="shared" si="353"/>
        <v>4847779</v>
      </c>
      <c r="D1158" s="803">
        <v>20000000</v>
      </c>
      <c r="E1158" s="930">
        <v>20243600</v>
      </c>
      <c r="F1158" s="753">
        <v>4604179</v>
      </c>
      <c r="G1158" s="730">
        <v>0</v>
      </c>
      <c r="H1158" s="905">
        <f t="shared" ref="H1158:H1164" si="358">C1158+D1158-E1158</f>
        <v>4604179</v>
      </c>
      <c r="I1158" s="730"/>
    </row>
    <row r="1159" spans="1:9" hidden="1" outlineLevel="1">
      <c r="A1159" s="898" t="s">
        <v>2123</v>
      </c>
      <c r="B1159" s="928" t="s">
        <v>5</v>
      </c>
      <c r="C1159" s="804">
        <f t="shared" si="353"/>
        <v>0</v>
      </c>
      <c r="D1159" s="754">
        <v>0</v>
      </c>
      <c r="E1159" s="782">
        <v>0</v>
      </c>
      <c r="F1159" s="902">
        <v>0</v>
      </c>
      <c r="G1159" s="1330">
        <v>0</v>
      </c>
      <c r="H1159" s="906">
        <f t="shared" si="358"/>
        <v>0</v>
      </c>
      <c r="I1159" s="732"/>
    </row>
    <row r="1160" spans="1:9" hidden="1" outlineLevel="1">
      <c r="A1160" s="898" t="s">
        <v>2123</v>
      </c>
      <c r="B1160" s="928" t="s">
        <v>6</v>
      </c>
      <c r="C1160" s="804">
        <f t="shared" si="353"/>
        <v>33373355.621947572</v>
      </c>
      <c r="D1160" s="804">
        <v>0</v>
      </c>
      <c r="E1160" s="931">
        <v>0</v>
      </c>
      <c r="F1160" s="754">
        <v>33373355.621947572</v>
      </c>
      <c r="G1160" s="732">
        <v>0</v>
      </c>
      <c r="H1160" s="906">
        <f t="shared" si="358"/>
        <v>33373355.621947572</v>
      </c>
      <c r="I1160" s="732"/>
    </row>
    <row r="1161" spans="1:9" hidden="1" outlineLevel="1">
      <c r="A1161" s="898" t="s">
        <v>2123</v>
      </c>
      <c r="B1161" s="920" t="s">
        <v>7</v>
      </c>
      <c r="C1161" s="804">
        <f t="shared" si="353"/>
        <v>0</v>
      </c>
      <c r="D1161" s="804">
        <v>0</v>
      </c>
      <c r="E1161" s="767">
        <v>0</v>
      </c>
      <c r="F1161" s="788">
        <v>0</v>
      </c>
      <c r="G1161" s="767">
        <v>0</v>
      </c>
      <c r="H1161" s="906">
        <f t="shared" si="358"/>
        <v>0</v>
      </c>
      <c r="I1161" s="732"/>
    </row>
    <row r="1162" spans="1:9" hidden="1" outlineLevel="1">
      <c r="A1162" s="898" t="s">
        <v>2123</v>
      </c>
      <c r="B1162" s="919" t="s">
        <v>8</v>
      </c>
      <c r="C1162" s="804">
        <f t="shared" si="353"/>
        <v>14896863</v>
      </c>
      <c r="D1162" s="754">
        <v>0</v>
      </c>
      <c r="E1162" s="740">
        <v>0</v>
      </c>
      <c r="F1162" s="777">
        <v>0</v>
      </c>
      <c r="G1162" s="767">
        <v>14896863</v>
      </c>
      <c r="H1162" s="906">
        <f t="shared" si="358"/>
        <v>14896863</v>
      </c>
      <c r="I1162" s="732"/>
    </row>
    <row r="1163" spans="1:9" hidden="1" outlineLevel="1">
      <c r="A1163" s="898" t="s">
        <v>2123</v>
      </c>
      <c r="B1163" s="919" t="s">
        <v>9</v>
      </c>
      <c r="C1163" s="929">
        <f t="shared" si="353"/>
        <v>17676312.00000006</v>
      </c>
      <c r="D1163" s="962">
        <v>193314000</v>
      </c>
      <c r="E1163" s="923">
        <v>200876736</v>
      </c>
      <c r="F1163" s="963">
        <v>9148746.0000000503</v>
      </c>
      <c r="G1163" s="1592">
        <v>964830</v>
      </c>
      <c r="H1163" s="906">
        <f t="shared" si="358"/>
        <v>10113576.00000006</v>
      </c>
      <c r="I1163" s="732"/>
    </row>
    <row r="1164" spans="1:9" ht="15.75" hidden="1" outlineLevel="1">
      <c r="A1164" s="898" t="s">
        <v>2123</v>
      </c>
      <c r="B1164" s="1331" t="s">
        <v>1604</v>
      </c>
      <c r="C1164" s="929">
        <f t="shared" si="353"/>
        <v>21782003</v>
      </c>
      <c r="D1164" s="1218">
        <v>150000000</v>
      </c>
      <c r="E1164" s="903">
        <v>131578663</v>
      </c>
      <c r="F1164" s="1218">
        <v>0</v>
      </c>
      <c r="G1164" s="908">
        <v>40203340</v>
      </c>
      <c r="H1164" s="906">
        <f t="shared" si="358"/>
        <v>40203340</v>
      </c>
      <c r="I1164" s="754"/>
    </row>
    <row r="1165" spans="1:9" ht="16.5" hidden="1" outlineLevel="1" thickBot="1">
      <c r="A1165" s="898" t="s">
        <v>2123</v>
      </c>
      <c r="B1165" s="1253" t="s">
        <v>1810</v>
      </c>
      <c r="C1165" s="1259">
        <f t="shared" si="353"/>
        <v>6153000</v>
      </c>
      <c r="D1165" s="773">
        <v>40000000</v>
      </c>
      <c r="E1165" s="806">
        <v>57052640</v>
      </c>
      <c r="F1165" s="785">
        <v>0</v>
      </c>
      <c r="G1165" s="897">
        <v>0</v>
      </c>
      <c r="H1165" s="1334">
        <f>C1165+D1165-E1165</f>
        <v>-10899640</v>
      </c>
      <c r="I1165" s="754"/>
    </row>
    <row r="1166" spans="1:9" ht="13.5" hidden="1" outlineLevel="1" thickBot="1">
      <c r="A1166" s="1111" t="s">
        <v>2123</v>
      </c>
      <c r="B1166" s="1112" t="s">
        <v>31</v>
      </c>
      <c r="C1166" s="1113">
        <f>SUM(C1158:C1165)</f>
        <v>98729312.621947631</v>
      </c>
      <c r="D1166" s="1113">
        <f t="shared" ref="D1166:H1166" si="359">SUM(D1158:D1165)</f>
        <v>403314000</v>
      </c>
      <c r="E1166" s="1113">
        <f t="shared" si="359"/>
        <v>409751639</v>
      </c>
      <c r="F1166" s="1113">
        <f t="shared" si="359"/>
        <v>47126280.621947624</v>
      </c>
      <c r="G1166" s="1113">
        <f t="shared" si="359"/>
        <v>56065033</v>
      </c>
      <c r="H1166" s="1113">
        <f t="shared" si="359"/>
        <v>92291673.621947631</v>
      </c>
    </row>
    <row r="1167" spans="1:9" hidden="1" outlineLevel="1">
      <c r="A1167" s="898" t="s">
        <v>2124</v>
      </c>
      <c r="B1167" s="927" t="s">
        <v>4</v>
      </c>
      <c r="C1167" s="803">
        <f t="shared" si="353"/>
        <v>4847779</v>
      </c>
      <c r="D1167" s="803">
        <v>20000000</v>
      </c>
      <c r="E1167" s="930">
        <v>21376600</v>
      </c>
      <c r="F1167" s="753">
        <v>3471179</v>
      </c>
      <c r="G1167" s="730">
        <v>0</v>
      </c>
      <c r="H1167" s="905">
        <f t="shared" ref="H1167:H1173" si="360">C1167+D1167-E1167</f>
        <v>3471179</v>
      </c>
      <c r="I1167" s="730"/>
    </row>
    <row r="1168" spans="1:9" hidden="1" outlineLevel="1">
      <c r="A1168" s="898" t="s">
        <v>2124</v>
      </c>
      <c r="B1168" s="928" t="s">
        <v>5</v>
      </c>
      <c r="C1168" s="804">
        <f t="shared" si="353"/>
        <v>0</v>
      </c>
      <c r="D1168" s="754">
        <v>0</v>
      </c>
      <c r="E1168" s="782">
        <v>0</v>
      </c>
      <c r="F1168" s="902">
        <v>0</v>
      </c>
      <c r="G1168" s="1330">
        <v>0</v>
      </c>
      <c r="H1168" s="906">
        <f t="shared" si="360"/>
        <v>0</v>
      </c>
      <c r="I1168" s="732"/>
    </row>
    <row r="1169" spans="1:9" hidden="1" outlineLevel="1">
      <c r="A1169" s="898" t="s">
        <v>2124</v>
      </c>
      <c r="B1169" s="928" t="s">
        <v>6</v>
      </c>
      <c r="C1169" s="804">
        <f t="shared" si="353"/>
        <v>33373355.621947572</v>
      </c>
      <c r="D1169" s="804">
        <v>0</v>
      </c>
      <c r="E1169" s="931">
        <v>0</v>
      </c>
      <c r="F1169" s="754">
        <v>33373355.621947572</v>
      </c>
      <c r="G1169" s="732">
        <v>0</v>
      </c>
      <c r="H1169" s="906">
        <f t="shared" si="360"/>
        <v>33373355.621947572</v>
      </c>
      <c r="I1169" s="732"/>
    </row>
    <row r="1170" spans="1:9" hidden="1" outlineLevel="1">
      <c r="A1170" s="898" t="s">
        <v>2124</v>
      </c>
      <c r="B1170" s="920" t="s">
        <v>7</v>
      </c>
      <c r="C1170" s="804">
        <f t="shared" si="353"/>
        <v>0</v>
      </c>
      <c r="D1170" s="804">
        <v>0</v>
      </c>
      <c r="E1170" s="767">
        <v>0</v>
      </c>
      <c r="F1170" s="788">
        <v>0</v>
      </c>
      <c r="G1170" s="767">
        <v>0</v>
      </c>
      <c r="H1170" s="906">
        <f t="shared" si="360"/>
        <v>0</v>
      </c>
      <c r="I1170" s="732"/>
    </row>
    <row r="1171" spans="1:9" hidden="1" outlineLevel="1">
      <c r="A1171" s="898" t="s">
        <v>2124</v>
      </c>
      <c r="B1171" s="919" t="s">
        <v>8</v>
      </c>
      <c r="C1171" s="804">
        <f t="shared" si="353"/>
        <v>14896863</v>
      </c>
      <c r="D1171" s="754">
        <v>0</v>
      </c>
      <c r="E1171" s="740">
        <v>0</v>
      </c>
      <c r="F1171" s="777">
        <v>0</v>
      </c>
      <c r="G1171" s="767">
        <v>14896863</v>
      </c>
      <c r="H1171" s="906">
        <f t="shared" si="360"/>
        <v>14896863</v>
      </c>
      <c r="I1171" s="732"/>
    </row>
    <row r="1172" spans="1:9" hidden="1" outlineLevel="1">
      <c r="A1172" s="898" t="s">
        <v>2124</v>
      </c>
      <c r="B1172" s="919" t="s">
        <v>9</v>
      </c>
      <c r="C1172" s="929">
        <f t="shared" si="353"/>
        <v>17676312.00000006</v>
      </c>
      <c r="D1172" s="962">
        <v>193314000</v>
      </c>
      <c r="E1172" s="923">
        <v>200876736</v>
      </c>
      <c r="F1172" s="963">
        <v>9148746.0000000503</v>
      </c>
      <c r="G1172" s="1592">
        <v>964830</v>
      </c>
      <c r="H1172" s="906">
        <f t="shared" si="360"/>
        <v>10113576.00000006</v>
      </c>
      <c r="I1172" s="732"/>
    </row>
    <row r="1173" spans="1:9" ht="15.75" hidden="1" outlineLevel="1">
      <c r="A1173" s="898" t="s">
        <v>2124</v>
      </c>
      <c r="B1173" s="1331" t="s">
        <v>1604</v>
      </c>
      <c r="C1173" s="929">
        <f t="shared" si="353"/>
        <v>21782003</v>
      </c>
      <c r="D1173" s="1218">
        <v>150000000</v>
      </c>
      <c r="E1173" s="903">
        <v>131578663</v>
      </c>
      <c r="F1173" s="1218">
        <v>0</v>
      </c>
      <c r="G1173" s="908">
        <v>40203340</v>
      </c>
      <c r="H1173" s="906">
        <f t="shared" si="360"/>
        <v>40203340</v>
      </c>
      <c r="I1173" s="754"/>
    </row>
    <row r="1174" spans="1:9" ht="16.5" hidden="1" outlineLevel="1" thickBot="1">
      <c r="A1174" s="898" t="s">
        <v>2124</v>
      </c>
      <c r="B1174" s="1253" t="s">
        <v>1810</v>
      </c>
      <c r="C1174" s="1259">
        <f t="shared" si="353"/>
        <v>6153000</v>
      </c>
      <c r="D1174" s="773">
        <v>60000000</v>
      </c>
      <c r="E1174" s="806">
        <v>57052640</v>
      </c>
      <c r="F1174" s="785">
        <v>5000000</v>
      </c>
      <c r="G1174" s="897">
        <v>4100360</v>
      </c>
      <c r="H1174" s="1334">
        <f>C1174+D1174-E1174</f>
        <v>9100360</v>
      </c>
      <c r="I1174" s="754"/>
    </row>
    <row r="1175" spans="1:9" ht="13.5" hidden="1" outlineLevel="1" thickBot="1">
      <c r="A1175" s="1111" t="s">
        <v>2124</v>
      </c>
      <c r="B1175" s="1112" t="s">
        <v>31</v>
      </c>
      <c r="C1175" s="1113">
        <f>SUM(C1167:C1174)</f>
        <v>98729312.621947631</v>
      </c>
      <c r="D1175" s="1113">
        <f t="shared" ref="D1175:H1175" si="361">SUM(D1167:D1174)</f>
        <v>423314000</v>
      </c>
      <c r="E1175" s="1113">
        <f t="shared" si="361"/>
        <v>410884639</v>
      </c>
      <c r="F1175" s="1113">
        <f t="shared" si="361"/>
        <v>50993280.621947624</v>
      </c>
      <c r="G1175" s="1113">
        <f t="shared" si="361"/>
        <v>60165393</v>
      </c>
      <c r="H1175" s="1113">
        <f t="shared" si="361"/>
        <v>111158673.62194763</v>
      </c>
    </row>
    <row r="1176" spans="1:9" hidden="1" outlineLevel="1">
      <c r="A1176" s="898" t="s">
        <v>2145</v>
      </c>
      <c r="B1176" s="927" t="s">
        <v>4</v>
      </c>
      <c r="C1176" s="803">
        <f t="shared" si="353"/>
        <v>4847779</v>
      </c>
      <c r="D1176" s="803">
        <v>20000000</v>
      </c>
      <c r="E1176" s="930">
        <v>21376600</v>
      </c>
      <c r="F1176" s="753">
        <v>3471179</v>
      </c>
      <c r="G1176" s="730">
        <v>0</v>
      </c>
      <c r="H1176" s="905">
        <f t="shared" ref="H1176:H1182" si="362">C1176+D1176-E1176</f>
        <v>3471179</v>
      </c>
      <c r="I1176" s="730"/>
    </row>
    <row r="1177" spans="1:9" hidden="1" outlineLevel="1">
      <c r="A1177" s="898" t="s">
        <v>2145</v>
      </c>
      <c r="B1177" s="928" t="s">
        <v>5</v>
      </c>
      <c r="C1177" s="804">
        <f t="shared" si="353"/>
        <v>0</v>
      </c>
      <c r="D1177" s="754">
        <v>0</v>
      </c>
      <c r="E1177" s="782">
        <v>0</v>
      </c>
      <c r="F1177" s="902">
        <v>0</v>
      </c>
      <c r="G1177" s="1330">
        <v>0</v>
      </c>
      <c r="H1177" s="906">
        <f t="shared" si="362"/>
        <v>0</v>
      </c>
      <c r="I1177" s="732"/>
    </row>
    <row r="1178" spans="1:9" hidden="1" outlineLevel="1">
      <c r="A1178" s="898" t="s">
        <v>2145</v>
      </c>
      <c r="B1178" s="928" t="s">
        <v>6</v>
      </c>
      <c r="C1178" s="804">
        <f t="shared" si="353"/>
        <v>33373355.621947572</v>
      </c>
      <c r="D1178" s="804">
        <v>0</v>
      </c>
      <c r="E1178" s="931">
        <v>0</v>
      </c>
      <c r="F1178" s="754">
        <v>33373355.621947572</v>
      </c>
      <c r="G1178" s="732">
        <v>0</v>
      </c>
      <c r="H1178" s="906">
        <f t="shared" si="362"/>
        <v>33373355.621947572</v>
      </c>
      <c r="I1178" s="732"/>
    </row>
    <row r="1179" spans="1:9" hidden="1" outlineLevel="1">
      <c r="A1179" s="898" t="s">
        <v>2145</v>
      </c>
      <c r="B1179" s="920" t="s">
        <v>7</v>
      </c>
      <c r="C1179" s="804">
        <f t="shared" si="353"/>
        <v>0</v>
      </c>
      <c r="D1179" s="804">
        <v>0</v>
      </c>
      <c r="E1179" s="767">
        <v>0</v>
      </c>
      <c r="F1179" s="788">
        <v>0</v>
      </c>
      <c r="G1179" s="767">
        <v>0</v>
      </c>
      <c r="H1179" s="906">
        <f t="shared" si="362"/>
        <v>0</v>
      </c>
      <c r="I1179" s="732"/>
    </row>
    <row r="1180" spans="1:9" hidden="1" outlineLevel="1">
      <c r="A1180" s="898" t="s">
        <v>2145</v>
      </c>
      <c r="B1180" s="919" t="s">
        <v>8</v>
      </c>
      <c r="C1180" s="804">
        <f t="shared" si="353"/>
        <v>14896863</v>
      </c>
      <c r="D1180" s="754">
        <v>0</v>
      </c>
      <c r="E1180" s="740">
        <v>0</v>
      </c>
      <c r="F1180" s="777">
        <v>0</v>
      </c>
      <c r="G1180" s="767">
        <v>14896863</v>
      </c>
      <c r="H1180" s="906">
        <f t="shared" si="362"/>
        <v>14896863</v>
      </c>
      <c r="I1180" s="732"/>
    </row>
    <row r="1181" spans="1:9" hidden="1" outlineLevel="1">
      <c r="A1181" s="898" t="s">
        <v>2145</v>
      </c>
      <c r="B1181" s="919" t="s">
        <v>9</v>
      </c>
      <c r="C1181" s="929">
        <f t="shared" si="353"/>
        <v>17676312.00000006</v>
      </c>
      <c r="D1181" s="962">
        <v>193314000</v>
      </c>
      <c r="E1181" s="923">
        <v>200876736</v>
      </c>
      <c r="F1181" s="963">
        <v>9148746.0000000503</v>
      </c>
      <c r="G1181" s="1592">
        <v>964830</v>
      </c>
      <c r="H1181" s="906">
        <f t="shared" si="362"/>
        <v>10113576.00000006</v>
      </c>
      <c r="I1181" s="732"/>
    </row>
    <row r="1182" spans="1:9" ht="15.75" hidden="1" outlineLevel="1">
      <c r="A1182" s="898" t="s">
        <v>2145</v>
      </c>
      <c r="B1182" s="1331" t="s">
        <v>1604</v>
      </c>
      <c r="C1182" s="929">
        <f t="shared" si="353"/>
        <v>21782003</v>
      </c>
      <c r="D1182" s="1218">
        <v>150000000</v>
      </c>
      <c r="E1182" s="903">
        <v>131578663</v>
      </c>
      <c r="F1182" s="1218">
        <v>0</v>
      </c>
      <c r="G1182" s="908">
        <v>40203340</v>
      </c>
      <c r="H1182" s="906">
        <f t="shared" si="362"/>
        <v>40203340</v>
      </c>
      <c r="I1182" s="754"/>
    </row>
    <row r="1183" spans="1:9" ht="16.5" hidden="1" outlineLevel="1" thickBot="1">
      <c r="A1183" s="898" t="s">
        <v>2145</v>
      </c>
      <c r="B1183" s="1253" t="s">
        <v>1810</v>
      </c>
      <c r="C1183" s="1259">
        <f t="shared" si="353"/>
        <v>6153000</v>
      </c>
      <c r="D1183" s="773">
        <v>60000000</v>
      </c>
      <c r="E1183" s="806">
        <v>61432640</v>
      </c>
      <c r="F1183" s="785">
        <v>0</v>
      </c>
      <c r="G1183" s="897">
        <v>4720360</v>
      </c>
      <c r="H1183" s="1334">
        <f>C1183+D1183-E1183</f>
        <v>4720360</v>
      </c>
      <c r="I1183" s="754"/>
    </row>
    <row r="1184" spans="1:9" ht="13.5" hidden="1" outlineLevel="1" thickBot="1">
      <c r="A1184" s="1111" t="s">
        <v>2145</v>
      </c>
      <c r="B1184" s="1112" t="s">
        <v>31</v>
      </c>
      <c r="C1184" s="1113">
        <f>SUM(C1176:C1183)</f>
        <v>98729312.621947631</v>
      </c>
      <c r="D1184" s="1113">
        <f t="shared" ref="D1184:H1184" si="363">SUM(D1176:D1183)</f>
        <v>423314000</v>
      </c>
      <c r="E1184" s="1113">
        <f t="shared" si="363"/>
        <v>415264639</v>
      </c>
      <c r="F1184" s="1113">
        <f t="shared" si="363"/>
        <v>45993280.621947624</v>
      </c>
      <c r="G1184" s="1113">
        <f t="shared" si="363"/>
        <v>60785393</v>
      </c>
      <c r="H1184" s="1113">
        <f t="shared" si="363"/>
        <v>106778673.62194763</v>
      </c>
    </row>
    <row r="1185" spans="1:9" hidden="1" outlineLevel="1">
      <c r="A1185" s="898" t="s">
        <v>2146</v>
      </c>
      <c r="B1185" s="927" t="s">
        <v>4</v>
      </c>
      <c r="C1185" s="803">
        <f t="shared" si="353"/>
        <v>4847779</v>
      </c>
      <c r="D1185" s="803">
        <v>20000000</v>
      </c>
      <c r="E1185" s="930">
        <v>21376600</v>
      </c>
      <c r="F1185" s="753">
        <v>3471179</v>
      </c>
      <c r="G1185" s="730">
        <v>0</v>
      </c>
      <c r="H1185" s="905">
        <f t="shared" ref="H1185:H1191" si="364">C1185+D1185-E1185</f>
        <v>3471179</v>
      </c>
      <c r="I1185" s="730"/>
    </row>
    <row r="1186" spans="1:9" hidden="1" outlineLevel="1">
      <c r="A1186" s="898" t="s">
        <v>2146</v>
      </c>
      <c r="B1186" s="928" t="s">
        <v>5</v>
      </c>
      <c r="C1186" s="804">
        <f t="shared" si="353"/>
        <v>0</v>
      </c>
      <c r="D1186" s="754">
        <v>0</v>
      </c>
      <c r="E1186" s="782">
        <v>0</v>
      </c>
      <c r="F1186" s="902">
        <v>0</v>
      </c>
      <c r="G1186" s="1330">
        <v>0</v>
      </c>
      <c r="H1186" s="906">
        <f t="shared" si="364"/>
        <v>0</v>
      </c>
      <c r="I1186" s="732"/>
    </row>
    <row r="1187" spans="1:9" hidden="1" outlineLevel="1">
      <c r="A1187" s="898" t="s">
        <v>2146</v>
      </c>
      <c r="B1187" s="928" t="s">
        <v>6</v>
      </c>
      <c r="C1187" s="804">
        <f t="shared" si="353"/>
        <v>33373355.621947572</v>
      </c>
      <c r="D1187" s="804">
        <v>0</v>
      </c>
      <c r="E1187" s="931">
        <v>0</v>
      </c>
      <c r="F1187" s="754">
        <v>33373355.621947572</v>
      </c>
      <c r="G1187" s="732">
        <v>0</v>
      </c>
      <c r="H1187" s="906">
        <f t="shared" si="364"/>
        <v>33373355.621947572</v>
      </c>
      <c r="I1187" s="732"/>
    </row>
    <row r="1188" spans="1:9" hidden="1" outlineLevel="1">
      <c r="A1188" s="898" t="s">
        <v>2146</v>
      </c>
      <c r="B1188" s="920" t="s">
        <v>7</v>
      </c>
      <c r="C1188" s="804">
        <f t="shared" si="353"/>
        <v>0</v>
      </c>
      <c r="D1188" s="804">
        <v>0</v>
      </c>
      <c r="E1188" s="767">
        <v>0</v>
      </c>
      <c r="F1188" s="788">
        <v>0</v>
      </c>
      <c r="G1188" s="767">
        <v>0</v>
      </c>
      <c r="H1188" s="906">
        <f t="shared" si="364"/>
        <v>0</v>
      </c>
      <c r="I1188" s="732"/>
    </row>
    <row r="1189" spans="1:9" hidden="1" outlineLevel="1">
      <c r="A1189" s="898" t="s">
        <v>2146</v>
      </c>
      <c r="B1189" s="919" t="s">
        <v>8</v>
      </c>
      <c r="C1189" s="804">
        <f t="shared" si="353"/>
        <v>14896863</v>
      </c>
      <c r="D1189" s="754">
        <v>0</v>
      </c>
      <c r="E1189" s="740">
        <v>0</v>
      </c>
      <c r="F1189" s="777">
        <v>0</v>
      </c>
      <c r="G1189" s="767">
        <v>14896863</v>
      </c>
      <c r="H1189" s="906">
        <f t="shared" si="364"/>
        <v>14896863</v>
      </c>
      <c r="I1189" s="732"/>
    </row>
    <row r="1190" spans="1:9" hidden="1" outlineLevel="1">
      <c r="A1190" s="898" t="s">
        <v>2146</v>
      </c>
      <c r="B1190" s="919" t="s">
        <v>9</v>
      </c>
      <c r="C1190" s="929">
        <f t="shared" si="353"/>
        <v>17676312.00000006</v>
      </c>
      <c r="D1190" s="962">
        <v>193314000</v>
      </c>
      <c r="E1190" s="923">
        <v>200876736</v>
      </c>
      <c r="F1190" s="963">
        <v>9148746.0000000503</v>
      </c>
      <c r="G1190" s="1592">
        <v>964830</v>
      </c>
      <c r="H1190" s="906">
        <f t="shared" si="364"/>
        <v>10113576.00000006</v>
      </c>
      <c r="I1190" s="732"/>
    </row>
    <row r="1191" spans="1:9" ht="15.75" hidden="1" outlineLevel="1">
      <c r="A1191" s="898" t="s">
        <v>2146</v>
      </c>
      <c r="B1191" s="1331" t="s">
        <v>1604</v>
      </c>
      <c r="C1191" s="929">
        <f t="shared" si="353"/>
        <v>21782003</v>
      </c>
      <c r="D1191" s="1218">
        <v>150000000</v>
      </c>
      <c r="E1191" s="903">
        <v>132578663</v>
      </c>
      <c r="F1191" s="1218">
        <v>0</v>
      </c>
      <c r="G1191" s="908">
        <v>39203340</v>
      </c>
      <c r="H1191" s="906">
        <f t="shared" si="364"/>
        <v>39203340</v>
      </c>
      <c r="I1191" s="754"/>
    </row>
    <row r="1192" spans="1:9" ht="16.5" hidden="1" outlineLevel="1" thickBot="1">
      <c r="A1192" s="898" t="s">
        <v>2146</v>
      </c>
      <c r="B1192" s="1253" t="s">
        <v>1810</v>
      </c>
      <c r="C1192" s="1259">
        <f t="shared" si="353"/>
        <v>6153000</v>
      </c>
      <c r="D1192" s="773">
        <v>60000000</v>
      </c>
      <c r="E1192" s="806">
        <v>61432640</v>
      </c>
      <c r="F1192" s="785">
        <v>0</v>
      </c>
      <c r="G1192" s="897">
        <v>4720360</v>
      </c>
      <c r="H1192" s="1334">
        <f>C1192+D1192-E1192</f>
        <v>4720360</v>
      </c>
      <c r="I1192" s="754"/>
    </row>
    <row r="1193" spans="1:9" ht="13.5" hidden="1" outlineLevel="1" thickBot="1">
      <c r="A1193" s="1111" t="s">
        <v>2146</v>
      </c>
      <c r="B1193" s="1112" t="s">
        <v>31</v>
      </c>
      <c r="C1193" s="1113">
        <f>SUM(C1185:C1192)</f>
        <v>98729312.621947631</v>
      </c>
      <c r="D1193" s="1113">
        <f t="shared" ref="D1193:H1193" si="365">SUM(D1185:D1192)</f>
        <v>423314000</v>
      </c>
      <c r="E1193" s="1113">
        <f t="shared" si="365"/>
        <v>416264639</v>
      </c>
      <c r="F1193" s="1113">
        <f t="shared" si="365"/>
        <v>45993280.621947624</v>
      </c>
      <c r="G1193" s="1113">
        <f t="shared" si="365"/>
        <v>59785393</v>
      </c>
      <c r="H1193" s="1113">
        <f t="shared" si="365"/>
        <v>105778673.62194763</v>
      </c>
    </row>
    <row r="1194" spans="1:9" hidden="1" outlineLevel="1">
      <c r="A1194" s="898" t="s">
        <v>2147</v>
      </c>
      <c r="B1194" s="927" t="s">
        <v>4</v>
      </c>
      <c r="C1194" s="803">
        <f t="shared" si="353"/>
        <v>4847779</v>
      </c>
      <c r="D1194" s="803">
        <v>20000000</v>
      </c>
      <c r="E1194" s="930">
        <v>21376600</v>
      </c>
      <c r="F1194" s="753">
        <v>3471179</v>
      </c>
      <c r="G1194" s="730">
        <v>0</v>
      </c>
      <c r="H1194" s="905">
        <f t="shared" ref="H1194:H1200" si="366">C1194+D1194-E1194</f>
        <v>3471179</v>
      </c>
      <c r="I1194" s="730"/>
    </row>
    <row r="1195" spans="1:9" hidden="1" outlineLevel="1">
      <c r="A1195" s="898" t="s">
        <v>2147</v>
      </c>
      <c r="B1195" s="928" t="s">
        <v>5</v>
      </c>
      <c r="C1195" s="804">
        <f t="shared" si="353"/>
        <v>0</v>
      </c>
      <c r="D1195" s="754">
        <v>0</v>
      </c>
      <c r="E1195" s="782">
        <v>0</v>
      </c>
      <c r="F1195" s="902">
        <v>0</v>
      </c>
      <c r="G1195" s="1330">
        <v>0</v>
      </c>
      <c r="H1195" s="906">
        <f t="shared" si="366"/>
        <v>0</v>
      </c>
      <c r="I1195" s="732"/>
    </row>
    <row r="1196" spans="1:9" hidden="1" outlineLevel="1">
      <c r="A1196" s="898" t="s">
        <v>2147</v>
      </c>
      <c r="B1196" s="928" t="s">
        <v>6</v>
      </c>
      <c r="C1196" s="804">
        <f t="shared" si="353"/>
        <v>33373355.621947572</v>
      </c>
      <c r="D1196" s="804">
        <v>0</v>
      </c>
      <c r="E1196" s="931">
        <v>0</v>
      </c>
      <c r="F1196" s="754">
        <v>33373355.621947572</v>
      </c>
      <c r="G1196" s="732">
        <v>0</v>
      </c>
      <c r="H1196" s="906">
        <f t="shared" si="366"/>
        <v>33373355.621947572</v>
      </c>
      <c r="I1196" s="732"/>
    </row>
    <row r="1197" spans="1:9" hidden="1" outlineLevel="1">
      <c r="A1197" s="898" t="s">
        <v>2147</v>
      </c>
      <c r="B1197" s="920" t="s">
        <v>7</v>
      </c>
      <c r="C1197" s="804">
        <f t="shared" si="353"/>
        <v>0</v>
      </c>
      <c r="D1197" s="804">
        <v>0</v>
      </c>
      <c r="E1197" s="767">
        <v>0</v>
      </c>
      <c r="F1197" s="788">
        <v>0</v>
      </c>
      <c r="G1197" s="767">
        <v>0</v>
      </c>
      <c r="H1197" s="906">
        <f t="shared" si="366"/>
        <v>0</v>
      </c>
      <c r="I1197" s="732"/>
    </row>
    <row r="1198" spans="1:9" hidden="1" outlineLevel="1">
      <c r="A1198" s="898" t="s">
        <v>2147</v>
      </c>
      <c r="B1198" s="919" t="s">
        <v>8</v>
      </c>
      <c r="C1198" s="804">
        <f t="shared" si="353"/>
        <v>14896863</v>
      </c>
      <c r="D1198" s="754">
        <v>0</v>
      </c>
      <c r="E1198" s="740">
        <v>0</v>
      </c>
      <c r="F1198" s="777">
        <v>0</v>
      </c>
      <c r="G1198" s="767">
        <v>14896863</v>
      </c>
      <c r="H1198" s="906">
        <f t="shared" si="366"/>
        <v>14896863</v>
      </c>
      <c r="I1198" s="732"/>
    </row>
    <row r="1199" spans="1:9" hidden="1" outlineLevel="1">
      <c r="A1199" s="898" t="s">
        <v>2147</v>
      </c>
      <c r="B1199" s="919" t="s">
        <v>9</v>
      </c>
      <c r="C1199" s="929">
        <f t="shared" si="353"/>
        <v>17676312.00000006</v>
      </c>
      <c r="D1199" s="962">
        <v>193314000</v>
      </c>
      <c r="E1199" s="923">
        <v>200876736</v>
      </c>
      <c r="F1199" s="963">
        <v>9148746.0000000503</v>
      </c>
      <c r="G1199" s="1592">
        <v>964830</v>
      </c>
      <c r="H1199" s="906">
        <f t="shared" si="366"/>
        <v>10113576.00000006</v>
      </c>
      <c r="I1199" s="732"/>
    </row>
    <row r="1200" spans="1:9" ht="15.75" hidden="1" outlineLevel="1">
      <c r="A1200" s="898" t="s">
        <v>2147</v>
      </c>
      <c r="B1200" s="1331" t="s">
        <v>1604</v>
      </c>
      <c r="C1200" s="929">
        <f t="shared" si="353"/>
        <v>21782003</v>
      </c>
      <c r="D1200" s="1218">
        <v>150000000</v>
      </c>
      <c r="E1200" s="903">
        <v>132578663</v>
      </c>
      <c r="F1200" s="1218">
        <v>0</v>
      </c>
      <c r="G1200" s="908">
        <v>39203340</v>
      </c>
      <c r="H1200" s="906">
        <f t="shared" si="366"/>
        <v>39203340</v>
      </c>
      <c r="I1200" s="754"/>
    </row>
    <row r="1201" spans="1:9" ht="16.5" hidden="1" outlineLevel="1" thickBot="1">
      <c r="A1201" s="898" t="s">
        <v>2147</v>
      </c>
      <c r="B1201" s="1253" t="s">
        <v>1810</v>
      </c>
      <c r="C1201" s="1259">
        <f t="shared" si="353"/>
        <v>6153000</v>
      </c>
      <c r="D1201" s="773">
        <v>60000000</v>
      </c>
      <c r="E1201" s="806">
        <v>61432640</v>
      </c>
      <c r="F1201" s="785">
        <v>0</v>
      </c>
      <c r="G1201" s="897">
        <v>4720360</v>
      </c>
      <c r="H1201" s="1334">
        <f>C1201+D1201-E1201</f>
        <v>4720360</v>
      </c>
      <c r="I1201" s="754"/>
    </row>
    <row r="1202" spans="1:9" ht="13.5" hidden="1" outlineLevel="1" thickBot="1">
      <c r="A1202" s="1111" t="s">
        <v>2147</v>
      </c>
      <c r="B1202" s="1112" t="s">
        <v>31</v>
      </c>
      <c r="C1202" s="1113">
        <f>SUM(C1194:C1201)</f>
        <v>98729312.621947631</v>
      </c>
      <c r="D1202" s="1113">
        <f t="shared" ref="D1202:H1202" si="367">SUM(D1194:D1201)</f>
        <v>423314000</v>
      </c>
      <c r="E1202" s="1113">
        <f t="shared" si="367"/>
        <v>416264639</v>
      </c>
      <c r="F1202" s="1113">
        <f t="shared" si="367"/>
        <v>45993280.621947624</v>
      </c>
      <c r="G1202" s="1113">
        <f t="shared" si="367"/>
        <v>59785393</v>
      </c>
      <c r="H1202" s="1113">
        <f t="shared" si="367"/>
        <v>105778673.62194763</v>
      </c>
    </row>
    <row r="1203" spans="1:9" hidden="1" outlineLevel="1">
      <c r="A1203" s="898" t="s">
        <v>2148</v>
      </c>
      <c r="B1203" s="927" t="s">
        <v>4</v>
      </c>
      <c r="C1203" s="803">
        <f t="shared" si="353"/>
        <v>4847779</v>
      </c>
      <c r="D1203" s="803">
        <v>20000000</v>
      </c>
      <c r="E1203" s="930">
        <v>21376600</v>
      </c>
      <c r="F1203" s="753">
        <v>3471179</v>
      </c>
      <c r="G1203" s="730">
        <v>0</v>
      </c>
      <c r="H1203" s="905">
        <f t="shared" ref="H1203:H1209" si="368">C1203+D1203-E1203</f>
        <v>3471179</v>
      </c>
      <c r="I1203" s="730"/>
    </row>
    <row r="1204" spans="1:9" hidden="1" outlineLevel="1">
      <c r="A1204" s="898" t="s">
        <v>2148</v>
      </c>
      <c r="B1204" s="928" t="s">
        <v>5</v>
      </c>
      <c r="C1204" s="804">
        <f t="shared" ref="C1204:C1210" si="369">C1195</f>
        <v>0</v>
      </c>
      <c r="D1204" s="754">
        <v>0</v>
      </c>
      <c r="E1204" s="782">
        <v>0</v>
      </c>
      <c r="F1204" s="902">
        <v>0</v>
      </c>
      <c r="G1204" s="1330">
        <v>0</v>
      </c>
      <c r="H1204" s="906">
        <f t="shared" si="368"/>
        <v>0</v>
      </c>
      <c r="I1204" s="732"/>
    </row>
    <row r="1205" spans="1:9" hidden="1" outlineLevel="1">
      <c r="A1205" s="898" t="s">
        <v>2148</v>
      </c>
      <c r="B1205" s="928" t="s">
        <v>6</v>
      </c>
      <c r="C1205" s="804">
        <f t="shared" si="369"/>
        <v>33373355.621947572</v>
      </c>
      <c r="D1205" s="804">
        <v>0</v>
      </c>
      <c r="E1205" s="931">
        <v>0</v>
      </c>
      <c r="F1205" s="754">
        <v>33373355.621947572</v>
      </c>
      <c r="G1205" s="732">
        <v>0</v>
      </c>
      <c r="H1205" s="906">
        <f t="shared" si="368"/>
        <v>33373355.621947572</v>
      </c>
      <c r="I1205" s="732"/>
    </row>
    <row r="1206" spans="1:9" hidden="1" outlineLevel="1">
      <c r="A1206" s="898" t="s">
        <v>2148</v>
      </c>
      <c r="B1206" s="920" t="s">
        <v>7</v>
      </c>
      <c r="C1206" s="804">
        <f t="shared" si="369"/>
        <v>0</v>
      </c>
      <c r="D1206" s="804">
        <v>0</v>
      </c>
      <c r="E1206" s="767">
        <v>0</v>
      </c>
      <c r="F1206" s="788">
        <v>0</v>
      </c>
      <c r="G1206" s="767">
        <v>0</v>
      </c>
      <c r="H1206" s="906">
        <f t="shared" si="368"/>
        <v>0</v>
      </c>
      <c r="I1206" s="732"/>
    </row>
    <row r="1207" spans="1:9" hidden="1" outlineLevel="1">
      <c r="A1207" s="898" t="s">
        <v>2148</v>
      </c>
      <c r="B1207" s="919" t="s">
        <v>8</v>
      </c>
      <c r="C1207" s="804">
        <f t="shared" si="369"/>
        <v>14896863</v>
      </c>
      <c r="D1207" s="754">
        <v>0</v>
      </c>
      <c r="E1207" s="740">
        <v>0</v>
      </c>
      <c r="F1207" s="777">
        <v>0</v>
      </c>
      <c r="G1207" s="767">
        <v>14896863</v>
      </c>
      <c r="H1207" s="906">
        <f t="shared" si="368"/>
        <v>14896863</v>
      </c>
      <c r="I1207" s="732"/>
    </row>
    <row r="1208" spans="1:9" hidden="1" outlineLevel="1">
      <c r="A1208" s="898" t="s">
        <v>2148</v>
      </c>
      <c r="B1208" s="919" t="s">
        <v>9</v>
      </c>
      <c r="C1208" s="929">
        <f t="shared" si="369"/>
        <v>17676312.00000006</v>
      </c>
      <c r="D1208" s="962">
        <v>193314000</v>
      </c>
      <c r="E1208" s="923">
        <v>200876736</v>
      </c>
      <c r="F1208" s="963">
        <v>9148746.0000000503</v>
      </c>
      <c r="G1208" s="1592">
        <v>964830</v>
      </c>
      <c r="H1208" s="906">
        <f t="shared" si="368"/>
        <v>10113576.00000006</v>
      </c>
      <c r="I1208" s="732"/>
    </row>
    <row r="1209" spans="1:9" ht="15.75" hidden="1" outlineLevel="1">
      <c r="A1209" s="898" t="s">
        <v>2148</v>
      </c>
      <c r="B1209" s="1331" t="s">
        <v>1604</v>
      </c>
      <c r="C1209" s="929">
        <f t="shared" si="369"/>
        <v>21782003</v>
      </c>
      <c r="D1209" s="1218">
        <v>150000000</v>
      </c>
      <c r="E1209" s="903">
        <v>132578663</v>
      </c>
      <c r="F1209" s="1218">
        <v>0</v>
      </c>
      <c r="G1209" s="908">
        <v>39203340</v>
      </c>
      <c r="H1209" s="906">
        <f t="shared" si="368"/>
        <v>39203340</v>
      </c>
      <c r="I1209" s="754"/>
    </row>
    <row r="1210" spans="1:9" ht="16.5" hidden="1" outlineLevel="1" thickBot="1">
      <c r="A1210" s="898" t="s">
        <v>2148</v>
      </c>
      <c r="B1210" s="1253" t="s">
        <v>1810</v>
      </c>
      <c r="C1210" s="1259">
        <f t="shared" si="369"/>
        <v>6153000</v>
      </c>
      <c r="D1210" s="773">
        <v>60000000</v>
      </c>
      <c r="E1210" s="806">
        <v>61432640</v>
      </c>
      <c r="F1210" s="785">
        <v>0</v>
      </c>
      <c r="G1210" s="897">
        <v>4720360</v>
      </c>
      <c r="H1210" s="1334">
        <f>C1210+D1210-E1210</f>
        <v>4720360</v>
      </c>
      <c r="I1210" s="754"/>
    </row>
    <row r="1211" spans="1:9" ht="13.5" hidden="1" outlineLevel="1" thickBot="1">
      <c r="A1211" s="1111" t="s">
        <v>2148</v>
      </c>
      <c r="B1211" s="1112" t="s">
        <v>31</v>
      </c>
      <c r="C1211" s="1113">
        <f>SUM(C1203:C1210)</f>
        <v>98729312.621947631</v>
      </c>
      <c r="D1211" s="1113">
        <f t="shared" ref="D1211:H1211" si="370">SUM(D1203:D1210)</f>
        <v>423314000</v>
      </c>
      <c r="E1211" s="1113">
        <f t="shared" si="370"/>
        <v>416264639</v>
      </c>
      <c r="F1211" s="1113">
        <f t="shared" si="370"/>
        <v>45993280.621947624</v>
      </c>
      <c r="G1211" s="1113">
        <f t="shared" si="370"/>
        <v>59785393</v>
      </c>
      <c r="H1211" s="1113">
        <f t="shared" si="370"/>
        <v>105778673.62194763</v>
      </c>
    </row>
    <row r="1212" spans="1:9" hidden="1" outlineLevel="1">
      <c r="A1212" s="898" t="s">
        <v>2161</v>
      </c>
      <c r="B1212" s="927" t="s">
        <v>4</v>
      </c>
      <c r="C1212" s="803">
        <f t="shared" ref="C1212:C1219" si="371">C1203</f>
        <v>4847779</v>
      </c>
      <c r="D1212" s="803">
        <v>30000000</v>
      </c>
      <c r="E1212" s="930">
        <v>29308600</v>
      </c>
      <c r="F1212" s="753">
        <v>5539179</v>
      </c>
      <c r="G1212" s="730">
        <v>0</v>
      </c>
      <c r="H1212" s="905">
        <f t="shared" ref="H1212:H1218" si="372">C1212+D1212-E1212</f>
        <v>5539179</v>
      </c>
      <c r="I1212" s="730"/>
    </row>
    <row r="1213" spans="1:9" hidden="1" outlineLevel="1">
      <c r="A1213" s="898" t="s">
        <v>2161</v>
      </c>
      <c r="B1213" s="928" t="s">
        <v>5</v>
      </c>
      <c r="C1213" s="804">
        <f t="shared" si="371"/>
        <v>0</v>
      </c>
      <c r="D1213" s="754">
        <v>0</v>
      </c>
      <c r="E1213" s="782">
        <v>0</v>
      </c>
      <c r="F1213" s="902">
        <v>0</v>
      </c>
      <c r="G1213" s="1330">
        <v>0</v>
      </c>
      <c r="H1213" s="906">
        <f t="shared" si="372"/>
        <v>0</v>
      </c>
      <c r="I1213" s="732"/>
    </row>
    <row r="1214" spans="1:9" hidden="1" outlineLevel="1">
      <c r="A1214" s="898" t="s">
        <v>2161</v>
      </c>
      <c r="B1214" s="928" t="s">
        <v>6</v>
      </c>
      <c r="C1214" s="804">
        <f t="shared" si="371"/>
        <v>33373355.621947572</v>
      </c>
      <c r="D1214" s="804">
        <v>0</v>
      </c>
      <c r="E1214" s="931">
        <v>0</v>
      </c>
      <c r="F1214" s="754">
        <v>33373355.621947572</v>
      </c>
      <c r="G1214" s="732">
        <v>0</v>
      </c>
      <c r="H1214" s="906">
        <f t="shared" si="372"/>
        <v>33373355.621947572</v>
      </c>
      <c r="I1214" s="732"/>
    </row>
    <row r="1215" spans="1:9" hidden="1" outlineLevel="1">
      <c r="A1215" s="898" t="s">
        <v>2161</v>
      </c>
      <c r="B1215" s="920" t="s">
        <v>7</v>
      </c>
      <c r="C1215" s="804">
        <f t="shared" si="371"/>
        <v>0</v>
      </c>
      <c r="D1215" s="804">
        <v>0</v>
      </c>
      <c r="E1215" s="767">
        <v>0</v>
      </c>
      <c r="F1215" s="788">
        <v>0</v>
      </c>
      <c r="G1215" s="767">
        <v>0</v>
      </c>
      <c r="H1215" s="906">
        <f t="shared" si="372"/>
        <v>0</v>
      </c>
      <c r="I1215" s="732"/>
    </row>
    <row r="1216" spans="1:9" hidden="1" outlineLevel="1">
      <c r="A1216" s="898" t="s">
        <v>2161</v>
      </c>
      <c r="B1216" s="919" t="s">
        <v>8</v>
      </c>
      <c r="C1216" s="804">
        <f t="shared" si="371"/>
        <v>14896863</v>
      </c>
      <c r="D1216" s="754">
        <v>0</v>
      </c>
      <c r="E1216" s="740">
        <v>0</v>
      </c>
      <c r="F1216" s="777">
        <v>0</v>
      </c>
      <c r="G1216" s="767">
        <v>14896863</v>
      </c>
      <c r="H1216" s="906">
        <f t="shared" si="372"/>
        <v>14896863</v>
      </c>
      <c r="I1216" s="732"/>
    </row>
    <row r="1217" spans="1:9" hidden="1" outlineLevel="1">
      <c r="A1217" s="898" t="s">
        <v>2161</v>
      </c>
      <c r="B1217" s="919" t="s">
        <v>9</v>
      </c>
      <c r="C1217" s="929">
        <f t="shared" si="371"/>
        <v>17676312.00000006</v>
      </c>
      <c r="D1217" s="962">
        <v>193314000</v>
      </c>
      <c r="E1217" s="923">
        <v>204539145.99999997</v>
      </c>
      <c r="F1217" s="963">
        <v>5668746.0000000577</v>
      </c>
      <c r="G1217" s="1592">
        <v>783000</v>
      </c>
      <c r="H1217" s="906">
        <f t="shared" si="372"/>
        <v>6451166.0000000894</v>
      </c>
      <c r="I1217" s="732"/>
    </row>
    <row r="1218" spans="1:9" ht="15.75" hidden="1" outlineLevel="1">
      <c r="A1218" s="898" t="s">
        <v>2161</v>
      </c>
      <c r="B1218" s="1331" t="s">
        <v>1604</v>
      </c>
      <c r="C1218" s="929">
        <f t="shared" si="371"/>
        <v>21782003</v>
      </c>
      <c r="D1218" s="1218">
        <v>150000000</v>
      </c>
      <c r="E1218" s="903">
        <v>138756363</v>
      </c>
      <c r="F1218" s="1218">
        <v>0</v>
      </c>
      <c r="G1218" s="908">
        <v>33025640</v>
      </c>
      <c r="H1218" s="906">
        <f t="shared" si="372"/>
        <v>33025640</v>
      </c>
      <c r="I1218" s="754"/>
    </row>
    <row r="1219" spans="1:9" ht="16.5" hidden="1" outlineLevel="1" thickBot="1">
      <c r="A1219" s="898" t="s">
        <v>2161</v>
      </c>
      <c r="B1219" s="1253" t="s">
        <v>1810</v>
      </c>
      <c r="C1219" s="1259">
        <f t="shared" si="371"/>
        <v>6153000</v>
      </c>
      <c r="D1219" s="773">
        <v>65000000</v>
      </c>
      <c r="E1219" s="806">
        <v>65632640</v>
      </c>
      <c r="F1219" s="785">
        <v>0</v>
      </c>
      <c r="G1219" s="897">
        <v>5520360</v>
      </c>
      <c r="H1219" s="1334">
        <f>C1219+D1219-E1219</f>
        <v>5520360</v>
      </c>
      <c r="I1219" s="754"/>
    </row>
    <row r="1220" spans="1:9" ht="13.5" collapsed="1" thickBot="1">
      <c r="A1220" s="1114" t="s">
        <v>1717</v>
      </c>
      <c r="B1220" s="1740" t="s">
        <v>31</v>
      </c>
      <c r="C1220" s="1741">
        <f>SUM(C1212:C1219)</f>
        <v>98729312.621947631</v>
      </c>
      <c r="D1220" s="1741">
        <f t="shared" ref="D1220:H1220" si="373">SUM(D1212:D1219)</f>
        <v>438314000</v>
      </c>
      <c r="E1220" s="1741">
        <f t="shared" si="373"/>
        <v>438236749</v>
      </c>
      <c r="F1220" s="1741">
        <f t="shared" si="373"/>
        <v>44581280.621947631</v>
      </c>
      <c r="G1220" s="1741">
        <f t="shared" si="373"/>
        <v>54225863</v>
      </c>
      <c r="H1220" s="1741">
        <f t="shared" si="373"/>
        <v>98806563.621947661</v>
      </c>
      <c r="I1220" s="1742">
        <f>SUM(H1212:H1219)</f>
        <v>98806563.621947661</v>
      </c>
    </row>
    <row r="1221" spans="1:9" outlineLevel="1">
      <c r="A1221" s="898" t="s">
        <v>2165</v>
      </c>
      <c r="B1221" s="927" t="s">
        <v>4</v>
      </c>
      <c r="C1221" s="803">
        <f>H1212</f>
        <v>5539179</v>
      </c>
      <c r="D1221" s="803">
        <v>0</v>
      </c>
      <c r="E1221" s="930">
        <v>0</v>
      </c>
      <c r="F1221" s="753">
        <v>5539179</v>
      </c>
      <c r="G1221" s="730">
        <v>0</v>
      </c>
      <c r="H1221" s="905">
        <f t="shared" ref="H1221:H1225" si="374">C1221+D1221-E1221</f>
        <v>5539179</v>
      </c>
      <c r="I1221" s="730"/>
    </row>
    <row r="1222" spans="1:9" outlineLevel="1">
      <c r="A1222" s="898" t="s">
        <v>2165</v>
      </c>
      <c r="B1222" s="928" t="s">
        <v>6</v>
      </c>
      <c r="C1222" s="804">
        <f>H1214</f>
        <v>33373355.621947572</v>
      </c>
      <c r="D1222" s="804">
        <v>0</v>
      </c>
      <c r="E1222" s="1787">
        <v>0</v>
      </c>
      <c r="F1222" s="754">
        <v>33373355.621947572</v>
      </c>
      <c r="G1222" s="732">
        <v>0</v>
      </c>
      <c r="H1222" s="906">
        <f t="shared" si="374"/>
        <v>33373355.621947572</v>
      </c>
      <c r="I1222" s="732"/>
    </row>
    <row r="1223" spans="1:9" outlineLevel="1">
      <c r="A1223" s="898" t="s">
        <v>2165</v>
      </c>
      <c r="B1223" s="919" t="s">
        <v>8</v>
      </c>
      <c r="C1223" s="804">
        <f>H1216</f>
        <v>14896863</v>
      </c>
      <c r="D1223" s="754">
        <v>0</v>
      </c>
      <c r="E1223" s="740">
        <v>0</v>
      </c>
      <c r="F1223" s="777">
        <v>14896863</v>
      </c>
      <c r="G1223" s="767">
        <v>0</v>
      </c>
      <c r="H1223" s="906">
        <f t="shared" si="374"/>
        <v>14896863</v>
      </c>
      <c r="I1223" s="732"/>
    </row>
    <row r="1224" spans="1:9" outlineLevel="1">
      <c r="A1224" s="898" t="s">
        <v>2165</v>
      </c>
      <c r="B1224" s="919" t="s">
        <v>9</v>
      </c>
      <c r="C1224" s="929">
        <f>H1217</f>
        <v>6451166.0000000894</v>
      </c>
      <c r="D1224" s="962">
        <v>0</v>
      </c>
      <c r="E1224" s="923">
        <v>0</v>
      </c>
      <c r="F1224" s="963">
        <v>5914666.0000000894</v>
      </c>
      <c r="G1224" s="1592">
        <v>536500</v>
      </c>
      <c r="H1224" s="906">
        <f t="shared" si="374"/>
        <v>6451166.0000000894</v>
      </c>
      <c r="I1224" s="732"/>
    </row>
    <row r="1225" spans="1:9" ht="15.75" outlineLevel="1">
      <c r="A1225" s="898" t="s">
        <v>2165</v>
      </c>
      <c r="B1225" s="1331" t="s">
        <v>1604</v>
      </c>
      <c r="C1225" s="929">
        <f>H1218</f>
        <v>33025640</v>
      </c>
      <c r="D1225" s="1218">
        <v>0</v>
      </c>
      <c r="E1225" s="903">
        <v>0</v>
      </c>
      <c r="F1225" s="906">
        <v>33025640</v>
      </c>
      <c r="G1225" s="908">
        <v>0</v>
      </c>
      <c r="H1225" s="906">
        <f t="shared" si="374"/>
        <v>33025640</v>
      </c>
      <c r="I1225" s="754"/>
    </row>
    <row r="1226" spans="1:9" ht="16.5" outlineLevel="1" thickBot="1">
      <c r="A1226" s="898" t="s">
        <v>2165</v>
      </c>
      <c r="B1226" s="1253" t="s">
        <v>1810</v>
      </c>
      <c r="C1226" s="1259">
        <f>H1219</f>
        <v>5520360</v>
      </c>
      <c r="D1226" s="773">
        <v>0</v>
      </c>
      <c r="E1226" s="806">
        <v>0</v>
      </c>
      <c r="F1226" s="785">
        <v>0</v>
      </c>
      <c r="G1226" s="897">
        <v>5520360</v>
      </c>
      <c r="H1226" s="1334">
        <f>C1226+D1226-E1226</f>
        <v>5520360</v>
      </c>
      <c r="I1226" s="754"/>
    </row>
    <row r="1227" spans="1:9" ht="13.5" outlineLevel="1" thickBot="1">
      <c r="A1227" s="1111" t="s">
        <v>2165</v>
      </c>
      <c r="B1227" s="1112" t="s">
        <v>31</v>
      </c>
      <c r="C1227" s="1113">
        <f t="shared" ref="C1227:H1227" si="375">SUM(C1221:C1226)</f>
        <v>98806563.621947661</v>
      </c>
      <c r="D1227" s="1113">
        <f t="shared" si="375"/>
        <v>0</v>
      </c>
      <c r="E1227" s="1113">
        <f t="shared" si="375"/>
        <v>0</v>
      </c>
      <c r="F1227" s="1113">
        <f t="shared" si="375"/>
        <v>92749703.621947661</v>
      </c>
      <c r="G1227" s="1113">
        <f t="shared" si="375"/>
        <v>6056860</v>
      </c>
      <c r="H1227" s="1113">
        <f t="shared" si="375"/>
        <v>98806563.621947661</v>
      </c>
    </row>
    <row r="1228" spans="1:9" outlineLevel="1">
      <c r="A1228" s="898" t="s">
        <v>2166</v>
      </c>
      <c r="B1228" s="927" t="s">
        <v>4</v>
      </c>
      <c r="C1228" s="803">
        <f>C1221</f>
        <v>5539179</v>
      </c>
      <c r="D1228" s="803">
        <v>0</v>
      </c>
      <c r="E1228" s="930">
        <v>0</v>
      </c>
      <c r="F1228" s="753">
        <v>5539179</v>
      </c>
      <c r="G1228" s="730">
        <v>0</v>
      </c>
      <c r="H1228" s="905">
        <f t="shared" ref="H1228:H1232" si="376">C1228+D1228-E1228</f>
        <v>5539179</v>
      </c>
      <c r="I1228" s="730"/>
    </row>
    <row r="1229" spans="1:9" outlineLevel="1">
      <c r="A1229" s="898" t="s">
        <v>2166</v>
      </c>
      <c r="B1229" s="928" t="s">
        <v>6</v>
      </c>
      <c r="C1229" s="804">
        <f>C1222</f>
        <v>33373355.621947572</v>
      </c>
      <c r="D1229" s="804">
        <v>0</v>
      </c>
      <c r="E1229" s="1787">
        <v>0</v>
      </c>
      <c r="F1229" s="754">
        <v>33373355.621947572</v>
      </c>
      <c r="G1229" s="732">
        <v>0</v>
      </c>
      <c r="H1229" s="906">
        <f t="shared" si="376"/>
        <v>33373355.621947572</v>
      </c>
      <c r="I1229" s="732"/>
    </row>
    <row r="1230" spans="1:9" outlineLevel="1">
      <c r="A1230" s="898" t="s">
        <v>2166</v>
      </c>
      <c r="B1230" s="919" t="s">
        <v>8</v>
      </c>
      <c r="C1230" s="804">
        <f>C1223</f>
        <v>14896863</v>
      </c>
      <c r="D1230" s="754">
        <v>0</v>
      </c>
      <c r="E1230" s="740">
        <v>0</v>
      </c>
      <c r="F1230" s="777">
        <v>14896863</v>
      </c>
      <c r="G1230" s="767">
        <v>0</v>
      </c>
      <c r="H1230" s="906">
        <f t="shared" si="376"/>
        <v>14896863</v>
      </c>
      <c r="I1230" s="732"/>
    </row>
    <row r="1231" spans="1:9" outlineLevel="1">
      <c r="A1231" s="898" t="s">
        <v>2166</v>
      </c>
      <c r="B1231" s="919" t="s">
        <v>9</v>
      </c>
      <c r="C1231" s="929">
        <f>C1224</f>
        <v>6451166.0000000894</v>
      </c>
      <c r="D1231" s="962">
        <v>0</v>
      </c>
      <c r="E1231" s="923">
        <v>0</v>
      </c>
      <c r="F1231" s="963">
        <v>5914666.0000000894</v>
      </c>
      <c r="G1231" s="1592">
        <v>536500</v>
      </c>
      <c r="H1231" s="906">
        <f t="shared" si="376"/>
        <v>6451166.0000000894</v>
      </c>
      <c r="I1231" s="732"/>
    </row>
    <row r="1232" spans="1:9" ht="15.75" outlineLevel="1">
      <c r="A1232" s="898" t="s">
        <v>2166</v>
      </c>
      <c r="B1232" s="1331" t="s">
        <v>1604</v>
      </c>
      <c r="C1232" s="929">
        <f>H1225</f>
        <v>33025640</v>
      </c>
      <c r="D1232" s="1218">
        <v>0</v>
      </c>
      <c r="E1232" s="903">
        <v>0</v>
      </c>
      <c r="F1232" s="906">
        <v>33025640</v>
      </c>
      <c r="G1232" s="908">
        <v>0</v>
      </c>
      <c r="H1232" s="906">
        <f t="shared" si="376"/>
        <v>33025640</v>
      </c>
      <c r="I1232" s="754"/>
    </row>
    <row r="1233" spans="1:9" ht="16.5" outlineLevel="1" thickBot="1">
      <c r="A1233" s="898" t="s">
        <v>2166</v>
      </c>
      <c r="B1233" s="1253" t="s">
        <v>1810</v>
      </c>
      <c r="C1233" s="1259">
        <f>H1226</f>
        <v>5520360</v>
      </c>
      <c r="D1233" s="773">
        <v>0</v>
      </c>
      <c r="E1233" s="806">
        <v>0</v>
      </c>
      <c r="F1233" s="785">
        <v>0</v>
      </c>
      <c r="G1233" s="897">
        <v>5520360</v>
      </c>
      <c r="H1233" s="1334">
        <f>C1233+D1233-E1233</f>
        <v>5520360</v>
      </c>
      <c r="I1233" s="754"/>
    </row>
    <row r="1234" spans="1:9" ht="13.5" outlineLevel="1" thickBot="1">
      <c r="A1234" s="1111" t="s">
        <v>2166</v>
      </c>
      <c r="B1234" s="1112" t="s">
        <v>31</v>
      </c>
      <c r="C1234" s="1113">
        <f t="shared" ref="C1234:H1234" si="377">SUM(C1228:C1233)</f>
        <v>98806563.621947661</v>
      </c>
      <c r="D1234" s="1113">
        <f t="shared" si="377"/>
        <v>0</v>
      </c>
      <c r="E1234" s="1113">
        <f t="shared" si="377"/>
        <v>0</v>
      </c>
      <c r="F1234" s="1113">
        <f t="shared" si="377"/>
        <v>92749703.621947661</v>
      </c>
      <c r="G1234" s="1113">
        <f t="shared" si="377"/>
        <v>6056860</v>
      </c>
      <c r="H1234" s="1113">
        <f t="shared" si="377"/>
        <v>98806563.621947661</v>
      </c>
    </row>
    <row r="1235" spans="1:9" outlineLevel="1">
      <c r="A1235" s="898" t="s">
        <v>2167</v>
      </c>
      <c r="B1235" s="927" t="s">
        <v>4</v>
      </c>
      <c r="C1235" s="803">
        <f>C1228</f>
        <v>5539179</v>
      </c>
      <c r="D1235" s="803">
        <v>0</v>
      </c>
      <c r="E1235" s="930">
        <v>0</v>
      </c>
      <c r="F1235" s="753">
        <v>5539179</v>
      </c>
      <c r="G1235" s="730">
        <v>0</v>
      </c>
      <c r="H1235" s="905">
        <f t="shared" ref="H1235:H1239" si="378">C1235+D1235-E1235</f>
        <v>5539179</v>
      </c>
      <c r="I1235" s="730"/>
    </row>
    <row r="1236" spans="1:9" outlineLevel="1">
      <c r="A1236" s="898" t="s">
        <v>2167</v>
      </c>
      <c r="B1236" s="928" t="s">
        <v>6</v>
      </c>
      <c r="C1236" s="804">
        <f>C1229</f>
        <v>33373355.621947572</v>
      </c>
      <c r="D1236" s="804">
        <v>0</v>
      </c>
      <c r="E1236" s="931">
        <v>0</v>
      </c>
      <c r="F1236" s="754">
        <v>33373355.621947572</v>
      </c>
      <c r="G1236" s="732">
        <v>0</v>
      </c>
      <c r="H1236" s="906">
        <f t="shared" si="378"/>
        <v>33373355.621947572</v>
      </c>
      <c r="I1236" s="732"/>
    </row>
    <row r="1237" spans="1:9" outlineLevel="1">
      <c r="A1237" s="898" t="s">
        <v>2167</v>
      </c>
      <c r="B1237" s="919" t="s">
        <v>8</v>
      </c>
      <c r="C1237" s="804">
        <f>H1230</f>
        <v>14896863</v>
      </c>
      <c r="D1237" s="754">
        <v>0</v>
      </c>
      <c r="E1237" s="740">
        <v>0</v>
      </c>
      <c r="F1237" s="777">
        <v>14896863</v>
      </c>
      <c r="G1237" s="767">
        <v>0</v>
      </c>
      <c r="H1237" s="906">
        <f t="shared" si="378"/>
        <v>14896863</v>
      </c>
      <c r="I1237" s="732"/>
    </row>
    <row r="1238" spans="1:9" outlineLevel="1">
      <c r="A1238" s="898" t="s">
        <v>2167</v>
      </c>
      <c r="B1238" s="919" t="s">
        <v>9</v>
      </c>
      <c r="C1238" s="929">
        <f>C1231</f>
        <v>6451166.0000000894</v>
      </c>
      <c r="D1238" s="962">
        <v>0</v>
      </c>
      <c r="E1238" s="923">
        <v>0</v>
      </c>
      <c r="F1238" s="963">
        <v>5914666.0000000894</v>
      </c>
      <c r="G1238" s="1592">
        <v>536500</v>
      </c>
      <c r="H1238" s="906">
        <f t="shared" si="378"/>
        <v>6451166.0000000894</v>
      </c>
      <c r="I1238" s="732"/>
    </row>
    <row r="1239" spans="1:9" ht="15.75" outlineLevel="1">
      <c r="A1239" s="898" t="s">
        <v>2167</v>
      </c>
      <c r="B1239" s="1331" t="s">
        <v>1604</v>
      </c>
      <c r="C1239" s="929">
        <f>H1232</f>
        <v>33025640</v>
      </c>
      <c r="D1239" s="1218">
        <v>0</v>
      </c>
      <c r="E1239" s="903">
        <v>0</v>
      </c>
      <c r="F1239" s="906">
        <v>33025640</v>
      </c>
      <c r="G1239" s="908">
        <v>0</v>
      </c>
      <c r="H1239" s="906">
        <f t="shared" si="378"/>
        <v>33025640</v>
      </c>
      <c r="I1239" s="754"/>
    </row>
    <row r="1240" spans="1:9" ht="16.5" outlineLevel="1" thickBot="1">
      <c r="A1240" s="898" t="s">
        <v>2167</v>
      </c>
      <c r="B1240" s="1253" t="s">
        <v>1810</v>
      </c>
      <c r="C1240" s="1259">
        <f>H1233</f>
        <v>5520360</v>
      </c>
      <c r="D1240" s="773">
        <v>0</v>
      </c>
      <c r="E1240" s="806">
        <v>0</v>
      </c>
      <c r="F1240" s="785">
        <v>0</v>
      </c>
      <c r="G1240" s="897">
        <v>5520360</v>
      </c>
      <c r="H1240" s="1334">
        <f>C1240+D1240-E1240</f>
        <v>5520360</v>
      </c>
      <c r="I1240" s="754"/>
    </row>
    <row r="1241" spans="1:9" ht="13.5" outlineLevel="1" thickBot="1">
      <c r="A1241" s="1111" t="s">
        <v>2167</v>
      </c>
      <c r="B1241" s="1112" t="s">
        <v>31</v>
      </c>
      <c r="C1241" s="1113">
        <f t="shared" ref="C1241:H1241" si="379">SUM(C1235:C1240)</f>
        <v>98806563.621947661</v>
      </c>
      <c r="D1241" s="1113">
        <f t="shared" si="379"/>
        <v>0</v>
      </c>
      <c r="E1241" s="1113">
        <f t="shared" si="379"/>
        <v>0</v>
      </c>
      <c r="F1241" s="1113">
        <f t="shared" si="379"/>
        <v>92749703.621947661</v>
      </c>
      <c r="G1241" s="1113">
        <f t="shared" si="379"/>
        <v>6056860</v>
      </c>
      <c r="H1241" s="1113">
        <f t="shared" si="379"/>
        <v>98806563.621947661</v>
      </c>
    </row>
    <row r="1242" spans="1:9" outlineLevel="1">
      <c r="A1242" s="898" t="s">
        <v>2168</v>
      </c>
      <c r="B1242" s="927" t="s">
        <v>4</v>
      </c>
      <c r="C1242" s="803">
        <f>C1235</f>
        <v>5539179</v>
      </c>
      <c r="D1242" s="803">
        <v>0</v>
      </c>
      <c r="E1242" s="930"/>
      <c r="F1242" s="753">
        <v>5539179</v>
      </c>
      <c r="G1242" s="730">
        <v>0</v>
      </c>
      <c r="H1242" s="905">
        <f t="shared" ref="H1242:H1246" si="380">C1242+D1242-E1242</f>
        <v>5539179</v>
      </c>
      <c r="I1242" s="730"/>
    </row>
    <row r="1243" spans="1:9" outlineLevel="1">
      <c r="A1243" s="898" t="s">
        <v>2168</v>
      </c>
      <c r="B1243" s="928" t="s">
        <v>6</v>
      </c>
      <c r="C1243" s="804">
        <f>C1236</f>
        <v>33373355.621947572</v>
      </c>
      <c r="D1243" s="804">
        <v>0</v>
      </c>
      <c r="E1243" s="931">
        <v>0</v>
      </c>
      <c r="F1243" s="754">
        <v>33373355.621947572</v>
      </c>
      <c r="G1243" s="732">
        <v>0</v>
      </c>
      <c r="H1243" s="906">
        <f t="shared" si="380"/>
        <v>33373355.621947572</v>
      </c>
      <c r="I1243" s="732"/>
    </row>
    <row r="1244" spans="1:9" outlineLevel="1">
      <c r="A1244" s="898" t="s">
        <v>2168</v>
      </c>
      <c r="B1244" s="919" t="s">
        <v>8</v>
      </c>
      <c r="C1244" s="804">
        <f>H1237</f>
        <v>14896863</v>
      </c>
      <c r="D1244" s="754">
        <v>0</v>
      </c>
      <c r="E1244" s="740">
        <v>0</v>
      </c>
      <c r="F1244" s="777">
        <v>14896863</v>
      </c>
      <c r="G1244" s="767">
        <v>0</v>
      </c>
      <c r="H1244" s="906">
        <f t="shared" si="380"/>
        <v>14896863</v>
      </c>
      <c r="I1244" s="732"/>
    </row>
    <row r="1245" spans="1:9" outlineLevel="1">
      <c r="A1245" s="898" t="s">
        <v>2168</v>
      </c>
      <c r="B1245" s="919" t="s">
        <v>9</v>
      </c>
      <c r="C1245" s="929">
        <f>H1238</f>
        <v>6451166.0000000894</v>
      </c>
      <c r="D1245" s="962">
        <v>0</v>
      </c>
      <c r="E1245" s="923">
        <v>0</v>
      </c>
      <c r="F1245" s="963">
        <v>5914666.0000000894</v>
      </c>
      <c r="G1245" s="1592">
        <v>536500</v>
      </c>
      <c r="H1245" s="906">
        <f t="shared" si="380"/>
        <v>6451166.0000000894</v>
      </c>
      <c r="I1245" s="732"/>
    </row>
    <row r="1246" spans="1:9" ht="15.75" outlineLevel="1">
      <c r="A1246" s="898" t="s">
        <v>2168</v>
      </c>
      <c r="B1246" s="1331" t="s">
        <v>1604</v>
      </c>
      <c r="C1246" s="929">
        <f>H1239</f>
        <v>33025640</v>
      </c>
      <c r="D1246" s="1218">
        <v>0</v>
      </c>
      <c r="E1246" s="903">
        <v>0</v>
      </c>
      <c r="F1246" s="906">
        <v>33025640</v>
      </c>
      <c r="G1246" s="908">
        <v>0</v>
      </c>
      <c r="H1246" s="906">
        <f t="shared" si="380"/>
        <v>33025640</v>
      </c>
      <c r="I1246" s="754"/>
    </row>
    <row r="1247" spans="1:9" ht="16.5" outlineLevel="1" thickBot="1">
      <c r="A1247" s="898" t="s">
        <v>2168</v>
      </c>
      <c r="B1247" s="1253" t="s">
        <v>1810</v>
      </c>
      <c r="C1247" s="1259">
        <f>H1240</f>
        <v>5520360</v>
      </c>
      <c r="D1247" s="773">
        <v>0</v>
      </c>
      <c r="E1247" s="806">
        <v>0</v>
      </c>
      <c r="F1247" s="785">
        <v>0</v>
      </c>
      <c r="G1247" s="897">
        <v>5520360</v>
      </c>
      <c r="H1247" s="1334">
        <f>C1247+D1247-E1247</f>
        <v>5520360</v>
      </c>
      <c r="I1247" s="754"/>
    </row>
    <row r="1248" spans="1:9" ht="13.5" outlineLevel="1" thickBot="1">
      <c r="A1248" s="1111" t="s">
        <v>2168</v>
      </c>
      <c r="B1248" s="1112" t="s">
        <v>31</v>
      </c>
      <c r="C1248" s="1113">
        <f t="shared" ref="C1248:H1248" si="381">SUM(C1242:C1247)</f>
        <v>98806563.621947661</v>
      </c>
      <c r="D1248" s="1113">
        <f t="shared" si="381"/>
        <v>0</v>
      </c>
      <c r="E1248" s="1113">
        <f t="shared" si="381"/>
        <v>0</v>
      </c>
      <c r="F1248" s="1113">
        <f t="shared" si="381"/>
        <v>92749703.621947661</v>
      </c>
      <c r="G1248" s="1113">
        <f t="shared" si="381"/>
        <v>6056860</v>
      </c>
      <c r="H1248" s="1113">
        <f t="shared" si="381"/>
        <v>98806563.621947661</v>
      </c>
    </row>
    <row r="1249" spans="1:9" outlineLevel="1">
      <c r="A1249" s="898" t="s">
        <v>2169</v>
      </c>
      <c r="B1249" s="927" t="s">
        <v>4</v>
      </c>
      <c r="C1249" s="803">
        <f>C1242</f>
        <v>5539179</v>
      </c>
      <c r="D1249" s="803">
        <v>0</v>
      </c>
      <c r="E1249" s="930">
        <v>0</v>
      </c>
      <c r="F1249" s="753">
        <v>5539179</v>
      </c>
      <c r="G1249" s="730">
        <v>0</v>
      </c>
      <c r="H1249" s="905">
        <f t="shared" ref="H1249:H1253" si="382">C1249+D1249-E1249</f>
        <v>5539179</v>
      </c>
      <c r="I1249" s="730"/>
    </row>
    <row r="1250" spans="1:9" outlineLevel="1">
      <c r="A1250" s="898" t="s">
        <v>2169</v>
      </c>
      <c r="B1250" s="928" t="s">
        <v>6</v>
      </c>
      <c r="C1250" s="804">
        <f>C1243</f>
        <v>33373355.621947572</v>
      </c>
      <c r="D1250" s="804">
        <v>0</v>
      </c>
      <c r="E1250" s="931">
        <v>0</v>
      </c>
      <c r="F1250" s="754">
        <v>33373355.621947572</v>
      </c>
      <c r="G1250" s="732">
        <v>0</v>
      </c>
      <c r="H1250" s="906">
        <f t="shared" si="382"/>
        <v>33373355.621947572</v>
      </c>
      <c r="I1250" s="732"/>
    </row>
    <row r="1251" spans="1:9" outlineLevel="1">
      <c r="A1251" s="898" t="s">
        <v>2169</v>
      </c>
      <c r="B1251" s="919" t="s">
        <v>8</v>
      </c>
      <c r="C1251" s="804">
        <f>H1244</f>
        <v>14896863</v>
      </c>
      <c r="D1251" s="754">
        <v>0</v>
      </c>
      <c r="E1251" s="740">
        <v>0</v>
      </c>
      <c r="F1251" s="777">
        <v>14896863</v>
      </c>
      <c r="G1251" s="767">
        <v>0</v>
      </c>
      <c r="H1251" s="906">
        <f t="shared" si="382"/>
        <v>14896863</v>
      </c>
      <c r="I1251" s="732"/>
    </row>
    <row r="1252" spans="1:9" outlineLevel="1">
      <c r="A1252" s="898" t="s">
        <v>2169</v>
      </c>
      <c r="B1252" s="919" t="s">
        <v>9</v>
      </c>
      <c r="C1252" s="929">
        <f>H1245</f>
        <v>6451166.0000000894</v>
      </c>
      <c r="D1252" s="962">
        <v>0</v>
      </c>
      <c r="E1252" s="923">
        <v>0</v>
      </c>
      <c r="F1252" s="963">
        <v>5914666.0000000894</v>
      </c>
      <c r="G1252" s="1592">
        <v>536500</v>
      </c>
      <c r="H1252" s="906">
        <f t="shared" si="382"/>
        <v>6451166.0000000894</v>
      </c>
      <c r="I1252" s="732"/>
    </row>
    <row r="1253" spans="1:9" ht="15.75" outlineLevel="1">
      <c r="A1253" s="898" t="s">
        <v>2169</v>
      </c>
      <c r="B1253" s="1331" t="s">
        <v>1604</v>
      </c>
      <c r="C1253" s="929">
        <f>H1246</f>
        <v>33025640</v>
      </c>
      <c r="D1253" s="1218">
        <v>0</v>
      </c>
      <c r="E1253" s="903">
        <v>0</v>
      </c>
      <c r="F1253" s="906">
        <v>33025640</v>
      </c>
      <c r="G1253" s="908">
        <v>0</v>
      </c>
      <c r="H1253" s="906">
        <f t="shared" si="382"/>
        <v>33025640</v>
      </c>
      <c r="I1253" s="754"/>
    </row>
    <row r="1254" spans="1:9" ht="16.5" outlineLevel="1" thickBot="1">
      <c r="A1254" s="898" t="s">
        <v>2169</v>
      </c>
      <c r="B1254" s="1253" t="s">
        <v>1810</v>
      </c>
      <c r="C1254" s="1259">
        <f>H1247</f>
        <v>5520360</v>
      </c>
      <c r="D1254" s="773">
        <v>0</v>
      </c>
      <c r="E1254" s="806">
        <v>0</v>
      </c>
      <c r="F1254" s="785">
        <v>5520360</v>
      </c>
      <c r="G1254" s="897">
        <v>0</v>
      </c>
      <c r="H1254" s="1334">
        <f>C1254+D1254-E1254</f>
        <v>5520360</v>
      </c>
      <c r="I1254" s="754"/>
    </row>
    <row r="1255" spans="1:9" ht="13.5" outlineLevel="1" thickBot="1">
      <c r="A1255" s="1111" t="s">
        <v>2169</v>
      </c>
      <c r="B1255" s="1112" t="s">
        <v>31</v>
      </c>
      <c r="C1255" s="1113">
        <f>SUM(C1249:C1254)</f>
        <v>98806563.621947661</v>
      </c>
      <c r="D1255" s="1113">
        <v>0</v>
      </c>
      <c r="E1255" s="1113">
        <f>SUM(E1249:E1254)</f>
        <v>0</v>
      </c>
      <c r="F1255" s="1113">
        <f>SUM(F1249:F1254)</f>
        <v>98270063.621947661</v>
      </c>
      <c r="G1255" s="1113">
        <f>SUM(G1249:G1254)</f>
        <v>536500</v>
      </c>
      <c r="H1255" s="1113">
        <f>SUM(H1249:H1254)</f>
        <v>98806563.621947661</v>
      </c>
    </row>
    <row r="1256" spans="1:9" outlineLevel="1">
      <c r="A1256" s="898" t="s">
        <v>2170</v>
      </c>
      <c r="B1256" s="927" t="s">
        <v>4</v>
      </c>
      <c r="C1256" s="803">
        <f>C1249</f>
        <v>5539179</v>
      </c>
      <c r="D1256" s="803">
        <v>0</v>
      </c>
      <c r="E1256" s="930">
        <v>0</v>
      </c>
      <c r="F1256" s="753">
        <v>5539179</v>
      </c>
      <c r="G1256" s="730">
        <v>0</v>
      </c>
      <c r="H1256" s="905">
        <f t="shared" ref="H1256:H1260" si="383">C1256+D1256-E1256</f>
        <v>5539179</v>
      </c>
      <c r="I1256" s="730"/>
    </row>
    <row r="1257" spans="1:9" outlineLevel="1">
      <c r="A1257" s="898" t="s">
        <v>2170</v>
      </c>
      <c r="B1257" s="928" t="s">
        <v>6</v>
      </c>
      <c r="C1257" s="804">
        <f>C1250</f>
        <v>33373355.621947572</v>
      </c>
      <c r="D1257" s="804">
        <v>0</v>
      </c>
      <c r="E1257" s="931">
        <v>0</v>
      </c>
      <c r="F1257" s="754">
        <v>33373355.621947572</v>
      </c>
      <c r="G1257" s="732">
        <v>0</v>
      </c>
      <c r="H1257" s="906">
        <f t="shared" si="383"/>
        <v>33373355.621947572</v>
      </c>
      <c r="I1257" s="732"/>
    </row>
    <row r="1258" spans="1:9" outlineLevel="1">
      <c r="A1258" s="898" t="s">
        <v>2170</v>
      </c>
      <c r="B1258" s="919" t="s">
        <v>8</v>
      </c>
      <c r="C1258" s="804">
        <f>H1251</f>
        <v>14896863</v>
      </c>
      <c r="D1258" s="754">
        <v>0</v>
      </c>
      <c r="E1258" s="740">
        <v>0</v>
      </c>
      <c r="F1258" s="777">
        <v>14896863</v>
      </c>
      <c r="G1258" s="767">
        <v>0</v>
      </c>
      <c r="H1258" s="906">
        <f t="shared" si="383"/>
        <v>14896863</v>
      </c>
      <c r="I1258" s="732"/>
    </row>
    <row r="1259" spans="1:9" outlineLevel="1">
      <c r="A1259" s="898" t="s">
        <v>2170</v>
      </c>
      <c r="B1259" s="919" t="s">
        <v>9</v>
      </c>
      <c r="C1259" s="929">
        <f>H1252</f>
        <v>6451166.0000000894</v>
      </c>
      <c r="D1259" s="962">
        <v>0</v>
      </c>
      <c r="E1259" s="923">
        <v>0</v>
      </c>
      <c r="F1259" s="963">
        <v>5914666.0000000894</v>
      </c>
      <c r="G1259" s="1592">
        <v>536500</v>
      </c>
      <c r="H1259" s="906">
        <f t="shared" si="383"/>
        <v>6451166.0000000894</v>
      </c>
      <c r="I1259" s="732"/>
    </row>
    <row r="1260" spans="1:9" ht="15.75" outlineLevel="1">
      <c r="A1260" s="898" t="s">
        <v>2170</v>
      </c>
      <c r="B1260" s="1331" t="s">
        <v>1604</v>
      </c>
      <c r="C1260" s="929">
        <f>H1253</f>
        <v>33025640</v>
      </c>
      <c r="D1260" s="1218">
        <v>0</v>
      </c>
      <c r="E1260" s="903">
        <v>0</v>
      </c>
      <c r="F1260" s="906">
        <v>33025640</v>
      </c>
      <c r="G1260" s="908">
        <v>0</v>
      </c>
      <c r="H1260" s="906">
        <f t="shared" si="383"/>
        <v>33025640</v>
      </c>
      <c r="I1260" s="754"/>
    </row>
    <row r="1261" spans="1:9" ht="16.5" outlineLevel="1" thickBot="1">
      <c r="A1261" s="898" t="s">
        <v>2170</v>
      </c>
      <c r="B1261" s="1253" t="s">
        <v>1810</v>
      </c>
      <c r="C1261" s="1259">
        <f>H1254</f>
        <v>5520360</v>
      </c>
      <c r="D1261" s="773">
        <v>0</v>
      </c>
      <c r="E1261" s="806">
        <v>3970000</v>
      </c>
      <c r="F1261" s="785">
        <v>1550360</v>
      </c>
      <c r="G1261" s="897">
        <v>0</v>
      </c>
      <c r="H1261" s="1334">
        <f>C1261+D1261-E1261</f>
        <v>1550360</v>
      </c>
      <c r="I1261" s="754"/>
    </row>
    <row r="1262" spans="1:9" ht="13.5" outlineLevel="1" thickBot="1">
      <c r="A1262" s="1111" t="s">
        <v>2170</v>
      </c>
      <c r="B1262" s="1112" t="s">
        <v>31</v>
      </c>
      <c r="C1262" s="1113">
        <f t="shared" ref="C1262:H1262" si="384">SUM(C1256:C1261)</f>
        <v>98806563.621947661</v>
      </c>
      <c r="D1262" s="1113">
        <f t="shared" si="384"/>
        <v>0</v>
      </c>
      <c r="E1262" s="1113">
        <f t="shared" si="384"/>
        <v>3970000</v>
      </c>
      <c r="F1262" s="1113">
        <f t="shared" si="384"/>
        <v>94300063.621947661</v>
      </c>
      <c r="G1262" s="1113">
        <f t="shared" si="384"/>
        <v>536500</v>
      </c>
      <c r="H1262" s="1113">
        <f t="shared" si="384"/>
        <v>94836563.621947661</v>
      </c>
    </row>
    <row r="1263" spans="1:9" outlineLevel="1">
      <c r="A1263" s="898" t="s">
        <v>2171</v>
      </c>
      <c r="B1263" s="927" t="s">
        <v>4</v>
      </c>
      <c r="C1263" s="803">
        <f>C1256</f>
        <v>5539179</v>
      </c>
      <c r="D1263" s="803">
        <v>0</v>
      </c>
      <c r="E1263" s="930">
        <v>0</v>
      </c>
      <c r="F1263" s="753">
        <v>5539179</v>
      </c>
      <c r="G1263" s="730">
        <v>0</v>
      </c>
      <c r="H1263" s="905">
        <f t="shared" ref="H1263:H1267" si="385">C1263+D1263-E1263</f>
        <v>5539179</v>
      </c>
      <c r="I1263" s="730"/>
    </row>
    <row r="1264" spans="1:9" outlineLevel="1">
      <c r="A1264" s="898" t="s">
        <v>2171</v>
      </c>
      <c r="B1264" s="928" t="s">
        <v>6</v>
      </c>
      <c r="C1264" s="804">
        <f>C1257</f>
        <v>33373355.621947572</v>
      </c>
      <c r="D1264" s="804">
        <v>0</v>
      </c>
      <c r="E1264" s="931">
        <v>0</v>
      </c>
      <c r="F1264" s="754">
        <v>33373355.621947572</v>
      </c>
      <c r="G1264" s="732">
        <v>0</v>
      </c>
      <c r="H1264" s="906">
        <f t="shared" si="385"/>
        <v>33373355.621947572</v>
      </c>
      <c r="I1264" s="732"/>
    </row>
    <row r="1265" spans="1:9" outlineLevel="1">
      <c r="A1265" s="898" t="s">
        <v>2171</v>
      </c>
      <c r="B1265" s="919" t="s">
        <v>8</v>
      </c>
      <c r="C1265" s="804">
        <f>H1258</f>
        <v>14896863</v>
      </c>
      <c r="D1265" s="754">
        <v>0</v>
      </c>
      <c r="E1265" s="740">
        <v>0</v>
      </c>
      <c r="F1265" s="777">
        <v>14896863</v>
      </c>
      <c r="G1265" s="767">
        <v>0</v>
      </c>
      <c r="H1265" s="906">
        <f t="shared" si="385"/>
        <v>14896863</v>
      </c>
      <c r="I1265" s="732"/>
    </row>
    <row r="1266" spans="1:9" outlineLevel="1">
      <c r="A1266" s="898" t="s">
        <v>2171</v>
      </c>
      <c r="B1266" s="919" t="s">
        <v>9</v>
      </c>
      <c r="C1266" s="929">
        <f>H1259</f>
        <v>6451166.0000000894</v>
      </c>
      <c r="D1266" s="962">
        <v>0</v>
      </c>
      <c r="E1266" s="923">
        <v>0</v>
      </c>
      <c r="F1266" s="963">
        <v>5914666.0000000894</v>
      </c>
      <c r="G1266" s="1592">
        <v>536500</v>
      </c>
      <c r="H1266" s="906">
        <f t="shared" si="385"/>
        <v>6451166.0000000894</v>
      </c>
      <c r="I1266" s="732"/>
    </row>
    <row r="1267" spans="1:9" ht="15.75" outlineLevel="1">
      <c r="A1267" s="898" t="s">
        <v>2171</v>
      </c>
      <c r="B1267" s="1331" t="s">
        <v>1604</v>
      </c>
      <c r="C1267" s="929">
        <f>H1260</f>
        <v>33025640</v>
      </c>
      <c r="D1267" s="1218">
        <v>0</v>
      </c>
      <c r="E1267" s="903">
        <v>0</v>
      </c>
      <c r="F1267" s="906">
        <v>33025640</v>
      </c>
      <c r="G1267" s="908">
        <v>0</v>
      </c>
      <c r="H1267" s="906">
        <f t="shared" si="385"/>
        <v>33025640</v>
      </c>
      <c r="I1267" s="754"/>
    </row>
    <row r="1268" spans="1:9" ht="16.5" outlineLevel="1" thickBot="1">
      <c r="A1268" s="898" t="s">
        <v>2171</v>
      </c>
      <c r="B1268" s="1253" t="s">
        <v>1810</v>
      </c>
      <c r="C1268" s="1259">
        <f>C1261</f>
        <v>5520360</v>
      </c>
      <c r="D1268" s="773">
        <v>0</v>
      </c>
      <c r="E1268" s="806">
        <v>3970000</v>
      </c>
      <c r="F1268" s="785">
        <v>1550360</v>
      </c>
      <c r="G1268" s="897">
        <v>0</v>
      </c>
      <c r="H1268" s="1334">
        <f>C1268+D1268-E1268</f>
        <v>1550360</v>
      </c>
      <c r="I1268" s="754"/>
    </row>
    <row r="1269" spans="1:9" ht="13.5" outlineLevel="1" thickBot="1">
      <c r="A1269" s="1111" t="s">
        <v>2171</v>
      </c>
      <c r="B1269" s="1112" t="s">
        <v>31</v>
      </c>
      <c r="C1269" s="1113">
        <f t="shared" ref="C1269:H1269" si="386">SUM(C1263:C1268)</f>
        <v>98806563.621947661</v>
      </c>
      <c r="D1269" s="1113">
        <f t="shared" si="386"/>
        <v>0</v>
      </c>
      <c r="E1269" s="1113">
        <f t="shared" si="386"/>
        <v>3970000</v>
      </c>
      <c r="F1269" s="1113">
        <f t="shared" si="386"/>
        <v>94300063.621947661</v>
      </c>
      <c r="G1269" s="1113">
        <f t="shared" si="386"/>
        <v>536500</v>
      </c>
      <c r="H1269" s="1113">
        <f t="shared" si="386"/>
        <v>94836563.621947661</v>
      </c>
    </row>
    <row r="1270" spans="1:9" outlineLevel="1">
      <c r="A1270" s="898" t="s">
        <v>2172</v>
      </c>
      <c r="B1270" s="927" t="s">
        <v>4</v>
      </c>
      <c r="C1270" s="803">
        <f>C1263</f>
        <v>5539179</v>
      </c>
      <c r="D1270" s="803">
        <v>0</v>
      </c>
      <c r="E1270" s="930">
        <v>0</v>
      </c>
      <c r="F1270" s="753">
        <v>5539179</v>
      </c>
      <c r="G1270" s="730">
        <v>0</v>
      </c>
      <c r="H1270" s="905">
        <f t="shared" ref="H1270:H1274" si="387">C1270+D1270-E1270</f>
        <v>5539179</v>
      </c>
      <c r="I1270" s="730"/>
    </row>
    <row r="1271" spans="1:9" outlineLevel="1">
      <c r="A1271" s="898" t="s">
        <v>2172</v>
      </c>
      <c r="B1271" s="928" t="s">
        <v>6</v>
      </c>
      <c r="C1271" s="804">
        <f>C1264</f>
        <v>33373355.621947572</v>
      </c>
      <c r="D1271" s="804">
        <v>0</v>
      </c>
      <c r="E1271" s="931">
        <v>0</v>
      </c>
      <c r="F1271" s="754">
        <v>33373355.621947572</v>
      </c>
      <c r="G1271" s="732">
        <v>0</v>
      </c>
      <c r="H1271" s="906">
        <f t="shared" si="387"/>
        <v>33373355.621947572</v>
      </c>
      <c r="I1271" s="732"/>
    </row>
    <row r="1272" spans="1:9" outlineLevel="1">
      <c r="A1272" s="898" t="s">
        <v>2172</v>
      </c>
      <c r="B1272" s="919" t="s">
        <v>8</v>
      </c>
      <c r="C1272" s="804">
        <f>H1265</f>
        <v>14896863</v>
      </c>
      <c r="D1272" s="754">
        <v>0</v>
      </c>
      <c r="E1272" s="740">
        <v>0</v>
      </c>
      <c r="F1272" s="777">
        <v>14896863</v>
      </c>
      <c r="G1272" s="767">
        <v>0</v>
      </c>
      <c r="H1272" s="906">
        <f t="shared" si="387"/>
        <v>14896863</v>
      </c>
      <c r="I1272" s="732"/>
    </row>
    <row r="1273" spans="1:9" outlineLevel="1">
      <c r="A1273" s="898" t="s">
        <v>2172</v>
      </c>
      <c r="B1273" s="919" t="s">
        <v>9</v>
      </c>
      <c r="C1273" s="929">
        <f>H1266</f>
        <v>6451166.0000000894</v>
      </c>
      <c r="D1273" s="962">
        <v>0</v>
      </c>
      <c r="E1273" s="923">
        <v>3727080</v>
      </c>
      <c r="F1273" s="963">
        <v>2187586.0000000657</v>
      </c>
      <c r="G1273" s="1592">
        <v>536500</v>
      </c>
      <c r="H1273" s="906">
        <f t="shared" si="387"/>
        <v>2724086.0000000894</v>
      </c>
      <c r="I1273" s="732"/>
    </row>
    <row r="1274" spans="1:9" ht="15.75" outlineLevel="1">
      <c r="A1274" s="898" t="s">
        <v>2172</v>
      </c>
      <c r="B1274" s="1331" t="s">
        <v>1604</v>
      </c>
      <c r="C1274" s="929">
        <f>H1267</f>
        <v>33025640</v>
      </c>
      <c r="D1274" s="1218">
        <v>0</v>
      </c>
      <c r="E1274" s="903">
        <v>0</v>
      </c>
      <c r="F1274" s="906">
        <v>33025640</v>
      </c>
      <c r="G1274" s="908">
        <v>0</v>
      </c>
      <c r="H1274" s="906">
        <f t="shared" si="387"/>
        <v>33025640</v>
      </c>
      <c r="I1274" s="754"/>
    </row>
    <row r="1275" spans="1:9" ht="16.5" outlineLevel="1" thickBot="1">
      <c r="A1275" s="898" t="s">
        <v>2172</v>
      </c>
      <c r="B1275" s="1253" t="s">
        <v>1810</v>
      </c>
      <c r="C1275" s="1259">
        <f>C1268</f>
        <v>5520360</v>
      </c>
      <c r="D1275" s="773">
        <v>0</v>
      </c>
      <c r="E1275" s="806">
        <v>3970000</v>
      </c>
      <c r="F1275" s="785">
        <v>1550360</v>
      </c>
      <c r="G1275" s="897">
        <v>0</v>
      </c>
      <c r="H1275" s="1334">
        <f>C1275+D1275-E1275</f>
        <v>1550360</v>
      </c>
      <c r="I1275" s="754"/>
    </row>
    <row r="1276" spans="1:9" ht="13.5" outlineLevel="1" thickBot="1">
      <c r="A1276" s="1111" t="s">
        <v>2172</v>
      </c>
      <c r="B1276" s="1112" t="s">
        <v>31</v>
      </c>
      <c r="C1276" s="1113">
        <f t="shared" ref="C1276:H1276" si="388">SUM(C1270:C1275)</f>
        <v>98806563.621947661</v>
      </c>
      <c r="D1276" s="1113">
        <f t="shared" si="388"/>
        <v>0</v>
      </c>
      <c r="E1276" s="1113">
        <f t="shared" si="388"/>
        <v>7697080</v>
      </c>
      <c r="F1276" s="1113">
        <f t="shared" si="388"/>
        <v>90572983.621947646</v>
      </c>
      <c r="G1276" s="1113">
        <f t="shared" si="388"/>
        <v>536500</v>
      </c>
      <c r="H1276" s="1113">
        <f t="shared" si="388"/>
        <v>91109483.621947661</v>
      </c>
    </row>
    <row r="1277" spans="1:9" outlineLevel="1">
      <c r="A1277" s="898" t="s">
        <v>2173</v>
      </c>
      <c r="B1277" s="927" t="s">
        <v>4</v>
      </c>
      <c r="C1277" s="803">
        <f>C1270</f>
        <v>5539179</v>
      </c>
      <c r="D1277" s="803">
        <v>0</v>
      </c>
      <c r="E1277" s="930">
        <v>3303612</v>
      </c>
      <c r="F1277" s="1792">
        <v>2235567</v>
      </c>
      <c r="G1277" s="730">
        <v>0</v>
      </c>
      <c r="H1277" s="905">
        <f t="shared" ref="H1277:H1281" si="389">C1277+D1277-E1277</f>
        <v>2235567</v>
      </c>
      <c r="I1277" s="730"/>
    </row>
    <row r="1278" spans="1:9" outlineLevel="1">
      <c r="A1278" s="898" t="s">
        <v>2173</v>
      </c>
      <c r="B1278" s="928" t="s">
        <v>6</v>
      </c>
      <c r="C1278" s="804">
        <f>C1271</f>
        <v>33373355.621947572</v>
      </c>
      <c r="D1278" s="804">
        <v>0</v>
      </c>
      <c r="E1278" s="931">
        <v>0</v>
      </c>
      <c r="F1278" s="754">
        <v>33373355.621947572</v>
      </c>
      <c r="G1278" s="732">
        <v>0</v>
      </c>
      <c r="H1278" s="906">
        <f t="shared" si="389"/>
        <v>33373355.621947572</v>
      </c>
      <c r="I1278" s="732"/>
    </row>
    <row r="1279" spans="1:9" outlineLevel="1">
      <c r="A1279" s="898" t="s">
        <v>2173</v>
      </c>
      <c r="B1279" s="919" t="s">
        <v>8</v>
      </c>
      <c r="C1279" s="804">
        <f>H1272</f>
        <v>14896863</v>
      </c>
      <c r="D1279" s="754">
        <v>0</v>
      </c>
      <c r="E1279" s="788">
        <v>0</v>
      </c>
      <c r="F1279" s="775">
        <v>14896863</v>
      </c>
      <c r="G1279" s="767">
        <v>0</v>
      </c>
      <c r="H1279" s="906">
        <f t="shared" si="389"/>
        <v>14896863</v>
      </c>
      <c r="I1279" s="732"/>
    </row>
    <row r="1280" spans="1:9" outlineLevel="1">
      <c r="A1280" s="898" t="s">
        <v>2173</v>
      </c>
      <c r="B1280" s="919" t="s">
        <v>9</v>
      </c>
      <c r="C1280" s="929">
        <f>C1273</f>
        <v>6451166.0000000894</v>
      </c>
      <c r="D1280" s="962">
        <v>0</v>
      </c>
      <c r="E1280" s="1788">
        <v>3727080</v>
      </c>
      <c r="F1280" s="962">
        <v>2187586.0000000657</v>
      </c>
      <c r="G1280" s="1592">
        <v>536500</v>
      </c>
      <c r="H1280" s="906">
        <f t="shared" si="389"/>
        <v>2724086.0000000894</v>
      </c>
      <c r="I1280" s="732"/>
    </row>
    <row r="1281" spans="1:9" ht="15.75" outlineLevel="1">
      <c r="A1281" s="898" t="s">
        <v>2173</v>
      </c>
      <c r="B1281" s="1331" t="s">
        <v>1604</v>
      </c>
      <c r="C1281" s="929">
        <f>H1274</f>
        <v>33025640</v>
      </c>
      <c r="D1281" s="1218">
        <v>40000000</v>
      </c>
      <c r="E1281" s="1789">
        <v>63714278</v>
      </c>
      <c r="F1281" s="1218">
        <v>0</v>
      </c>
      <c r="G1281" s="908">
        <v>9311362</v>
      </c>
      <c r="H1281" s="906">
        <f t="shared" si="389"/>
        <v>9311362</v>
      </c>
      <c r="I1281" s="754"/>
    </row>
    <row r="1282" spans="1:9" ht="16.5" outlineLevel="1" thickBot="1">
      <c r="A1282" s="898" t="s">
        <v>2173</v>
      </c>
      <c r="B1282" s="1253" t="s">
        <v>1810</v>
      </c>
      <c r="C1282" s="1259">
        <f>C1275</f>
        <v>5520360</v>
      </c>
      <c r="D1282" s="773">
        <v>0</v>
      </c>
      <c r="E1282" s="1790">
        <v>5470000</v>
      </c>
      <c r="F1282" s="773">
        <v>50360</v>
      </c>
      <c r="G1282" s="897">
        <v>0</v>
      </c>
      <c r="H1282" s="1334">
        <f>C1282+D1282-E1282</f>
        <v>50360</v>
      </c>
      <c r="I1282" s="754"/>
    </row>
    <row r="1283" spans="1:9" ht="13.5" outlineLevel="1" thickBot="1">
      <c r="A1283" s="1111" t="s">
        <v>2173</v>
      </c>
      <c r="B1283" s="1112" t="s">
        <v>31</v>
      </c>
      <c r="C1283" s="1113">
        <f t="shared" ref="C1283:H1283" si="390">SUM(C1277:C1282)</f>
        <v>98806563.621947661</v>
      </c>
      <c r="D1283" s="1113">
        <f t="shared" si="390"/>
        <v>40000000</v>
      </c>
      <c r="E1283" s="1791">
        <f t="shared" si="390"/>
        <v>76214970</v>
      </c>
      <c r="F1283" s="1224">
        <f t="shared" si="390"/>
        <v>52743731.621947639</v>
      </c>
      <c r="G1283" s="1113">
        <f t="shared" si="390"/>
        <v>9847862</v>
      </c>
      <c r="H1283" s="1113">
        <f t="shared" si="390"/>
        <v>62591593.621947661</v>
      </c>
    </row>
    <row r="1284" spans="1:9" outlineLevel="1">
      <c r="A1284" s="898" t="s">
        <v>2174</v>
      </c>
      <c r="B1284" s="927" t="s">
        <v>4</v>
      </c>
      <c r="C1284" s="803">
        <f>C1277</f>
        <v>5539179</v>
      </c>
      <c r="D1284" s="803">
        <v>0</v>
      </c>
      <c r="E1284" s="930">
        <v>3303612</v>
      </c>
      <c r="F1284" s="1792">
        <v>2235567</v>
      </c>
      <c r="G1284" s="730">
        <v>0</v>
      </c>
      <c r="H1284" s="905">
        <f t="shared" ref="H1284:H1288" si="391">C1284+D1284-E1284</f>
        <v>2235567</v>
      </c>
      <c r="I1284" s="730"/>
    </row>
    <row r="1285" spans="1:9" outlineLevel="1">
      <c r="A1285" s="898" t="s">
        <v>2174</v>
      </c>
      <c r="B1285" s="928" t="s">
        <v>6</v>
      </c>
      <c r="C1285" s="804">
        <f>C1278</f>
        <v>33373355.621947572</v>
      </c>
      <c r="D1285" s="804">
        <v>0</v>
      </c>
      <c r="E1285" s="931">
        <v>0</v>
      </c>
      <c r="F1285" s="754">
        <v>33373355.621947572</v>
      </c>
      <c r="G1285" s="732">
        <v>0</v>
      </c>
      <c r="H1285" s="906">
        <f t="shared" si="391"/>
        <v>33373355.621947572</v>
      </c>
      <c r="I1285" s="732"/>
    </row>
    <row r="1286" spans="1:9" outlineLevel="1">
      <c r="A1286" s="898" t="s">
        <v>2174</v>
      </c>
      <c r="B1286" s="919" t="s">
        <v>8</v>
      </c>
      <c r="C1286" s="804">
        <f>H1279</f>
        <v>14896863</v>
      </c>
      <c r="D1286" s="754">
        <v>0</v>
      </c>
      <c r="E1286" s="788">
        <v>0</v>
      </c>
      <c r="F1286" s="775">
        <v>14896863</v>
      </c>
      <c r="G1286" s="767">
        <v>0</v>
      </c>
      <c r="H1286" s="906">
        <f t="shared" si="391"/>
        <v>14896863</v>
      </c>
      <c r="I1286" s="732"/>
    </row>
    <row r="1287" spans="1:9" outlineLevel="1">
      <c r="A1287" s="898" t="s">
        <v>2174</v>
      </c>
      <c r="B1287" s="919" t="s">
        <v>9</v>
      </c>
      <c r="C1287" s="929">
        <f>C1280</f>
        <v>6451166.0000000894</v>
      </c>
      <c r="D1287" s="962">
        <v>0</v>
      </c>
      <c r="E1287" s="1788">
        <v>3727080</v>
      </c>
      <c r="F1287" s="962">
        <v>2187586.0000000657</v>
      </c>
      <c r="G1287" s="1592">
        <v>536500</v>
      </c>
      <c r="H1287" s="906">
        <f t="shared" si="391"/>
        <v>2724086.0000000894</v>
      </c>
      <c r="I1287" s="732"/>
    </row>
    <row r="1288" spans="1:9" ht="15.75" outlineLevel="1">
      <c r="A1288" s="898" t="s">
        <v>2174</v>
      </c>
      <c r="B1288" s="1331" t="s">
        <v>1604</v>
      </c>
      <c r="C1288" s="929">
        <f>C1281</f>
        <v>33025640</v>
      </c>
      <c r="D1288" s="1218">
        <v>40000000</v>
      </c>
      <c r="E1288" s="1789">
        <v>72251278</v>
      </c>
      <c r="F1288" s="1218">
        <v>0</v>
      </c>
      <c r="G1288" s="908">
        <v>774362</v>
      </c>
      <c r="H1288" s="906">
        <f t="shared" si="391"/>
        <v>774362</v>
      </c>
      <c r="I1288" s="754"/>
    </row>
    <row r="1289" spans="1:9" ht="16.5" outlineLevel="1" thickBot="1">
      <c r="A1289" s="898" t="s">
        <v>2174</v>
      </c>
      <c r="B1289" s="1253" t="s">
        <v>1810</v>
      </c>
      <c r="C1289" s="1259">
        <f>C1282</f>
        <v>5520360</v>
      </c>
      <c r="D1289" s="773">
        <v>20000000</v>
      </c>
      <c r="E1289" s="1790">
        <v>5512000</v>
      </c>
      <c r="F1289" s="773">
        <v>20008360</v>
      </c>
      <c r="G1289" s="897">
        <v>0</v>
      </c>
      <c r="H1289" s="1334">
        <f>C1289+D1289-E1289</f>
        <v>20008360</v>
      </c>
      <c r="I1289" s="754"/>
    </row>
    <row r="1290" spans="1:9" ht="13.5" outlineLevel="1" thickBot="1">
      <c r="A1290" s="1111" t="s">
        <v>2174</v>
      </c>
      <c r="B1290" s="1112" t="s">
        <v>31</v>
      </c>
      <c r="C1290" s="1113">
        <f t="shared" ref="C1290:H1290" si="392">SUM(C1284:C1289)</f>
        <v>98806563.621947661</v>
      </c>
      <c r="D1290" s="1113">
        <f t="shared" si="392"/>
        <v>60000000</v>
      </c>
      <c r="E1290" s="1791">
        <f t="shared" si="392"/>
        <v>84793970</v>
      </c>
      <c r="F1290" s="1224">
        <f t="shared" si="392"/>
        <v>72701731.621947646</v>
      </c>
      <c r="G1290" s="1113">
        <f t="shared" si="392"/>
        <v>1310862</v>
      </c>
      <c r="H1290" s="1113">
        <f t="shared" si="392"/>
        <v>74012593.621947661</v>
      </c>
    </row>
    <row r="1291" spans="1:9" outlineLevel="1">
      <c r="A1291" s="898" t="s">
        <v>2220</v>
      </c>
      <c r="B1291" s="927" t="s">
        <v>4</v>
      </c>
      <c r="C1291" s="803">
        <f t="shared" ref="C1291:C1296" si="393">C1284</f>
        <v>5539179</v>
      </c>
      <c r="D1291" s="803">
        <v>0</v>
      </c>
      <c r="E1291" s="930">
        <v>3303612</v>
      </c>
      <c r="F1291" s="1792">
        <v>2235567</v>
      </c>
      <c r="G1291" s="730">
        <v>0</v>
      </c>
      <c r="H1291" s="905">
        <f t="shared" ref="H1291:H1295" si="394">C1291+D1291-E1291</f>
        <v>2235567</v>
      </c>
      <c r="I1291" s="730"/>
    </row>
    <row r="1292" spans="1:9" outlineLevel="1">
      <c r="A1292" s="898" t="s">
        <v>2220</v>
      </c>
      <c r="B1292" s="928" t="s">
        <v>6</v>
      </c>
      <c r="C1292" s="804">
        <f t="shared" si="393"/>
        <v>33373355.621947572</v>
      </c>
      <c r="D1292" s="804">
        <v>0</v>
      </c>
      <c r="E1292" s="931">
        <v>0</v>
      </c>
      <c r="F1292" s="754">
        <v>33373355.621947572</v>
      </c>
      <c r="G1292" s="732">
        <v>0</v>
      </c>
      <c r="H1292" s="906">
        <f t="shared" si="394"/>
        <v>33373355.621947572</v>
      </c>
      <c r="I1292" s="732"/>
    </row>
    <row r="1293" spans="1:9" outlineLevel="1">
      <c r="A1293" s="898" t="s">
        <v>2220</v>
      </c>
      <c r="B1293" s="919" t="s">
        <v>8</v>
      </c>
      <c r="C1293" s="804">
        <f t="shared" si="393"/>
        <v>14896863</v>
      </c>
      <c r="D1293" s="754">
        <v>0</v>
      </c>
      <c r="E1293" s="788">
        <v>0</v>
      </c>
      <c r="F1293" s="775">
        <v>14896863</v>
      </c>
      <c r="G1293" s="767">
        <v>0</v>
      </c>
      <c r="H1293" s="906">
        <f t="shared" si="394"/>
        <v>14896863</v>
      </c>
      <c r="I1293" s="732"/>
    </row>
    <row r="1294" spans="1:9" outlineLevel="1">
      <c r="A1294" s="898" t="s">
        <v>2220</v>
      </c>
      <c r="B1294" s="919" t="s">
        <v>9</v>
      </c>
      <c r="C1294" s="929">
        <f t="shared" si="393"/>
        <v>6451166.0000000894</v>
      </c>
      <c r="D1294" s="962">
        <v>0</v>
      </c>
      <c r="E1294" s="1788">
        <v>3727080</v>
      </c>
      <c r="F1294" s="962">
        <v>2187586.0000000657</v>
      </c>
      <c r="G1294" s="1592">
        <v>536500</v>
      </c>
      <c r="H1294" s="906">
        <f t="shared" si="394"/>
        <v>2724086.0000000894</v>
      </c>
      <c r="I1294" s="732"/>
    </row>
    <row r="1295" spans="1:9" ht="15.75" outlineLevel="1">
      <c r="A1295" s="898" t="s">
        <v>2220</v>
      </c>
      <c r="B1295" s="1331" t="s">
        <v>1604</v>
      </c>
      <c r="C1295" s="929">
        <f t="shared" si="393"/>
        <v>33025640</v>
      </c>
      <c r="D1295" s="1218">
        <v>40000000</v>
      </c>
      <c r="E1295" s="1789">
        <v>63714278</v>
      </c>
      <c r="F1295" s="1218">
        <v>0</v>
      </c>
      <c r="G1295" s="908">
        <v>774362</v>
      </c>
      <c r="H1295" s="906">
        <f t="shared" si="394"/>
        <v>9311362</v>
      </c>
      <c r="I1295" s="754"/>
    </row>
    <row r="1296" spans="1:9" ht="16.5" outlineLevel="1" thickBot="1">
      <c r="A1296" s="898" t="s">
        <v>2220</v>
      </c>
      <c r="B1296" s="1253" t="s">
        <v>1810</v>
      </c>
      <c r="C1296" s="1259">
        <f t="shared" si="393"/>
        <v>5520360</v>
      </c>
      <c r="D1296" s="773">
        <v>20000000</v>
      </c>
      <c r="E1296" s="1790">
        <v>5512000</v>
      </c>
      <c r="F1296" s="773">
        <v>20008360</v>
      </c>
      <c r="G1296" s="897">
        <v>0</v>
      </c>
      <c r="H1296" s="1334">
        <f>C1296+D1296-E1296</f>
        <v>20008360</v>
      </c>
      <c r="I1296" s="754"/>
    </row>
    <row r="1297" spans="1:9" ht="13.5" outlineLevel="1" thickBot="1">
      <c r="A1297" s="1111" t="s">
        <v>2220</v>
      </c>
      <c r="B1297" s="1112" t="s">
        <v>31</v>
      </c>
      <c r="C1297" s="1113">
        <f t="shared" ref="C1297" si="395">SUM(C1291:C1296)</f>
        <v>98806563.621947661</v>
      </c>
      <c r="D1297" s="1113">
        <f t="shared" ref="D1297" si="396">SUM(D1291:D1296)</f>
        <v>60000000</v>
      </c>
      <c r="E1297" s="1791">
        <f t="shared" ref="E1297" si="397">SUM(E1291:E1296)</f>
        <v>76256970</v>
      </c>
      <c r="F1297" s="1224">
        <f t="shared" ref="F1297" si="398">SUM(F1291:F1296)</f>
        <v>72701731.621947646</v>
      </c>
      <c r="G1297" s="1113">
        <f t="shared" ref="G1297" si="399">SUM(G1291:G1296)</f>
        <v>1310862</v>
      </c>
      <c r="H1297" s="1113">
        <f t="shared" ref="H1297" si="400">SUM(H1291:H1296)</f>
        <v>82549593.621947661</v>
      </c>
    </row>
    <row r="1298" spans="1:9" outlineLevel="1">
      <c r="A1298" s="898" t="s">
        <v>2221</v>
      </c>
      <c r="B1298" s="927" t="s">
        <v>4</v>
      </c>
      <c r="C1298" s="803">
        <f t="shared" ref="C1298:C1352" si="401">C1291</f>
        <v>5539179</v>
      </c>
      <c r="D1298" s="803">
        <v>0</v>
      </c>
      <c r="E1298" s="930">
        <v>3303612</v>
      </c>
      <c r="F1298" s="1792">
        <v>2235567</v>
      </c>
      <c r="G1298" s="730">
        <v>0</v>
      </c>
      <c r="H1298" s="905">
        <f t="shared" ref="H1298:H1302" si="402">C1298+D1298-E1298</f>
        <v>2235567</v>
      </c>
      <c r="I1298" s="730"/>
    </row>
    <row r="1299" spans="1:9" outlineLevel="1">
      <c r="A1299" s="898" t="s">
        <v>2221</v>
      </c>
      <c r="B1299" s="928" t="s">
        <v>6</v>
      </c>
      <c r="C1299" s="804">
        <f t="shared" si="401"/>
        <v>33373355.621947572</v>
      </c>
      <c r="D1299" s="804">
        <v>0</v>
      </c>
      <c r="E1299" s="931">
        <v>0</v>
      </c>
      <c r="F1299" s="754">
        <v>33373355.621947572</v>
      </c>
      <c r="G1299" s="732">
        <v>0</v>
      </c>
      <c r="H1299" s="906">
        <f t="shared" si="402"/>
        <v>33373355.621947572</v>
      </c>
      <c r="I1299" s="732"/>
    </row>
    <row r="1300" spans="1:9" outlineLevel="1">
      <c r="A1300" s="898" t="s">
        <v>2221</v>
      </c>
      <c r="B1300" s="919" t="s">
        <v>8</v>
      </c>
      <c r="C1300" s="804">
        <f t="shared" si="401"/>
        <v>14896863</v>
      </c>
      <c r="D1300" s="754">
        <v>0</v>
      </c>
      <c r="E1300" s="788">
        <v>0</v>
      </c>
      <c r="F1300" s="775">
        <v>14896863</v>
      </c>
      <c r="G1300" s="767">
        <v>0</v>
      </c>
      <c r="H1300" s="906">
        <f t="shared" si="402"/>
        <v>14896863</v>
      </c>
      <c r="I1300" s="732"/>
    </row>
    <row r="1301" spans="1:9" outlineLevel="1">
      <c r="A1301" s="898" t="s">
        <v>2221</v>
      </c>
      <c r="B1301" s="919" t="s">
        <v>9</v>
      </c>
      <c r="C1301" s="929">
        <f t="shared" si="401"/>
        <v>6451166.0000000894</v>
      </c>
      <c r="D1301" s="962">
        <v>0</v>
      </c>
      <c r="E1301" s="1788">
        <v>3727080</v>
      </c>
      <c r="F1301" s="962">
        <v>2187586.0000000657</v>
      </c>
      <c r="G1301" s="1592">
        <v>536500</v>
      </c>
      <c r="H1301" s="906">
        <f t="shared" si="402"/>
        <v>2724086.0000000894</v>
      </c>
      <c r="I1301" s="732"/>
    </row>
    <row r="1302" spans="1:9" ht="15.75" outlineLevel="1">
      <c r="A1302" s="898" t="s">
        <v>2221</v>
      </c>
      <c r="B1302" s="1331" t="s">
        <v>1604</v>
      </c>
      <c r="C1302" s="929">
        <f t="shared" si="401"/>
        <v>33025640</v>
      </c>
      <c r="D1302" s="1218">
        <v>40000000</v>
      </c>
      <c r="E1302" s="1789">
        <v>63714278</v>
      </c>
      <c r="F1302" s="1218">
        <v>0</v>
      </c>
      <c r="G1302" s="908">
        <v>9311362</v>
      </c>
      <c r="H1302" s="906">
        <f t="shared" si="402"/>
        <v>9311362</v>
      </c>
      <c r="I1302" s="754"/>
    </row>
    <row r="1303" spans="1:9" ht="16.5" outlineLevel="1" thickBot="1">
      <c r="A1303" s="898" t="s">
        <v>2221</v>
      </c>
      <c r="B1303" s="1253" t="s">
        <v>1810</v>
      </c>
      <c r="C1303" s="1259">
        <f t="shared" si="401"/>
        <v>5520360</v>
      </c>
      <c r="D1303" s="773">
        <v>20000000</v>
      </c>
      <c r="E1303" s="1790">
        <v>5512000</v>
      </c>
      <c r="F1303" s="773">
        <v>20008360</v>
      </c>
      <c r="G1303" s="897">
        <v>0</v>
      </c>
      <c r="H1303" s="1334">
        <f>C1303+D1303-E1303</f>
        <v>20008360</v>
      </c>
      <c r="I1303" s="754"/>
    </row>
    <row r="1304" spans="1:9" ht="13.5" outlineLevel="1" thickBot="1">
      <c r="A1304" s="1111" t="s">
        <v>2221</v>
      </c>
      <c r="B1304" s="1112" t="s">
        <v>31</v>
      </c>
      <c r="C1304" s="1113">
        <f t="shared" ref="C1304" si="403">SUM(C1298:C1303)</f>
        <v>98806563.621947661</v>
      </c>
      <c r="D1304" s="1113">
        <f t="shared" ref="D1304" si="404">SUM(D1298:D1303)</f>
        <v>60000000</v>
      </c>
      <c r="E1304" s="1791">
        <f t="shared" ref="E1304" si="405">SUM(E1298:E1303)</f>
        <v>76256970</v>
      </c>
      <c r="F1304" s="1224">
        <f t="shared" ref="F1304" si="406">SUM(F1298:F1303)</f>
        <v>72701731.621947646</v>
      </c>
      <c r="G1304" s="1113">
        <f t="shared" ref="G1304" si="407">SUM(G1298:G1303)</f>
        <v>9847862</v>
      </c>
      <c r="H1304" s="1113">
        <f t="shared" ref="H1304" si="408">SUM(H1298:H1303)</f>
        <v>82549593.621947661</v>
      </c>
    </row>
    <row r="1305" spans="1:9" outlineLevel="1">
      <c r="A1305" s="898" t="s">
        <v>2232</v>
      </c>
      <c r="B1305" s="927" t="s">
        <v>4</v>
      </c>
      <c r="C1305" s="803">
        <f t="shared" si="401"/>
        <v>5539179</v>
      </c>
      <c r="D1305" s="803">
        <v>0</v>
      </c>
      <c r="E1305" s="930">
        <v>3303612</v>
      </c>
      <c r="F1305" s="1792">
        <v>2235567</v>
      </c>
      <c r="G1305" s="730">
        <v>0</v>
      </c>
      <c r="H1305" s="905">
        <f t="shared" ref="H1305:H1309" si="409">C1305+D1305-E1305</f>
        <v>2235567</v>
      </c>
      <c r="I1305" s="730"/>
    </row>
    <row r="1306" spans="1:9" outlineLevel="1">
      <c r="A1306" s="898" t="s">
        <v>2232</v>
      </c>
      <c r="B1306" s="928" t="s">
        <v>6</v>
      </c>
      <c r="C1306" s="804">
        <f t="shared" si="401"/>
        <v>33373355.621947572</v>
      </c>
      <c r="D1306" s="804">
        <v>0</v>
      </c>
      <c r="E1306" s="931">
        <v>0</v>
      </c>
      <c r="F1306" s="754">
        <v>33373355.621947572</v>
      </c>
      <c r="G1306" s="732">
        <v>0</v>
      </c>
      <c r="H1306" s="906">
        <f t="shared" si="409"/>
        <v>33373355.621947572</v>
      </c>
      <c r="I1306" s="732"/>
    </row>
    <row r="1307" spans="1:9" outlineLevel="1">
      <c r="A1307" s="898" t="s">
        <v>2232</v>
      </c>
      <c r="B1307" s="919" t="s">
        <v>8</v>
      </c>
      <c r="C1307" s="804">
        <f t="shared" si="401"/>
        <v>14896863</v>
      </c>
      <c r="D1307" s="754">
        <v>0</v>
      </c>
      <c r="E1307" s="788">
        <v>0</v>
      </c>
      <c r="F1307" s="775">
        <v>14896863</v>
      </c>
      <c r="G1307" s="767">
        <v>0</v>
      </c>
      <c r="H1307" s="906">
        <f t="shared" si="409"/>
        <v>14896863</v>
      </c>
      <c r="I1307" s="732"/>
    </row>
    <row r="1308" spans="1:9" outlineLevel="1">
      <c r="A1308" s="898" t="s">
        <v>2232</v>
      </c>
      <c r="B1308" s="919" t="s">
        <v>9</v>
      </c>
      <c r="C1308" s="929">
        <f t="shared" si="401"/>
        <v>6451166.0000000894</v>
      </c>
      <c r="D1308" s="962">
        <v>0</v>
      </c>
      <c r="E1308" s="1788">
        <v>3727080</v>
      </c>
      <c r="F1308" s="962">
        <v>2187586.0000000657</v>
      </c>
      <c r="G1308" s="1592">
        <v>536500</v>
      </c>
      <c r="H1308" s="906">
        <f t="shared" si="409"/>
        <v>2724086.0000000894</v>
      </c>
      <c r="I1308" s="732"/>
    </row>
    <row r="1309" spans="1:9" ht="15.75" outlineLevel="1">
      <c r="A1309" s="898" t="s">
        <v>2232</v>
      </c>
      <c r="B1309" s="1331" t="s">
        <v>1604</v>
      </c>
      <c r="C1309" s="929">
        <f t="shared" si="401"/>
        <v>33025640</v>
      </c>
      <c r="D1309" s="1218">
        <v>40000000</v>
      </c>
      <c r="E1309" s="1789">
        <v>63714278</v>
      </c>
      <c r="F1309" s="1218">
        <v>0</v>
      </c>
      <c r="G1309" s="908">
        <v>9311362</v>
      </c>
      <c r="H1309" s="906">
        <f t="shared" si="409"/>
        <v>9311362</v>
      </c>
      <c r="I1309" s="754"/>
    </row>
    <row r="1310" spans="1:9" ht="16.5" outlineLevel="1" thickBot="1">
      <c r="A1310" s="898" t="s">
        <v>2232</v>
      </c>
      <c r="B1310" s="1253" t="s">
        <v>1810</v>
      </c>
      <c r="C1310" s="1259">
        <f t="shared" si="401"/>
        <v>5520360</v>
      </c>
      <c r="D1310" s="773">
        <v>20000000</v>
      </c>
      <c r="E1310" s="1790">
        <v>5512000</v>
      </c>
      <c r="F1310" s="773">
        <v>20008360</v>
      </c>
      <c r="G1310" s="897">
        <v>0</v>
      </c>
      <c r="H1310" s="1334">
        <f>C1310+D1310-E1310</f>
        <v>20008360</v>
      </c>
      <c r="I1310" s="754"/>
    </row>
    <row r="1311" spans="1:9" ht="13.5" outlineLevel="1" thickBot="1">
      <c r="A1311" s="1111" t="s">
        <v>2232</v>
      </c>
      <c r="B1311" s="1112" t="s">
        <v>31</v>
      </c>
      <c r="C1311" s="1113">
        <f t="shared" ref="C1311" si="410">SUM(C1305:C1310)</f>
        <v>98806563.621947661</v>
      </c>
      <c r="D1311" s="1113">
        <f t="shared" ref="D1311:H1311" si="411">SUM(D1305:D1310)</f>
        <v>60000000</v>
      </c>
      <c r="E1311" s="1791">
        <f t="shared" si="411"/>
        <v>76256970</v>
      </c>
      <c r="F1311" s="1224">
        <f t="shared" si="411"/>
        <v>72701731.621947646</v>
      </c>
      <c r="G1311" s="1113">
        <f t="shared" si="411"/>
        <v>9847862</v>
      </c>
      <c r="H1311" s="1113">
        <f t="shared" si="411"/>
        <v>82549593.621947661</v>
      </c>
    </row>
    <row r="1312" spans="1:9" outlineLevel="1">
      <c r="A1312" s="898" t="s">
        <v>2233</v>
      </c>
      <c r="B1312" s="927" t="s">
        <v>4</v>
      </c>
      <c r="C1312" s="803">
        <f t="shared" si="401"/>
        <v>5539179</v>
      </c>
      <c r="D1312" s="803">
        <v>0</v>
      </c>
      <c r="E1312" s="930">
        <v>3303612</v>
      </c>
      <c r="F1312" s="1792">
        <v>2235567</v>
      </c>
      <c r="G1312" s="730">
        <v>0</v>
      </c>
      <c r="H1312" s="905">
        <f t="shared" ref="H1312:H1316" si="412">C1312+D1312-E1312</f>
        <v>2235567</v>
      </c>
      <c r="I1312" s="730"/>
    </row>
    <row r="1313" spans="1:9" outlineLevel="1">
      <c r="A1313" s="898" t="s">
        <v>2233</v>
      </c>
      <c r="B1313" s="928" t="s">
        <v>6</v>
      </c>
      <c r="C1313" s="804">
        <f t="shared" si="401"/>
        <v>33373355.621947572</v>
      </c>
      <c r="D1313" s="804">
        <v>0</v>
      </c>
      <c r="E1313" s="931">
        <v>0</v>
      </c>
      <c r="F1313" s="754">
        <v>33373355.621947572</v>
      </c>
      <c r="G1313" s="732">
        <v>0</v>
      </c>
      <c r="H1313" s="906">
        <f t="shared" si="412"/>
        <v>33373355.621947572</v>
      </c>
      <c r="I1313" s="732"/>
    </row>
    <row r="1314" spans="1:9" outlineLevel="1">
      <c r="A1314" s="898" t="s">
        <v>2233</v>
      </c>
      <c r="B1314" s="919" t="s">
        <v>8</v>
      </c>
      <c r="C1314" s="804">
        <f t="shared" si="401"/>
        <v>14896863</v>
      </c>
      <c r="D1314" s="754">
        <v>0</v>
      </c>
      <c r="E1314" s="788">
        <v>0</v>
      </c>
      <c r="F1314" s="775">
        <v>14896863</v>
      </c>
      <c r="G1314" s="767">
        <v>0</v>
      </c>
      <c r="H1314" s="906">
        <f t="shared" si="412"/>
        <v>14896863</v>
      </c>
      <c r="I1314" s="732"/>
    </row>
    <row r="1315" spans="1:9" outlineLevel="1">
      <c r="A1315" s="898" t="s">
        <v>2233</v>
      </c>
      <c r="B1315" s="919" t="s">
        <v>9</v>
      </c>
      <c r="C1315" s="929">
        <f t="shared" si="401"/>
        <v>6451166.0000000894</v>
      </c>
      <c r="D1315" s="962">
        <v>16240000</v>
      </c>
      <c r="E1315" s="1788">
        <v>21352990</v>
      </c>
      <c r="F1315" s="962">
        <v>801676.00000006473</v>
      </c>
      <c r="G1315" s="1592">
        <v>536500</v>
      </c>
      <c r="H1315" s="906">
        <f t="shared" si="412"/>
        <v>1338176.0000000894</v>
      </c>
      <c r="I1315" s="732"/>
    </row>
    <row r="1316" spans="1:9" ht="15.75" outlineLevel="1">
      <c r="A1316" s="898" t="s">
        <v>2233</v>
      </c>
      <c r="B1316" s="1331" t="s">
        <v>1604</v>
      </c>
      <c r="C1316" s="929">
        <f t="shared" si="401"/>
        <v>33025640</v>
      </c>
      <c r="D1316" s="1218">
        <v>40000000</v>
      </c>
      <c r="E1316" s="1789">
        <v>63714278</v>
      </c>
      <c r="F1316" s="1218">
        <v>0</v>
      </c>
      <c r="G1316" s="908">
        <v>9311362</v>
      </c>
      <c r="H1316" s="906">
        <f t="shared" si="412"/>
        <v>9311362</v>
      </c>
      <c r="I1316" s="754"/>
    </row>
    <row r="1317" spans="1:9" ht="16.5" outlineLevel="1" thickBot="1">
      <c r="A1317" s="898" t="s">
        <v>2233</v>
      </c>
      <c r="B1317" s="1253" t="s">
        <v>1810</v>
      </c>
      <c r="C1317" s="1259">
        <f t="shared" si="401"/>
        <v>5520360</v>
      </c>
      <c r="D1317" s="773">
        <v>20000000</v>
      </c>
      <c r="E1317" s="1790">
        <v>5512000</v>
      </c>
      <c r="F1317" s="773">
        <v>20008360</v>
      </c>
      <c r="G1317" s="897">
        <v>0</v>
      </c>
      <c r="H1317" s="1334">
        <f>C1317+D1317-E1317</f>
        <v>20008360</v>
      </c>
      <c r="I1317" s="754"/>
    </row>
    <row r="1318" spans="1:9" ht="13.5" outlineLevel="1" thickBot="1">
      <c r="A1318" s="1111" t="s">
        <v>2233</v>
      </c>
      <c r="B1318" s="1112" t="s">
        <v>31</v>
      </c>
      <c r="C1318" s="1113">
        <f t="shared" ref="C1318" si="413">SUM(C1312:C1317)</f>
        <v>98806563.621947661</v>
      </c>
      <c r="D1318" s="1113">
        <f t="shared" ref="D1318:H1318" si="414">SUM(D1312:D1317)</f>
        <v>76240000</v>
      </c>
      <c r="E1318" s="1791">
        <f t="shared" si="414"/>
        <v>93882880</v>
      </c>
      <c r="F1318" s="1224">
        <f t="shared" si="414"/>
        <v>71315821.621947646</v>
      </c>
      <c r="G1318" s="1113">
        <f t="shared" si="414"/>
        <v>9847862</v>
      </c>
      <c r="H1318" s="1113">
        <f t="shared" si="414"/>
        <v>81163683.621947661</v>
      </c>
    </row>
    <row r="1319" spans="1:9" outlineLevel="1">
      <c r="A1319" s="898" t="s">
        <v>2234</v>
      </c>
      <c r="B1319" s="927" t="s">
        <v>4</v>
      </c>
      <c r="C1319" s="803">
        <f t="shared" si="401"/>
        <v>5539179</v>
      </c>
      <c r="D1319" s="803">
        <v>0</v>
      </c>
      <c r="E1319" s="930">
        <v>3303612</v>
      </c>
      <c r="F1319" s="1792">
        <v>2235567</v>
      </c>
      <c r="G1319" s="730">
        <v>0</v>
      </c>
      <c r="H1319" s="905">
        <f t="shared" ref="H1319:H1323" si="415">C1319+D1319-E1319</f>
        <v>2235567</v>
      </c>
      <c r="I1319" s="730"/>
    </row>
    <row r="1320" spans="1:9" outlineLevel="1">
      <c r="A1320" s="898" t="s">
        <v>2234</v>
      </c>
      <c r="B1320" s="928" t="s">
        <v>6</v>
      </c>
      <c r="C1320" s="804">
        <f t="shared" si="401"/>
        <v>33373355.621947572</v>
      </c>
      <c r="D1320" s="804">
        <v>0</v>
      </c>
      <c r="E1320" s="931">
        <v>0</v>
      </c>
      <c r="F1320" s="754">
        <v>33373355.621947572</v>
      </c>
      <c r="G1320" s="732">
        <v>0</v>
      </c>
      <c r="H1320" s="906">
        <f t="shared" si="415"/>
        <v>33373355.621947572</v>
      </c>
      <c r="I1320" s="732"/>
    </row>
    <row r="1321" spans="1:9" outlineLevel="1">
      <c r="A1321" s="898" t="s">
        <v>2234</v>
      </c>
      <c r="B1321" s="919" t="s">
        <v>8</v>
      </c>
      <c r="C1321" s="804">
        <f t="shared" si="401"/>
        <v>14896863</v>
      </c>
      <c r="D1321" s="754">
        <v>0</v>
      </c>
      <c r="E1321" s="788">
        <v>0</v>
      </c>
      <c r="F1321" s="775">
        <v>14896863</v>
      </c>
      <c r="G1321" s="767">
        <v>0</v>
      </c>
      <c r="H1321" s="906">
        <f t="shared" si="415"/>
        <v>14896863</v>
      </c>
      <c r="I1321" s="732"/>
    </row>
    <row r="1322" spans="1:9" outlineLevel="1">
      <c r="A1322" s="898" t="s">
        <v>2234</v>
      </c>
      <c r="B1322" s="919" t="s">
        <v>9</v>
      </c>
      <c r="C1322" s="929">
        <f t="shared" si="401"/>
        <v>6451166.0000000894</v>
      </c>
      <c r="D1322" s="962">
        <v>16240000</v>
      </c>
      <c r="E1322" s="1788">
        <v>21352990</v>
      </c>
      <c r="F1322" s="962">
        <v>801676.00000006473</v>
      </c>
      <c r="G1322" s="1592">
        <v>536500</v>
      </c>
      <c r="H1322" s="906">
        <f t="shared" si="415"/>
        <v>1338176.0000000894</v>
      </c>
      <c r="I1322" s="732"/>
    </row>
    <row r="1323" spans="1:9" ht="15.75" outlineLevel="1">
      <c r="A1323" s="898" t="s">
        <v>2234</v>
      </c>
      <c r="B1323" s="1331" t="s">
        <v>1604</v>
      </c>
      <c r="C1323" s="929">
        <f t="shared" si="401"/>
        <v>33025640</v>
      </c>
      <c r="D1323" s="1218">
        <v>90000000</v>
      </c>
      <c r="E1323" s="1789">
        <v>95131278</v>
      </c>
      <c r="F1323" s="1218">
        <v>27894362</v>
      </c>
      <c r="G1323" s="908">
        <v>0</v>
      </c>
      <c r="H1323" s="906">
        <f t="shared" si="415"/>
        <v>27894362</v>
      </c>
      <c r="I1323" s="754"/>
    </row>
    <row r="1324" spans="1:9" ht="16.5" outlineLevel="1" thickBot="1">
      <c r="A1324" s="898" t="s">
        <v>2234</v>
      </c>
      <c r="B1324" s="1253" t="s">
        <v>1810</v>
      </c>
      <c r="C1324" s="1259">
        <f t="shared" si="401"/>
        <v>5520360</v>
      </c>
      <c r="D1324" s="773">
        <v>20000000</v>
      </c>
      <c r="E1324" s="1790">
        <v>19186000</v>
      </c>
      <c r="F1324" s="773">
        <v>6334360</v>
      </c>
      <c r="G1324" s="897">
        <v>0</v>
      </c>
      <c r="H1324" s="1334">
        <f>C1324+D1324-E1324</f>
        <v>6334360</v>
      </c>
      <c r="I1324" s="754"/>
    </row>
    <row r="1325" spans="1:9" ht="13.5" outlineLevel="1" thickBot="1">
      <c r="A1325" s="1111" t="s">
        <v>2234</v>
      </c>
      <c r="B1325" s="1112" t="s">
        <v>31</v>
      </c>
      <c r="C1325" s="1113">
        <f t="shared" ref="C1325" si="416">SUM(C1319:C1324)</f>
        <v>98806563.621947661</v>
      </c>
      <c r="D1325" s="1113">
        <f t="shared" ref="D1325:H1325" si="417">SUM(D1319:D1324)</f>
        <v>126240000</v>
      </c>
      <c r="E1325" s="1791">
        <f t="shared" si="417"/>
        <v>138973880</v>
      </c>
      <c r="F1325" s="1224">
        <f t="shared" si="417"/>
        <v>85536183.621947646</v>
      </c>
      <c r="G1325" s="1113">
        <f t="shared" si="417"/>
        <v>536500</v>
      </c>
      <c r="H1325" s="1113">
        <f t="shared" si="417"/>
        <v>86072683.621947661</v>
      </c>
    </row>
    <row r="1326" spans="1:9" outlineLevel="1">
      <c r="A1326" s="898" t="s">
        <v>2235</v>
      </c>
      <c r="B1326" s="927" t="s">
        <v>4</v>
      </c>
      <c r="C1326" s="803">
        <f t="shared" si="401"/>
        <v>5539179</v>
      </c>
      <c r="D1326" s="803">
        <v>0</v>
      </c>
      <c r="E1326" s="930">
        <v>3303612</v>
      </c>
      <c r="F1326" s="1792">
        <v>2235567</v>
      </c>
      <c r="G1326" s="730">
        <v>0</v>
      </c>
      <c r="H1326" s="905">
        <f t="shared" ref="H1326:H1330" si="418">C1326+D1326-E1326</f>
        <v>2235567</v>
      </c>
      <c r="I1326" s="730"/>
    </row>
    <row r="1327" spans="1:9" outlineLevel="1">
      <c r="A1327" s="898" t="s">
        <v>2235</v>
      </c>
      <c r="B1327" s="928" t="s">
        <v>6</v>
      </c>
      <c r="C1327" s="804">
        <f t="shared" si="401"/>
        <v>33373355.621947572</v>
      </c>
      <c r="D1327" s="804">
        <v>0</v>
      </c>
      <c r="E1327" s="931">
        <v>0</v>
      </c>
      <c r="F1327" s="754">
        <v>33373355.621947572</v>
      </c>
      <c r="G1327" s="732">
        <v>0</v>
      </c>
      <c r="H1327" s="906">
        <f t="shared" si="418"/>
        <v>33373355.621947572</v>
      </c>
      <c r="I1327" s="732"/>
    </row>
    <row r="1328" spans="1:9" outlineLevel="1">
      <c r="A1328" s="898" t="s">
        <v>2235</v>
      </c>
      <c r="B1328" s="919" t="s">
        <v>8</v>
      </c>
      <c r="C1328" s="804">
        <f t="shared" si="401"/>
        <v>14896863</v>
      </c>
      <c r="D1328" s="754">
        <v>0</v>
      </c>
      <c r="E1328" s="788">
        <v>0</v>
      </c>
      <c r="F1328" s="775">
        <v>14896863</v>
      </c>
      <c r="G1328" s="767">
        <v>0</v>
      </c>
      <c r="H1328" s="906">
        <f t="shared" si="418"/>
        <v>14896863</v>
      </c>
      <c r="I1328" s="732"/>
    </row>
    <row r="1329" spans="1:9" outlineLevel="1">
      <c r="A1329" s="898" t="s">
        <v>2235</v>
      </c>
      <c r="B1329" s="919" t="s">
        <v>9</v>
      </c>
      <c r="C1329" s="929">
        <f t="shared" si="401"/>
        <v>6451166.0000000894</v>
      </c>
      <c r="D1329" s="962">
        <v>16240000</v>
      </c>
      <c r="E1329" s="1788">
        <v>21352990</v>
      </c>
      <c r="F1329" s="962">
        <v>801676.00000006473</v>
      </c>
      <c r="G1329" s="1592">
        <v>536500</v>
      </c>
      <c r="H1329" s="906">
        <f t="shared" si="418"/>
        <v>1338176.0000000894</v>
      </c>
      <c r="I1329" s="732"/>
    </row>
    <row r="1330" spans="1:9" ht="15.75" outlineLevel="1">
      <c r="A1330" s="898" t="s">
        <v>2235</v>
      </c>
      <c r="B1330" s="1331" t="s">
        <v>1604</v>
      </c>
      <c r="C1330" s="929">
        <f t="shared" si="401"/>
        <v>33025640</v>
      </c>
      <c r="D1330" s="1218">
        <v>90000000</v>
      </c>
      <c r="E1330" s="1789">
        <v>95131278</v>
      </c>
      <c r="F1330" s="1218">
        <v>27894362</v>
      </c>
      <c r="G1330" s="908">
        <v>0</v>
      </c>
      <c r="H1330" s="906">
        <f t="shared" si="418"/>
        <v>27894362</v>
      </c>
      <c r="I1330" s="754"/>
    </row>
    <row r="1331" spans="1:9" ht="16.5" outlineLevel="1" thickBot="1">
      <c r="A1331" s="898" t="s">
        <v>2235</v>
      </c>
      <c r="B1331" s="1253" t="s">
        <v>1810</v>
      </c>
      <c r="C1331" s="1259">
        <f t="shared" si="401"/>
        <v>5520360</v>
      </c>
      <c r="D1331" s="773">
        <v>20000000</v>
      </c>
      <c r="E1331" s="1790">
        <v>19186000</v>
      </c>
      <c r="F1331" s="773">
        <v>6334360</v>
      </c>
      <c r="G1331" s="897">
        <v>0</v>
      </c>
      <c r="H1331" s="1334">
        <f>C1331+D1331-E1331</f>
        <v>6334360</v>
      </c>
      <c r="I1331" s="754"/>
    </row>
    <row r="1332" spans="1:9" ht="13.5" outlineLevel="1" thickBot="1">
      <c r="A1332" s="1111" t="s">
        <v>2235</v>
      </c>
      <c r="B1332" s="1112" t="s">
        <v>31</v>
      </c>
      <c r="C1332" s="1113">
        <f t="shared" ref="C1332" si="419">SUM(C1326:C1331)</f>
        <v>98806563.621947661</v>
      </c>
      <c r="D1332" s="1113">
        <f t="shared" ref="D1332:H1332" si="420">SUM(D1326:D1331)</f>
        <v>126240000</v>
      </c>
      <c r="E1332" s="1791">
        <f t="shared" si="420"/>
        <v>138973880</v>
      </c>
      <c r="F1332" s="1224">
        <f t="shared" si="420"/>
        <v>85536183.621947646</v>
      </c>
      <c r="G1332" s="1113">
        <f t="shared" si="420"/>
        <v>536500</v>
      </c>
      <c r="H1332" s="1113">
        <f t="shared" si="420"/>
        <v>86072683.621947661</v>
      </c>
    </row>
    <row r="1333" spans="1:9" outlineLevel="1">
      <c r="A1333" s="898" t="s">
        <v>2271</v>
      </c>
      <c r="B1333" s="927" t="s">
        <v>4</v>
      </c>
      <c r="C1333" s="803">
        <f t="shared" si="401"/>
        <v>5539179</v>
      </c>
      <c r="D1333" s="803">
        <v>0</v>
      </c>
      <c r="E1333" s="930">
        <v>3303612</v>
      </c>
      <c r="F1333" s="1792">
        <v>2235567</v>
      </c>
      <c r="G1333" s="730">
        <v>0</v>
      </c>
      <c r="H1333" s="905">
        <f t="shared" ref="H1333:H1337" si="421">C1333+D1333-E1333</f>
        <v>2235567</v>
      </c>
      <c r="I1333" s="730"/>
    </row>
    <row r="1334" spans="1:9" outlineLevel="1">
      <c r="A1334" s="898" t="s">
        <v>2271</v>
      </c>
      <c r="B1334" s="928" t="s">
        <v>6</v>
      </c>
      <c r="C1334" s="804">
        <f t="shared" si="401"/>
        <v>33373355.621947572</v>
      </c>
      <c r="D1334" s="804">
        <v>0</v>
      </c>
      <c r="E1334" s="931">
        <v>0</v>
      </c>
      <c r="F1334" s="754">
        <v>33373355.621947572</v>
      </c>
      <c r="G1334" s="732">
        <v>0</v>
      </c>
      <c r="H1334" s="906">
        <f t="shared" si="421"/>
        <v>33373355.621947572</v>
      </c>
      <c r="I1334" s="732"/>
    </row>
    <row r="1335" spans="1:9" outlineLevel="1">
      <c r="A1335" s="898" t="s">
        <v>2271</v>
      </c>
      <c r="B1335" s="919" t="s">
        <v>8</v>
      </c>
      <c r="C1335" s="804">
        <f t="shared" si="401"/>
        <v>14896863</v>
      </c>
      <c r="D1335" s="754">
        <v>0</v>
      </c>
      <c r="E1335" s="788">
        <v>0</v>
      </c>
      <c r="F1335" s="775">
        <v>14896863</v>
      </c>
      <c r="G1335" s="767">
        <v>0</v>
      </c>
      <c r="H1335" s="906">
        <f t="shared" si="421"/>
        <v>14896863</v>
      </c>
      <c r="I1335" s="732"/>
    </row>
    <row r="1336" spans="1:9" outlineLevel="1">
      <c r="A1336" s="898" t="s">
        <v>2271</v>
      </c>
      <c r="B1336" s="919" t="s">
        <v>9</v>
      </c>
      <c r="C1336" s="929">
        <f t="shared" si="401"/>
        <v>6451166.0000000894</v>
      </c>
      <c r="D1336" s="962">
        <v>16240000</v>
      </c>
      <c r="E1336" s="1788">
        <v>21352990</v>
      </c>
      <c r="F1336" s="962">
        <v>801676.00000006473</v>
      </c>
      <c r="G1336" s="1592">
        <v>536500</v>
      </c>
      <c r="H1336" s="906">
        <f t="shared" si="421"/>
        <v>1338176.0000000894</v>
      </c>
      <c r="I1336" s="732"/>
    </row>
    <row r="1337" spans="1:9" ht="15.75" outlineLevel="1">
      <c r="A1337" s="898" t="s">
        <v>2271</v>
      </c>
      <c r="B1337" s="1331" t="s">
        <v>1604</v>
      </c>
      <c r="C1337" s="929">
        <f t="shared" si="401"/>
        <v>33025640</v>
      </c>
      <c r="D1337" s="1218">
        <v>90000000</v>
      </c>
      <c r="E1337" s="1789">
        <v>95131278</v>
      </c>
      <c r="F1337" s="1218">
        <v>27894362</v>
      </c>
      <c r="G1337" s="908">
        <v>0</v>
      </c>
      <c r="H1337" s="906">
        <f t="shared" si="421"/>
        <v>27894362</v>
      </c>
      <c r="I1337" s="754"/>
    </row>
    <row r="1338" spans="1:9" ht="16.5" outlineLevel="1" thickBot="1">
      <c r="A1338" s="898" t="s">
        <v>2271</v>
      </c>
      <c r="B1338" s="1253" t="s">
        <v>1810</v>
      </c>
      <c r="C1338" s="1259">
        <f t="shared" si="401"/>
        <v>5520360</v>
      </c>
      <c r="D1338" s="773">
        <v>20000000</v>
      </c>
      <c r="E1338" s="1790">
        <v>19186000</v>
      </c>
      <c r="F1338" s="773">
        <v>6334360</v>
      </c>
      <c r="G1338" s="897">
        <v>0</v>
      </c>
      <c r="H1338" s="1334">
        <f>C1338+D1338-E1338</f>
        <v>6334360</v>
      </c>
      <c r="I1338" s="754"/>
    </row>
    <row r="1339" spans="1:9" ht="13.5" outlineLevel="1" thickBot="1">
      <c r="A1339" s="1111" t="s">
        <v>2271</v>
      </c>
      <c r="B1339" s="1112" t="s">
        <v>31</v>
      </c>
      <c r="C1339" s="1113">
        <f t="shared" ref="C1339" si="422">SUM(C1333:C1338)</f>
        <v>98806563.621947661</v>
      </c>
      <c r="D1339" s="1113">
        <f t="shared" ref="D1339:H1339" si="423">SUM(D1333:D1338)</f>
        <v>126240000</v>
      </c>
      <c r="E1339" s="1791">
        <f t="shared" si="423"/>
        <v>138973880</v>
      </c>
      <c r="F1339" s="1224">
        <f t="shared" si="423"/>
        <v>85536183.621947646</v>
      </c>
      <c r="G1339" s="1113">
        <f t="shared" si="423"/>
        <v>536500</v>
      </c>
      <c r="H1339" s="1113">
        <f t="shared" si="423"/>
        <v>86072683.621947661</v>
      </c>
    </row>
    <row r="1340" spans="1:9" outlineLevel="1">
      <c r="A1340" s="898" t="s">
        <v>2272</v>
      </c>
      <c r="B1340" s="927" t="s">
        <v>4</v>
      </c>
      <c r="C1340" s="803">
        <f t="shared" si="401"/>
        <v>5539179</v>
      </c>
      <c r="D1340" s="803">
        <v>0</v>
      </c>
      <c r="E1340" s="930">
        <v>3303612</v>
      </c>
      <c r="F1340" s="1792">
        <v>2235567</v>
      </c>
      <c r="G1340" s="730">
        <v>0</v>
      </c>
      <c r="H1340" s="905">
        <f t="shared" ref="H1340:H1344" si="424">C1340+D1340-E1340</f>
        <v>2235567</v>
      </c>
      <c r="I1340" s="730"/>
    </row>
    <row r="1341" spans="1:9" outlineLevel="1">
      <c r="A1341" s="898" t="s">
        <v>2272</v>
      </c>
      <c r="B1341" s="928" t="s">
        <v>6</v>
      </c>
      <c r="C1341" s="804">
        <f t="shared" si="401"/>
        <v>33373355.621947572</v>
      </c>
      <c r="D1341" s="804">
        <v>0</v>
      </c>
      <c r="E1341" s="931">
        <v>0</v>
      </c>
      <c r="F1341" s="754">
        <v>33373355.621947572</v>
      </c>
      <c r="G1341" s="732">
        <v>0</v>
      </c>
      <c r="H1341" s="906">
        <f t="shared" si="424"/>
        <v>33373355.621947572</v>
      </c>
      <c r="I1341" s="732"/>
    </row>
    <row r="1342" spans="1:9" outlineLevel="1">
      <c r="A1342" s="898" t="s">
        <v>2272</v>
      </c>
      <c r="B1342" s="919" t="s">
        <v>8</v>
      </c>
      <c r="C1342" s="804">
        <f t="shared" si="401"/>
        <v>14896863</v>
      </c>
      <c r="D1342" s="754">
        <v>0</v>
      </c>
      <c r="E1342" s="788">
        <v>0</v>
      </c>
      <c r="F1342" s="775">
        <v>14896863</v>
      </c>
      <c r="G1342" s="767">
        <v>0</v>
      </c>
      <c r="H1342" s="906">
        <f t="shared" si="424"/>
        <v>14896863</v>
      </c>
      <c r="I1342" s="732"/>
    </row>
    <row r="1343" spans="1:9" outlineLevel="1">
      <c r="A1343" s="898" t="s">
        <v>2272</v>
      </c>
      <c r="B1343" s="919" t="s">
        <v>9</v>
      </c>
      <c r="C1343" s="929">
        <f t="shared" si="401"/>
        <v>6451166.0000000894</v>
      </c>
      <c r="D1343" s="962">
        <v>16240000</v>
      </c>
      <c r="E1343" s="1788">
        <v>21580350</v>
      </c>
      <c r="F1343" s="962">
        <v>801676.00000006577</v>
      </c>
      <c r="G1343" s="1592">
        <v>309140</v>
      </c>
      <c r="H1343" s="906">
        <f t="shared" si="424"/>
        <v>1110816.0000000894</v>
      </c>
      <c r="I1343" s="732"/>
    </row>
    <row r="1344" spans="1:9" ht="15.75" outlineLevel="1">
      <c r="A1344" s="898" t="s">
        <v>2272</v>
      </c>
      <c r="B1344" s="1331" t="s">
        <v>1604</v>
      </c>
      <c r="C1344" s="929">
        <f t="shared" si="401"/>
        <v>33025640</v>
      </c>
      <c r="D1344" s="1218">
        <v>90000000</v>
      </c>
      <c r="E1344" s="1789">
        <v>95131278</v>
      </c>
      <c r="F1344" s="1218">
        <v>27894362</v>
      </c>
      <c r="G1344" s="908">
        <v>0</v>
      </c>
      <c r="H1344" s="906">
        <f t="shared" si="424"/>
        <v>27894362</v>
      </c>
      <c r="I1344" s="754"/>
    </row>
    <row r="1345" spans="1:9" ht="16.5" outlineLevel="1" thickBot="1">
      <c r="A1345" s="898" t="s">
        <v>2272</v>
      </c>
      <c r="B1345" s="1253" t="s">
        <v>1810</v>
      </c>
      <c r="C1345" s="1259">
        <f t="shared" si="401"/>
        <v>5520360</v>
      </c>
      <c r="D1345" s="773">
        <v>20000000</v>
      </c>
      <c r="E1345" s="1790">
        <v>19186000</v>
      </c>
      <c r="F1345" s="773">
        <v>6334360</v>
      </c>
      <c r="G1345" s="897">
        <v>0</v>
      </c>
      <c r="H1345" s="1334">
        <f>C1345+D1345-E1345</f>
        <v>6334360</v>
      </c>
      <c r="I1345" s="754"/>
    </row>
    <row r="1346" spans="1:9" ht="13.5" outlineLevel="1" thickBot="1">
      <c r="A1346" s="1111" t="s">
        <v>2272</v>
      </c>
      <c r="B1346" s="1112" t="s">
        <v>31</v>
      </c>
      <c r="C1346" s="1113">
        <f t="shared" ref="C1346" si="425">SUM(C1340:C1345)</f>
        <v>98806563.621947661</v>
      </c>
      <c r="D1346" s="1113">
        <f t="shared" ref="D1346:H1346" si="426">SUM(D1340:D1345)</f>
        <v>126240000</v>
      </c>
      <c r="E1346" s="1791">
        <f t="shared" si="426"/>
        <v>139201240</v>
      </c>
      <c r="F1346" s="1224">
        <f t="shared" si="426"/>
        <v>85536183.621947646</v>
      </c>
      <c r="G1346" s="1113">
        <f t="shared" si="426"/>
        <v>309140</v>
      </c>
      <c r="H1346" s="1113">
        <f t="shared" si="426"/>
        <v>85845323.621947661</v>
      </c>
    </row>
    <row r="1347" spans="1:9" outlineLevel="1">
      <c r="A1347" s="898" t="s">
        <v>2273</v>
      </c>
      <c r="B1347" s="927" t="s">
        <v>4</v>
      </c>
      <c r="C1347" s="803">
        <f t="shared" si="401"/>
        <v>5539179</v>
      </c>
      <c r="D1347" s="803">
        <v>0</v>
      </c>
      <c r="E1347" s="930">
        <v>3303612</v>
      </c>
      <c r="F1347" s="1792">
        <v>2235567</v>
      </c>
      <c r="G1347" s="730">
        <v>0</v>
      </c>
      <c r="H1347" s="905">
        <f t="shared" ref="H1347:H1351" si="427">C1347+D1347-E1347</f>
        <v>2235567</v>
      </c>
      <c r="I1347" s="730"/>
    </row>
    <row r="1348" spans="1:9" outlineLevel="1">
      <c r="A1348" s="898" t="s">
        <v>2273</v>
      </c>
      <c r="B1348" s="928" t="s">
        <v>6</v>
      </c>
      <c r="C1348" s="804">
        <f t="shared" si="401"/>
        <v>33373355.621947572</v>
      </c>
      <c r="D1348" s="804">
        <v>0</v>
      </c>
      <c r="E1348" s="931">
        <v>0</v>
      </c>
      <c r="F1348" s="754">
        <v>33373355.621947572</v>
      </c>
      <c r="G1348" s="732">
        <v>0</v>
      </c>
      <c r="H1348" s="906">
        <f t="shared" si="427"/>
        <v>33373355.621947572</v>
      </c>
      <c r="I1348" s="732"/>
    </row>
    <row r="1349" spans="1:9" outlineLevel="1">
      <c r="A1349" s="898" t="s">
        <v>2273</v>
      </c>
      <c r="B1349" s="919" t="s">
        <v>8</v>
      </c>
      <c r="C1349" s="804">
        <f t="shared" si="401"/>
        <v>14896863</v>
      </c>
      <c r="D1349" s="754">
        <v>0</v>
      </c>
      <c r="E1349" s="788">
        <v>0</v>
      </c>
      <c r="F1349" s="775">
        <v>14896863</v>
      </c>
      <c r="G1349" s="767">
        <v>0</v>
      </c>
      <c r="H1349" s="906">
        <f t="shared" si="427"/>
        <v>14896863</v>
      </c>
      <c r="I1349" s="732"/>
    </row>
    <row r="1350" spans="1:9" outlineLevel="1">
      <c r="A1350" s="898" t="s">
        <v>2273</v>
      </c>
      <c r="B1350" s="919" t="s">
        <v>9</v>
      </c>
      <c r="C1350" s="929">
        <f t="shared" si="401"/>
        <v>6451166.0000000894</v>
      </c>
      <c r="D1350" s="962">
        <v>16240000</v>
      </c>
      <c r="E1350" s="1788">
        <v>21580350</v>
      </c>
      <c r="F1350" s="962">
        <v>801676.00000006577</v>
      </c>
      <c r="G1350" s="1592">
        <v>309140</v>
      </c>
      <c r="H1350" s="906">
        <f t="shared" si="427"/>
        <v>1110816.0000000894</v>
      </c>
      <c r="I1350" s="732"/>
    </row>
    <row r="1351" spans="1:9" ht="15.75" outlineLevel="1">
      <c r="A1351" s="898" t="s">
        <v>2273</v>
      </c>
      <c r="B1351" s="1331" t="s">
        <v>1604</v>
      </c>
      <c r="C1351" s="929">
        <f t="shared" si="401"/>
        <v>33025640</v>
      </c>
      <c r="D1351" s="1218">
        <v>90000000</v>
      </c>
      <c r="E1351" s="1789">
        <v>95131278</v>
      </c>
      <c r="F1351" s="1218">
        <v>27894362</v>
      </c>
      <c r="G1351" s="908">
        <v>0</v>
      </c>
      <c r="H1351" s="906">
        <f t="shared" si="427"/>
        <v>27894362</v>
      </c>
      <c r="I1351" s="754"/>
    </row>
    <row r="1352" spans="1:9" ht="16.5" outlineLevel="1" thickBot="1">
      <c r="A1352" s="898" t="s">
        <v>2273</v>
      </c>
      <c r="B1352" s="1253" t="s">
        <v>1810</v>
      </c>
      <c r="C1352" s="1259">
        <f t="shared" si="401"/>
        <v>5520360</v>
      </c>
      <c r="D1352" s="773">
        <v>20000000</v>
      </c>
      <c r="E1352" s="1790">
        <v>19186000</v>
      </c>
      <c r="F1352" s="773">
        <v>6334360</v>
      </c>
      <c r="G1352" s="897">
        <v>0</v>
      </c>
      <c r="H1352" s="1334">
        <f>C1352+D1352-E1352</f>
        <v>6334360</v>
      </c>
      <c r="I1352" s="754"/>
    </row>
    <row r="1353" spans="1:9" ht="13.5" outlineLevel="1" thickBot="1">
      <c r="A1353" s="1111" t="s">
        <v>2273</v>
      </c>
      <c r="B1353" s="1112" t="s">
        <v>31</v>
      </c>
      <c r="C1353" s="1113">
        <f t="shared" ref="C1353" si="428">SUM(C1347:C1352)</f>
        <v>98806563.621947661</v>
      </c>
      <c r="D1353" s="1113">
        <f t="shared" ref="D1353:H1353" si="429">SUM(D1347:D1352)</f>
        <v>126240000</v>
      </c>
      <c r="E1353" s="1791">
        <f t="shared" si="429"/>
        <v>139201240</v>
      </c>
      <c r="F1353" s="1224">
        <f t="shared" si="429"/>
        <v>85536183.621947646</v>
      </c>
      <c r="G1353" s="1113">
        <f t="shared" si="429"/>
        <v>309140</v>
      </c>
      <c r="H1353" s="1113">
        <f t="shared" si="429"/>
        <v>85845323.621947661</v>
      </c>
    </row>
    <row r="1354" spans="1:9" outlineLevel="1">
      <c r="A1354" s="898" t="s">
        <v>2274</v>
      </c>
      <c r="B1354" s="927" t="s">
        <v>4</v>
      </c>
      <c r="C1354" s="803">
        <f t="shared" ref="C1354:C1359" si="430">C1347</f>
        <v>5539179</v>
      </c>
      <c r="D1354" s="803">
        <v>10000000</v>
      </c>
      <c r="E1354" s="930">
        <v>14074359</v>
      </c>
      <c r="F1354" s="1792">
        <v>1464820</v>
      </c>
      <c r="G1354" s="730">
        <v>0</v>
      </c>
      <c r="H1354" s="905">
        <f t="shared" ref="H1354:H1358" si="431">C1354+D1354-E1354</f>
        <v>1464820</v>
      </c>
      <c r="I1354" s="730"/>
    </row>
    <row r="1355" spans="1:9" outlineLevel="1">
      <c r="A1355" s="898" t="s">
        <v>2274</v>
      </c>
      <c r="B1355" s="928" t="s">
        <v>6</v>
      </c>
      <c r="C1355" s="804">
        <f t="shared" si="430"/>
        <v>33373355.621947572</v>
      </c>
      <c r="D1355" s="804">
        <v>0</v>
      </c>
      <c r="E1355" s="931">
        <v>0</v>
      </c>
      <c r="F1355" s="754">
        <v>33373355.621947572</v>
      </c>
      <c r="G1355" s="732">
        <v>0</v>
      </c>
      <c r="H1355" s="906">
        <f t="shared" si="431"/>
        <v>33373355.621947572</v>
      </c>
      <c r="I1355" s="732"/>
    </row>
    <row r="1356" spans="1:9" outlineLevel="1">
      <c r="A1356" s="898" t="s">
        <v>2274</v>
      </c>
      <c r="B1356" s="919" t="s">
        <v>8</v>
      </c>
      <c r="C1356" s="804">
        <f t="shared" si="430"/>
        <v>14896863</v>
      </c>
      <c r="D1356" s="754">
        <v>0</v>
      </c>
      <c r="E1356" s="788">
        <v>0</v>
      </c>
      <c r="F1356" s="775">
        <v>14896863</v>
      </c>
      <c r="G1356" s="767">
        <v>0</v>
      </c>
      <c r="H1356" s="906">
        <f t="shared" si="431"/>
        <v>14896863</v>
      </c>
      <c r="I1356" s="732"/>
    </row>
    <row r="1357" spans="1:9" outlineLevel="1">
      <c r="A1357" s="898" t="s">
        <v>2274</v>
      </c>
      <c r="B1357" s="919" t="s">
        <v>9</v>
      </c>
      <c r="C1357" s="929">
        <f t="shared" si="430"/>
        <v>6451166.0000000894</v>
      </c>
      <c r="D1357" s="962">
        <v>16240000</v>
      </c>
      <c r="E1357" s="1788">
        <v>21580350</v>
      </c>
      <c r="F1357" s="962">
        <v>801676.00000006577</v>
      </c>
      <c r="G1357" s="1592">
        <v>309140</v>
      </c>
      <c r="H1357" s="906">
        <f t="shared" si="431"/>
        <v>1110816.0000000894</v>
      </c>
      <c r="I1357" s="732"/>
    </row>
    <row r="1358" spans="1:9" ht="15.75" outlineLevel="1">
      <c r="A1358" s="898" t="s">
        <v>2274</v>
      </c>
      <c r="B1358" s="1331" t="s">
        <v>1604</v>
      </c>
      <c r="C1358" s="929">
        <f t="shared" si="430"/>
        <v>33025640</v>
      </c>
      <c r="D1358" s="1218">
        <v>90000000</v>
      </c>
      <c r="E1358" s="1789">
        <v>95131278</v>
      </c>
      <c r="F1358" s="1218">
        <v>27894362</v>
      </c>
      <c r="G1358" s="908">
        <v>0</v>
      </c>
      <c r="H1358" s="906">
        <f t="shared" si="431"/>
        <v>27894362</v>
      </c>
      <c r="I1358" s="754"/>
    </row>
    <row r="1359" spans="1:9" ht="16.5" outlineLevel="1" thickBot="1">
      <c r="A1359" s="898" t="s">
        <v>2274</v>
      </c>
      <c r="B1359" s="1253" t="s">
        <v>1810</v>
      </c>
      <c r="C1359" s="1259">
        <f t="shared" si="430"/>
        <v>5520360</v>
      </c>
      <c r="D1359" s="773">
        <v>21980000</v>
      </c>
      <c r="E1359" s="1790">
        <v>20486000</v>
      </c>
      <c r="F1359" s="773">
        <v>7014360</v>
      </c>
      <c r="G1359" s="897">
        <v>0</v>
      </c>
      <c r="H1359" s="1334">
        <f>C1359+D1359-E1359</f>
        <v>7014360</v>
      </c>
      <c r="I1359" s="754"/>
    </row>
    <row r="1360" spans="1:9" ht="13.5" outlineLevel="1" thickBot="1">
      <c r="A1360" s="1111" t="s">
        <v>2274</v>
      </c>
      <c r="B1360" s="1112" t="s">
        <v>31</v>
      </c>
      <c r="C1360" s="1113">
        <f t="shared" ref="C1360" si="432">SUM(C1354:C1359)</f>
        <v>98806563.621947661</v>
      </c>
      <c r="D1360" s="1113">
        <f t="shared" ref="D1360:H1360" si="433">SUM(D1354:D1359)</f>
        <v>138220000</v>
      </c>
      <c r="E1360" s="1791">
        <f t="shared" si="433"/>
        <v>151271987</v>
      </c>
      <c r="F1360" s="1224">
        <f t="shared" si="433"/>
        <v>85445436.621947646</v>
      </c>
      <c r="G1360" s="1113">
        <f t="shared" si="433"/>
        <v>309140</v>
      </c>
      <c r="H1360" s="1113">
        <f t="shared" si="433"/>
        <v>85754576.621947661</v>
      </c>
    </row>
    <row r="1361" spans="1:9" outlineLevel="1">
      <c r="A1361" s="898" t="s">
        <v>2275</v>
      </c>
      <c r="B1361" s="927" t="s">
        <v>4</v>
      </c>
      <c r="C1361" s="803">
        <f t="shared" ref="C1361:C1394" si="434">C1354</f>
        <v>5539179</v>
      </c>
      <c r="D1361" s="803">
        <v>10000000</v>
      </c>
      <c r="E1361" s="930">
        <v>14074359</v>
      </c>
      <c r="F1361" s="1792">
        <v>1464820</v>
      </c>
      <c r="G1361" s="730">
        <v>0</v>
      </c>
      <c r="H1361" s="905">
        <f t="shared" ref="H1361:H1365" si="435">C1361+D1361-E1361</f>
        <v>1464820</v>
      </c>
      <c r="I1361" s="730"/>
    </row>
    <row r="1362" spans="1:9" outlineLevel="1">
      <c r="A1362" s="898" t="s">
        <v>2275</v>
      </c>
      <c r="B1362" s="928" t="s">
        <v>6</v>
      </c>
      <c r="C1362" s="804">
        <f t="shared" si="434"/>
        <v>33373355.621947572</v>
      </c>
      <c r="D1362" s="804">
        <v>0</v>
      </c>
      <c r="E1362" s="931">
        <v>0</v>
      </c>
      <c r="F1362" s="754">
        <v>33373355.621947572</v>
      </c>
      <c r="G1362" s="732">
        <v>0</v>
      </c>
      <c r="H1362" s="906">
        <f t="shared" si="435"/>
        <v>33373355.621947572</v>
      </c>
      <c r="I1362" s="732"/>
    </row>
    <row r="1363" spans="1:9" outlineLevel="1">
      <c r="A1363" s="898" t="s">
        <v>2275</v>
      </c>
      <c r="B1363" s="919" t="s">
        <v>8</v>
      </c>
      <c r="C1363" s="804">
        <f t="shared" si="434"/>
        <v>14896863</v>
      </c>
      <c r="D1363" s="754">
        <v>0</v>
      </c>
      <c r="E1363" s="788">
        <v>0</v>
      </c>
      <c r="F1363" s="775">
        <v>14896863</v>
      </c>
      <c r="G1363" s="767">
        <v>0</v>
      </c>
      <c r="H1363" s="906">
        <f t="shared" si="435"/>
        <v>14896863</v>
      </c>
      <c r="I1363" s="732"/>
    </row>
    <row r="1364" spans="1:9" outlineLevel="1">
      <c r="A1364" s="898" t="s">
        <v>2275</v>
      </c>
      <c r="B1364" s="919" t="s">
        <v>9</v>
      </c>
      <c r="C1364" s="929">
        <f t="shared" si="434"/>
        <v>6451166.0000000894</v>
      </c>
      <c r="D1364" s="962">
        <v>16240000</v>
      </c>
      <c r="E1364" s="1788">
        <v>21580350</v>
      </c>
      <c r="F1364" s="962">
        <v>801676.00000006577</v>
      </c>
      <c r="G1364" s="1592">
        <v>309140</v>
      </c>
      <c r="H1364" s="906">
        <f t="shared" si="435"/>
        <v>1110816.0000000894</v>
      </c>
      <c r="I1364" s="732"/>
    </row>
    <row r="1365" spans="1:9" ht="15.75" outlineLevel="1">
      <c r="A1365" s="898" t="s">
        <v>2275</v>
      </c>
      <c r="B1365" s="1331" t="s">
        <v>1604</v>
      </c>
      <c r="C1365" s="929">
        <f t="shared" si="434"/>
        <v>33025640</v>
      </c>
      <c r="D1365" s="1218">
        <v>90000000</v>
      </c>
      <c r="E1365" s="1789">
        <v>98906278</v>
      </c>
      <c r="F1365" s="1218">
        <v>24119362</v>
      </c>
      <c r="G1365" s="908">
        <v>0</v>
      </c>
      <c r="H1365" s="906">
        <f t="shared" si="435"/>
        <v>24119362</v>
      </c>
      <c r="I1365" s="754"/>
    </row>
    <row r="1366" spans="1:9" ht="16.5" outlineLevel="1" thickBot="1">
      <c r="A1366" s="898" t="s">
        <v>2275</v>
      </c>
      <c r="B1366" s="1253" t="s">
        <v>1810</v>
      </c>
      <c r="C1366" s="1259">
        <f t="shared" si="434"/>
        <v>5520360</v>
      </c>
      <c r="D1366" s="773">
        <v>21980000</v>
      </c>
      <c r="E1366" s="1790">
        <v>20486000</v>
      </c>
      <c r="F1366" s="773">
        <v>7014360</v>
      </c>
      <c r="G1366" s="897">
        <v>0</v>
      </c>
      <c r="H1366" s="1334">
        <f>C1366+D1366-E1366</f>
        <v>7014360</v>
      </c>
      <c r="I1366" s="754"/>
    </row>
    <row r="1367" spans="1:9" ht="13.5" outlineLevel="1" thickBot="1">
      <c r="A1367" s="1111" t="s">
        <v>2275</v>
      </c>
      <c r="B1367" s="1112" t="s">
        <v>31</v>
      </c>
      <c r="C1367" s="1113">
        <f t="shared" ref="C1367" si="436">SUM(C1361:C1366)</f>
        <v>98806563.621947661</v>
      </c>
      <c r="D1367" s="1113">
        <f t="shared" ref="D1367:H1367" si="437">SUM(D1361:D1366)</f>
        <v>138220000</v>
      </c>
      <c r="E1367" s="1791">
        <f t="shared" si="437"/>
        <v>155046987</v>
      </c>
      <c r="F1367" s="1224">
        <f t="shared" si="437"/>
        <v>81670436.621947646</v>
      </c>
      <c r="G1367" s="1113">
        <f t="shared" si="437"/>
        <v>309140</v>
      </c>
      <c r="H1367" s="1113">
        <f t="shared" si="437"/>
        <v>81979576.621947661</v>
      </c>
    </row>
    <row r="1368" spans="1:9" outlineLevel="1">
      <c r="A1368" s="898" t="s">
        <v>2276</v>
      </c>
      <c r="B1368" s="927" t="s">
        <v>4</v>
      </c>
      <c r="C1368" s="803">
        <f t="shared" si="434"/>
        <v>5539179</v>
      </c>
      <c r="D1368" s="803">
        <v>10000000</v>
      </c>
      <c r="E1368" s="930">
        <v>14074359</v>
      </c>
      <c r="F1368" s="1792">
        <v>1464820</v>
      </c>
      <c r="G1368" s="730">
        <v>0</v>
      </c>
      <c r="H1368" s="905">
        <f t="shared" ref="H1368:H1372" si="438">C1368+D1368-E1368</f>
        <v>1464820</v>
      </c>
      <c r="I1368" s="730"/>
    </row>
    <row r="1369" spans="1:9" outlineLevel="1">
      <c r="A1369" s="898" t="s">
        <v>2276</v>
      </c>
      <c r="B1369" s="928" t="s">
        <v>6</v>
      </c>
      <c r="C1369" s="804">
        <f t="shared" si="434"/>
        <v>33373355.621947572</v>
      </c>
      <c r="D1369" s="804">
        <v>0</v>
      </c>
      <c r="E1369" s="931">
        <v>0</v>
      </c>
      <c r="F1369" s="754">
        <v>33373355.621947572</v>
      </c>
      <c r="G1369" s="732">
        <v>0</v>
      </c>
      <c r="H1369" s="906">
        <f t="shared" si="438"/>
        <v>33373355.621947572</v>
      </c>
      <c r="I1369" s="732"/>
    </row>
    <row r="1370" spans="1:9" outlineLevel="1">
      <c r="A1370" s="898" t="s">
        <v>2276</v>
      </c>
      <c r="B1370" s="919" t="s">
        <v>8</v>
      </c>
      <c r="C1370" s="804">
        <f t="shared" si="434"/>
        <v>14896863</v>
      </c>
      <c r="D1370" s="754">
        <v>0</v>
      </c>
      <c r="E1370" s="788">
        <v>0</v>
      </c>
      <c r="F1370" s="775">
        <v>14896863</v>
      </c>
      <c r="G1370" s="767">
        <v>0</v>
      </c>
      <c r="H1370" s="906">
        <f t="shared" si="438"/>
        <v>14896863</v>
      </c>
      <c r="I1370" s="732"/>
    </row>
    <row r="1371" spans="1:9" outlineLevel="1">
      <c r="A1371" s="898" t="s">
        <v>2276</v>
      </c>
      <c r="B1371" s="919" t="s">
        <v>9</v>
      </c>
      <c r="C1371" s="929">
        <f t="shared" si="434"/>
        <v>6451166.0000000894</v>
      </c>
      <c r="D1371" s="962">
        <v>16240000</v>
      </c>
      <c r="E1371" s="1788">
        <v>21580350</v>
      </c>
      <c r="F1371" s="962">
        <v>801676.00000006577</v>
      </c>
      <c r="G1371" s="1592">
        <v>309140</v>
      </c>
      <c r="H1371" s="906">
        <f t="shared" si="438"/>
        <v>1110816.0000000894</v>
      </c>
      <c r="I1371" s="732"/>
    </row>
    <row r="1372" spans="1:9" ht="15.75" outlineLevel="1">
      <c r="A1372" s="898" t="s">
        <v>2276</v>
      </c>
      <c r="B1372" s="1331" t="s">
        <v>1604</v>
      </c>
      <c r="C1372" s="929">
        <f t="shared" si="434"/>
        <v>33025640</v>
      </c>
      <c r="D1372" s="1218">
        <v>90000000</v>
      </c>
      <c r="E1372" s="1789">
        <v>98906278</v>
      </c>
      <c r="F1372" s="1218">
        <v>24119362</v>
      </c>
      <c r="G1372" s="908">
        <v>0</v>
      </c>
      <c r="H1372" s="906">
        <f t="shared" si="438"/>
        <v>24119362</v>
      </c>
      <c r="I1372" s="754"/>
    </row>
    <row r="1373" spans="1:9" ht="16.5" outlineLevel="1" thickBot="1">
      <c r="A1373" s="898" t="s">
        <v>2276</v>
      </c>
      <c r="B1373" s="1253" t="s">
        <v>1810</v>
      </c>
      <c r="C1373" s="1259">
        <f t="shared" si="434"/>
        <v>5520360</v>
      </c>
      <c r="D1373" s="773">
        <v>21980000</v>
      </c>
      <c r="E1373" s="1790">
        <v>20486000</v>
      </c>
      <c r="F1373" s="773">
        <v>7014360</v>
      </c>
      <c r="G1373" s="897">
        <v>0</v>
      </c>
      <c r="H1373" s="1334">
        <f>C1373+D1373-E1373</f>
        <v>7014360</v>
      </c>
      <c r="I1373" s="754"/>
    </row>
    <row r="1374" spans="1:9" ht="13.5" outlineLevel="1" thickBot="1">
      <c r="A1374" s="1111" t="s">
        <v>2276</v>
      </c>
      <c r="B1374" s="1112" t="s">
        <v>31</v>
      </c>
      <c r="C1374" s="1113">
        <f t="shared" ref="C1374" si="439">SUM(C1368:C1373)</f>
        <v>98806563.621947661</v>
      </c>
      <c r="D1374" s="1113">
        <f t="shared" ref="D1374:H1374" si="440">SUM(D1368:D1373)</f>
        <v>138220000</v>
      </c>
      <c r="E1374" s="1791">
        <f t="shared" si="440"/>
        <v>155046987</v>
      </c>
      <c r="F1374" s="1224">
        <f t="shared" si="440"/>
        <v>81670436.621947646</v>
      </c>
      <c r="G1374" s="1113">
        <f t="shared" si="440"/>
        <v>309140</v>
      </c>
      <c r="H1374" s="1113">
        <f t="shared" si="440"/>
        <v>81979576.621947661</v>
      </c>
    </row>
    <row r="1375" spans="1:9" outlineLevel="1">
      <c r="A1375" s="898" t="s">
        <v>2277</v>
      </c>
      <c r="B1375" s="927" t="s">
        <v>4</v>
      </c>
      <c r="C1375" s="803">
        <f t="shared" si="434"/>
        <v>5539179</v>
      </c>
      <c r="D1375" s="803">
        <v>10000000</v>
      </c>
      <c r="E1375" s="930">
        <v>14074359</v>
      </c>
      <c r="F1375" s="1792">
        <v>1464820</v>
      </c>
      <c r="G1375" s="730">
        <v>0</v>
      </c>
      <c r="H1375" s="905">
        <f t="shared" ref="H1375:H1379" si="441">C1375+D1375-E1375</f>
        <v>1464820</v>
      </c>
      <c r="I1375" s="730"/>
    </row>
    <row r="1376" spans="1:9" outlineLevel="1">
      <c r="A1376" s="898" t="s">
        <v>2277</v>
      </c>
      <c r="B1376" s="928" t="s">
        <v>6</v>
      </c>
      <c r="C1376" s="804">
        <f t="shared" si="434"/>
        <v>33373355.621947572</v>
      </c>
      <c r="D1376" s="804">
        <v>0</v>
      </c>
      <c r="E1376" s="931">
        <v>0</v>
      </c>
      <c r="F1376" s="754">
        <v>33373355.621947572</v>
      </c>
      <c r="G1376" s="732">
        <v>0</v>
      </c>
      <c r="H1376" s="906">
        <f t="shared" si="441"/>
        <v>33373355.621947572</v>
      </c>
      <c r="I1376" s="732"/>
    </row>
    <row r="1377" spans="1:9" outlineLevel="1">
      <c r="A1377" s="898" t="s">
        <v>2277</v>
      </c>
      <c r="B1377" s="919" t="s">
        <v>8</v>
      </c>
      <c r="C1377" s="804">
        <f t="shared" si="434"/>
        <v>14896863</v>
      </c>
      <c r="D1377" s="754">
        <v>0</v>
      </c>
      <c r="E1377" s="788">
        <v>0</v>
      </c>
      <c r="F1377" s="775">
        <v>14896863</v>
      </c>
      <c r="G1377" s="767">
        <v>0</v>
      </c>
      <c r="H1377" s="906">
        <f t="shared" si="441"/>
        <v>14896863</v>
      </c>
      <c r="I1377" s="732"/>
    </row>
    <row r="1378" spans="1:9" outlineLevel="1">
      <c r="A1378" s="898" t="s">
        <v>2277</v>
      </c>
      <c r="B1378" s="919" t="s">
        <v>9</v>
      </c>
      <c r="C1378" s="929">
        <f t="shared" si="434"/>
        <v>6451166.0000000894</v>
      </c>
      <c r="D1378" s="962">
        <v>16240000</v>
      </c>
      <c r="E1378" s="1788">
        <v>21580350</v>
      </c>
      <c r="F1378" s="962">
        <v>801676.00000006577</v>
      </c>
      <c r="G1378" s="1592">
        <v>309140</v>
      </c>
      <c r="H1378" s="906">
        <f t="shared" si="441"/>
        <v>1110816.0000000894</v>
      </c>
      <c r="I1378" s="732"/>
    </row>
    <row r="1379" spans="1:9" ht="15.75" outlineLevel="1">
      <c r="A1379" s="898" t="s">
        <v>2277</v>
      </c>
      <c r="B1379" s="1331" t="s">
        <v>1604</v>
      </c>
      <c r="C1379" s="929">
        <f t="shared" si="434"/>
        <v>33025640</v>
      </c>
      <c r="D1379" s="1218">
        <v>90000000</v>
      </c>
      <c r="E1379" s="1789">
        <v>98906278</v>
      </c>
      <c r="F1379" s="1218">
        <v>24119362</v>
      </c>
      <c r="G1379" s="908">
        <v>0</v>
      </c>
      <c r="H1379" s="906">
        <f t="shared" si="441"/>
        <v>24119362</v>
      </c>
      <c r="I1379" s="754"/>
    </row>
    <row r="1380" spans="1:9" ht="16.5" outlineLevel="1" thickBot="1">
      <c r="A1380" s="898" t="s">
        <v>2277</v>
      </c>
      <c r="B1380" s="1253" t="s">
        <v>1810</v>
      </c>
      <c r="C1380" s="1259">
        <f t="shared" si="434"/>
        <v>5520360</v>
      </c>
      <c r="D1380" s="773">
        <v>21980000</v>
      </c>
      <c r="E1380" s="1790">
        <v>20486000</v>
      </c>
      <c r="F1380" s="773">
        <v>7014360</v>
      </c>
      <c r="G1380" s="897">
        <v>0</v>
      </c>
      <c r="H1380" s="1334">
        <f>C1380+D1380-E1380</f>
        <v>7014360</v>
      </c>
      <c r="I1380" s="754"/>
    </row>
    <row r="1381" spans="1:9" ht="13.5" outlineLevel="1" thickBot="1">
      <c r="A1381" s="1111" t="s">
        <v>2277</v>
      </c>
      <c r="B1381" s="1112" t="s">
        <v>31</v>
      </c>
      <c r="C1381" s="1113">
        <f t="shared" ref="C1381" si="442">SUM(C1375:C1380)</f>
        <v>98806563.621947661</v>
      </c>
      <c r="D1381" s="1113">
        <f t="shared" ref="D1381:H1381" si="443">SUM(D1375:D1380)</f>
        <v>138220000</v>
      </c>
      <c r="E1381" s="1791">
        <f t="shared" si="443"/>
        <v>155046987</v>
      </c>
      <c r="F1381" s="1224">
        <f t="shared" si="443"/>
        <v>81670436.621947646</v>
      </c>
      <c r="G1381" s="1113">
        <f t="shared" si="443"/>
        <v>309140</v>
      </c>
      <c r="H1381" s="1113">
        <f t="shared" si="443"/>
        <v>81979576.621947661</v>
      </c>
    </row>
    <row r="1382" spans="1:9" outlineLevel="1">
      <c r="A1382" s="898" t="s">
        <v>2282</v>
      </c>
      <c r="B1382" s="927" t="s">
        <v>4</v>
      </c>
      <c r="C1382" s="803">
        <f t="shared" si="434"/>
        <v>5539179</v>
      </c>
      <c r="D1382" s="803">
        <v>10000000</v>
      </c>
      <c r="E1382" s="930">
        <v>14074359</v>
      </c>
      <c r="F1382" s="1792">
        <v>1464820</v>
      </c>
      <c r="G1382" s="730">
        <v>0</v>
      </c>
      <c r="H1382" s="905">
        <f t="shared" ref="H1382:H1386" si="444">C1382+D1382-E1382</f>
        <v>1464820</v>
      </c>
      <c r="I1382" s="730"/>
    </row>
    <row r="1383" spans="1:9" outlineLevel="1">
      <c r="A1383" s="898" t="s">
        <v>2282</v>
      </c>
      <c r="B1383" s="928" t="s">
        <v>6</v>
      </c>
      <c r="C1383" s="804">
        <f t="shared" si="434"/>
        <v>33373355.621947572</v>
      </c>
      <c r="D1383" s="804">
        <v>0</v>
      </c>
      <c r="E1383" s="931">
        <v>0</v>
      </c>
      <c r="F1383" s="754">
        <v>33373355.621947572</v>
      </c>
      <c r="G1383" s="732">
        <v>0</v>
      </c>
      <c r="H1383" s="906">
        <f t="shared" si="444"/>
        <v>33373355.621947572</v>
      </c>
      <c r="I1383" s="732"/>
    </row>
    <row r="1384" spans="1:9" outlineLevel="1">
      <c r="A1384" s="898" t="s">
        <v>2282</v>
      </c>
      <c r="B1384" s="919" t="s">
        <v>8</v>
      </c>
      <c r="C1384" s="804">
        <f t="shared" si="434"/>
        <v>14896863</v>
      </c>
      <c r="D1384" s="754">
        <v>0</v>
      </c>
      <c r="E1384" s="788">
        <v>0</v>
      </c>
      <c r="F1384" s="775">
        <v>14896863</v>
      </c>
      <c r="G1384" s="767">
        <v>0</v>
      </c>
      <c r="H1384" s="906">
        <f t="shared" si="444"/>
        <v>14896863</v>
      </c>
      <c r="I1384" s="732"/>
    </row>
    <row r="1385" spans="1:9" outlineLevel="1">
      <c r="A1385" s="898" t="s">
        <v>2282</v>
      </c>
      <c r="B1385" s="919" t="s">
        <v>9</v>
      </c>
      <c r="C1385" s="929">
        <f t="shared" si="434"/>
        <v>6451166.0000000894</v>
      </c>
      <c r="D1385" s="962">
        <v>16240000</v>
      </c>
      <c r="E1385" s="1788">
        <v>21580350</v>
      </c>
      <c r="F1385" s="962">
        <v>801676.00000006577</v>
      </c>
      <c r="G1385" s="1592">
        <v>309140</v>
      </c>
      <c r="H1385" s="906">
        <f t="shared" si="444"/>
        <v>1110816.0000000894</v>
      </c>
      <c r="I1385" s="732"/>
    </row>
    <row r="1386" spans="1:9" ht="15.75" outlineLevel="1">
      <c r="A1386" s="898" t="s">
        <v>2282</v>
      </c>
      <c r="B1386" s="1331" t="s">
        <v>1604</v>
      </c>
      <c r="C1386" s="929">
        <f t="shared" si="434"/>
        <v>33025640</v>
      </c>
      <c r="D1386" s="1218">
        <v>90480000</v>
      </c>
      <c r="E1386" s="1789">
        <v>101825278</v>
      </c>
      <c r="F1386" s="1218">
        <v>21680362</v>
      </c>
      <c r="G1386" s="908">
        <v>0</v>
      </c>
      <c r="H1386" s="906">
        <f t="shared" si="444"/>
        <v>21680362</v>
      </c>
      <c r="I1386" s="754"/>
    </row>
    <row r="1387" spans="1:9" ht="16.5" outlineLevel="1" thickBot="1">
      <c r="A1387" s="898" t="s">
        <v>2282</v>
      </c>
      <c r="B1387" s="1253" t="s">
        <v>1810</v>
      </c>
      <c r="C1387" s="1259">
        <f t="shared" si="434"/>
        <v>5520360</v>
      </c>
      <c r="D1387" s="773">
        <v>21980000</v>
      </c>
      <c r="E1387" s="1790">
        <v>22996000</v>
      </c>
      <c r="F1387" s="773">
        <v>4504360</v>
      </c>
      <c r="G1387" s="897">
        <v>0</v>
      </c>
      <c r="H1387" s="1334">
        <f>C1387+D1387-E1387</f>
        <v>4504360</v>
      </c>
      <c r="I1387" s="754"/>
    </row>
    <row r="1388" spans="1:9" ht="13.5" outlineLevel="1" thickBot="1">
      <c r="A1388" s="1111" t="s">
        <v>2282</v>
      </c>
      <c r="B1388" s="1112" t="s">
        <v>31</v>
      </c>
      <c r="C1388" s="1113">
        <f t="shared" ref="C1388" si="445">SUM(C1382:C1387)</f>
        <v>98806563.621947661</v>
      </c>
      <c r="D1388" s="1113">
        <f t="shared" ref="D1388:H1388" si="446">SUM(D1382:D1387)</f>
        <v>138700000</v>
      </c>
      <c r="E1388" s="1791">
        <f t="shared" si="446"/>
        <v>160475987</v>
      </c>
      <c r="F1388" s="1224">
        <f t="shared" si="446"/>
        <v>76721436.621947646</v>
      </c>
      <c r="G1388" s="1113">
        <f t="shared" si="446"/>
        <v>309140</v>
      </c>
      <c r="H1388" s="1113">
        <f t="shared" si="446"/>
        <v>77030576.621947661</v>
      </c>
    </row>
    <row r="1389" spans="1:9" outlineLevel="1">
      <c r="A1389" s="751" t="s">
        <v>2287</v>
      </c>
      <c r="B1389" s="927" t="s">
        <v>4</v>
      </c>
      <c r="C1389" s="803">
        <f t="shared" si="434"/>
        <v>5539179</v>
      </c>
      <c r="D1389" s="803">
        <v>10000000</v>
      </c>
      <c r="E1389" s="930">
        <v>14074359</v>
      </c>
      <c r="F1389" s="1792">
        <v>1464820</v>
      </c>
      <c r="G1389" s="730">
        <v>0</v>
      </c>
      <c r="H1389" s="905">
        <f t="shared" ref="H1389:H1393" si="447">C1389+D1389-E1389</f>
        <v>1464820</v>
      </c>
      <c r="I1389" s="730"/>
    </row>
    <row r="1390" spans="1:9" outlineLevel="1">
      <c r="A1390" s="751" t="s">
        <v>2287</v>
      </c>
      <c r="B1390" s="928" t="s">
        <v>6</v>
      </c>
      <c r="C1390" s="804">
        <f t="shared" si="434"/>
        <v>33373355.621947572</v>
      </c>
      <c r="D1390" s="804">
        <v>0</v>
      </c>
      <c r="E1390" s="931">
        <v>0</v>
      </c>
      <c r="F1390" s="754">
        <v>33373355.621947572</v>
      </c>
      <c r="G1390" s="732">
        <v>0</v>
      </c>
      <c r="H1390" s="906">
        <f t="shared" si="447"/>
        <v>33373355.621947572</v>
      </c>
      <c r="I1390" s="732"/>
    </row>
    <row r="1391" spans="1:9" outlineLevel="1">
      <c r="A1391" s="751" t="s">
        <v>2287</v>
      </c>
      <c r="B1391" s="919" t="s">
        <v>8</v>
      </c>
      <c r="C1391" s="804">
        <f t="shared" si="434"/>
        <v>14896863</v>
      </c>
      <c r="D1391" s="754">
        <v>0</v>
      </c>
      <c r="E1391" s="788">
        <v>0</v>
      </c>
      <c r="F1391" s="775">
        <v>14896863</v>
      </c>
      <c r="G1391" s="767">
        <v>0</v>
      </c>
      <c r="H1391" s="906">
        <f t="shared" si="447"/>
        <v>14896863</v>
      </c>
      <c r="I1391" s="732"/>
    </row>
    <row r="1392" spans="1:9" outlineLevel="1">
      <c r="A1392" s="751" t="s">
        <v>2287</v>
      </c>
      <c r="B1392" s="919" t="s">
        <v>9</v>
      </c>
      <c r="C1392" s="929">
        <f t="shared" si="434"/>
        <v>6451166.0000000894</v>
      </c>
      <c r="D1392" s="962">
        <v>16240000</v>
      </c>
      <c r="E1392" s="1788">
        <v>21580350</v>
      </c>
      <c r="F1392" s="962">
        <v>801676.00000006577</v>
      </c>
      <c r="G1392" s="1592">
        <v>309140</v>
      </c>
      <c r="H1392" s="906">
        <f t="shared" si="447"/>
        <v>1110816.0000000894</v>
      </c>
      <c r="I1392" s="732"/>
    </row>
    <row r="1393" spans="1:9" ht="15.75" outlineLevel="1">
      <c r="A1393" s="751" t="s">
        <v>2287</v>
      </c>
      <c r="B1393" s="1331" t="s">
        <v>1604</v>
      </c>
      <c r="C1393" s="929">
        <f t="shared" si="434"/>
        <v>33025640</v>
      </c>
      <c r="D1393" s="1218">
        <v>90480000</v>
      </c>
      <c r="E1393" s="1789">
        <v>101825278</v>
      </c>
      <c r="F1393" s="1218">
        <v>21680362</v>
      </c>
      <c r="G1393" s="908">
        <v>0</v>
      </c>
      <c r="H1393" s="906">
        <f t="shared" si="447"/>
        <v>21680362</v>
      </c>
      <c r="I1393" s="754"/>
    </row>
    <row r="1394" spans="1:9" ht="16.5" outlineLevel="1" thickBot="1">
      <c r="A1394" s="751" t="s">
        <v>2287</v>
      </c>
      <c r="B1394" s="1253" t="s">
        <v>1810</v>
      </c>
      <c r="C1394" s="1259">
        <f t="shared" si="434"/>
        <v>5520360</v>
      </c>
      <c r="D1394" s="773">
        <v>21980000</v>
      </c>
      <c r="E1394" s="1790">
        <v>22996000</v>
      </c>
      <c r="F1394" s="773">
        <v>4504360</v>
      </c>
      <c r="G1394" s="897">
        <v>0</v>
      </c>
      <c r="H1394" s="1334">
        <f>C1394+D1394-E1394</f>
        <v>4504360</v>
      </c>
      <c r="I1394" s="754"/>
    </row>
    <row r="1395" spans="1:9" ht="13.5" thickBot="1">
      <c r="A1395" s="760" t="s">
        <v>2287</v>
      </c>
      <c r="B1395" s="1112" t="s">
        <v>31</v>
      </c>
      <c r="C1395" s="1113">
        <f t="shared" ref="C1395" si="448">SUM(C1389:C1394)</f>
        <v>98806563.621947661</v>
      </c>
      <c r="D1395" s="1113">
        <f t="shared" ref="D1395:H1395" si="449">SUM(D1389:D1394)</f>
        <v>138700000</v>
      </c>
      <c r="E1395" s="1791">
        <f t="shared" si="449"/>
        <v>160475987</v>
      </c>
      <c r="F1395" s="1224">
        <f t="shared" si="449"/>
        <v>76721436.621947646</v>
      </c>
      <c r="G1395" s="1113">
        <f t="shared" si="449"/>
        <v>309140</v>
      </c>
      <c r="H1395" s="1113">
        <f t="shared" si="449"/>
        <v>77030576.621947661</v>
      </c>
    </row>
  </sheetData>
  <autoFilter ref="A8:I1139"/>
  <mergeCells count="6">
    <mergeCell ref="C1:F1"/>
    <mergeCell ref="C2:F2"/>
    <mergeCell ref="A3:B3"/>
    <mergeCell ref="C3:F3"/>
    <mergeCell ref="A4:F4"/>
    <mergeCell ref="A1:B2"/>
  </mergeCells>
  <hyperlinks>
    <hyperlink ref="B9" location="'HCM OFFICE'!A1" display="HCM OFFICE -VND"/>
    <hyperlink ref="B10" location="'YOUJIN HP H2'!A1" display="YOUJIN HP H2 - VND"/>
    <hyperlink ref="B11" location="'AEON MALL II'!A1" display="AEON MALL II - USD"/>
    <hyperlink ref="B13" location="'HCM OFFICE CASH'!A1" display="HCM OFFICE -VND"/>
    <hyperlink ref="B14" location="'YOUJIN HP H2 CASH'!A1" display="YOUJIN HP H2 - VND"/>
    <hyperlink ref="B15" location="'AEON MALL II CASH'!A1" display="AEON MALL II - USD"/>
    <hyperlink ref="B42" location="'HCM OFFICE CASH'!A22" display="HCM OFFICE -VND"/>
    <hyperlink ref="B43" location="'YOUJIN HP H2'!A40" display="YOUJIN HP H2 - VND"/>
    <hyperlink ref="B46" location="'YOUJIN INNOTEK'!A41" display="YOUJIN INNOTEK - VND"/>
    <hyperlink ref="B44" location="'AEON MALL II'!A211" display="AEON MALL II - USD"/>
    <hyperlink ref="B48" location="'HCM OFFICE CASH'!A22" display="HCM OFFICE -VND"/>
    <hyperlink ref="B49" location="'YOUJIN HP H2'!A40" display="YOUJIN HP H2 - VND"/>
    <hyperlink ref="B52" location="'YOUJIN INNOTEK'!A41" display="YOUJIN INNOTEK - VND"/>
    <hyperlink ref="B50" location="'AEON MALL II'!A211" display="AEON MALL II - USD"/>
    <hyperlink ref="B54" location="'HCM OFFICE CASH'!A22" display="HCM OFFICE -VND"/>
    <hyperlink ref="B55" location="'YOUJIN HP H2'!A40" display="YOUJIN HP H2 - VND"/>
    <hyperlink ref="B58" location="'YOUJIN INNOTEK'!A41" display="YOUJIN INNOTEK - VND"/>
    <hyperlink ref="B56" location="'AEON MALL II'!A211" display="AEON MALL II - USD"/>
    <hyperlink ref="B60" location="'HCM OFFICE CASH'!A22" display="HCM OFFICE -VND"/>
    <hyperlink ref="B61" location="'YOUJIN HP H2'!A40" display="YOUJIN HP H2 - VND"/>
    <hyperlink ref="B64" location="'YOUJIN INNOTEK'!A41" display="YOUJIN INNOTEK - VND"/>
    <hyperlink ref="B62" location="'AEON MALL II'!A211" display="AEON MALL II - USD"/>
    <hyperlink ref="B66" location="'HCM OFFICE CASH'!A22" display="HCM OFFICE -VND"/>
    <hyperlink ref="B67" location="'YOUJIN HP H2'!A40" display="YOUJIN HP H2 - VND"/>
    <hyperlink ref="B70" location="'YOUJIN INNOTEK'!A41" display="YOUJIN INNOTEK - VND"/>
    <hyperlink ref="B68" location="'AEON MALL II'!A211" display="AEON MALL II - USD"/>
    <hyperlink ref="B72" location="'HCM OFFICE CASH'!A22" display="HCM OFFICE -VND"/>
    <hyperlink ref="B73" location="'YOUJIN HP H2'!A40" display="YOUJIN HP H2 - VND"/>
    <hyperlink ref="B76" location="'YOUJIN INNOTEK'!A41" display="YOUJIN INNOTEK - VND"/>
    <hyperlink ref="B74" location="'AEON MALL II'!A211" display="AEON MALL II - USD"/>
    <hyperlink ref="B78" location="'HCM OFFICE CASH'!A22" display="HCM OFFICE -VND"/>
    <hyperlink ref="B79" location="'YOUJIN HP H2'!A40" display="YOUJIN HP H2 - VND"/>
    <hyperlink ref="B82" location="'YOUJIN INNOTEK'!A41" display="YOUJIN INNOTEK - VND"/>
    <hyperlink ref="B80" location="'AEON MALL II'!A211" display="AEON MALL II - USD"/>
    <hyperlink ref="B84" location="'HCM OFFICE CASH'!A22" display="HCM OFFICE -VND"/>
    <hyperlink ref="B85" location="'YOUJIN HP H2'!A40" display="YOUJIN HP H2 - VND"/>
    <hyperlink ref="B88" location="'YOUJIN INNOTEK'!A41" display="YOUJIN INNOTEK - VND"/>
    <hyperlink ref="B86" location="'AEON MALL II'!A211" display="AEON MALL II - USD"/>
    <hyperlink ref="B90" location="'HCM OFFICE CASH'!A22" display="HCM OFFICE -VND"/>
    <hyperlink ref="B91" location="'YOUJIN HP H2'!A40" display="YOUJIN HP H2 - VND"/>
    <hyperlink ref="B94" location="'YOUJIN INNOTEK'!A41" display="YOUJIN INNOTEK - VND"/>
    <hyperlink ref="B92" location="'AEON MALL II'!A211" display="AEON MALL II - USD"/>
    <hyperlink ref="B102" location="'HCM OFFICE CASH'!A22" display="HCM OFFICE -VND"/>
    <hyperlink ref="B103" location="'YOUJIN HP H2'!A40" display="YOUJIN HP H2 - VND"/>
    <hyperlink ref="B106" location="'YOUJIN INNOTEK'!A41" display="YOUJIN INNOTEK - VND"/>
    <hyperlink ref="B104" location="'AEON MALL II'!A211" display="AEON MALL II - USD"/>
    <hyperlink ref="B108" location="'HCM OFFICE CASH'!A22" display="HCM OFFICE -VND"/>
    <hyperlink ref="B109" location="'YOUJIN HP H2'!A40" display="YOUJIN HP H2 - VND"/>
    <hyperlink ref="B112" location="'YOUJIN INNOTEK'!A41" display="YOUJIN INNOTEK - VND"/>
    <hyperlink ref="B110" location="'AEON MALL II'!A211" display="AEON MALL II - USD"/>
    <hyperlink ref="B114" location="'HCM OFFICE CASH'!A22" display="HCM OFFICE -VND"/>
    <hyperlink ref="B115" location="'YOUJIN HP H2'!A40" display="YOUJIN HP H2 - VND"/>
    <hyperlink ref="B118" location="'YOUJIN INNOTEK'!A41" display="YOUJIN INNOTEK - VND"/>
    <hyperlink ref="B116" location="'AEON MALL II'!A211" display="AEON MALL II - USD"/>
    <hyperlink ref="B120" location="'HCM OFFICE CASH'!A22" display="HCM OFFICE -VND"/>
    <hyperlink ref="B121" location="'YOUJIN HP H2'!A40" display="YOUJIN HP H2 - VND"/>
    <hyperlink ref="B124" location="'YOUJIN INNOTEK'!A41" display="YOUJIN INNOTEK - VND"/>
    <hyperlink ref="B122" location="'AEON MALL II'!A211" display="AEON MALL II - USD"/>
    <hyperlink ref="B126" location="'HCM OFFICE CASH'!A22" display="HCM OFFICE -VND"/>
    <hyperlink ref="B127" location="'YOUJIN HP H2'!A40" display="YOUJIN HP H2 - VND"/>
    <hyperlink ref="B130" location="'YOUJIN INNOTEK'!A41" display="YOUJIN INNOTEK - VND"/>
    <hyperlink ref="B128" location="'AEON MALL II'!A211" display="AEON MALL II - USD"/>
    <hyperlink ref="B131" location="'KUALA '!A1" display="KL LUMPUA OFFICE - RM"/>
    <hyperlink ref="B133" location="'HCM OFFICE CASH'!A22" display="HCM OFFICE -VND"/>
    <hyperlink ref="B134" location="'YOUJIN HP H2'!A40" display="YOUJIN HP H2 - VND"/>
    <hyperlink ref="B137" location="'YOUJIN INNOTEK'!A41" display="YOUJIN INNOTEK - VND"/>
    <hyperlink ref="B135" location="'AEON MALL II'!A211" display="AEON MALL II - USD"/>
    <hyperlink ref="B138" location="'KUALA '!A1" display="KL LUMPUA OFFICE - RM"/>
    <hyperlink ref="B140" location="'HCM OFFICE CASH'!A22" display="HCM OFFICE -VND"/>
    <hyperlink ref="B141" location="'YOUJIN HP H2'!A40" display="YOUJIN HP H2 - VND"/>
    <hyperlink ref="B144" location="'YOUJIN INNOTEK'!A41" display="YOUJIN INNOTEK - VND"/>
    <hyperlink ref="B142" location="'AEON MALL II'!A211" display="AEON MALL II - USD"/>
    <hyperlink ref="B145" location="'KUALA '!A1" display="KL LUMPUA OFFICE - RM"/>
    <hyperlink ref="B147" location="'HCM OFFICE CASH'!A22" display="HCM OFFICE -VND"/>
    <hyperlink ref="B148" location="'YOUJIN HP H2'!A40" display="YOUJIN HP H2 - VND"/>
    <hyperlink ref="B151" location="'YOUJIN INNOTEK'!A41" display="YOUJIN INNOTEK - VND"/>
    <hyperlink ref="B152" location="'KUALA '!A1" display="KL LUMPUA OFFICE - RM"/>
    <hyperlink ref="B149" location="'AEON MALL II'!A211" display="AEON MALL II - USD"/>
    <hyperlink ref="B154" location="'HCM OFFICE CASH'!A22" display="HCM OFFICE -VND"/>
    <hyperlink ref="B155" location="'YOUJIN HP H2'!A40" display="YOUJIN HP H2 - VND"/>
    <hyperlink ref="B158" location="'YOUJIN INNOTEK'!A41" display="YOUJIN INNOTEK - VND"/>
    <hyperlink ref="B159" location="'KUALA '!A1" display="KL LUMPUA OFFICE - RM"/>
    <hyperlink ref="B156" location="'AEON MALL II'!A211" display="AEON MALL II - USD"/>
    <hyperlink ref="B16" location="'YOUJIN INNOTEK'!A1" display="YOUJIN INNOTEK - VND"/>
    <hyperlink ref="B22" location="'YOUJIN INNOTEK'!A1" display="YOUJIN INNOTEK - VND"/>
    <hyperlink ref="B96" location="'HCM OFFICE CASH'!A1" display="HCM OFFICE -VND"/>
    <hyperlink ref="B97" location="'YOUJIN HP H2'!A1" display="YOUJIN HP H2 - VND"/>
    <hyperlink ref="B98" location="'AEON MALL II'!A1" display="AEON MALL II - USD"/>
    <hyperlink ref="B99" location="DOMITORY!A1" display="DOMITORY - VND"/>
    <hyperlink ref="B100" location="'YOUJIN INNOTEK'!A1" display="YOUJIN INNOTEK - VND"/>
    <hyperlink ref="B161" location="'HCM OFFICE CASH'!A22" display="HCM OFFICE -VND"/>
    <hyperlink ref="B162" location="'YOUJIN HP H2'!A40" display="YOUJIN HP H2 - VND"/>
    <hyperlink ref="B165" location="'YOUJIN INNOTEK'!A41" display="YOUJIN INNOTEK - VND"/>
    <hyperlink ref="B166" location="'KUALA '!A1" display="KL LUMPUA OFFICE - RM"/>
    <hyperlink ref="B163" location="'AEON MALL II'!A211" display="AEON MALL II - USD"/>
    <hyperlink ref="B168" location="'HCM OFFICE CASH'!A22" display="HCM OFFICE -VND"/>
    <hyperlink ref="B169" location="'YOUJIN HP H2'!A40" display="YOUJIN HP H2 - VND"/>
    <hyperlink ref="B172" location="'YOUJIN INNOTEK'!A41" display="YOUJIN INNOTEK - VND"/>
    <hyperlink ref="B173" location="'KUALA '!A1" display="KL LUMPUA OFFICE - RM"/>
    <hyperlink ref="B170" location="'AEON MALL II'!A211" display="AEON MALL II - USD"/>
    <hyperlink ref="B175" location="'HCM OFFICE CASH'!A22" display="HCM OFFICE -VND"/>
    <hyperlink ref="B176" location="'YOUJIN HP H2'!A40" display="YOUJIN HP H2 - VND"/>
    <hyperlink ref="B179" location="'YOUJIN INNOTEK'!A41" display="YOUJIN INNOTEK - VND"/>
    <hyperlink ref="B180" location="'KUALA '!A1" display="KL LUMPUA OFFICE - RM"/>
    <hyperlink ref="B177" location="'AEON MALL II'!A211" display="AEON MALL II - USD"/>
    <hyperlink ref="B182" location="'HCM OFFICE CASH'!A22" display="HCM OFFICE -VND"/>
    <hyperlink ref="B183" location="'YOUJIN HP H2'!A40" display="YOUJIN HP H2 - VND"/>
    <hyperlink ref="B186" location="'YOUJIN INNOTEK'!A41" display="YOUJIN INNOTEK - VND"/>
    <hyperlink ref="B187" location="'KUALA '!A1" display="KL LUMPUA OFFICE - RM"/>
    <hyperlink ref="B184" location="'AEON MALL II'!A211" display="AEON MALL II - USD"/>
    <hyperlink ref="B189" location="'HCM OFFICE CASH'!A22" display="HCM OFFICE -VND"/>
    <hyperlink ref="B190" location="'YOUJIN HP H2'!A40" display="YOUJIN HP H2 - VND"/>
    <hyperlink ref="B193" location="'YOUJIN INNOTEK'!A41" display="YOUJIN INNOTEK - VND"/>
    <hyperlink ref="B194" location="'KUALA '!A1" display="KL LUMPUA OFFICE - RM"/>
    <hyperlink ref="B191" location="'AEON MALL II'!A211" display="AEON MALL II - USD"/>
    <hyperlink ref="B196" location="'HCM OFFICE CASH'!A22" display="HCM OFFICE -VND"/>
    <hyperlink ref="B197" location="'YOUJIN HP H2'!A40" display="YOUJIN HP H2 - VND"/>
    <hyperlink ref="B200" location="'YOUJIN INNOTEK'!A41" display="YOUJIN INNOTEK - VND"/>
    <hyperlink ref="B201" location="'KUALA '!A1" display="KL LUMPUA OFFICE - RM"/>
    <hyperlink ref="B198" location="'AEON MALL II'!A211" display="AEON MALL II - USD"/>
    <hyperlink ref="B203" location="'HCM OFFICE CASH'!A22" display="HCM OFFICE -VND"/>
    <hyperlink ref="B204" location="'YOUJIN HP H2'!A40" display="YOUJIN HP H2 - VND"/>
    <hyperlink ref="B207" location="'YOUJIN INNOTEK'!A41" display="YOUJIN INNOTEK - VND"/>
    <hyperlink ref="B208" location="'KUALA '!A1" display="KL LUMPUA OFFICE - RM"/>
    <hyperlink ref="B205" location="'AEON MALL II'!A211" display="AEON MALL II - USD"/>
    <hyperlink ref="B210" location="'HCM OFFICE CASH'!A22" display="HCM OFFICE -VND"/>
    <hyperlink ref="B211" location="'YOUJIN HP H2'!A40" display="YOUJIN HP H2 - VND"/>
    <hyperlink ref="B214" location="'YOUJIN INNOTEK'!A41" display="YOUJIN INNOTEK - VND"/>
    <hyperlink ref="B215" location="'KUALA '!A1" display="KL LUMPUA OFFICE - RM"/>
    <hyperlink ref="B212" location="'AEON MALL II'!A211" display="AEON MALL II - USD"/>
    <hyperlink ref="B217" location="'HCM OFFICE CASH'!A22" display="HCM OFFICE -VND"/>
    <hyperlink ref="B218" location="'YOUJIN HP H2'!A40" display="YOUJIN HP H2 - VND"/>
    <hyperlink ref="B221" location="'YOUJIN INNOTEK'!A41" display="YOUJIN INNOTEK - VND"/>
    <hyperlink ref="B222" location="'KUALA '!A1" display="KL LUMPUA OFFICE - RM"/>
    <hyperlink ref="B219" location="'AEON MALL II'!A211" display="AEON MALL II - USD"/>
    <hyperlink ref="B224" location="'HCM OFFICE CASH'!A22" display="HCM OFFICE -VND"/>
    <hyperlink ref="B225" location="'YOUJIN HP H2'!A40" display="YOUJIN HP H2 - VND"/>
    <hyperlink ref="B228" location="'YOUJIN INNOTEK'!A41" display="YOUJIN INNOTEK - VND"/>
    <hyperlink ref="B229" location="'KUALA '!A1" display="KL LUMPUA OFFICE - RM"/>
    <hyperlink ref="B226" location="'AEON MALL II'!A211" display="AEON MALL II - USD"/>
    <hyperlink ref="B231" location="'HCM OFFICE CASH'!A22" display="HCM OFFICE -VND"/>
    <hyperlink ref="B232" location="'YOUJIN HP H2'!A40" display="YOUJIN HP H2 - VND"/>
    <hyperlink ref="B235" location="'YOUJIN INNOTEK'!A41" display="YOUJIN INNOTEK - VND"/>
    <hyperlink ref="B236" location="'KUALA '!A1" display="KL LUMPUA OFFICE - RM"/>
    <hyperlink ref="B233" location="'AEON MALL II'!A211" display="AEON MALL II - USD"/>
    <hyperlink ref="B238" location="'HCM OFFICE CASH'!A22" display="HCM OFFICE -VND"/>
    <hyperlink ref="B239" location="'YOUJIN HP H2'!A40" display="YOUJIN HP H2 - VND"/>
    <hyperlink ref="B242" location="'YOUJIN INNOTEK'!A41" display="YOUJIN INNOTEK - VND"/>
    <hyperlink ref="B243" location="'KUALA '!A1" display="KL LUMPUA OFFICE - RM"/>
    <hyperlink ref="B240" location="'AEON MALL II'!A211" display="AEON MALL II - USD"/>
    <hyperlink ref="B245" location="'HCM OFFICE CASH'!A22" display="HCM OFFICE -VND"/>
    <hyperlink ref="B246" location="'YOUJIN HP H2'!A40" display="YOUJIN HP H2 - VND"/>
    <hyperlink ref="B249" location="'YOUJIN INNOTEK'!A41" display="YOUJIN INNOTEK - VND"/>
    <hyperlink ref="B250" location="'KUALA '!A1" display="KL LUMPUA OFFICE - RM"/>
    <hyperlink ref="B247" location="'AEON MALL II'!A211" display="AEON MALL II - USD"/>
    <hyperlink ref="B252" location="'HCM OFFICE CASH'!A22" display="HCM OFFICE -VND"/>
    <hyperlink ref="B253" location="'YOUJIN HP H2'!A40" display="YOUJIN HP H2 - VND"/>
    <hyperlink ref="B256" location="'YOUJIN INNOTEK'!A41" display="YOUJIN INNOTEK - VND"/>
    <hyperlink ref="B257" location="'KUALA '!A1" display="KL LUMPUA OFFICE - RM"/>
    <hyperlink ref="B254" location="'AEON MALL II'!A211" display="AEON MALL II - USD"/>
    <hyperlink ref="B259" location="'HCM OFFICE CASH'!A22" display="HCM OFFICE -VND"/>
    <hyperlink ref="B260" location="'YOUJIN HP H2'!A40" display="YOUJIN HP H2 - VND"/>
    <hyperlink ref="B263" location="'YOUJIN INNOTEK'!A41" display="YOUJIN INNOTEK - VND"/>
    <hyperlink ref="B264" location="'KUALA '!A1" display="KL LUMPUA OFFICE - RM"/>
    <hyperlink ref="B261" location="'AEON MALL II'!A211" display="AEON MALL II - USD"/>
    <hyperlink ref="B266" location="'HCM OFFICE CASH'!A22" display="HCM OFFICE -VND"/>
    <hyperlink ref="B267" location="'YOUJIN HP H2'!A40" display="YOUJIN HP H2 - VND"/>
    <hyperlink ref="B270" location="'YOUJIN INNOTEK'!A41" display="YOUJIN INNOTEK - VND"/>
    <hyperlink ref="B271" location="'KUALA '!A1" display="KL LUMPUA OFFICE - RM"/>
    <hyperlink ref="B268" location="'AEON MALL II'!A211" display="AEON MALL II - USD"/>
    <hyperlink ref="B273" location="'HCM OFFICE CASH'!A22" display="HCM OFFICE -VND"/>
    <hyperlink ref="B274" location="'YOUJIN HP H2'!A40" display="YOUJIN HP H2 - VND"/>
    <hyperlink ref="B277" location="'YOUJIN INNOTEK'!A41" display="YOUJIN INNOTEK - VND"/>
    <hyperlink ref="B278" location="'KUALA '!A1" display="KL LUMPUA OFFICE - RM"/>
    <hyperlink ref="B275" location="'AEON MALL II'!A211" display="AEON MALL II - USD"/>
    <hyperlink ref="B280" location="'HCM OFFICE CASH'!A22" display="HCM OFFICE -VND"/>
    <hyperlink ref="B281" location="'YOUJIN HP H2'!A40" display="YOUJIN HP H2 - VND"/>
    <hyperlink ref="B284" location="'YOUJIN INNOTEK'!A41" display="YOUJIN INNOTEK - VND"/>
    <hyperlink ref="B285" location="'KUALA '!A1" display="KL LUMPUA OFFICE - RM"/>
    <hyperlink ref="B282" location="'AEON MALL II'!A211" display="AEON MALL II - USD"/>
    <hyperlink ref="B287" location="'HCM OFFICE CASH'!A22" display="HCM OFFICE -VND"/>
    <hyperlink ref="B288" location="'YOUJIN HP H2'!A40" display="YOUJIN HP H2 - VND"/>
    <hyperlink ref="B291" location="'YOUJIN INNOTEK'!A41" display="YOUJIN INNOTEK - VND"/>
    <hyperlink ref="B292" location="'KUALA '!A1" display="KL LUMPUA OFFICE - RM"/>
    <hyperlink ref="B289" location="'AEON MALL II'!A211" display="AEON MALL II - USD"/>
    <hyperlink ref="B294" location="'HCM OFFICE CASH'!A22" display="HCM OFFICE -VND"/>
    <hyperlink ref="B295" location="'YOUJIN HP H2'!A40" display="YOUJIN HP H2 - VND"/>
    <hyperlink ref="B298" location="'YOUJIN INNOTEK'!A41" display="YOUJIN INNOTEK - VND"/>
    <hyperlink ref="B299" location="'KUALA '!A1" display="KL LUMPUA OFFICE - RM"/>
    <hyperlink ref="B296" location="'AEON MALL II'!A211" display="AEON MALL II - USD"/>
    <hyperlink ref="B301" location="'HCM OFFICE CASH'!A22" display="HCM OFFICE -VND"/>
    <hyperlink ref="B302" location="'YOUJIN HP H2'!A40" display="YOUJIN HP H2 - VND"/>
    <hyperlink ref="B305" location="'YOUJIN INNOTEK'!A41" display="YOUJIN INNOTEK - VND"/>
    <hyperlink ref="B306" location="'KUALA '!A1" display="KL LUMPUA OFFICE - RM"/>
    <hyperlink ref="B303" location="'AEON MALL II'!A211" display="AEON MALL II - USD"/>
    <hyperlink ref="B308" location="'HCM OFFICE CASH'!A22" display="HCM OFFICE -VND"/>
    <hyperlink ref="B309" location="'YOUJIN HP H2'!A40" display="YOUJIN HP H2 - VND"/>
    <hyperlink ref="B312" location="'YOUJIN INNOTEK'!A41" display="YOUJIN INNOTEK - VND"/>
    <hyperlink ref="B313" location="'KUALA '!A1" display="KL LUMPUA OFFICE - RM"/>
    <hyperlink ref="B310" location="'AEON MALL II'!A211" display="AEON MALL II - USD"/>
    <hyperlink ref="B315" location="'HCM OFFICE CASH'!A22" display="HCM OFFICE -VND"/>
    <hyperlink ref="B316" location="'YOUJIN HP H2'!A40" display="YOUJIN HP H2 - VND"/>
    <hyperlink ref="B319" location="'YOUJIN INNOTEK'!A41" display="YOUJIN INNOTEK - VND"/>
    <hyperlink ref="B320" location="'KUALA '!A1" display="KL LUMPUA OFFICE - RM"/>
    <hyperlink ref="B317" location="'AEON MALL II'!A211" display="AEON MALL II - USD"/>
    <hyperlink ref="B322" location="'HCM OFFICE CASH'!A22" display="HCM OFFICE -VND"/>
    <hyperlink ref="B323" location="'YOUJIN HP H2'!A40" display="YOUJIN HP H2 - VND"/>
    <hyperlink ref="B326" location="'YOUJIN INNOTEK'!A41" display="YOUJIN INNOTEK - VND"/>
    <hyperlink ref="B327" location="'KUALA '!A1" display="KL LUMPUA OFFICE - RM"/>
    <hyperlink ref="B324" location="'AEON MALL II'!A211" display="AEON MALL II - USD"/>
    <hyperlink ref="B329" location="'HCM OFFICE CASH'!A22" display="HCM OFFICE -VND"/>
    <hyperlink ref="B330" location="'YOUJIN HP H2'!A40" display="YOUJIN HP H2 - VND"/>
    <hyperlink ref="B333" location="'YOUJIN INNOTEK'!A41" display="YOUJIN INNOTEK - VND"/>
    <hyperlink ref="B334" location="'KUALA '!A1" display="KL LUMPUA OFFICE - RM"/>
    <hyperlink ref="B331" location="'AEON MALL II'!A211" display="AEON MALL II - USD"/>
    <hyperlink ref="B336" location="'HCM OFFICE CASH'!A22" display="HCM OFFICE -VND"/>
    <hyperlink ref="B337" location="'YOUJIN HP H2'!A40" display="YOUJIN HP H2 - VND"/>
    <hyperlink ref="B340" location="'YOUJIN INNOTEK'!A41" display="YOUJIN INNOTEK - VND"/>
    <hyperlink ref="B341" location="'KUALA '!A1" display="KL LUMPUA OFFICE - RM"/>
    <hyperlink ref="B338" location="'AEON MALL II'!A211" display="AEON MALL II - USD"/>
    <hyperlink ref="B343" location="'HCM OFFICE CASH'!A22" display="HCM OFFICE -VND"/>
    <hyperlink ref="B344" location="'YOUJIN HP H2'!A40" display="YOUJIN HP H2 - VND"/>
    <hyperlink ref="B347" location="'YOUJIN INNOTEK'!A41" display="YOUJIN INNOTEK - VND"/>
    <hyperlink ref="B348" location="'KUALA '!A1" display="KL LUMPUA OFFICE - RM"/>
    <hyperlink ref="B345" location="'AEON MALL II'!A211" display="AEON MALL II - USD"/>
    <hyperlink ref="B350" location="'HCM OFFICE CASH'!A22" display="HCM OFFICE -VND"/>
    <hyperlink ref="B351" location="'YOUJIN HP H2'!A40" display="YOUJIN HP H2 - VND"/>
    <hyperlink ref="B354" location="'YOUJIN INNOTEK'!A41" display="YOUJIN INNOTEK - VND"/>
    <hyperlink ref="B355" location="'KUALA '!A1" display="KL LUMPUA OFFICE - RM"/>
    <hyperlink ref="B352" location="'AEON MALL II'!A211" display="AEON MALL II - USD"/>
    <hyperlink ref="B357" location="'HCM OFFICE CASH'!A22" display="HCM OFFICE -VND"/>
    <hyperlink ref="B358" location="'YOUJIN HP H2'!A40" display="YOUJIN HP H2 - VND"/>
    <hyperlink ref="B361" location="'YOUJIN INNOTEK'!A41" display="YOUJIN INNOTEK - VND"/>
    <hyperlink ref="B362" location="'KUALA '!A1" display="KL LUMPUA OFFICE - RM"/>
    <hyperlink ref="B359" location="'AEON MALL II'!A211" display="AEON MALL II - USD"/>
    <hyperlink ref="B364" location="'HCM OFFICE CASH'!A22" display="HCM OFFICE -VND"/>
    <hyperlink ref="B365" location="'YOUJIN HP H2'!A40" display="YOUJIN HP H2 - VND"/>
    <hyperlink ref="B368" location="'YOUJIN INNOTEK'!A41" display="YOUJIN INNOTEK - VND"/>
    <hyperlink ref="B369" location="'KUALA '!A1" display="KL LUMPUA OFFICE - RM"/>
    <hyperlink ref="B366" location="'AEON MALL II'!A211" display="AEON MALL II - USD"/>
    <hyperlink ref="B371" location="'HCM OFFICE CASH'!A22" display="HCM OFFICE -VND"/>
    <hyperlink ref="B372" location="'YOUJIN HP H2'!A40" display="YOUJIN HP H2 - VND"/>
    <hyperlink ref="B375" location="'YOUJIN INNOTEK'!A41" display="YOUJIN INNOTEK - VND"/>
    <hyperlink ref="B376" location="'KUALA '!A1" display="KL LUMPUA OFFICE - RM"/>
    <hyperlink ref="B373" location="'AEON MALL II'!A211" display="AEON MALL II - USD"/>
    <hyperlink ref="B378" location="'HCM OFFICE CASH'!A22" display="HCM OFFICE -VND"/>
    <hyperlink ref="B379" location="'YOUJIN HP H2'!A40" display="YOUJIN HP H2 - VND"/>
    <hyperlink ref="B382" location="'YOUJIN INNOTEK'!A41" display="YOUJIN INNOTEK - VND"/>
    <hyperlink ref="B383" location="'KUALA '!A1" display="KL LUMPUA OFFICE - RM"/>
    <hyperlink ref="B380" location="'AEON MALL II'!A211" display="AEON MALL II - USD"/>
    <hyperlink ref="B385" location="'HCM OFFICE CASH'!A22" display="HCM OFFICE -VND"/>
    <hyperlink ref="B386" location="'YOUJIN HP H2'!A40" display="YOUJIN HP H2 - VND"/>
    <hyperlink ref="B389" location="'YOUJIN INNOTEK'!A41" display="YOUJIN INNOTEK - VND"/>
    <hyperlink ref="B390" location="'KUALA '!A1" display="KL LUMPUA OFFICE - RM"/>
    <hyperlink ref="B387" location="'AEON MALL II'!A211" display="AEON MALL II - USD"/>
    <hyperlink ref="B392" location="'HCM OFFICE CASH'!A22" display="HCM OFFICE -VND"/>
    <hyperlink ref="B393" location="'YOUJIN HP H2'!A40" display="YOUJIN HP H2 - VND"/>
    <hyperlink ref="B396" location="'YOUJIN INNOTEK'!A41" display="YOUJIN INNOTEK - VND"/>
    <hyperlink ref="B397" location="'KUALA '!A1" display="KL LUMPUA OFFICE - RM"/>
    <hyperlink ref="B394" location="'AEON MALL II'!A211" display="AEON MALL II - USD"/>
    <hyperlink ref="B399" location="'HCM OFFICE CASH'!A22" display="HCM OFFICE -VND"/>
    <hyperlink ref="B400" location="'YOUJIN HP H2'!A40" display="YOUJIN HP H2 - VND"/>
    <hyperlink ref="B403" location="'YOUJIN INNOTEK'!A41" display="YOUJIN INNOTEK - VND"/>
    <hyperlink ref="B404" location="'KUALA '!A1" display="KL LUMPUA OFFICE - RM"/>
    <hyperlink ref="B401" location="'AEON MALL II'!A211" display="AEON MALL II - USD"/>
    <hyperlink ref="B406" location="'HCM OFFICE CASH'!A22" display="HCM OFFICE -VND"/>
    <hyperlink ref="B407" location="'YOUJIN HP H2'!A40" display="YOUJIN HP H2 - VND"/>
    <hyperlink ref="B410" location="'YOUJIN INNOTEK'!A41" display="YOUJIN INNOTEK - VND"/>
    <hyperlink ref="B411" location="'KUALA '!A1" display="KL LUMPUA OFFICE - RM"/>
    <hyperlink ref="B408" location="'AEON MALL II'!A211" display="AEON MALL II - USD"/>
    <hyperlink ref="B413" location="'HCM OFFICE CASH'!A22" display="HCM OFFICE -VND"/>
    <hyperlink ref="B414" location="'YOUJIN HP H2'!A40" display="YOUJIN HP H2 - VND"/>
    <hyperlink ref="B417" location="'YOUJIN INNOTEK'!A41" display="YOUJIN INNOTEK - VND"/>
    <hyperlink ref="B418" location="'KUALA '!A1" display="KL LUMPUA OFFICE - RM"/>
    <hyperlink ref="B415" location="'AEON MALL II'!A211" display="AEON MALL II - USD"/>
    <hyperlink ref="B420" location="'HCM OFFICE CASH'!A22" display="HCM OFFICE -VND"/>
    <hyperlink ref="B421" location="'YOUJIN HP H2'!A40" display="YOUJIN HP H2 - VND"/>
    <hyperlink ref="B424" location="'YOUJIN INNOTEK'!A41" display="YOUJIN INNOTEK - VND"/>
    <hyperlink ref="B425" location="'KUALA '!A1" display="KL LUMPUA OFFICE - RM"/>
    <hyperlink ref="B422" location="'AEON MALL II'!A211" display="AEON MALL II - USD"/>
    <hyperlink ref="B427" location="'HCM OFFICE CASH'!A22" display="HCM OFFICE -VND"/>
    <hyperlink ref="B428" location="'YOUJIN HP H2'!A40" display="YOUJIN HP H2 - VND"/>
    <hyperlink ref="B431" location="'YOUJIN INNOTEK'!A41" display="YOUJIN INNOTEK - VND"/>
    <hyperlink ref="B432" location="'KUALA '!A1" display="KL LUMPUA OFFICE - RM"/>
    <hyperlink ref="B429" location="'AEON MALL II'!A211" display="AEON MALL II - USD"/>
    <hyperlink ref="B434" location="'HCM OFFICE CASH'!A22" display="HCM OFFICE -VND"/>
    <hyperlink ref="B435" location="'YOUJIN HP H2'!A40" display="YOUJIN HP H2 - VND"/>
    <hyperlink ref="B438" location="'YOUJIN INNOTEK'!A41" display="YOUJIN INNOTEK - VND"/>
    <hyperlink ref="B439" location="'KUALA '!A1" display="KL LUMPUA OFFICE - RM"/>
    <hyperlink ref="B436" location="'AEON MALL II'!A211" display="AEON MALL II - USD"/>
    <hyperlink ref="B441" location="'HCM OFFICE CASH'!A22" display="HCM OFFICE -VND"/>
    <hyperlink ref="B442" location="'YOUJIN HP H2'!A40" display="YOUJIN HP H2 - VND"/>
    <hyperlink ref="B445" location="'YOUJIN INNOTEK'!A41" display="YOUJIN INNOTEK - VND"/>
    <hyperlink ref="B446" location="'KUALA '!A1" display="KL LUMPUA OFFICE - RM"/>
    <hyperlink ref="B443" location="'AEON MALL II'!A211" display="AEON MALL II - USD"/>
    <hyperlink ref="B448" location="'HCM OFFICE CASH'!A22" display="HCM OFFICE -VND"/>
    <hyperlink ref="B449" location="'YOUJIN HP H2'!A40" display="YOUJIN HP H2 - VND"/>
    <hyperlink ref="B452" location="'YOUJIN INNOTEK'!A41" display="YOUJIN INNOTEK - VND"/>
    <hyperlink ref="B453" location="'KUALA '!A1" display="KL LUMPUA OFFICE - RM"/>
    <hyperlink ref="B450" location="'AEON MALL II'!A211" display="AEON MALL II - USD"/>
    <hyperlink ref="B455" location="'HCM OFFICE CASH'!A22" display="HCM OFFICE -VND"/>
    <hyperlink ref="B456" location="'YOUJIN HP H2'!A40" display="YOUJIN HP H2 - VND"/>
    <hyperlink ref="B459" location="'YOUJIN INNOTEK'!A41" display="YOUJIN INNOTEK - VND"/>
    <hyperlink ref="B460" location="'KUALA '!A1" display="KL LUMPUA OFFICE - RM"/>
    <hyperlink ref="B457" location="'AEON MALL II'!A211" display="AEON MALL II - USD"/>
    <hyperlink ref="B462" location="'HCM OFFICE CASH'!A22" display="HCM OFFICE -VND"/>
    <hyperlink ref="B463" location="'YOUJIN HP H2'!A40" display="YOUJIN HP H2 - VND"/>
    <hyperlink ref="B466" location="'YOUJIN INNOTEK'!A41" display="YOUJIN INNOTEK - VND"/>
    <hyperlink ref="B467" location="'KUALA '!A1" display="KL LUMPUA OFFICE - RM"/>
    <hyperlink ref="B464" location="'AEON MALL II'!A211" display="AEON MALL II - USD"/>
    <hyperlink ref="B469" location="'HCM OFFICE CASH'!A22" display="HCM OFFICE -VND"/>
    <hyperlink ref="B470" location="'YOUJIN HP H2'!A40" display="YOUJIN HP H2 - VND"/>
    <hyperlink ref="B473" location="'YOUJIN INNOTEK'!A41" display="YOUJIN INNOTEK - VND"/>
    <hyperlink ref="B474" location="'KUALA '!A1" display="KL LUMPUA OFFICE - RM"/>
    <hyperlink ref="B471" location="'AEON MALL II'!A211" display="AEON MALL II - USD"/>
    <hyperlink ref="B476" location="'HCM OFFICE CASH'!A22" display="HCM OFFICE -VND"/>
    <hyperlink ref="B477" location="'YOUJIN HP H2'!A40" display="YOUJIN HP H2 - VND"/>
    <hyperlink ref="B480" location="'YOUJIN INNOTEK'!A41" display="YOUJIN INNOTEK - VND"/>
    <hyperlink ref="B481" location="'KUALA '!A1" display="KL LUMPUA OFFICE - RM"/>
    <hyperlink ref="B478" location="'AEON MALL II'!A211" display="AEON MALL II - USD"/>
    <hyperlink ref="B483" location="'HCM OFFICE CASH'!A22" display="HCM OFFICE -VND"/>
    <hyperlink ref="B484" location="'YOUJIN HP H2'!A40" display="YOUJIN HP H2 - VND"/>
    <hyperlink ref="B487" location="'YOUJIN INNOTEK'!A41" display="YOUJIN INNOTEK - VND"/>
    <hyperlink ref="B488" location="'KUALA '!A1" display="KL LUMPUA OFFICE - RM"/>
    <hyperlink ref="B485" location="'AEON MALL II'!A211" display="AEON MALL II - USD"/>
    <hyperlink ref="B490" location="'HCM OFFICE CASH'!A22" display="HCM OFFICE -VND"/>
    <hyperlink ref="B491" location="'YOUJIN HP H2'!A40" display="YOUJIN HP H2 - VND"/>
    <hyperlink ref="B494" location="'YOUJIN INNOTEK'!A41" display="YOUJIN INNOTEK - VND"/>
    <hyperlink ref="B495" location="'KUALA '!A1" display="KL LUMPUA OFFICE - RM"/>
    <hyperlink ref="B492" location="'AEON MALL II'!A211" display="AEON MALL II - USD"/>
    <hyperlink ref="B497" location="'HCM OFFICE CASH'!A22" display="HCM OFFICE -VND"/>
    <hyperlink ref="B498" location="'YOUJIN HP H2'!A40" display="YOUJIN HP H2 - VND"/>
    <hyperlink ref="B501" location="'YOUJIN INNOTEK'!A41" display="YOUJIN INNOTEK - VND"/>
    <hyperlink ref="B502" location="'KUALA '!A1" display="KL LUMPUA OFFICE - RM"/>
    <hyperlink ref="B499" location="'AEON MALL II'!A211" display="AEON MALL II - USD"/>
    <hyperlink ref="B504" location="'HCM OFFICE CASH'!A22" display="HCM OFFICE -VND"/>
    <hyperlink ref="B505" location="'YOUJIN HP H2'!A40" display="YOUJIN HP H2 - VND"/>
    <hyperlink ref="B508" location="'YOUJIN INNOTEK'!A41" display="YOUJIN INNOTEK - VND"/>
    <hyperlink ref="B509" location="'KUALA '!A1" display="KL LUMPUA OFFICE - RM"/>
    <hyperlink ref="B506" location="'AEON MALL II'!A211" display="AEON MALL II - USD"/>
    <hyperlink ref="B511" location="'HCM OFFICE CASH'!A22" display="HCM OFFICE -VND"/>
    <hyperlink ref="B512" location="'YOUJIN HP H2'!A40" display="YOUJIN HP H2 - VND"/>
    <hyperlink ref="B515" location="'YOUJIN INNOTEK'!A41" display="YOUJIN INNOTEK - VND"/>
    <hyperlink ref="B516" location="'KUALA '!A1" display="KL LUMPUA OFFICE - RM"/>
    <hyperlink ref="B513" location="'AEON MALL II'!A211" display="AEON MALL II - USD"/>
    <hyperlink ref="B518" location="'HCM OFFICE CASH'!A22" display="HCM OFFICE -VND"/>
    <hyperlink ref="B519" location="'YOUJIN HP H2'!A40" display="YOUJIN HP H2 - VND"/>
    <hyperlink ref="B522" location="'YOUJIN INNOTEK'!A41" display="YOUJIN INNOTEK - VND"/>
    <hyperlink ref="B523" location="'KUALA '!A1" display="KL LUMPUA OFFICE - RM"/>
    <hyperlink ref="B520" location="'AEON MALL II'!A211" display="AEON MALL II - USD"/>
    <hyperlink ref="B525" location="'HCM OFFICE CASH'!A22" display="HCM OFFICE -VND"/>
    <hyperlink ref="B526" location="'YOUJIN HP H2'!A40" display="YOUJIN HP H2 - VND"/>
    <hyperlink ref="B529" location="'YOUJIN INNOTEK'!A41" display="YOUJIN INNOTEK - VND"/>
    <hyperlink ref="B530" location="'KUALA '!A1" display="KL LUMPUA OFFICE - RM"/>
    <hyperlink ref="B527" location="'AEON MALL II'!A211" display="AEON MALL II - USD"/>
    <hyperlink ref="B532" location="'HCM OFFICE CASH'!A22" display="HCM OFFICE -VND"/>
    <hyperlink ref="B533" location="'YOUJIN HP H2'!A40" display="YOUJIN HP H2 - VND"/>
    <hyperlink ref="B536" location="'YOUJIN INNOTEK'!A41" display="YOUJIN INNOTEK - VND"/>
    <hyperlink ref="B537" location="'KUALA '!A1" display="KL LUMPUA OFFICE - RM"/>
    <hyperlink ref="B534" location="'AEON MALL II'!A211" display="AEON MALL II - USD"/>
    <hyperlink ref="B539" location="'HCM OFFICE CASH'!A22" display="HCM OFFICE -VND"/>
    <hyperlink ref="B540" location="'YOUJIN HP H2'!A40" display="YOUJIN HP H2 - VND"/>
    <hyperlink ref="B543" location="'YOUJIN INNOTEK'!A41" display="YOUJIN INNOTEK - VND"/>
    <hyperlink ref="B544" location="'KUALA '!A1" display="KL LUMPUA OFFICE - RM"/>
    <hyperlink ref="B541" location="'AEON MALL II'!A211" display="AEON MALL II - USD"/>
    <hyperlink ref="B546" location="'HCM OFFICE CASH'!A22" display="HCM OFFICE -VND"/>
    <hyperlink ref="B547" location="'YOUJIN HP H2'!A40" display="YOUJIN HP H2 - VND"/>
    <hyperlink ref="B550" location="'YOUJIN INNOTEK'!A41" display="YOUJIN INNOTEK - VND"/>
    <hyperlink ref="B551" location="'KUALA '!A1" display="KL LUMPUA OFFICE - RM"/>
    <hyperlink ref="B548" location="'AEON MALL II'!A211" display="AEON MALL II - USD"/>
    <hyperlink ref="B553" location="'HCM OFFICE CASH'!A22" display="HCM OFFICE -VND"/>
    <hyperlink ref="B554" location="'YOUJIN HP H2'!A40" display="YOUJIN HP H2 - VND"/>
    <hyperlink ref="B557" location="'YOUJIN INNOTEK'!A41" display="YOUJIN INNOTEK - VND"/>
    <hyperlink ref="B558" location="'KUALA '!A1" display="KL LUMPUA OFFICE - RM"/>
    <hyperlink ref="B555" location="'AEON MALL II'!A211" display="AEON MALL II - USD"/>
    <hyperlink ref="B560" location="'HCM OFFICE CASH'!A22" display="HCM OFFICE -VND"/>
    <hyperlink ref="B561" location="'YOUJIN HP H2'!A40" display="YOUJIN HP H2 - VND"/>
    <hyperlink ref="B564" location="'YOUJIN INNOTEK'!A41" display="YOUJIN INNOTEK - VND"/>
    <hyperlink ref="B565" location="'KUALA '!A1" display="KL LUMPUA OFFICE - RM"/>
    <hyperlink ref="B562" location="'AEON MALL II'!A211" display="AEON MALL II - USD"/>
    <hyperlink ref="B567" location="'HCM OFFICE CASH'!A22" display="HCM OFFICE -VND"/>
    <hyperlink ref="B568" location="'YOUJIN HP H2'!A40" display="YOUJIN HP H2 - VND"/>
    <hyperlink ref="B571" location="'YOUJIN INNOTEK'!A41" display="YOUJIN INNOTEK - VND"/>
    <hyperlink ref="B572" location="'KUALA '!A1" display="KL LUMPUA OFFICE - RM"/>
    <hyperlink ref="B569" location="'AEON MALL II'!A211" display="AEON MALL II - USD"/>
    <hyperlink ref="B574" location="'HCM OFFICE CASH'!A22" display="HCM OFFICE -VND"/>
    <hyperlink ref="B575" location="'YOUJIN HP H2'!A40" display="YOUJIN HP H2 - VND"/>
    <hyperlink ref="B578" location="'YOUJIN INNOTEK'!A41" display="YOUJIN INNOTEK - VND"/>
    <hyperlink ref="B579" location="'KUALA '!A1" display="KL LUMPUA OFFICE - RM"/>
    <hyperlink ref="B576" location="'AEON MALL II'!A211" display="AEON MALL II - USD"/>
    <hyperlink ref="B581" location="'HCM OFFICE CASH'!A22" display="HCM OFFICE -VND"/>
    <hyperlink ref="B582" location="'YOUJIN HP H2'!A40" display="YOUJIN HP H2 - VND"/>
    <hyperlink ref="B585" location="'YOUJIN INNOTEK'!A41" display="YOUJIN INNOTEK - VND"/>
    <hyperlink ref="B586" location="'KUALA '!A1" display="KL LUMPUA OFFICE - RM"/>
    <hyperlink ref="B583" location="'AEON MALL II'!A211" display="AEON MALL II - USD"/>
    <hyperlink ref="B588" location="'HCM OFFICE CASH'!A22" display="HCM OFFICE -VND"/>
    <hyperlink ref="B589" location="'YOUJIN HP H2'!A40" display="YOUJIN HP H2 - VND"/>
    <hyperlink ref="B592" location="'YOUJIN INNOTEK'!A41" display="YOUJIN INNOTEK - VND"/>
    <hyperlink ref="B593" location="'KUALA '!A1" display="KL LUMPUA OFFICE - RM"/>
    <hyperlink ref="B590" location="'AEON MALL II'!A211" display="AEON MALL II - USD"/>
    <hyperlink ref="B596" location="'HCM OFFICE CASH'!A22" display="HCM OFFICE -VND"/>
    <hyperlink ref="B597" location="'YOUJIN HP H2'!A40" display="YOUJIN HP H2 - VND"/>
    <hyperlink ref="B600" location="'YOUJIN INNOTEK'!A41" display="YOUJIN INNOTEK - VND"/>
    <hyperlink ref="B601" location="'KUALA '!A1" display="KL LUMPUA OFFICE - RM"/>
    <hyperlink ref="B598" location="'AEON MALL II'!A211" display="AEON MALL II - USD"/>
    <hyperlink ref="B604" location="'HCM OFFICE CASH'!A22" display="HCM OFFICE -VND"/>
    <hyperlink ref="B605" location="'YOUJIN HP H2'!A40" display="YOUJIN HP H2 - VND"/>
    <hyperlink ref="B608" location="'YOUJIN INNOTEK'!A41" display="YOUJIN INNOTEK - VND"/>
    <hyperlink ref="B609" location="'KUALA '!A1" display="KL LUMPUA OFFICE - RM"/>
    <hyperlink ref="B606" location="'AEON MALL II'!A211" display="AEON MALL II - USD"/>
    <hyperlink ref="B612" location="'HCM OFFICE CASH'!A22" display="HCM OFFICE -VND"/>
    <hyperlink ref="B613" location="'YOUJIN HP H2'!A40" display="YOUJIN HP H2 - VND"/>
    <hyperlink ref="B616" location="'YOUJIN INNOTEK'!A41" display="YOUJIN INNOTEK - VND"/>
    <hyperlink ref="B617" location="'KUALA '!A1" display="KL LUMPUA OFFICE - RM"/>
    <hyperlink ref="B614" location="'AEON MALL II'!A211" display="AEON MALL II - USD"/>
    <hyperlink ref="B620" location="'HCM OFFICE CASH'!A22" display="HCM OFFICE -VND"/>
    <hyperlink ref="B621" location="'YOUJIN HP H2'!A40" display="YOUJIN HP H2 - VND"/>
    <hyperlink ref="B624" location="'YOUJIN INNOTEK'!A41" display="YOUJIN INNOTEK - VND"/>
    <hyperlink ref="B625" location="'KUALA '!A1" display="KL LUMPUA OFFICE - RM"/>
    <hyperlink ref="B622" location="'AEON MALL II'!A211" display="AEON MALL II - USD"/>
    <hyperlink ref="B628" location="'HCM OFFICE CASH'!A22" display="HCM OFFICE -VND"/>
    <hyperlink ref="B629" location="'YOUJIN HP H2'!A40" display="YOUJIN HP H2 - VND"/>
    <hyperlink ref="B632" location="'YOUJIN INNOTEK'!A41" display="YOUJIN INNOTEK - VND"/>
    <hyperlink ref="B633" location="'KUALA '!A1" display="KL LUMPUA OFFICE - RM"/>
    <hyperlink ref="B630" location="'AEON MALL II'!A211" display="AEON MALL II - USD"/>
    <hyperlink ref="B636" location="'HCM OFFICE CASH'!A22" display="HCM OFFICE -VND"/>
    <hyperlink ref="B637" location="'YOUJIN HP H2'!A40" display="YOUJIN HP H2 - VND"/>
    <hyperlink ref="B640" location="'YOUJIN INNOTEK'!A41" display="YOUJIN INNOTEK - VND"/>
    <hyperlink ref="B641" location="'KUALA '!A1" display="KL LUMPUA OFFICE - RM"/>
    <hyperlink ref="B638" location="'AEON MALL II'!A211" display="AEON MALL II - USD"/>
    <hyperlink ref="B644" location="'HCM OFFICE CASH'!A22" display="HCM OFFICE -VND"/>
    <hyperlink ref="B645" location="'YOUJIN HP H2'!A40" display="YOUJIN HP H2 - VND"/>
    <hyperlink ref="B648" location="'YOUJIN INNOTEK'!A41" display="YOUJIN INNOTEK - VND"/>
    <hyperlink ref="B649" location="'KUALA '!A1" display="KL LUMPUA OFFICE - RM"/>
    <hyperlink ref="B646" location="'AEON MALL II'!A211" display="AEON MALL II - USD"/>
    <hyperlink ref="B652" location="'HCM OFFICE CASH'!A22" display="HCM OFFICE -VND"/>
    <hyperlink ref="B653" location="'YOUJIN HP H2'!A40" display="YOUJIN HP H2 - VND"/>
    <hyperlink ref="B656" location="'YOUJIN INNOTEK'!A41" display="YOUJIN INNOTEK - VND"/>
    <hyperlink ref="B657" location="'KUALA '!A1" display="KL LUMPUA OFFICE - RM"/>
    <hyperlink ref="B654" location="'AEON MALL II'!A211" display="AEON MALL II - USD"/>
    <hyperlink ref="B660" location="'HCM OFFICE CASH'!A22" display="HCM OFFICE -VND"/>
    <hyperlink ref="B661" location="'YOUJIN HP H2'!A40" display="YOUJIN HP H2 - VND"/>
    <hyperlink ref="B664" location="'YOUJIN INNOTEK'!A41" display="YOUJIN INNOTEK - VND"/>
    <hyperlink ref="B665" location="'KUALA '!A1" display="KL LUMPUA OFFICE - RM"/>
    <hyperlink ref="B662" location="'AEON MALL II'!A211" display="AEON MALL II - USD"/>
    <hyperlink ref="B668" location="'HCM OFFICE CASH'!A22" display="HCM OFFICE -VND"/>
    <hyperlink ref="B669" location="'YOUJIN HP H2'!A40" display="YOUJIN HP H2 - VND"/>
    <hyperlink ref="B672" location="'YOUJIN INNOTEK'!A41" display="YOUJIN INNOTEK - VND"/>
    <hyperlink ref="B673" location="'KUALA '!A1" display="KL LUMPUA OFFICE - RM"/>
    <hyperlink ref="B670" location="'AEON MALL II'!A211" display="AEON MALL II - USD"/>
    <hyperlink ref="B676" location="'HCM OFFICE CASH'!A22" display="HCM OFFICE -VND"/>
    <hyperlink ref="B677" location="'YOUJIN HP H2'!A40" display="YOUJIN HP H2 - VND"/>
    <hyperlink ref="B680" location="'YOUJIN INNOTEK'!A41" display="YOUJIN INNOTEK - VND"/>
    <hyperlink ref="B681" location="'KUALA '!A1" display="KL LUMPUA OFFICE - RM"/>
    <hyperlink ref="B678" location="'AEON MALL II'!A211" display="AEON MALL II - USD"/>
    <hyperlink ref="B682" location="MRO!A1" display="MRO - HP"/>
    <hyperlink ref="B674" location="MRO!A1" display="MRO - HP"/>
    <hyperlink ref="B666" location="MRO!A1" display="MRO - HP"/>
    <hyperlink ref="B658" location="MRO!A1" display="MRO - HP"/>
    <hyperlink ref="B650" location="MRO!A1" display="MRO - HP"/>
    <hyperlink ref="B684" location="'HCM OFFICE CASH'!A22" display="HCM OFFICE -VND"/>
    <hyperlink ref="B685" location="'YOUJIN HP H2'!A40" display="YOUJIN HP H2 - VND"/>
    <hyperlink ref="B688" location="'YOUJIN INNOTEK'!A41" display="YOUJIN INNOTEK - VND"/>
    <hyperlink ref="B689" location="'KUALA '!A1" display="KL LUMPUA OFFICE - RM"/>
    <hyperlink ref="B686" location="'AEON MALL II'!A211" display="AEON MALL II - USD"/>
    <hyperlink ref="B690" location="MRO!A1" display="MRO - HP"/>
    <hyperlink ref="B692" location="'HCM OFFICE CASH'!A22" display="HCM OFFICE -VND"/>
    <hyperlink ref="B693" location="'YOUJIN HP H2'!A40" display="YOUJIN HP H2 - VND"/>
    <hyperlink ref="B696" location="'YOUJIN INNOTEK'!A41" display="YOUJIN INNOTEK - VND"/>
    <hyperlink ref="B697" location="'KUALA '!A1" display="KL LUMPUA OFFICE - RM"/>
    <hyperlink ref="B694" location="'AEON MALL II'!A211" display="AEON MALL II - USD"/>
    <hyperlink ref="B698" location="MRO!A1" display="MRO - HP"/>
    <hyperlink ref="B700" location="'HCM OFFICE CASH'!A22" display="HCM OFFICE -VND"/>
    <hyperlink ref="B701" location="'YOUJIN HP H2'!A40" display="YOUJIN HP H2 - VND"/>
    <hyperlink ref="B704" location="'YOUJIN INNOTEK'!A41" display="YOUJIN INNOTEK - VND"/>
    <hyperlink ref="B705" location="'KUALA '!A1" display="KL LUMPUA OFFICE - RM"/>
    <hyperlink ref="B702" location="'AEON MALL II'!A211" display="AEON MALL II - USD"/>
    <hyperlink ref="B706" location="MRO!A1" display="MRO - HP"/>
    <hyperlink ref="B708" location="'HCM OFFICE CASH'!A22" display="HCM OFFICE -VND"/>
    <hyperlink ref="B709" location="'YOUJIN HP H2'!A40" display="YOUJIN HP H2 - VND"/>
    <hyperlink ref="B712" location="'YOUJIN INNOTEK'!A41" display="YOUJIN INNOTEK - VND"/>
    <hyperlink ref="B713" location="'KUALA '!A1" display="KL LUMPUA OFFICE - RM"/>
    <hyperlink ref="B710" location="'AEON MALL II'!A211" display="AEON MALL II - USD"/>
    <hyperlink ref="B714" location="MRO!A1" display="MRO - HP"/>
    <hyperlink ref="B716" location="'HCM OFFICE CASH'!A22" display="HCM OFFICE -VND"/>
    <hyperlink ref="B717" location="'YOUJIN HP H2'!A40" display="YOUJIN HP H2 - VND"/>
    <hyperlink ref="B720" location="'YOUJIN INNOTEK'!A41" display="YOUJIN INNOTEK - VND"/>
    <hyperlink ref="B721" location="'KUALA '!A1" display="KL LUMPUA OFFICE - RM"/>
    <hyperlink ref="B718" location="'AEON MALL II'!A211" display="AEON MALL II - USD"/>
    <hyperlink ref="B722" location="MRO!A1" display="MRO - HP"/>
    <hyperlink ref="B724" location="'HCM OFFICE CASH'!A22" display="HCM OFFICE -VND"/>
    <hyperlink ref="B725" location="'YOUJIN HP H2'!A40" display="YOUJIN HP H2 - VND"/>
    <hyperlink ref="B728" location="'YOUJIN INNOTEK'!A41" display="YOUJIN INNOTEK - VND"/>
    <hyperlink ref="B729" location="'KUALA '!A1" display="KL LUMPUA OFFICE - RM"/>
    <hyperlink ref="B726" location="'AEON MALL II'!A211" display="AEON MALL II - USD"/>
    <hyperlink ref="B730" location="MRO!A1" display="MRO - HP"/>
    <hyperlink ref="B732" location="'HCM OFFICE CASH'!A22" display="HCM OFFICE -VND"/>
    <hyperlink ref="B733" location="'YOUJIN HP H2'!A40" display="YOUJIN HP H2 - VND"/>
    <hyperlink ref="B736" location="'YOUJIN INNOTEK'!A41" display="YOUJIN INNOTEK - VND"/>
    <hyperlink ref="B737" location="'KUALA '!A1" display="KL LUMPUA OFFICE - RM"/>
    <hyperlink ref="B734" location="'AEON MALL II'!A211" display="AEON MALL II - USD"/>
    <hyperlink ref="B738" location="MRO!A1" display="MRO - HP"/>
    <hyperlink ref="B740" location="'HCM OFFICE CASH'!A22" display="HCM OFFICE -VND"/>
    <hyperlink ref="B741" location="'YOUJIN HP H2'!A40" display="YOUJIN HP H2 - VND"/>
    <hyperlink ref="B744" location="'YOUJIN INNOTEK'!A41" display="YOUJIN INNOTEK - VND"/>
    <hyperlink ref="B745" location="'KUALA '!A1" display="KL LUMPUA OFFICE - RM"/>
    <hyperlink ref="B742" location="'AEON MALL II'!A211" display="AEON MALL II - USD"/>
    <hyperlink ref="B746" location="MRO!A1" display="MRO - HP"/>
    <hyperlink ref="B748" location="'HCM OFFICE CASH'!A22" display="HCM OFFICE -VND"/>
    <hyperlink ref="B749" location="'YOUJIN HP H2'!A40" display="YOUJIN HP H2 - VND"/>
    <hyperlink ref="B752" location="'YOUJIN INNOTEK'!A41" display="YOUJIN INNOTEK - VND"/>
    <hyperlink ref="B753" location="'KUALA '!A1" display="KL LUMPUA OFFICE - RM"/>
    <hyperlink ref="B750" location="'AEON MALL II'!A211" display="AEON MALL II - USD"/>
    <hyperlink ref="B754" location="MRO!A1" display="MRO - HP"/>
    <hyperlink ref="B756" location="'HCM OFFICE CASH'!A22" display="HCM OFFICE -VND"/>
    <hyperlink ref="B757" location="'YOUJIN HP H2'!A40" display="YOUJIN HP H2 - VND"/>
    <hyperlink ref="B760" location="'YOUJIN INNOTEK'!A41" display="YOUJIN INNOTEK - VND"/>
    <hyperlink ref="B761" location="'KUALA '!A1" display="KL LUMPUA OFFICE - RM"/>
    <hyperlink ref="B758" location="'AEON MALL II'!A211" display="AEON MALL II - USD"/>
    <hyperlink ref="B762" location="MRO!A1" display="MRO - HP"/>
    <hyperlink ref="B764" location="'HCM OFFICE CASH'!A22" display="HCM OFFICE -VND"/>
    <hyperlink ref="B765" location="'YOUJIN HP H2'!A40" display="YOUJIN HP H2 - VND"/>
    <hyperlink ref="B768" location="'YOUJIN INNOTEK'!A41" display="YOUJIN INNOTEK - VND"/>
    <hyperlink ref="B769" location="'KUALA '!A1" display="KL LUMPUA OFFICE - RM"/>
    <hyperlink ref="B766" location="'AEON MALL II'!A211" display="AEON MALL II - USD"/>
    <hyperlink ref="B770" location="MRO!A1" display="MRO - HP"/>
    <hyperlink ref="B772" location="'HCM OFFICE CASH'!A22" display="HCM OFFICE -VND"/>
    <hyperlink ref="B773" location="'YOUJIN HP H2'!A40" display="YOUJIN HP H2 - VND"/>
    <hyperlink ref="B776" location="'YOUJIN INNOTEK'!A41" display="YOUJIN INNOTEK - VND"/>
    <hyperlink ref="B777" location="'KUALA '!A1" display="KL LUMPUA OFFICE - RM"/>
    <hyperlink ref="B774" location="'AEON MALL II'!A211" display="AEON MALL II - USD"/>
    <hyperlink ref="B778" location="MRO!A1" display="MRO - HP"/>
    <hyperlink ref="B780" location="'HCM OFFICE CASH'!A22" display="HCM OFFICE -VND"/>
    <hyperlink ref="B781" location="'YOUJIN HP H2'!A40" display="YOUJIN HP H2 - VND"/>
    <hyperlink ref="B784" location="'YOUJIN INNOTEK'!A41" display="YOUJIN INNOTEK - VND"/>
    <hyperlink ref="B785" location="'KUALA '!A1" display="KL LUMPUA OFFICE - RM"/>
    <hyperlink ref="B782" location="'AEON MALL II'!A211" display="AEON MALL II - USD"/>
    <hyperlink ref="B786" location="MRO!A1" display="MRO - HP"/>
    <hyperlink ref="B789" location="'HCM OFFICE CASH'!A22" display="HCM OFFICE -VND"/>
    <hyperlink ref="B790" location="'YOUJIN HP H2'!A40" display="YOUJIN HP H2 - VND"/>
    <hyperlink ref="B793" location="'YOUJIN INNOTEK'!A41" display="YOUJIN INNOTEK - VND"/>
    <hyperlink ref="B794" location="'KUALA '!A1" display="KL LUMPUA OFFICE - RM"/>
    <hyperlink ref="B791" location="'AEON MALL II'!A211" display="AEON MALL II - USD"/>
    <hyperlink ref="B795" location="MRO!A1" display="MRO - HP"/>
    <hyperlink ref="B798" location="'HCM OFFICE CASH'!A22" display="HCM OFFICE -VND"/>
    <hyperlink ref="B799" location="'YOUJIN HP H2'!A40" display="YOUJIN HP H2 - VND"/>
    <hyperlink ref="B802" location="'YOUJIN INNOTEK'!A41" display="YOUJIN INNOTEK - VND"/>
    <hyperlink ref="B803" location="'KUALA '!A1" display="KL LUMPUA OFFICE - RM"/>
    <hyperlink ref="B800" location="'AEON MALL II'!A211" display="AEON MALL II - USD"/>
    <hyperlink ref="B804" location="MRO!A1" display="MRO - HP"/>
    <hyperlink ref="B807" location="'HCM OFFICE CASH'!A22" display="HCM OFFICE -VND"/>
    <hyperlink ref="B808" location="'YOUJIN HP H2'!A40" display="YOUJIN HP H2 - VND"/>
    <hyperlink ref="B811" location="'YOUJIN INNOTEK'!A41" display="YOUJIN INNOTEK - VND"/>
    <hyperlink ref="B812" location="'KUALA '!A1" display="KL LUMPUA OFFICE - RM"/>
    <hyperlink ref="B809" location="'AEON MALL II'!A211" display="AEON MALL II - USD"/>
    <hyperlink ref="B813" location="MRO!A1" display="MRO - HP"/>
    <hyperlink ref="B816" location="'HCM OFFICE CASH'!A22" display="HCM OFFICE -VND"/>
    <hyperlink ref="B817" location="'YOUJIN HP H2'!A40" display="YOUJIN HP H2 - VND"/>
    <hyperlink ref="B820" location="'YOUJIN INNOTEK'!A41" display="YOUJIN INNOTEK - VND"/>
    <hyperlink ref="B821" location="'KUALA '!A1" display="KL LUMPUA OFFICE - RM"/>
    <hyperlink ref="B818" location="'AEON MALL II'!A211" display="AEON MALL II - USD"/>
    <hyperlink ref="B822" location="MRO!A1" display="MRO - HP"/>
    <hyperlink ref="B825" location="'HCM OFFICE CASH'!A22" display="HCM OFFICE -VND"/>
    <hyperlink ref="B826" location="'YOUJIN HP H2'!A40" display="YOUJIN HP H2 - VND"/>
    <hyperlink ref="B829" location="'YOUJIN INNOTEK'!A41" display="YOUJIN INNOTEK - VND"/>
    <hyperlink ref="B830" location="'KUALA '!A1" display="KL LUMPUA OFFICE - RM"/>
    <hyperlink ref="B827" location="'AEON MALL II'!A211" display="AEON MALL II - USD"/>
    <hyperlink ref="B831" location="MRO!A1" display="MRO - HP"/>
    <hyperlink ref="B834" location="'HCM OFFICE CASH'!A22" display="HCM OFFICE -VND"/>
    <hyperlink ref="B835" location="'YOUJIN HP H2'!A40" display="YOUJIN HP H2 - VND"/>
    <hyperlink ref="B838" location="'YOUJIN INNOTEK'!A41" display="YOUJIN INNOTEK - VND"/>
    <hyperlink ref="B839" location="'KUALA '!A1" display="KL LUMPUA OFFICE - RM"/>
    <hyperlink ref="B836" location="'AEON MALL II'!A211" display="AEON MALL II - USD"/>
    <hyperlink ref="B840" location="MRO!A1" display="MRO - HP"/>
    <hyperlink ref="B843" location="'HCM OFFICE CASH'!A22" display="HCM OFFICE -VND"/>
    <hyperlink ref="B844" location="'YOUJIN HP H2'!A40" display="YOUJIN HP H2 - VND"/>
    <hyperlink ref="B847" location="'YOUJIN INNOTEK'!A41" display="YOUJIN INNOTEK - VND"/>
    <hyperlink ref="B848" location="'KUALA '!A1" display="KL LUMPUA OFFICE - RM"/>
    <hyperlink ref="B845" location="'AEON MALL II'!A211" display="AEON MALL II - USD"/>
    <hyperlink ref="B849" location="MRO!A1" display="MRO - HP"/>
    <hyperlink ref="B852" location="'HCM OFFICE CASH'!A22" display="HCM OFFICE -VND"/>
    <hyperlink ref="B853" location="'YOUJIN HP H2'!A40" display="YOUJIN HP H2 - VND"/>
    <hyperlink ref="B856" location="'YOUJIN INNOTEK'!A41" display="YOUJIN INNOTEK - VND"/>
    <hyperlink ref="B857" location="'KUALA '!A1" display="KL LUMPUA OFFICE - RM"/>
    <hyperlink ref="B854" location="'AEON MALL II'!A211" display="AEON MALL II - USD"/>
    <hyperlink ref="B858" location="MRO!A1" display="MRO - HP"/>
    <hyperlink ref="B861" location="'HCM OFFICE CASH'!A22" display="HCM OFFICE -VND"/>
    <hyperlink ref="B862" location="'YOUJIN HP H2'!A40" display="YOUJIN HP H2 - VND"/>
    <hyperlink ref="B865" location="'YOUJIN INNOTEK'!A41" display="YOUJIN INNOTEK - VND"/>
    <hyperlink ref="B866" location="'KUALA '!A1" display="KL LUMPUA OFFICE - RM"/>
    <hyperlink ref="B863" location="'AEON MALL II'!A211" display="AEON MALL II - USD"/>
    <hyperlink ref="B867" location="MRO!A1" display="MRO - HP"/>
    <hyperlink ref="B870" location="'HCM OFFICE CASH'!A22" display="HCM OFFICE -VND"/>
    <hyperlink ref="B871" location="'YOUJIN HP H2'!A40" display="YOUJIN HP H2 - VND"/>
    <hyperlink ref="B874" location="'YOUJIN INNOTEK'!A41" display="YOUJIN INNOTEK - VND"/>
    <hyperlink ref="B875" location="'KUALA '!A1" display="KL LUMPUA OFFICE - RM"/>
    <hyperlink ref="B872" location="'AEON MALL II'!A211" display="AEON MALL II - USD"/>
    <hyperlink ref="B876" location="MRO!A1" display="MRO - HP"/>
    <hyperlink ref="B879" location="'HCM OFFICE CASH'!A22" display="HCM OFFICE -VND"/>
    <hyperlink ref="B880" location="'YOUJIN HP H2'!A40" display="YOUJIN HP H2 - VND"/>
    <hyperlink ref="B883" location="'YOUJIN INNOTEK'!A41" display="YOUJIN INNOTEK - VND"/>
    <hyperlink ref="B884" location="'KUALA '!A1" display="KL LUMPUA OFFICE - RM"/>
    <hyperlink ref="B881" location="'AEON MALL II'!A211" display="AEON MALL II - USD"/>
    <hyperlink ref="B885" location="MRO!A1" display="MRO - HP"/>
    <hyperlink ref="B888" location="'HCM OFFICE CASH'!A22" display="HCM OFFICE -VND"/>
    <hyperlink ref="B889" location="'YOUJIN HP H2'!A40" display="YOUJIN HP H2 - VND"/>
    <hyperlink ref="B892" location="'YOUJIN INNOTEK'!A41" display="YOUJIN INNOTEK - VND"/>
    <hyperlink ref="B893" location="'KUALA '!A1" display="KL LUMPUA OFFICE - RM"/>
    <hyperlink ref="B890" location="'AEON MALL II'!A211" display="AEON MALL II - USD"/>
    <hyperlink ref="B894" location="MRO!A1" display="MRO - HP"/>
    <hyperlink ref="B897" location="'HCM OFFICE CASH'!A22" display="HCM OFFICE -VND"/>
    <hyperlink ref="B898" location="'YOUJIN HP H2'!A40" display="YOUJIN HP H2 - VND"/>
    <hyperlink ref="B901" location="'YOUJIN INNOTEK'!A41" display="YOUJIN INNOTEK - VND"/>
    <hyperlink ref="B902" location="'KUALA '!A1" display="KL LUMPUA OFFICE - RM"/>
    <hyperlink ref="B899" location="'AEON MALL II'!A211" display="AEON MALL II - USD"/>
    <hyperlink ref="B903" location="MRO!A1" display="MRO - HP"/>
    <hyperlink ref="B906" location="'HCM OFFICE CASH'!A22" display="HCM OFFICE -VND"/>
    <hyperlink ref="B907" location="'YOUJIN HP H2'!A40" display="YOUJIN HP H2 - VND"/>
    <hyperlink ref="B910" location="'YOUJIN INNOTEK'!A41" display="YOUJIN INNOTEK - VND"/>
    <hyperlink ref="B911" location="'KUALA '!A1" display="KL LUMPUA OFFICE - RM"/>
    <hyperlink ref="B908" location="'AEON MALL II'!A211" display="AEON MALL II - USD"/>
    <hyperlink ref="B912" location="MRO!A1" display="MRO - HP"/>
    <hyperlink ref="B915" location="'HCM OFFICE CASH'!A22" display="HCM OFFICE -VND"/>
    <hyperlink ref="B916" location="'YOUJIN HP H2'!A40" display="YOUJIN HP H2 - VND"/>
    <hyperlink ref="B919" location="'YOUJIN INNOTEK'!A41" display="YOUJIN INNOTEK - VND"/>
    <hyperlink ref="B920" location="'KUALA '!A1" display="KL LUMPUA OFFICE - RM"/>
    <hyperlink ref="B917" location="'AEON MALL II'!A211" display="AEON MALL II - USD"/>
    <hyperlink ref="B921" location="MRO!A1" display="MRO - HP"/>
    <hyperlink ref="B924" location="'HCM OFFICE CASH'!A22" display="HCM OFFICE -VND"/>
    <hyperlink ref="B925" location="'YOUJIN HP H2'!A40" display="YOUJIN HP H2 - VND"/>
    <hyperlink ref="B928" location="'YOUJIN INNOTEK'!A41" display="YOUJIN INNOTEK - VND"/>
    <hyperlink ref="B929" location="'KUALA '!A1" display="KL LUMPUA OFFICE - RM"/>
    <hyperlink ref="B926" location="'AEON MALL II'!A211" display="AEON MALL II - USD"/>
    <hyperlink ref="B930" location="MRO!A1" display="MRO - HP"/>
    <hyperlink ref="B933" location="'HCM OFFICE CASH'!A22" display="HCM OFFICE -VND"/>
    <hyperlink ref="B934" location="'YOUJIN HP H2'!A40" display="YOUJIN HP H2 - VND"/>
    <hyperlink ref="B937" location="'YOUJIN INNOTEK'!A41" display="YOUJIN INNOTEK - VND"/>
    <hyperlink ref="B938" location="'KUALA '!A1" display="KL LUMPUA OFFICE - RM"/>
    <hyperlink ref="B935" location="'AEON MALL II'!A211" display="AEON MALL II - USD"/>
    <hyperlink ref="B939" location="MRO!A1" display="MRO - HP"/>
    <hyperlink ref="B942" location="'HCM OFFICE CASH'!A22" display="HCM OFFICE -VND"/>
    <hyperlink ref="B943" location="'YOUJIN HP H2'!A40" display="YOUJIN HP H2 - VND"/>
    <hyperlink ref="B946" location="'YOUJIN INNOTEK'!A41" display="YOUJIN INNOTEK - VND"/>
    <hyperlink ref="B947" location="'KUALA '!A1" display="KL LUMPUA OFFICE - RM"/>
    <hyperlink ref="B944" location="'AEON MALL II'!A211" display="AEON MALL II - USD"/>
    <hyperlink ref="B948" location="MRO!A1" display="MRO - HP"/>
    <hyperlink ref="B951" location="'HCM OFFICE CASH'!A22" display="HCM OFFICE -VND"/>
    <hyperlink ref="B952" location="'YOUJIN HP H2'!A40" display="YOUJIN HP H2 - VND"/>
    <hyperlink ref="B955" location="'YOUJIN INNOTEK'!A41" display="YOUJIN INNOTEK - VND"/>
    <hyperlink ref="B956" location="'KUALA '!A1" display="KL LUMPUA OFFICE - RM"/>
    <hyperlink ref="B953" location="'AEON MALL II'!A211" display="AEON MALL II - USD"/>
    <hyperlink ref="B957" location="MRO!A1" display="MRO - HP"/>
    <hyperlink ref="B960" location="'HCM OFFICE CASH'!A22" display="HCM OFFICE -VND"/>
    <hyperlink ref="B961" location="'YOUJIN HP H2'!A40" display="YOUJIN HP H2 - VND"/>
    <hyperlink ref="B964" location="'YOUJIN INNOTEK'!A41" display="YOUJIN INNOTEK - VND"/>
    <hyperlink ref="B965" location="'KUALA '!A1" display="KL LUMPUA OFFICE - RM"/>
    <hyperlink ref="B962" location="'AEON MALL II'!A211" display="AEON MALL II - USD"/>
    <hyperlink ref="B966" location="MRO!A1" display="MRO - HP"/>
    <hyperlink ref="B969" location="'HCM OFFICE CASH'!A22" display="HCM OFFICE -VND"/>
    <hyperlink ref="B970" location="'YOUJIN HP H2'!A40" display="YOUJIN HP H2 - VND"/>
    <hyperlink ref="B973" location="'YOUJIN INNOTEK'!A41" display="YOUJIN INNOTEK - VND"/>
    <hyperlink ref="B974" location="'KUALA '!A1" display="KL LUMPUA OFFICE - RM"/>
    <hyperlink ref="B971" location="'AEON MALL II'!A211" display="AEON MALL II - USD"/>
    <hyperlink ref="B975" location="MRO!A1" display="MRO - HP"/>
    <hyperlink ref="B978" location="'HCM OFFICE CASH'!A22" display="HCM OFFICE -VND"/>
    <hyperlink ref="B979" location="'YOUJIN HP H2'!A40" display="YOUJIN HP H2 - VND"/>
    <hyperlink ref="B982" location="'YOUJIN INNOTEK'!A41" display="YOUJIN INNOTEK - VND"/>
    <hyperlink ref="B983" location="'KUALA '!A1" display="KL LUMPUA OFFICE - RM"/>
    <hyperlink ref="B980" location="'AEON MALL II'!A211" display="AEON MALL II - USD"/>
    <hyperlink ref="B984" location="MRO!A1" display="MRO - HP"/>
    <hyperlink ref="B987" location="'HCM OFFICE CASH'!A22" display="HCM OFFICE -VND"/>
    <hyperlink ref="B988" location="'YOUJIN HP H2'!A40" display="YOUJIN HP H2 - VND"/>
    <hyperlink ref="B991" location="'YOUJIN INNOTEK'!A41" display="YOUJIN INNOTEK - VND"/>
    <hyperlink ref="B992" location="'KUALA '!A1" display="KL LUMPUA OFFICE - RM"/>
    <hyperlink ref="B989" location="'AEON MALL II'!A211" display="AEON MALL II - USD"/>
    <hyperlink ref="B993" location="MRO!A1" display="MRO - HP"/>
    <hyperlink ref="B996" location="'HCM OFFICE CASH'!A22" display="HCM OFFICE -VND"/>
    <hyperlink ref="B997" location="'YOUJIN HP H2'!A40" display="YOUJIN HP H2 - VND"/>
    <hyperlink ref="B1000" location="'YOUJIN INNOTEK'!A41" display="YOUJIN INNOTEK - VND"/>
    <hyperlink ref="B1001" location="'KUALA '!A1" display="KL LUMPUA OFFICE - RM"/>
    <hyperlink ref="B998" location="'AEON MALL II'!A211" display="AEON MALL II - USD"/>
    <hyperlink ref="B1002" location="MRO!A1" display="MRO - HP"/>
    <hyperlink ref="B1005" location="'HCM OFFICE CASH'!A22" display="HCM OFFICE -VND"/>
    <hyperlink ref="B1006" location="'YOUJIN HP H2'!A40" display="YOUJIN HP H2 - VND"/>
    <hyperlink ref="B1009" location="'YOUJIN INNOTEK'!A41" display="YOUJIN INNOTEK - VND"/>
    <hyperlink ref="B1010" location="'KUALA '!A1" display="KL LUMPUA OFFICE - RM"/>
    <hyperlink ref="B1007" location="'AEON MALL II'!A211" display="AEON MALL II - USD"/>
    <hyperlink ref="B1011" location="MRO!A1" display="MRO - HP"/>
    <hyperlink ref="B1014" location="'HCM OFFICE CASH'!A22" display="HCM OFFICE -VND"/>
    <hyperlink ref="B1015" location="'YOUJIN HP H2'!A40" display="YOUJIN HP H2 - VND"/>
    <hyperlink ref="B1018" location="'YOUJIN INNOTEK'!A41" display="YOUJIN INNOTEK - VND"/>
    <hyperlink ref="B1019" location="'KUALA '!A1" display="KL LUMPUA OFFICE - RM"/>
    <hyperlink ref="B1016" location="'AEON MALL II'!A211" display="AEON MALL II - USD"/>
    <hyperlink ref="B1020" location="MRO!A1" display="MRO - HP"/>
    <hyperlink ref="B1023" location="'HCM OFFICE CASH'!A22" display="HCM OFFICE -VND"/>
    <hyperlink ref="B1024" location="'YOUJIN HP H2'!A40" display="YOUJIN HP H2 - VND"/>
    <hyperlink ref="B1027" location="'YOUJIN INNOTEK'!A41" display="YOUJIN INNOTEK - VND"/>
    <hyperlink ref="B1028" location="'KUALA '!A1" display="KL LUMPUA OFFICE - RM"/>
    <hyperlink ref="B1025" location="'AEON MALL II'!A211" display="AEON MALL II - USD"/>
    <hyperlink ref="B1029" location="MRO!A1" display="MRO - HP"/>
    <hyperlink ref="B1032" location="'HCM OFFICE CASH'!A22" display="HCM OFFICE -VND"/>
    <hyperlink ref="B1033" location="'YOUJIN HP H2'!A40" display="YOUJIN HP H2 - VND"/>
    <hyperlink ref="B1036" location="'YOUJIN INNOTEK'!A41" display="YOUJIN INNOTEK - VND"/>
    <hyperlink ref="B1037" location="'KUALA '!A1" display="KL LUMPUA OFFICE - RM"/>
    <hyperlink ref="B1034" location="'AEON MALL II'!A211" display="AEON MALL II - USD"/>
    <hyperlink ref="B1038" location="MRO!A1" display="MRO - HP"/>
    <hyperlink ref="B1041" location="'HCM OFFICE CASH'!A22" display="HCM OFFICE -VND"/>
    <hyperlink ref="B1042" location="'YOUJIN HP H2'!A40" display="YOUJIN HP H2 - VND"/>
    <hyperlink ref="B1045" location="'YOUJIN INNOTEK'!A41" display="YOUJIN INNOTEK - VND"/>
    <hyperlink ref="B1046" location="'KUALA '!A1" display="KL LUMPUA OFFICE - RM"/>
    <hyperlink ref="B1043" location="'AEON MALL II'!A211" display="AEON MALL II - USD"/>
    <hyperlink ref="B1047" location="MRO!A1" display="MRO - HP"/>
    <hyperlink ref="B1050" location="'HCM OFFICE CASH'!A22" display="HCM OFFICE -VND"/>
    <hyperlink ref="B1051" location="'YOUJIN HP H2'!A40" display="YOUJIN HP H2 - VND"/>
    <hyperlink ref="B1054" location="'YOUJIN INNOTEK'!A41" display="YOUJIN INNOTEK - VND"/>
    <hyperlink ref="B1055" location="'KUALA '!A1" display="KL LUMPUA OFFICE - RM"/>
    <hyperlink ref="B1052" location="'AEON MALL II'!A211" display="AEON MALL II - USD"/>
    <hyperlink ref="B1056" location="MRO!A1" display="MRO - HP"/>
    <hyperlink ref="B1059" location="'HCM OFFICE CASH'!A22" display="HCM OFFICE -VND"/>
    <hyperlink ref="B1060" location="'YOUJIN HP H2'!A40" display="YOUJIN HP H2 - VND"/>
    <hyperlink ref="B1063" location="'YOUJIN INNOTEK'!A41" display="YOUJIN INNOTEK - VND"/>
    <hyperlink ref="B1064" location="'KUALA '!A1" display="KL LUMPUA OFFICE - RM"/>
    <hyperlink ref="B1061" location="'AEON MALL II'!A211" display="AEON MALL II - USD"/>
    <hyperlink ref="B1065" location="MRO!A1" display="MRO - HP"/>
    <hyperlink ref="B1068" location="'HCM OFFICE CASH'!A22" display="HCM OFFICE -VND"/>
    <hyperlink ref="B1069" location="'YOUJIN HP H2'!A40" display="YOUJIN HP H2 - VND"/>
    <hyperlink ref="B1072" location="'YOUJIN INNOTEK'!A41" display="YOUJIN INNOTEK - VND"/>
    <hyperlink ref="B1073" location="'KUALA '!A1" display="KL LUMPUA OFFICE - RM"/>
    <hyperlink ref="B1070" location="'AEON MALL II'!A211" display="AEON MALL II - USD"/>
    <hyperlink ref="B1074" location="MRO!A1" display="MRO - HP"/>
    <hyperlink ref="B1077" location="'HCM OFFICE CASH'!A22" display="HCM OFFICE -VND"/>
    <hyperlink ref="B1078" location="'YOUJIN HP H2'!A40" display="YOUJIN HP H2 - VND"/>
    <hyperlink ref="B1081" location="'YOUJIN INNOTEK'!A41" display="YOUJIN INNOTEK - VND"/>
    <hyperlink ref="B1082" location="'KUALA '!A1" display="KL LUMPUA OFFICE - RM"/>
    <hyperlink ref="B1079" location="'AEON MALL II'!A211" display="AEON MALL II - USD"/>
    <hyperlink ref="B1083" location="MRO!A1" display="MRO - HP"/>
    <hyperlink ref="B1086" location="'HCM OFFICE CASH'!A22" display="HCM OFFICE -VND"/>
    <hyperlink ref="B1087" location="'YOUJIN HP H2'!A40" display="YOUJIN HP H2 - VND"/>
    <hyperlink ref="B1090" location="'YOUJIN INNOTEK'!A41" display="YOUJIN INNOTEK - VND"/>
    <hyperlink ref="B1091" location="'KUALA '!A1" display="KL LUMPUA OFFICE - RM"/>
    <hyperlink ref="B1088" location="'AEON MALL II'!A211" display="AEON MALL II - USD"/>
    <hyperlink ref="B1092" location="MRO!A1" display="MRO - HP"/>
    <hyperlink ref="B1095" location="'HCM OFFICE CASH'!A22" display="HCM OFFICE -VND"/>
    <hyperlink ref="B1096" location="'YOUJIN HP H2'!A40" display="YOUJIN HP H2 - VND"/>
    <hyperlink ref="B1099" location="'YOUJIN INNOTEK'!A41" display="YOUJIN INNOTEK - VND"/>
    <hyperlink ref="B1100" location="'KUALA '!A1" display="KL LUMPUA OFFICE - RM"/>
    <hyperlink ref="B1097" location="'AEON MALL II'!A211" display="AEON MALL II - USD"/>
    <hyperlink ref="B1101" location="MRO!A1" display="MRO - HP"/>
    <hyperlink ref="B1104" location="'HCM OFFICE CASH'!A22" display="HCM OFFICE -VND"/>
    <hyperlink ref="B1105" location="'YOUJIN HP H2'!A40" display="YOUJIN HP H2 - VND"/>
    <hyperlink ref="B1108" location="'YOUJIN INNOTEK'!A41" display="YOUJIN INNOTEK - VND"/>
    <hyperlink ref="B1109" location="'KUALA '!A1" display="KL LUMPUA OFFICE - RM"/>
    <hyperlink ref="B1106" location="'AEON MALL II'!A211" display="AEON MALL II - USD"/>
    <hyperlink ref="B1110" location="MRO!A1" display="MRO - HP"/>
    <hyperlink ref="B1113" location="'HCM OFFICE CASH'!A22" display="HCM OFFICE -VND"/>
    <hyperlink ref="B1114" location="'YOUJIN HP H2'!A40" display="YOUJIN HP H2 - VND"/>
    <hyperlink ref="B1117" location="'YOUJIN INNOTEK'!A41" display="YOUJIN INNOTEK - VND"/>
    <hyperlink ref="B1118" location="'KUALA '!A1" display="KL LUMPUA OFFICE - RM"/>
    <hyperlink ref="B1115" location="'AEON MALL II'!A211" display="AEON MALL II - USD"/>
    <hyperlink ref="B1119" location="MRO!A1" display="MRO - HP"/>
    <hyperlink ref="B1122" location="'HCM OFFICE CASH'!A22" display="HCM OFFICE -VND"/>
    <hyperlink ref="B1123" location="'YOUJIN HP H2'!A40" display="YOUJIN HP H2 - VND"/>
    <hyperlink ref="B1126" location="'YOUJIN INNOTEK'!A41" display="YOUJIN INNOTEK - VND"/>
    <hyperlink ref="B1127" location="'KUALA '!A1" display="KL LUMPUA OFFICE - RM"/>
    <hyperlink ref="B1124" location="'AEON MALL II'!A211" display="AEON MALL II - USD"/>
    <hyperlink ref="B1128" location="MRO!A1" display="MRO - HP"/>
    <hyperlink ref="B1131" location="'HCM OFFICE CASH'!A22" display="HCM OFFICE -VND"/>
    <hyperlink ref="B1132" location="'YOUJIN HP H2'!A40" display="YOUJIN HP H2 - VND"/>
    <hyperlink ref="B1135" location="'YOUJIN INNOTEK'!A41" display="YOUJIN INNOTEK - VND"/>
    <hyperlink ref="B1136" location="'KUALA '!A1" display="KL LUMPUA OFFICE - RM"/>
    <hyperlink ref="B1133" location="'AEON MALL II'!A211" display="AEON MALL II - USD"/>
    <hyperlink ref="B1137" location="MRO!A1" display="MRO - HP"/>
    <hyperlink ref="B1140" location="'HCM OFFICE CASH'!A22" display="HCM OFFICE -VND"/>
    <hyperlink ref="B1141" location="'YOUJIN HP H2'!A40" display="YOUJIN HP H2 - VND"/>
    <hyperlink ref="B1144" location="'YOUJIN INNOTEK'!A41" display="YOUJIN INNOTEK - VND"/>
    <hyperlink ref="B1145" location="'KUALA '!A1" display="KL LUMPUA OFFICE - RM"/>
    <hyperlink ref="B1142" location="'AEON MALL II'!A211" display="AEON MALL II - USD"/>
    <hyperlink ref="B1146" location="MRO!A1" display="MRO - HP"/>
    <hyperlink ref="B1149" location="'HCM OFFICE CASH'!A22" display="HCM OFFICE -VND"/>
    <hyperlink ref="B1150" location="'YOUJIN HP H2'!A40" display="YOUJIN HP H2 - VND"/>
    <hyperlink ref="B1153" location="'YOUJIN INNOTEK'!A41" display="YOUJIN INNOTEK - VND"/>
    <hyperlink ref="B1154" location="'KUALA '!A1" display="KL LUMPUA OFFICE - RM"/>
    <hyperlink ref="B1151" location="'AEON MALL II'!A211" display="AEON MALL II - USD"/>
    <hyperlink ref="B1155" location="MRO!A1" display="MRO - HP"/>
    <hyperlink ref="B1158" location="'HCM OFFICE CASH'!A22" display="HCM OFFICE -VND"/>
    <hyperlink ref="B1159" location="'YOUJIN HP H2'!A40" display="YOUJIN HP H2 - VND"/>
    <hyperlink ref="B1162" location="'YOUJIN INNOTEK'!A41" display="YOUJIN INNOTEK - VND"/>
    <hyperlink ref="B1163" location="'KUALA '!A1" display="KL LUMPUA OFFICE - RM"/>
    <hyperlink ref="B1160" location="'AEON MALL II'!A211" display="AEON MALL II - USD"/>
    <hyperlink ref="B1164" location="MRO!A1" display="MRO - HP"/>
    <hyperlink ref="B1167" location="'HCM OFFICE CASH'!A22" display="HCM OFFICE -VND"/>
    <hyperlink ref="B1168" location="'YOUJIN HP H2'!A40" display="YOUJIN HP H2 - VND"/>
    <hyperlink ref="B1171" location="'YOUJIN INNOTEK'!A41" display="YOUJIN INNOTEK - VND"/>
    <hyperlink ref="B1172" location="'KUALA '!A1" display="KL LUMPUA OFFICE - RM"/>
    <hyperlink ref="B1169" location="'AEON MALL II'!A211" display="AEON MALL II - USD"/>
    <hyperlink ref="B1173" location="MRO!A1" display="MRO - HP"/>
    <hyperlink ref="B1176" location="'HCM OFFICE CASH'!A22" display="HCM OFFICE -VND"/>
    <hyperlink ref="B1177" location="'YOUJIN HP H2'!A40" display="YOUJIN HP H2 - VND"/>
    <hyperlink ref="B1180" location="'YOUJIN INNOTEK'!A41" display="YOUJIN INNOTEK - VND"/>
    <hyperlink ref="B1181" location="'KUALA '!A1" display="KL LUMPUA OFFICE - RM"/>
    <hyperlink ref="B1178" location="'AEON MALL II'!A211" display="AEON MALL II - USD"/>
    <hyperlink ref="B1182" location="MRO!A1" display="MRO - HP"/>
    <hyperlink ref="B1185" location="'HCM OFFICE CASH'!A22" display="HCM OFFICE -VND"/>
    <hyperlink ref="B1186" location="'YOUJIN HP H2'!A40" display="YOUJIN HP H2 - VND"/>
    <hyperlink ref="B1189" location="'YOUJIN INNOTEK'!A41" display="YOUJIN INNOTEK - VND"/>
    <hyperlink ref="B1190" location="'KUALA '!A1" display="KL LUMPUA OFFICE - RM"/>
    <hyperlink ref="B1187" location="'AEON MALL II'!A211" display="AEON MALL II - USD"/>
    <hyperlink ref="B1191" location="MRO!A1" display="MRO - HP"/>
    <hyperlink ref="B1194" location="'HCM OFFICE CASH'!A22" display="HCM OFFICE -VND"/>
    <hyperlink ref="B1195" location="'YOUJIN HP H2'!A40" display="YOUJIN HP H2 - VND"/>
    <hyperlink ref="B1198" location="'YOUJIN INNOTEK'!A41" display="YOUJIN INNOTEK - VND"/>
    <hyperlink ref="B1199" location="'KUALA '!A1" display="KL LUMPUA OFFICE - RM"/>
    <hyperlink ref="B1196" location="'AEON MALL II'!A211" display="AEON MALL II - USD"/>
    <hyperlink ref="B1200" location="MRO!A1" display="MRO - HP"/>
    <hyperlink ref="B1203" location="'HCM OFFICE CASH'!A22" display="HCM OFFICE -VND"/>
    <hyperlink ref="B1204" location="'YOUJIN HP H2'!A40" display="YOUJIN HP H2 - VND"/>
    <hyperlink ref="B1207" location="'YOUJIN INNOTEK'!A41" display="YOUJIN INNOTEK - VND"/>
    <hyperlink ref="B1208" location="'KUALA '!A1" display="KL LUMPUA OFFICE - RM"/>
    <hyperlink ref="B1205" location="'AEON MALL II'!A211" display="AEON MALL II - USD"/>
    <hyperlink ref="B1209" location="MRO!A1" display="MRO - HP"/>
    <hyperlink ref="B1212" location="'HCM OFFICE CASH'!A22" display="HCM OFFICE -VND"/>
    <hyperlink ref="B1213" location="'YOUJIN HP H2'!A40" display="YOUJIN HP H2 - VND"/>
    <hyperlink ref="B1216" location="'YOUJIN INNOTEK'!A41" display="YOUJIN INNOTEK - VND"/>
    <hyperlink ref="B1217" location="'KUALA '!A1" display="KL LUMPUA OFFICE - RM"/>
    <hyperlink ref="B1214" location="'AEON MALL II'!A211" display="AEON MALL II - USD"/>
    <hyperlink ref="B1218" location="MRO!A1" display="MRO - HP"/>
    <hyperlink ref="B1221" location="'HCM OFFICE CASH'!A22" display="HCM OFFICE -VND"/>
    <hyperlink ref="B1223" location="'YOUJIN INNOTEK'!A41" display="YOUJIN INNOTEK - VND"/>
    <hyperlink ref="B1224" location="'KUALA '!A1" display="KL LUMPUA OFFICE - RM"/>
    <hyperlink ref="B1222" location="'AEON MALL II'!A211" display="AEON MALL II - USD"/>
    <hyperlink ref="B1225" location="MRO!A1" display="MRO - HP"/>
    <hyperlink ref="B1228" location="'HCM OFFICE CASH'!A22" display="HCM OFFICE -VND"/>
    <hyperlink ref="B1230" location="'YOUJIN INNOTEK'!A41" display="YOUJIN INNOTEK - VND"/>
    <hyperlink ref="B1231" location="'KUALA '!A1" display="KL LUMPUA OFFICE - RM"/>
    <hyperlink ref="B1229" location="'AEON MALL II'!A211" display="AEON MALL II - USD"/>
    <hyperlink ref="B1232" location="MRO!A1" display="MRO - HP"/>
    <hyperlink ref="B1235" location="'HCM OFFICE CASH'!A22" display="HCM OFFICE -VND"/>
    <hyperlink ref="B1237" location="'YOUJIN INNOTEK'!A41" display="YOUJIN INNOTEK - VND"/>
    <hyperlink ref="B1238" location="'KUALA '!A1" display="KL LUMPUA OFFICE - RM"/>
    <hyperlink ref="B1236" location="'AEON MALL II'!A211" display="AEON MALL II - USD"/>
    <hyperlink ref="B1239" location="MRO!A1" display="MRO - HP"/>
    <hyperlink ref="B1242" location="'HCM OFFICE CASH'!A22" display="HCM OFFICE -VND"/>
    <hyperlink ref="B1244" location="'YOUJIN INNOTEK'!A41" display="YOUJIN INNOTEK - VND"/>
    <hyperlink ref="B1245" location="'KUALA '!A1" display="KL LUMPUA OFFICE - RM"/>
    <hyperlink ref="B1243" location="'AEON MALL II'!A211" display="AEON MALL II - USD"/>
    <hyperlink ref="B1246" location="MRO!A1" display="MRO - HP"/>
    <hyperlink ref="B1249" location="'HCM OFFICE CASH'!A22" display="HCM OFFICE -VND"/>
    <hyperlink ref="B1251" location="'YOUJIN INNOTEK'!A41" display="YOUJIN INNOTEK - VND"/>
    <hyperlink ref="B1252" location="'KUALA '!A1" display="KL LUMPUA OFFICE - RM"/>
    <hyperlink ref="B1250" location="'AEON MALL II'!A211" display="AEON MALL II - USD"/>
    <hyperlink ref="B1253" location="MRO!A1" display="MRO - HP"/>
    <hyperlink ref="B1256" location="'HCM OFFICE CASH'!A22" display="HCM OFFICE -VND"/>
    <hyperlink ref="B1258" location="'YOUJIN INNOTEK'!A41" display="YOUJIN INNOTEK - VND"/>
    <hyperlink ref="B1259" location="'KUALA '!A1" display="KL LUMPUA OFFICE - RM"/>
    <hyperlink ref="B1257" location="'AEON MALL II'!A211" display="AEON MALL II - USD"/>
    <hyperlink ref="B1260" location="MRO!A1" display="MRO - HP"/>
    <hyperlink ref="B1263" location="'HCM OFFICE CASH'!A22" display="HCM OFFICE -VND"/>
    <hyperlink ref="B1265" location="'YOUJIN INNOTEK'!A41" display="YOUJIN INNOTEK - VND"/>
    <hyperlink ref="B1266" location="'KUALA '!A1" display="KL LUMPUA OFFICE - RM"/>
    <hyperlink ref="B1264" location="'AEON MALL II'!A211" display="AEON MALL II - USD"/>
    <hyperlink ref="B1267" location="MRO!A1" display="MRO - HP"/>
    <hyperlink ref="B1270" location="'HCM OFFICE CASH'!A22" display="HCM OFFICE -VND"/>
    <hyperlink ref="B1272" location="'YOUJIN INNOTEK'!A41" display="YOUJIN INNOTEK - VND"/>
    <hyperlink ref="B1273" location="'KUALA '!A1" display="KL LUMPUA OFFICE - RM"/>
    <hyperlink ref="B1271" location="'AEON MALL II'!A211" display="AEON MALL II - USD"/>
    <hyperlink ref="B1274" location="MRO!A1" display="MRO - HP"/>
    <hyperlink ref="B1277" location="'HCM OFFICE CASH'!A22" display="HCM OFFICE -VND"/>
    <hyperlink ref="B1279" location="'YOUJIN INNOTEK'!A41" display="YOUJIN INNOTEK - VND"/>
    <hyperlink ref="B1280" location="'KUALA '!A1" display="KL LUMPUA OFFICE - RM"/>
    <hyperlink ref="B1278" location="'AEON MALL II'!A211" display="AEON MALL II - USD"/>
    <hyperlink ref="B1281" location="MRO!A1" display="MRO - HP"/>
    <hyperlink ref="B1284" location="'HCM OFFICE CASH'!A22" display="HCM OFFICE -VND"/>
    <hyperlink ref="B1286" location="'YOUJIN INNOTEK'!A41" display="YOUJIN INNOTEK - VND"/>
    <hyperlink ref="B1287" location="'KUALA '!A1" display="KL LUMPUA OFFICE - RM"/>
    <hyperlink ref="B1285" location="'AEON MALL II'!A211" display="AEON MALL II - USD"/>
    <hyperlink ref="B1288" location="MRO!A1" display="MRO - HP"/>
    <hyperlink ref="B1291" location="'HCM OFFICE CASH'!A22" display="HCM OFFICE -VND"/>
    <hyperlink ref="B1293" location="'YOUJIN INNOTEK'!A41" display="YOUJIN INNOTEK - VND"/>
    <hyperlink ref="B1294" location="'KUALA '!A1" display="KL LUMPUA OFFICE - RM"/>
    <hyperlink ref="B1292" location="'AEON MALL II'!A211" display="AEON MALL II - USD"/>
    <hyperlink ref="B1295" location="MRO!A1" display="MRO - HP"/>
    <hyperlink ref="B1298" location="'HCM OFFICE CASH'!A22" display="HCM OFFICE -VND"/>
    <hyperlink ref="B1300" location="'YOUJIN INNOTEK'!A41" display="YOUJIN INNOTEK - VND"/>
    <hyperlink ref="B1301" location="'KUALA '!A1" display="KL LUMPUA OFFICE - RM"/>
    <hyperlink ref="B1299" location="'AEON MALL II'!A211" display="AEON MALL II - USD"/>
    <hyperlink ref="B1302" location="MRO!A1" display="MRO - HP"/>
    <hyperlink ref="B1305" location="'HCM OFFICE CASH'!A22" display="HCM OFFICE -VND"/>
    <hyperlink ref="B1307" location="'YOUJIN INNOTEK'!A41" display="YOUJIN INNOTEK - VND"/>
    <hyperlink ref="B1308" location="'KUALA '!A1" display="KL LUMPUA OFFICE - RM"/>
    <hyperlink ref="B1306" location="'AEON MALL II'!A211" display="AEON MALL II - USD"/>
    <hyperlink ref="B1309" location="MRO!A1" display="MRO - HP"/>
    <hyperlink ref="B1312" location="'HCM OFFICE CASH'!A22" display="HCM OFFICE -VND"/>
    <hyperlink ref="B1314" location="'YOUJIN INNOTEK'!A41" display="YOUJIN INNOTEK - VND"/>
    <hyperlink ref="B1315" location="'KUALA '!A1" display="KL LUMPUA OFFICE - RM"/>
    <hyperlink ref="B1313" location="'AEON MALL II'!A211" display="AEON MALL II - USD"/>
    <hyperlink ref="B1316" location="MRO!A1" display="MRO - HP"/>
    <hyperlink ref="B1319" location="'HCM OFFICE CASH'!A22" display="HCM OFFICE -VND"/>
    <hyperlink ref="B1321" location="'YOUJIN INNOTEK'!A41" display="YOUJIN INNOTEK - VND"/>
    <hyperlink ref="B1322" location="'KUALA '!A1" display="KL LUMPUA OFFICE - RM"/>
    <hyperlink ref="B1320" location="'AEON MALL II'!A211" display="AEON MALL II - USD"/>
    <hyperlink ref="B1323" location="MRO!A1" display="MRO - HP"/>
    <hyperlink ref="B1326" location="'HCM OFFICE CASH'!A22" display="HCM OFFICE -VND"/>
    <hyperlink ref="B1328" location="'YOUJIN INNOTEK'!A41" display="YOUJIN INNOTEK - VND"/>
    <hyperlink ref="B1329" location="'KUALA '!A1" display="KL LUMPUA OFFICE - RM"/>
    <hyperlink ref="B1327" location="'AEON MALL II'!A211" display="AEON MALL II - USD"/>
    <hyperlink ref="B1330" location="MRO!A1" display="MRO - HP"/>
    <hyperlink ref="B1333" location="'HCM OFFICE CASH'!A22" display="HCM OFFICE -VND"/>
    <hyperlink ref="B1335" location="'YOUJIN INNOTEK'!A41" display="YOUJIN INNOTEK - VND"/>
    <hyperlink ref="B1336" location="'KUALA '!A1" display="KL LUMPUA OFFICE - RM"/>
    <hyperlink ref="B1334" location="'AEON MALL II'!A211" display="AEON MALL II - USD"/>
    <hyperlink ref="B1337" location="MRO!A1" display="MRO - HP"/>
    <hyperlink ref="B1340" location="'HCM OFFICE CASH'!A22" display="HCM OFFICE -VND"/>
    <hyperlink ref="B1342" location="'YOUJIN INNOTEK'!A41" display="YOUJIN INNOTEK - VND"/>
    <hyperlink ref="B1343" location="'KUALA '!A1" display="KL LUMPUA OFFICE - RM"/>
    <hyperlink ref="B1341" location="'AEON MALL II'!A211" display="AEON MALL II - USD"/>
    <hyperlink ref="B1344" location="MRO!A1" display="MRO - HP"/>
    <hyperlink ref="B1347" location="'HCM OFFICE CASH'!A22" display="HCM OFFICE -VND"/>
    <hyperlink ref="B1349" location="'YOUJIN INNOTEK'!A41" display="YOUJIN INNOTEK - VND"/>
    <hyperlink ref="B1350" location="'KUALA '!A1" display="KL LUMPUA OFFICE - RM"/>
    <hyperlink ref="B1348" location="'AEON MALL II'!A211" display="AEON MALL II - USD"/>
    <hyperlink ref="B1351" location="MRO!A1" display="MRO - HP"/>
    <hyperlink ref="B1358" location="MRO!A1" display="MRO - HP"/>
    <hyperlink ref="B1361" location="'HCM OFFICE CASH'!A22" display="HCM OFFICE -VND"/>
    <hyperlink ref="B1363" location="'YOUJIN INNOTEK'!A41" display="YOUJIN INNOTEK - VND"/>
    <hyperlink ref="B1364" location="'KUALA '!A1" display="KL LUMPUA OFFICE - RM"/>
    <hyperlink ref="B1362" location="'AEON MALL II'!A211" display="AEON MALL II - USD"/>
    <hyperlink ref="B1365" location="MRO!A1" display="MRO - HP"/>
    <hyperlink ref="B1368" location="'HCM OFFICE CASH'!A22" display="HCM OFFICE -VND"/>
    <hyperlink ref="B1370" location="'YOUJIN INNOTEK'!A41" display="YOUJIN INNOTEK - VND"/>
    <hyperlink ref="B1371" location="'KUALA '!A1" display="KL LUMPUA OFFICE - RM"/>
    <hyperlink ref="B1369" location="'AEON MALL II'!A211" display="AEON MALL II - USD"/>
    <hyperlink ref="B1372" location="MRO!A1" display="MRO - HP"/>
    <hyperlink ref="B1375" location="'HCM OFFICE CASH'!A22" display="HCM OFFICE -VND"/>
    <hyperlink ref="B1377" location="'YOUJIN INNOTEK'!A41" display="YOUJIN INNOTEK - VND"/>
    <hyperlink ref="B1378" location="'KUALA '!A1" display="KL LUMPUA OFFICE - RM"/>
    <hyperlink ref="B1376" location="'AEON MALL II'!A211" display="AEON MALL II - USD"/>
    <hyperlink ref="B1379" location="MRO!A1" display="MRO - HP"/>
    <hyperlink ref="B1382" location="'HCM OFFICE CASH'!A22" display="HCM OFFICE -VND"/>
    <hyperlink ref="B1384" location="'YOUJIN INNOTEK'!A41" display="YOUJIN INNOTEK - VND"/>
    <hyperlink ref="B1385" location="'KUALA '!A1" display="KL LUMPUA OFFICE - RM"/>
    <hyperlink ref="B1383" location="'AEON MALL II'!A211" display="AEON MALL II - USD"/>
    <hyperlink ref="B1386" location="MRO!A1" display="MRO - HP"/>
    <hyperlink ref="B1389" location="'HCM OFFICE CASH'!A22" display="HCM OFFICE -VND"/>
    <hyperlink ref="B1391" location="'YOUJIN INNOTEK'!A41" display="YOUJIN INNOTEK - VND"/>
    <hyperlink ref="B1392" location="'KUALA '!A1" display="KL LUMPUA OFFICE - RM"/>
    <hyperlink ref="B1390" location="'AEON MALL II'!A211" display="AEON MALL II - USD"/>
    <hyperlink ref="B1393" location="MRO!A1" display="MRO - HP"/>
  </hyperlinks>
  <pageMargins left="0.82291666666666663" right="0" top="4.1666666666666664E-2" bottom="0.20833223972003501" header="0.57291666666666663" footer="0.20833223972003501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P154"/>
  <sheetViews>
    <sheetView view="pageBreakPreview" zoomScale="80" zoomScaleNormal="70" zoomScaleSheetLayoutView="80" workbookViewId="0">
      <pane ySplit="5" topLeftCell="A127" activePane="bottomLeft" state="frozen"/>
      <selection pane="bottomLeft" activeCell="G149" sqref="G149"/>
    </sheetView>
  </sheetViews>
  <sheetFormatPr defaultColWidth="8.7109375" defaultRowHeight="17.25" outlineLevelRow="1"/>
  <cols>
    <col min="1" max="1" width="13" style="630" customWidth="1"/>
    <col min="2" max="2" width="27.85546875" style="631" customWidth="1"/>
    <col min="3" max="3" width="16.85546875" style="631" customWidth="1"/>
    <col min="4" max="4" width="28" style="631" customWidth="1"/>
    <col min="5" max="5" width="49" style="624" customWidth="1"/>
    <col min="6" max="6" width="21.42578125" style="632" customWidth="1"/>
    <col min="7" max="7" width="20.140625" style="632" customWidth="1"/>
    <col min="8" max="8" width="18.85546875" style="631" customWidth="1"/>
    <col min="9" max="9" width="39.28515625" style="624" customWidth="1"/>
    <col min="10" max="10" width="8.7109375" style="624"/>
    <col min="11" max="11" width="12.7109375" style="624"/>
    <col min="12" max="16384" width="8.7109375" style="624"/>
  </cols>
  <sheetData>
    <row r="1" spans="1:250">
      <c r="A1" s="1917" t="s">
        <v>122</v>
      </c>
      <c r="B1" s="1918"/>
      <c r="C1" s="1918"/>
      <c r="D1" s="1918"/>
      <c r="E1" s="1918"/>
      <c r="F1" s="1918"/>
      <c r="G1" s="1918"/>
      <c r="H1" s="1918"/>
    </row>
    <row r="2" spans="1:250">
      <c r="E2" s="634"/>
      <c r="H2" s="635" t="s">
        <v>123</v>
      </c>
      <c r="I2" s="675" t="s">
        <v>124</v>
      </c>
    </row>
    <row r="3" spans="1:250">
      <c r="A3" s="636" t="s">
        <v>125</v>
      </c>
      <c r="B3" s="633" t="s">
        <v>126</v>
      </c>
      <c r="F3" s="624"/>
      <c r="G3" s="624"/>
      <c r="H3" s="637"/>
      <c r="I3" s="676"/>
    </row>
    <row r="4" spans="1:250">
      <c r="A4" s="636" t="s">
        <v>19</v>
      </c>
      <c r="B4" s="631" t="s">
        <v>127</v>
      </c>
      <c r="C4" s="638" t="s">
        <v>128</v>
      </c>
      <c r="D4" s="632" t="s">
        <v>21</v>
      </c>
      <c r="F4" s="639"/>
      <c r="H4" s="640"/>
      <c r="I4" s="676"/>
    </row>
    <row r="5" spans="1:250">
      <c r="A5" s="641" t="s">
        <v>129</v>
      </c>
      <c r="B5" s="642" t="s">
        <v>130</v>
      </c>
      <c r="C5" s="643" t="s">
        <v>131</v>
      </c>
      <c r="D5" s="643" t="s">
        <v>132</v>
      </c>
      <c r="E5" s="642" t="s">
        <v>133</v>
      </c>
      <c r="F5" s="644" t="s">
        <v>134</v>
      </c>
      <c r="G5" s="645" t="s">
        <v>135</v>
      </c>
      <c r="H5" s="646" t="s">
        <v>136</v>
      </c>
      <c r="I5" s="677" t="s">
        <v>137</v>
      </c>
      <c r="J5" s="678"/>
      <c r="K5" s="678"/>
      <c r="L5" s="678"/>
      <c r="M5" s="678"/>
      <c r="N5" s="678"/>
      <c r="O5" s="678"/>
      <c r="P5" s="678"/>
      <c r="Q5" s="678"/>
      <c r="R5" s="678"/>
      <c r="S5" s="678"/>
      <c r="T5" s="678"/>
      <c r="U5" s="678"/>
      <c r="V5" s="678"/>
      <c r="W5" s="678"/>
      <c r="X5" s="678"/>
      <c r="Y5" s="678"/>
      <c r="Z5" s="678"/>
      <c r="AA5" s="678"/>
      <c r="AB5" s="678"/>
      <c r="AC5" s="678"/>
      <c r="AD5" s="678"/>
      <c r="AE5" s="678"/>
      <c r="AF5" s="678"/>
      <c r="AG5" s="678"/>
      <c r="AH5" s="678"/>
      <c r="AI5" s="678"/>
      <c r="AJ5" s="678"/>
      <c r="AK5" s="678"/>
      <c r="AL5" s="678"/>
      <c r="AM5" s="678"/>
      <c r="AN5" s="678"/>
      <c r="AO5" s="678"/>
      <c r="AP5" s="678"/>
      <c r="AQ5" s="678"/>
      <c r="AR5" s="678"/>
      <c r="AS5" s="678"/>
      <c r="AT5" s="678"/>
      <c r="AU5" s="678"/>
      <c r="AV5" s="678"/>
      <c r="AW5" s="678"/>
      <c r="AX5" s="678"/>
      <c r="AY5" s="678"/>
      <c r="AZ5" s="678"/>
      <c r="BA5" s="678"/>
      <c r="BB5" s="678"/>
      <c r="BC5" s="678"/>
      <c r="BD5" s="678"/>
      <c r="BE5" s="678"/>
      <c r="BF5" s="678"/>
      <c r="BG5" s="678"/>
      <c r="BH5" s="678"/>
      <c r="BI5" s="678"/>
      <c r="BJ5" s="678"/>
      <c r="BK5" s="678"/>
      <c r="BL5" s="678"/>
      <c r="BM5" s="678"/>
      <c r="BN5" s="678"/>
      <c r="BO5" s="678"/>
      <c r="BP5" s="678"/>
      <c r="BQ5" s="678"/>
      <c r="BR5" s="678"/>
      <c r="BS5" s="678"/>
      <c r="BT5" s="678"/>
      <c r="BU5" s="678"/>
      <c r="BV5" s="678"/>
      <c r="BW5" s="678"/>
      <c r="BX5" s="678"/>
      <c r="BY5" s="678"/>
      <c r="BZ5" s="678"/>
      <c r="CA5" s="678"/>
      <c r="CB5" s="678"/>
      <c r="CC5" s="678"/>
      <c r="CD5" s="678"/>
      <c r="CE5" s="678"/>
      <c r="CF5" s="678"/>
      <c r="CG5" s="678"/>
      <c r="CH5" s="678"/>
      <c r="CI5" s="678"/>
      <c r="CJ5" s="678"/>
      <c r="CK5" s="678"/>
      <c r="CL5" s="678"/>
      <c r="CM5" s="678"/>
      <c r="CN5" s="678"/>
      <c r="CO5" s="678"/>
      <c r="CP5" s="678"/>
      <c r="CQ5" s="678"/>
      <c r="CR5" s="678"/>
      <c r="CS5" s="678"/>
      <c r="CT5" s="678"/>
      <c r="CU5" s="678"/>
      <c r="CV5" s="678"/>
      <c r="CW5" s="678"/>
      <c r="CX5" s="678"/>
      <c r="CY5" s="678"/>
      <c r="CZ5" s="678"/>
      <c r="DA5" s="678"/>
      <c r="DB5" s="678"/>
      <c r="DC5" s="678"/>
      <c r="DD5" s="678"/>
      <c r="DE5" s="678"/>
      <c r="DF5" s="678"/>
      <c r="DG5" s="678"/>
      <c r="DH5" s="678"/>
      <c r="DI5" s="678"/>
      <c r="DJ5" s="678"/>
      <c r="DK5" s="678"/>
      <c r="DL5" s="678"/>
      <c r="DM5" s="678"/>
      <c r="DN5" s="678"/>
      <c r="DO5" s="678"/>
      <c r="DP5" s="678"/>
      <c r="DQ5" s="678"/>
      <c r="DR5" s="678"/>
      <c r="DS5" s="678"/>
      <c r="DT5" s="678"/>
      <c r="DU5" s="678"/>
      <c r="DV5" s="678"/>
      <c r="DW5" s="678"/>
      <c r="DX5" s="678"/>
      <c r="DY5" s="678"/>
      <c r="DZ5" s="678"/>
      <c r="EA5" s="678"/>
      <c r="EB5" s="678"/>
      <c r="EC5" s="678"/>
      <c r="ED5" s="678"/>
      <c r="EE5" s="678"/>
      <c r="EF5" s="678"/>
      <c r="EG5" s="678"/>
      <c r="EH5" s="678"/>
      <c r="EI5" s="678"/>
      <c r="EJ5" s="678"/>
      <c r="EK5" s="678"/>
      <c r="EL5" s="678"/>
      <c r="EM5" s="678"/>
      <c r="EN5" s="678"/>
      <c r="EO5" s="678"/>
      <c r="EP5" s="678"/>
      <c r="EQ5" s="678"/>
      <c r="ER5" s="678"/>
      <c r="ES5" s="678"/>
      <c r="ET5" s="678"/>
      <c r="EU5" s="678"/>
      <c r="EV5" s="678"/>
      <c r="EW5" s="678"/>
      <c r="EX5" s="678"/>
      <c r="EY5" s="678"/>
      <c r="EZ5" s="678"/>
      <c r="FA5" s="678"/>
      <c r="FB5" s="678"/>
      <c r="FC5" s="678"/>
      <c r="FD5" s="678"/>
      <c r="FE5" s="678"/>
      <c r="FF5" s="678"/>
      <c r="FG5" s="678"/>
      <c r="FH5" s="678"/>
      <c r="FI5" s="678"/>
      <c r="FJ5" s="678"/>
      <c r="FK5" s="678"/>
      <c r="FL5" s="678"/>
      <c r="FM5" s="678"/>
      <c r="FN5" s="678"/>
      <c r="FO5" s="678"/>
      <c r="FP5" s="678"/>
      <c r="FQ5" s="678"/>
      <c r="FR5" s="678"/>
      <c r="FS5" s="678"/>
      <c r="FT5" s="678"/>
      <c r="FU5" s="678"/>
      <c r="FV5" s="678"/>
      <c r="FW5" s="678"/>
      <c r="FX5" s="678"/>
      <c r="FY5" s="678"/>
      <c r="FZ5" s="678"/>
      <c r="GA5" s="678"/>
      <c r="GB5" s="678"/>
      <c r="GC5" s="678"/>
      <c r="GD5" s="678"/>
      <c r="GE5" s="678"/>
      <c r="GF5" s="678"/>
      <c r="GG5" s="678"/>
      <c r="GH5" s="678"/>
      <c r="GI5" s="678"/>
      <c r="GJ5" s="678"/>
      <c r="GK5" s="678"/>
      <c r="GL5" s="678"/>
      <c r="GM5" s="678"/>
      <c r="GN5" s="678"/>
      <c r="GO5" s="678"/>
      <c r="GP5" s="678"/>
      <c r="GQ5" s="678"/>
      <c r="GR5" s="678"/>
      <c r="GS5" s="678"/>
      <c r="GT5" s="678"/>
      <c r="GU5" s="678"/>
      <c r="GV5" s="678"/>
      <c r="GW5" s="678"/>
      <c r="GX5" s="678"/>
      <c r="GY5" s="678"/>
      <c r="GZ5" s="678"/>
      <c r="HA5" s="678"/>
      <c r="HB5" s="678"/>
      <c r="HC5" s="678"/>
      <c r="HD5" s="678"/>
      <c r="HE5" s="678"/>
      <c r="HF5" s="678"/>
      <c r="HG5" s="678"/>
      <c r="HH5" s="678"/>
      <c r="HI5" s="678"/>
      <c r="HJ5" s="678"/>
      <c r="HK5" s="678"/>
      <c r="HL5" s="678"/>
      <c r="HM5" s="678"/>
      <c r="HN5" s="678"/>
      <c r="HO5" s="678"/>
      <c r="HP5" s="678"/>
      <c r="HQ5" s="678"/>
      <c r="HR5" s="678"/>
      <c r="HS5" s="678"/>
      <c r="HT5" s="678"/>
      <c r="HU5" s="678"/>
      <c r="HV5" s="678"/>
      <c r="HW5" s="678"/>
      <c r="HX5" s="678"/>
      <c r="HY5" s="678"/>
      <c r="HZ5" s="678"/>
      <c r="IA5" s="678"/>
      <c r="IB5" s="678"/>
      <c r="IC5" s="678"/>
      <c r="ID5" s="678"/>
      <c r="IE5" s="678"/>
      <c r="IF5" s="678"/>
      <c r="IG5" s="678"/>
      <c r="IH5" s="678"/>
      <c r="II5" s="678"/>
      <c r="IJ5" s="678"/>
      <c r="IK5" s="678"/>
      <c r="IL5" s="678"/>
      <c r="IM5" s="678"/>
      <c r="IN5" s="678"/>
      <c r="IO5" s="678"/>
      <c r="IP5" s="678"/>
    </row>
    <row r="6" spans="1:250" ht="18" thickBot="1">
      <c r="A6" s="647" t="s">
        <v>138</v>
      </c>
      <c r="B6" s="1650"/>
      <c r="C6" s="1667"/>
      <c r="D6" s="1650"/>
      <c r="E6" s="1629"/>
      <c r="F6" s="1690">
        <v>0</v>
      </c>
      <c r="G6" s="1705"/>
      <c r="H6" s="648"/>
      <c r="I6" s="679"/>
      <c r="J6" s="680"/>
      <c r="K6" s="680"/>
      <c r="L6" s="680"/>
      <c r="M6" s="680"/>
      <c r="N6" s="680"/>
      <c r="O6" s="680"/>
      <c r="P6" s="680"/>
      <c r="Q6" s="680"/>
      <c r="R6" s="680"/>
      <c r="S6" s="680"/>
      <c r="T6" s="680"/>
      <c r="U6" s="680"/>
      <c r="V6" s="680"/>
      <c r="W6" s="680"/>
      <c r="X6" s="680"/>
      <c r="Y6" s="680"/>
      <c r="Z6" s="680"/>
      <c r="AA6" s="680"/>
      <c r="AB6" s="680"/>
      <c r="AC6" s="680"/>
      <c r="AD6" s="680"/>
      <c r="AE6" s="680"/>
      <c r="AF6" s="680"/>
      <c r="AG6" s="680"/>
      <c r="AH6" s="680"/>
      <c r="AI6" s="680"/>
      <c r="AJ6" s="680"/>
      <c r="AK6" s="680"/>
      <c r="AL6" s="680"/>
      <c r="AM6" s="680"/>
      <c r="AN6" s="680"/>
      <c r="AO6" s="680"/>
      <c r="AP6" s="680"/>
      <c r="AQ6" s="680"/>
      <c r="AR6" s="680"/>
      <c r="AS6" s="680"/>
      <c r="AT6" s="680"/>
      <c r="AU6" s="680"/>
      <c r="AV6" s="680"/>
      <c r="AW6" s="680"/>
      <c r="AX6" s="680"/>
      <c r="AY6" s="680"/>
      <c r="AZ6" s="680"/>
      <c r="BA6" s="680"/>
      <c r="BB6" s="680"/>
      <c r="BC6" s="680"/>
      <c r="BD6" s="680"/>
      <c r="BE6" s="680"/>
      <c r="BF6" s="680"/>
      <c r="BG6" s="680"/>
      <c r="BH6" s="680"/>
      <c r="BI6" s="680"/>
      <c r="BJ6" s="680"/>
      <c r="BK6" s="680"/>
      <c r="BL6" s="680"/>
      <c r="BM6" s="680"/>
      <c r="BN6" s="680"/>
      <c r="BO6" s="680"/>
      <c r="BP6" s="680"/>
      <c r="BQ6" s="680"/>
      <c r="BR6" s="680"/>
      <c r="BS6" s="680"/>
      <c r="BT6" s="680"/>
      <c r="BU6" s="680"/>
      <c r="BV6" s="680"/>
      <c r="BW6" s="680"/>
      <c r="BX6" s="680"/>
      <c r="BY6" s="680"/>
      <c r="BZ6" s="680"/>
      <c r="CA6" s="680"/>
      <c r="CB6" s="680"/>
      <c r="CC6" s="680"/>
      <c r="CD6" s="680"/>
      <c r="CE6" s="680"/>
      <c r="CF6" s="680"/>
      <c r="CG6" s="680"/>
      <c r="CH6" s="680"/>
      <c r="CI6" s="680"/>
      <c r="CJ6" s="680"/>
      <c r="CK6" s="680"/>
      <c r="CL6" s="680"/>
      <c r="CM6" s="680"/>
      <c r="CN6" s="680"/>
      <c r="CO6" s="680"/>
      <c r="CP6" s="680"/>
      <c r="CQ6" s="680"/>
      <c r="CR6" s="680"/>
      <c r="CS6" s="680"/>
      <c r="CT6" s="680"/>
      <c r="CU6" s="680"/>
      <c r="CV6" s="680"/>
      <c r="CW6" s="680"/>
      <c r="CX6" s="680"/>
      <c r="CY6" s="680"/>
      <c r="CZ6" s="680"/>
      <c r="DA6" s="680"/>
      <c r="DB6" s="680"/>
      <c r="DC6" s="680"/>
      <c r="DD6" s="680"/>
      <c r="DE6" s="680"/>
      <c r="DF6" s="680"/>
      <c r="DG6" s="680"/>
      <c r="DH6" s="680"/>
      <c r="DI6" s="680"/>
      <c r="DJ6" s="680"/>
      <c r="DK6" s="680"/>
      <c r="DL6" s="680"/>
      <c r="DM6" s="680"/>
      <c r="DN6" s="680"/>
      <c r="DO6" s="680"/>
      <c r="DP6" s="680"/>
      <c r="DQ6" s="680"/>
      <c r="DR6" s="680"/>
      <c r="DS6" s="680"/>
      <c r="DT6" s="680"/>
      <c r="DU6" s="680"/>
      <c r="DV6" s="680"/>
      <c r="DW6" s="680"/>
      <c r="DX6" s="680"/>
      <c r="DY6" s="680"/>
      <c r="DZ6" s="680"/>
      <c r="EA6" s="680"/>
      <c r="EB6" s="680"/>
      <c r="EC6" s="680"/>
      <c r="ED6" s="680"/>
      <c r="EE6" s="680"/>
      <c r="EF6" s="680"/>
      <c r="EG6" s="680"/>
      <c r="EH6" s="680"/>
      <c r="EI6" s="680"/>
      <c r="EJ6" s="680"/>
      <c r="EK6" s="680"/>
      <c r="EL6" s="680"/>
      <c r="EM6" s="680"/>
      <c r="EN6" s="680"/>
      <c r="EO6" s="680"/>
      <c r="EP6" s="680"/>
      <c r="EQ6" s="680"/>
      <c r="ER6" s="680"/>
      <c r="ES6" s="680"/>
      <c r="ET6" s="680"/>
      <c r="EU6" s="680"/>
      <c r="EV6" s="680"/>
      <c r="EW6" s="680"/>
      <c r="EX6" s="680"/>
      <c r="EY6" s="680"/>
      <c r="EZ6" s="680"/>
      <c r="FA6" s="680"/>
      <c r="FB6" s="680"/>
      <c r="FC6" s="680"/>
      <c r="FD6" s="680"/>
      <c r="FE6" s="680"/>
      <c r="FF6" s="680"/>
      <c r="FG6" s="680"/>
      <c r="FH6" s="680"/>
      <c r="FI6" s="680"/>
      <c r="FJ6" s="680"/>
      <c r="FK6" s="680"/>
      <c r="FL6" s="680"/>
      <c r="FM6" s="680"/>
      <c r="FN6" s="680"/>
      <c r="FO6" s="680"/>
      <c r="FP6" s="680"/>
      <c r="FQ6" s="680"/>
      <c r="FR6" s="680"/>
      <c r="FS6" s="680"/>
      <c r="FT6" s="680"/>
      <c r="FU6" s="680"/>
      <c r="FV6" s="680"/>
      <c r="FW6" s="680"/>
      <c r="FX6" s="680"/>
      <c r="FY6" s="680"/>
      <c r="FZ6" s="680"/>
      <c r="GA6" s="680"/>
      <c r="GB6" s="680"/>
      <c r="GC6" s="680"/>
      <c r="GD6" s="680"/>
      <c r="GE6" s="680"/>
      <c r="GF6" s="680"/>
      <c r="GG6" s="680"/>
      <c r="GH6" s="680"/>
      <c r="GI6" s="680"/>
      <c r="GJ6" s="680"/>
      <c r="GK6" s="680"/>
      <c r="GL6" s="680"/>
      <c r="GM6" s="680"/>
      <c r="GN6" s="680"/>
      <c r="GO6" s="680"/>
      <c r="GP6" s="680"/>
      <c r="GQ6" s="680"/>
      <c r="GR6" s="680"/>
      <c r="GS6" s="680"/>
      <c r="GT6" s="680"/>
      <c r="GU6" s="680"/>
      <c r="GV6" s="680"/>
      <c r="GW6" s="680"/>
      <c r="GX6" s="680"/>
      <c r="GY6" s="680"/>
      <c r="GZ6" s="680"/>
      <c r="HA6" s="680"/>
      <c r="HB6" s="680"/>
      <c r="HC6" s="680"/>
      <c r="HD6" s="680"/>
      <c r="HE6" s="680"/>
      <c r="HF6" s="680"/>
      <c r="HG6" s="680"/>
      <c r="HH6" s="680"/>
      <c r="HI6" s="680"/>
      <c r="HJ6" s="680"/>
      <c r="HK6" s="680"/>
      <c r="HL6" s="680"/>
      <c r="HM6" s="680"/>
      <c r="HN6" s="680"/>
      <c r="HO6" s="680"/>
      <c r="HP6" s="680"/>
      <c r="HQ6" s="680"/>
      <c r="HR6" s="680"/>
      <c r="HS6" s="680"/>
      <c r="HT6" s="680"/>
      <c r="HU6" s="680"/>
      <c r="HV6" s="680"/>
      <c r="HW6" s="680"/>
      <c r="HX6" s="680"/>
      <c r="HY6" s="680"/>
      <c r="HZ6" s="680"/>
      <c r="IA6" s="680"/>
      <c r="IB6" s="680"/>
      <c r="IC6" s="680"/>
      <c r="ID6" s="680"/>
      <c r="IE6" s="680"/>
      <c r="IF6" s="680"/>
      <c r="IG6" s="680"/>
      <c r="IH6" s="680"/>
      <c r="II6" s="680"/>
      <c r="IJ6" s="680"/>
      <c r="IK6" s="680"/>
      <c r="IL6" s="680"/>
      <c r="IM6" s="680"/>
      <c r="IN6" s="680"/>
      <c r="IO6" s="680"/>
      <c r="IP6" s="680"/>
    </row>
    <row r="7" spans="1:250" hidden="1" outlineLevel="1">
      <c r="A7" s="649" t="s">
        <v>139</v>
      </c>
      <c r="B7" s="1651"/>
      <c r="C7" s="1630" t="s">
        <v>140</v>
      </c>
      <c r="D7" s="1651" t="s">
        <v>141</v>
      </c>
      <c r="E7" s="1726" t="s">
        <v>142</v>
      </c>
      <c r="F7" s="1691">
        <v>10000000</v>
      </c>
      <c r="G7" s="1706"/>
      <c r="I7" s="681" t="s">
        <v>143</v>
      </c>
    </row>
    <row r="8" spans="1:250" hidden="1" outlineLevel="1">
      <c r="A8" s="651" t="s">
        <v>144</v>
      </c>
      <c r="B8" s="1652" t="s">
        <v>145</v>
      </c>
      <c r="C8" s="1631" t="s">
        <v>140</v>
      </c>
      <c r="D8" s="1652" t="s">
        <v>141</v>
      </c>
      <c r="E8" s="1727" t="s">
        <v>146</v>
      </c>
      <c r="F8" s="1692"/>
      <c r="G8" s="1707">
        <v>990000</v>
      </c>
      <c r="H8" s="652" t="s">
        <v>147</v>
      </c>
      <c r="I8" s="682" t="s">
        <v>148</v>
      </c>
    </row>
    <row r="9" spans="1:250" hidden="1" outlineLevel="1">
      <c r="A9" s="653" t="s">
        <v>144</v>
      </c>
      <c r="B9" s="1653" t="s">
        <v>145</v>
      </c>
      <c r="C9" s="1616" t="s">
        <v>140</v>
      </c>
      <c r="D9" s="1653" t="s">
        <v>141</v>
      </c>
      <c r="E9" s="1708" t="s">
        <v>149</v>
      </c>
      <c r="F9" s="1693"/>
      <c r="G9" s="1708">
        <v>300000</v>
      </c>
      <c r="H9" s="631" t="s">
        <v>147</v>
      </c>
      <c r="I9" s="683" t="s">
        <v>148</v>
      </c>
    </row>
    <row r="10" spans="1:250" hidden="1" outlineLevel="1">
      <c r="A10" s="653" t="s">
        <v>144</v>
      </c>
      <c r="B10" s="1653" t="s">
        <v>145</v>
      </c>
      <c r="C10" s="1616" t="s">
        <v>140</v>
      </c>
      <c r="D10" s="1653" t="s">
        <v>141</v>
      </c>
      <c r="E10" s="1617" t="s">
        <v>150</v>
      </c>
      <c r="F10" s="1694"/>
      <c r="G10" s="1709">
        <v>65000</v>
      </c>
      <c r="H10" s="631" t="s">
        <v>136</v>
      </c>
      <c r="I10" s="684" t="s">
        <v>151</v>
      </c>
    </row>
    <row r="11" spans="1:250" hidden="1" outlineLevel="1">
      <c r="A11" s="653" t="s">
        <v>144</v>
      </c>
      <c r="B11" s="1653" t="s">
        <v>152</v>
      </c>
      <c r="C11" s="1616" t="s">
        <v>140</v>
      </c>
      <c r="D11" s="1653" t="s">
        <v>141</v>
      </c>
      <c r="E11" s="1617" t="s">
        <v>153</v>
      </c>
      <c r="F11" s="1694"/>
      <c r="G11" s="1709">
        <v>70000</v>
      </c>
      <c r="H11" s="631" t="s">
        <v>136</v>
      </c>
      <c r="I11" s="684" t="s">
        <v>154</v>
      </c>
    </row>
    <row r="12" spans="1:250" hidden="1" outlineLevel="1">
      <c r="A12" s="653" t="s">
        <v>144</v>
      </c>
      <c r="B12" s="1653" t="s">
        <v>152</v>
      </c>
      <c r="C12" s="1616" t="s">
        <v>140</v>
      </c>
      <c r="D12" s="1653" t="s">
        <v>141</v>
      </c>
      <c r="E12" s="1617" t="s">
        <v>155</v>
      </c>
      <c r="F12" s="1694"/>
      <c r="G12" s="1709">
        <v>70000</v>
      </c>
      <c r="H12" s="631" t="s">
        <v>136</v>
      </c>
      <c r="I12" s="684" t="s">
        <v>154</v>
      </c>
    </row>
    <row r="13" spans="1:250" hidden="1" outlineLevel="1">
      <c r="A13" s="653" t="s">
        <v>144</v>
      </c>
      <c r="B13" s="1653" t="s">
        <v>152</v>
      </c>
      <c r="C13" s="1616" t="s">
        <v>140</v>
      </c>
      <c r="D13" s="1653" t="s">
        <v>141</v>
      </c>
      <c r="E13" s="1617" t="s">
        <v>156</v>
      </c>
      <c r="F13" s="1694"/>
      <c r="G13" s="1709">
        <v>10000</v>
      </c>
      <c r="H13" s="631" t="s">
        <v>136</v>
      </c>
      <c r="I13" s="684" t="s">
        <v>154</v>
      </c>
    </row>
    <row r="14" spans="1:250" hidden="1" outlineLevel="1">
      <c r="A14" s="653" t="s">
        <v>144</v>
      </c>
      <c r="B14" s="1653" t="s">
        <v>152</v>
      </c>
      <c r="C14" s="1616" t="s">
        <v>140</v>
      </c>
      <c r="D14" s="1653" t="s">
        <v>141</v>
      </c>
      <c r="E14" s="1617" t="s">
        <v>157</v>
      </c>
      <c r="F14" s="1694"/>
      <c r="G14" s="1709">
        <v>20000</v>
      </c>
      <c r="H14" s="631" t="s">
        <v>136</v>
      </c>
      <c r="I14" s="684" t="s">
        <v>154</v>
      </c>
    </row>
    <row r="15" spans="1:250" hidden="1" outlineLevel="1">
      <c r="A15" s="655" t="s">
        <v>144</v>
      </c>
      <c r="B15" s="1651" t="s">
        <v>152</v>
      </c>
      <c r="C15" s="1630" t="s">
        <v>140</v>
      </c>
      <c r="D15" s="1651" t="s">
        <v>141</v>
      </c>
      <c r="E15" s="1728" t="s">
        <v>158</v>
      </c>
      <c r="F15" s="1691"/>
      <c r="G15" s="1706">
        <v>48000</v>
      </c>
      <c r="H15" s="650" t="s">
        <v>136</v>
      </c>
      <c r="I15" s="685" t="s">
        <v>154</v>
      </c>
    </row>
    <row r="16" spans="1:250" s="625" customFormat="1" hidden="1" outlineLevel="1">
      <c r="A16" s="656" t="s">
        <v>159</v>
      </c>
      <c r="B16" s="1652" t="s">
        <v>160</v>
      </c>
      <c r="C16" s="1616" t="s">
        <v>161</v>
      </c>
      <c r="D16" s="1652" t="s">
        <v>141</v>
      </c>
      <c r="E16" s="1729" t="s">
        <v>162</v>
      </c>
      <c r="F16" s="1692"/>
      <c r="G16" s="1707">
        <v>30339</v>
      </c>
      <c r="H16" s="652" t="s">
        <v>163</v>
      </c>
      <c r="I16" s="686" t="s">
        <v>164</v>
      </c>
    </row>
    <row r="17" spans="1:250" s="625" customFormat="1" hidden="1" outlineLevel="1">
      <c r="A17" s="657" t="s">
        <v>159</v>
      </c>
      <c r="B17" s="1653" t="s">
        <v>160</v>
      </c>
      <c r="C17" s="1616" t="s">
        <v>161</v>
      </c>
      <c r="D17" s="1653" t="s">
        <v>141</v>
      </c>
      <c r="E17" s="1730" t="s">
        <v>165</v>
      </c>
      <c r="F17" s="1694"/>
      <c r="G17" s="1709">
        <v>22000</v>
      </c>
      <c r="H17" s="654" t="s">
        <v>163</v>
      </c>
      <c r="I17" s="684" t="s">
        <v>166</v>
      </c>
    </row>
    <row r="18" spans="1:250" s="625" customFormat="1" hidden="1" outlineLevel="1">
      <c r="A18" s="657" t="s">
        <v>159</v>
      </c>
      <c r="B18" s="1653" t="s">
        <v>160</v>
      </c>
      <c r="C18" s="1616" t="s">
        <v>161</v>
      </c>
      <c r="D18" s="1653" t="s">
        <v>141</v>
      </c>
      <c r="E18" s="1730" t="s">
        <v>167</v>
      </c>
      <c r="F18" s="1691"/>
      <c r="G18" s="1706">
        <v>22000</v>
      </c>
      <c r="H18" s="650" t="s">
        <v>163</v>
      </c>
      <c r="I18" s="687" t="s">
        <v>168</v>
      </c>
    </row>
    <row r="19" spans="1:250" s="626" customFormat="1" hidden="1" outlineLevel="1">
      <c r="A19" s="656" t="s">
        <v>169</v>
      </c>
      <c r="B19" s="1654" t="s">
        <v>170</v>
      </c>
      <c r="C19" s="1632" t="s">
        <v>161</v>
      </c>
      <c r="D19" s="1654" t="s">
        <v>141</v>
      </c>
      <c r="E19" s="1731" t="s">
        <v>171</v>
      </c>
      <c r="F19" s="1692"/>
      <c r="G19" s="1707">
        <v>2200000</v>
      </c>
      <c r="H19" s="658" t="s">
        <v>172</v>
      </c>
      <c r="I19" s="688" t="s">
        <v>173</v>
      </c>
    </row>
    <row r="20" spans="1:250" s="626" customFormat="1" hidden="1" outlineLevel="1">
      <c r="A20" s="659" t="s">
        <v>169</v>
      </c>
      <c r="B20" s="1655" t="s">
        <v>170</v>
      </c>
      <c r="C20" s="1633" t="s">
        <v>161</v>
      </c>
      <c r="D20" s="1655" t="s">
        <v>141</v>
      </c>
      <c r="E20" s="1732" t="s">
        <v>174</v>
      </c>
      <c r="F20" s="1691"/>
      <c r="G20" s="1706">
        <v>2200000</v>
      </c>
      <c r="H20" s="660" t="s">
        <v>172</v>
      </c>
      <c r="I20" s="689" t="s">
        <v>173</v>
      </c>
    </row>
    <row r="21" spans="1:250" s="627" customFormat="1" ht="18" collapsed="1" thickBot="1">
      <c r="A21" s="661" t="s">
        <v>38</v>
      </c>
      <c r="B21" s="1656"/>
      <c r="C21" s="1634" t="s">
        <v>161</v>
      </c>
      <c r="D21" s="1656"/>
      <c r="E21" s="1733" t="s">
        <v>175</v>
      </c>
      <c r="F21" s="1695">
        <f>SUM(F7:F20)</f>
        <v>10000000</v>
      </c>
      <c r="G21" s="1710">
        <f>SUM(G8:G20)</f>
        <v>6047339</v>
      </c>
      <c r="H21" s="1679"/>
      <c r="I21" s="690"/>
    </row>
    <row r="22" spans="1:250" s="626" customFormat="1" ht="18" thickBot="1">
      <c r="A22" s="662" t="s">
        <v>138</v>
      </c>
      <c r="B22" s="1657"/>
      <c r="C22" s="1635"/>
      <c r="D22" s="1657"/>
      <c r="E22" s="1734"/>
      <c r="F22" s="1696">
        <f>F21-G21</f>
        <v>3952661</v>
      </c>
      <c r="G22" s="1711"/>
      <c r="H22" s="1657"/>
      <c r="I22" s="691"/>
    </row>
    <row r="23" spans="1:250" s="626" customFormat="1" ht="18" hidden="1" outlineLevel="1" thickBot="1">
      <c r="A23" s="663" t="s">
        <v>39</v>
      </c>
      <c r="B23" s="1658"/>
      <c r="C23" s="1636" t="s">
        <v>161</v>
      </c>
      <c r="D23" s="1658" t="s">
        <v>141</v>
      </c>
      <c r="E23" s="1735"/>
      <c r="F23" s="1697">
        <v>0</v>
      </c>
      <c r="G23" s="1712">
        <v>0</v>
      </c>
      <c r="H23" s="1658"/>
      <c r="I23" s="691"/>
    </row>
    <row r="24" spans="1:250" s="626" customFormat="1" ht="18" hidden="1" outlineLevel="1" thickBot="1">
      <c r="A24" s="659" t="s">
        <v>40</v>
      </c>
      <c r="B24" s="1655"/>
      <c r="C24" s="1633" t="s">
        <v>161</v>
      </c>
      <c r="D24" s="1655" t="s">
        <v>141</v>
      </c>
      <c r="E24" s="1732"/>
      <c r="F24" s="1691">
        <v>0</v>
      </c>
      <c r="G24" s="1706">
        <v>0</v>
      </c>
      <c r="H24" s="1655"/>
      <c r="I24" s="691"/>
    </row>
    <row r="25" spans="1:250" s="626" customFormat="1" ht="18" hidden="1" outlineLevel="1" thickBot="1">
      <c r="A25" s="659" t="s">
        <v>41</v>
      </c>
      <c r="B25" s="1655"/>
      <c r="C25" s="1633" t="s">
        <v>161</v>
      </c>
      <c r="D25" s="1655" t="s">
        <v>141</v>
      </c>
      <c r="E25" s="1732"/>
      <c r="F25" s="1691">
        <v>0</v>
      </c>
      <c r="G25" s="1706">
        <v>0</v>
      </c>
      <c r="H25" s="1655"/>
      <c r="I25" s="691"/>
    </row>
    <row r="26" spans="1:250" s="626" customFormat="1" ht="18" hidden="1" outlineLevel="1" thickBot="1">
      <c r="A26" s="659" t="s">
        <v>43</v>
      </c>
      <c r="B26" s="1655"/>
      <c r="C26" s="1633" t="s">
        <v>161</v>
      </c>
      <c r="D26" s="1655" t="s">
        <v>141</v>
      </c>
      <c r="E26" s="1732"/>
      <c r="F26" s="1691">
        <v>0</v>
      </c>
      <c r="G26" s="1706">
        <v>0</v>
      </c>
      <c r="H26" s="1655"/>
      <c r="I26" s="691"/>
    </row>
    <row r="27" spans="1:250" s="626" customFormat="1" ht="18" hidden="1" outlineLevel="1" thickBot="1">
      <c r="A27" s="664" t="s">
        <v>44</v>
      </c>
      <c r="B27" s="1659"/>
      <c r="C27" s="1637" t="s">
        <v>161</v>
      </c>
      <c r="D27" s="1660" t="s">
        <v>141</v>
      </c>
      <c r="E27" s="1637" t="s">
        <v>176</v>
      </c>
      <c r="F27" s="1718">
        <v>0</v>
      </c>
      <c r="G27" s="1713">
        <v>92000</v>
      </c>
      <c r="H27" s="1680"/>
      <c r="I27" s="692"/>
      <c r="J27" s="680"/>
      <c r="K27" s="680"/>
      <c r="L27" s="680"/>
      <c r="M27" s="680"/>
      <c r="N27" s="680"/>
      <c r="O27" s="680"/>
      <c r="P27" s="680"/>
      <c r="Q27" s="680"/>
      <c r="R27" s="680"/>
      <c r="S27" s="680"/>
      <c r="T27" s="680"/>
      <c r="U27" s="680"/>
      <c r="V27" s="680"/>
      <c r="W27" s="680"/>
      <c r="X27" s="680"/>
      <c r="Y27" s="680"/>
      <c r="Z27" s="680"/>
      <c r="AA27" s="680"/>
      <c r="AB27" s="680"/>
      <c r="AC27" s="680"/>
      <c r="AD27" s="680"/>
      <c r="AE27" s="680"/>
      <c r="AF27" s="680"/>
      <c r="AG27" s="680"/>
      <c r="AH27" s="680"/>
      <c r="AI27" s="680"/>
      <c r="AJ27" s="680"/>
      <c r="AK27" s="680"/>
      <c r="AL27" s="680"/>
      <c r="AM27" s="680"/>
      <c r="AN27" s="680"/>
      <c r="AO27" s="680"/>
      <c r="AP27" s="680"/>
      <c r="AQ27" s="680"/>
      <c r="AR27" s="680"/>
      <c r="AS27" s="680"/>
      <c r="AT27" s="680"/>
      <c r="AU27" s="680"/>
      <c r="AV27" s="680"/>
      <c r="AW27" s="680"/>
      <c r="AX27" s="680"/>
      <c r="AY27" s="680"/>
      <c r="AZ27" s="680"/>
      <c r="BA27" s="680"/>
      <c r="BB27" s="680"/>
      <c r="BC27" s="680"/>
      <c r="BD27" s="680"/>
      <c r="BE27" s="680"/>
      <c r="BF27" s="680"/>
      <c r="BG27" s="680"/>
      <c r="BH27" s="680"/>
      <c r="BI27" s="680"/>
      <c r="BJ27" s="680"/>
      <c r="BK27" s="680"/>
      <c r="BL27" s="680"/>
      <c r="BM27" s="680"/>
      <c r="BN27" s="680"/>
      <c r="BO27" s="680"/>
      <c r="BP27" s="680"/>
      <c r="BQ27" s="680"/>
      <c r="BR27" s="680"/>
      <c r="BS27" s="680"/>
      <c r="BT27" s="680"/>
      <c r="BU27" s="680"/>
      <c r="BV27" s="680"/>
      <c r="BW27" s="680"/>
      <c r="BX27" s="680"/>
      <c r="BY27" s="680"/>
      <c r="BZ27" s="680"/>
      <c r="CA27" s="680"/>
      <c r="CB27" s="680"/>
      <c r="CC27" s="680"/>
      <c r="CD27" s="680"/>
      <c r="CE27" s="680"/>
      <c r="CF27" s="680"/>
      <c r="CG27" s="680"/>
      <c r="CH27" s="680"/>
      <c r="CI27" s="680"/>
      <c r="CJ27" s="680"/>
      <c r="CK27" s="680"/>
      <c r="CL27" s="680"/>
      <c r="CM27" s="680"/>
      <c r="CN27" s="680"/>
      <c r="CO27" s="680"/>
      <c r="CP27" s="680"/>
      <c r="CQ27" s="680"/>
      <c r="CR27" s="680"/>
      <c r="CS27" s="680"/>
      <c r="CT27" s="680"/>
      <c r="CU27" s="680"/>
      <c r="CV27" s="680"/>
      <c r="CW27" s="680"/>
      <c r="CX27" s="680"/>
      <c r="CY27" s="680"/>
      <c r="CZ27" s="680"/>
      <c r="DA27" s="680"/>
      <c r="DB27" s="680"/>
      <c r="DC27" s="680"/>
      <c r="DD27" s="680"/>
      <c r="DE27" s="680"/>
      <c r="DF27" s="680"/>
      <c r="DG27" s="680"/>
      <c r="DH27" s="680"/>
      <c r="DI27" s="680"/>
      <c r="DJ27" s="680"/>
      <c r="DK27" s="680"/>
      <c r="DL27" s="680"/>
      <c r="DM27" s="680"/>
      <c r="DN27" s="680"/>
      <c r="DO27" s="680"/>
      <c r="DP27" s="680"/>
      <c r="DQ27" s="680"/>
      <c r="DR27" s="680"/>
      <c r="DS27" s="680"/>
      <c r="DT27" s="680"/>
      <c r="DU27" s="680"/>
      <c r="DV27" s="680"/>
      <c r="DW27" s="680"/>
      <c r="DX27" s="680"/>
      <c r="DY27" s="680"/>
      <c r="DZ27" s="680"/>
      <c r="EA27" s="680"/>
      <c r="EB27" s="680"/>
      <c r="EC27" s="680"/>
      <c r="ED27" s="680"/>
      <c r="EE27" s="680"/>
      <c r="EF27" s="680"/>
      <c r="EG27" s="680"/>
      <c r="EH27" s="680"/>
      <c r="EI27" s="680"/>
      <c r="EJ27" s="680"/>
      <c r="EK27" s="680"/>
      <c r="EL27" s="680"/>
      <c r="EM27" s="680"/>
      <c r="EN27" s="680"/>
      <c r="EO27" s="680"/>
      <c r="EP27" s="680"/>
      <c r="EQ27" s="680"/>
      <c r="ER27" s="680"/>
      <c r="ES27" s="680"/>
      <c r="ET27" s="680"/>
      <c r="EU27" s="680"/>
      <c r="EV27" s="680"/>
      <c r="EW27" s="680"/>
      <c r="EX27" s="680"/>
      <c r="EY27" s="680"/>
      <c r="EZ27" s="680"/>
      <c r="FA27" s="680"/>
      <c r="FB27" s="680"/>
      <c r="FC27" s="680"/>
      <c r="FD27" s="680"/>
      <c r="FE27" s="680"/>
      <c r="FF27" s="680"/>
      <c r="FG27" s="680"/>
      <c r="FH27" s="680"/>
      <c r="FI27" s="680"/>
      <c r="FJ27" s="680"/>
      <c r="FK27" s="680"/>
      <c r="FL27" s="680"/>
      <c r="FM27" s="680"/>
      <c r="FN27" s="680"/>
      <c r="FO27" s="680"/>
      <c r="FP27" s="680"/>
      <c r="FQ27" s="680"/>
      <c r="FR27" s="680"/>
      <c r="FS27" s="680"/>
      <c r="FT27" s="680"/>
      <c r="FU27" s="680"/>
      <c r="FV27" s="680"/>
      <c r="FW27" s="680"/>
      <c r="FX27" s="680"/>
      <c r="FY27" s="680"/>
      <c r="FZ27" s="680"/>
      <c r="GA27" s="680"/>
      <c r="GB27" s="680"/>
      <c r="GC27" s="680"/>
      <c r="GD27" s="680"/>
      <c r="GE27" s="680"/>
      <c r="GF27" s="680"/>
      <c r="GG27" s="680"/>
      <c r="GH27" s="680"/>
      <c r="GI27" s="680"/>
      <c r="GJ27" s="680"/>
      <c r="GK27" s="680"/>
      <c r="GL27" s="680"/>
      <c r="GM27" s="680"/>
      <c r="GN27" s="680"/>
      <c r="GO27" s="680"/>
      <c r="GP27" s="680"/>
      <c r="GQ27" s="680"/>
      <c r="GR27" s="680"/>
      <c r="GS27" s="680"/>
      <c r="GT27" s="680"/>
      <c r="GU27" s="680"/>
      <c r="GV27" s="680"/>
      <c r="GW27" s="680"/>
      <c r="GX27" s="680"/>
      <c r="GY27" s="680"/>
      <c r="GZ27" s="680"/>
      <c r="HA27" s="680"/>
      <c r="HB27" s="680"/>
      <c r="HC27" s="680"/>
      <c r="HD27" s="680"/>
      <c r="HE27" s="680"/>
      <c r="HF27" s="680"/>
      <c r="HG27" s="680"/>
      <c r="HH27" s="680"/>
      <c r="HI27" s="680"/>
      <c r="HJ27" s="680"/>
      <c r="HK27" s="680"/>
      <c r="HL27" s="680"/>
      <c r="HM27" s="680"/>
      <c r="HN27" s="680"/>
      <c r="HO27" s="680"/>
      <c r="HP27" s="680"/>
      <c r="HQ27" s="680"/>
      <c r="HR27" s="680"/>
      <c r="HS27" s="680"/>
      <c r="HT27" s="680"/>
      <c r="HU27" s="680"/>
      <c r="HV27" s="680"/>
      <c r="HW27" s="680"/>
      <c r="HX27" s="680"/>
      <c r="HY27" s="680"/>
      <c r="HZ27" s="680"/>
      <c r="IA27" s="680"/>
      <c r="IB27" s="680"/>
      <c r="IC27" s="680"/>
      <c r="ID27" s="680"/>
      <c r="IE27" s="680"/>
      <c r="IF27" s="680"/>
      <c r="IG27" s="680"/>
      <c r="IH27" s="680"/>
      <c r="II27" s="680"/>
      <c r="IJ27" s="680"/>
      <c r="IK27" s="680"/>
      <c r="IL27" s="680"/>
      <c r="IM27" s="680"/>
      <c r="IN27" s="680"/>
      <c r="IO27" s="680"/>
      <c r="IP27" s="680"/>
    </row>
    <row r="28" spans="1:250" s="626" customFormat="1" ht="18" hidden="1" outlineLevel="1" thickBot="1">
      <c r="A28" s="659" t="s">
        <v>45</v>
      </c>
      <c r="B28" s="1655"/>
      <c r="C28" s="1633" t="s">
        <v>161</v>
      </c>
      <c r="D28" s="1655" t="s">
        <v>141</v>
      </c>
      <c r="E28" s="1732"/>
      <c r="F28" s="1691"/>
      <c r="G28" s="1706"/>
      <c r="H28" s="1655"/>
      <c r="I28" s="691"/>
    </row>
    <row r="29" spans="1:250" s="626" customFormat="1" ht="18" hidden="1" outlineLevel="1" thickBot="1">
      <c r="A29" s="664" t="s">
        <v>177</v>
      </c>
      <c r="B29" s="1660"/>
      <c r="C29" s="1637" t="s">
        <v>161</v>
      </c>
      <c r="D29" s="1660" t="s">
        <v>141</v>
      </c>
      <c r="E29" s="1637" t="s">
        <v>178</v>
      </c>
      <c r="F29" s="1718">
        <v>0</v>
      </c>
      <c r="G29" s="1713">
        <v>300000</v>
      </c>
      <c r="H29" s="1680"/>
      <c r="I29" s="691"/>
    </row>
    <row r="30" spans="1:250" s="626" customFormat="1" ht="18" hidden="1" outlineLevel="1" thickBot="1">
      <c r="A30" s="664" t="s">
        <v>177</v>
      </c>
      <c r="B30" s="1660"/>
      <c r="C30" s="1637" t="s">
        <v>161</v>
      </c>
      <c r="D30" s="1660" t="s">
        <v>141</v>
      </c>
      <c r="E30" s="1637" t="s">
        <v>179</v>
      </c>
      <c r="F30" s="1718">
        <v>0</v>
      </c>
      <c r="G30" s="1713">
        <v>300000</v>
      </c>
      <c r="H30" s="1680"/>
      <c r="I30" s="691"/>
    </row>
    <row r="31" spans="1:250" s="626" customFormat="1" ht="18" hidden="1" outlineLevel="1" thickBot="1">
      <c r="A31" s="664" t="s">
        <v>177</v>
      </c>
      <c r="B31" s="1660"/>
      <c r="C31" s="1637" t="s">
        <v>161</v>
      </c>
      <c r="D31" s="1660" t="s">
        <v>141</v>
      </c>
      <c r="E31" s="1637" t="s">
        <v>180</v>
      </c>
      <c r="F31" s="1718"/>
      <c r="G31" s="1713">
        <v>200000</v>
      </c>
      <c r="H31" s="1680"/>
      <c r="I31" s="691"/>
    </row>
    <row r="32" spans="1:250" s="626" customFormat="1" ht="18" hidden="1" outlineLevel="1" thickBot="1">
      <c r="A32" s="664" t="s">
        <v>177</v>
      </c>
      <c r="B32" s="1660"/>
      <c r="C32" s="1637" t="s">
        <v>161</v>
      </c>
      <c r="D32" s="1660" t="s">
        <v>141</v>
      </c>
      <c r="E32" s="1637" t="s">
        <v>181</v>
      </c>
      <c r="F32" s="1718"/>
      <c r="G32" s="1713">
        <v>744976</v>
      </c>
      <c r="H32" s="1680" t="s">
        <v>182</v>
      </c>
      <c r="I32" s="691"/>
    </row>
    <row r="33" spans="1:250" s="626" customFormat="1" ht="18" hidden="1" outlineLevel="1" thickBot="1">
      <c r="A33" s="664" t="s">
        <v>183</v>
      </c>
      <c r="B33" s="1660"/>
      <c r="C33" s="1637" t="s">
        <v>161</v>
      </c>
      <c r="D33" s="1660" t="s">
        <v>141</v>
      </c>
      <c r="E33" s="1637" t="s">
        <v>184</v>
      </c>
      <c r="F33" s="1718"/>
      <c r="G33" s="1713">
        <v>7000</v>
      </c>
      <c r="H33" s="1680"/>
      <c r="I33" s="691"/>
    </row>
    <row r="34" spans="1:250" s="626" customFormat="1" ht="18" hidden="1" outlineLevel="1" thickBot="1">
      <c r="A34" s="664" t="s">
        <v>183</v>
      </c>
      <c r="B34" s="1660"/>
      <c r="C34" s="1637" t="s">
        <v>161</v>
      </c>
      <c r="D34" s="1660" t="s">
        <v>141</v>
      </c>
      <c r="E34" s="1637" t="s">
        <v>185</v>
      </c>
      <c r="F34" s="1718"/>
      <c r="G34" s="1713">
        <v>60000</v>
      </c>
      <c r="H34" s="1680"/>
      <c r="I34" s="691"/>
    </row>
    <row r="35" spans="1:250" s="628" customFormat="1" ht="18" hidden="1" outlineLevel="1" thickBot="1">
      <c r="A35" s="664" t="s">
        <v>50</v>
      </c>
      <c r="B35" s="1661"/>
      <c r="C35" s="1637" t="s">
        <v>161</v>
      </c>
      <c r="D35" s="1660" t="s">
        <v>141</v>
      </c>
      <c r="E35" s="1637" t="s">
        <v>186</v>
      </c>
      <c r="F35" s="1719">
        <v>0</v>
      </c>
      <c r="G35" s="1713">
        <v>555000</v>
      </c>
      <c r="H35" s="1681"/>
      <c r="I35" s="693"/>
      <c r="J35" s="694"/>
      <c r="K35" s="694"/>
      <c r="L35" s="694"/>
      <c r="M35" s="694"/>
      <c r="N35" s="694"/>
      <c r="O35" s="694"/>
      <c r="P35" s="694"/>
      <c r="Q35" s="694"/>
      <c r="R35" s="694"/>
      <c r="S35" s="694"/>
      <c r="T35" s="694"/>
      <c r="U35" s="694"/>
      <c r="V35" s="694"/>
      <c r="W35" s="694"/>
      <c r="X35" s="694"/>
      <c r="Y35" s="694"/>
      <c r="Z35" s="694"/>
      <c r="AA35" s="694"/>
      <c r="AB35" s="694"/>
      <c r="AC35" s="694"/>
      <c r="AD35" s="694"/>
      <c r="AE35" s="694"/>
      <c r="AF35" s="694"/>
      <c r="AG35" s="694"/>
      <c r="AH35" s="694"/>
      <c r="AI35" s="694"/>
      <c r="AJ35" s="694"/>
      <c r="AK35" s="694"/>
      <c r="AL35" s="694"/>
      <c r="AM35" s="694"/>
      <c r="AN35" s="694"/>
      <c r="AO35" s="694"/>
      <c r="AP35" s="694"/>
      <c r="AQ35" s="694"/>
      <c r="AR35" s="694"/>
      <c r="AS35" s="694"/>
      <c r="AT35" s="694"/>
      <c r="AU35" s="694"/>
      <c r="AV35" s="694"/>
      <c r="AW35" s="694"/>
      <c r="AX35" s="694"/>
      <c r="AY35" s="694"/>
      <c r="AZ35" s="694"/>
      <c r="BA35" s="694"/>
      <c r="BB35" s="694"/>
      <c r="BC35" s="694"/>
      <c r="BD35" s="694"/>
      <c r="BE35" s="694"/>
      <c r="BF35" s="694"/>
      <c r="BG35" s="694"/>
      <c r="BH35" s="694"/>
      <c r="BI35" s="694"/>
      <c r="BJ35" s="694"/>
      <c r="BK35" s="694"/>
      <c r="BL35" s="694"/>
      <c r="BM35" s="694"/>
      <c r="BN35" s="694"/>
      <c r="BO35" s="694"/>
      <c r="BP35" s="694"/>
      <c r="BQ35" s="694"/>
      <c r="BR35" s="694"/>
      <c r="BS35" s="694"/>
      <c r="BT35" s="694"/>
      <c r="BU35" s="694"/>
      <c r="BV35" s="694"/>
      <c r="BW35" s="694"/>
      <c r="BX35" s="694"/>
      <c r="BY35" s="694"/>
      <c r="BZ35" s="694"/>
      <c r="CA35" s="694"/>
      <c r="CB35" s="694"/>
      <c r="CC35" s="694"/>
      <c r="CD35" s="694"/>
      <c r="CE35" s="694"/>
      <c r="CF35" s="694"/>
      <c r="CG35" s="694"/>
      <c r="CH35" s="694"/>
      <c r="CI35" s="694"/>
      <c r="CJ35" s="694"/>
      <c r="CK35" s="694"/>
      <c r="CL35" s="694"/>
      <c r="CM35" s="694"/>
      <c r="CN35" s="694"/>
      <c r="CO35" s="694"/>
      <c r="CP35" s="694"/>
      <c r="CQ35" s="694"/>
      <c r="CR35" s="694"/>
      <c r="CS35" s="694"/>
      <c r="CT35" s="694"/>
      <c r="CU35" s="694"/>
      <c r="CV35" s="694"/>
      <c r="CW35" s="694"/>
      <c r="CX35" s="694"/>
      <c r="CY35" s="694"/>
      <c r="CZ35" s="694"/>
      <c r="DA35" s="694"/>
      <c r="DB35" s="694"/>
      <c r="DC35" s="694"/>
      <c r="DD35" s="694"/>
      <c r="DE35" s="694"/>
      <c r="DF35" s="694"/>
      <c r="DG35" s="694"/>
      <c r="DH35" s="694"/>
      <c r="DI35" s="694"/>
      <c r="DJ35" s="694"/>
      <c r="DK35" s="694"/>
      <c r="DL35" s="694"/>
      <c r="DM35" s="694"/>
      <c r="DN35" s="694"/>
      <c r="DO35" s="694"/>
      <c r="DP35" s="694"/>
      <c r="DQ35" s="694"/>
      <c r="DR35" s="694"/>
      <c r="DS35" s="694"/>
      <c r="DT35" s="694"/>
      <c r="DU35" s="694"/>
      <c r="DV35" s="694"/>
      <c r="DW35" s="694"/>
      <c r="DX35" s="694"/>
      <c r="DY35" s="694"/>
      <c r="DZ35" s="694"/>
      <c r="EA35" s="694"/>
      <c r="EB35" s="694"/>
      <c r="EC35" s="694"/>
      <c r="ED35" s="694"/>
      <c r="EE35" s="694"/>
      <c r="EF35" s="694"/>
      <c r="EG35" s="694"/>
      <c r="EH35" s="694"/>
      <c r="EI35" s="694"/>
      <c r="EJ35" s="694"/>
      <c r="EK35" s="694"/>
      <c r="EL35" s="694"/>
      <c r="EM35" s="694"/>
      <c r="EN35" s="694"/>
      <c r="EO35" s="694"/>
      <c r="EP35" s="694"/>
      <c r="EQ35" s="694"/>
      <c r="ER35" s="694"/>
      <c r="ES35" s="694"/>
      <c r="ET35" s="694"/>
      <c r="EU35" s="694"/>
      <c r="EV35" s="694"/>
      <c r="EW35" s="694"/>
      <c r="EX35" s="694"/>
      <c r="EY35" s="694"/>
      <c r="EZ35" s="694"/>
      <c r="FA35" s="694"/>
      <c r="FB35" s="694"/>
      <c r="FC35" s="694"/>
      <c r="FD35" s="694"/>
      <c r="FE35" s="694"/>
      <c r="FF35" s="694"/>
      <c r="FG35" s="694"/>
      <c r="FH35" s="694"/>
      <c r="FI35" s="694"/>
      <c r="FJ35" s="694"/>
      <c r="FK35" s="694"/>
      <c r="FL35" s="694"/>
      <c r="FM35" s="694"/>
      <c r="FN35" s="694"/>
      <c r="FO35" s="694"/>
      <c r="FP35" s="694"/>
      <c r="FQ35" s="694"/>
      <c r="FR35" s="694"/>
      <c r="FS35" s="694"/>
      <c r="FT35" s="694"/>
      <c r="FU35" s="694"/>
      <c r="FV35" s="694"/>
      <c r="FW35" s="694"/>
      <c r="FX35" s="694"/>
      <c r="FY35" s="694"/>
      <c r="FZ35" s="694"/>
      <c r="GA35" s="694"/>
      <c r="GB35" s="694"/>
      <c r="GC35" s="694"/>
      <c r="GD35" s="694"/>
      <c r="GE35" s="694"/>
      <c r="GF35" s="694"/>
      <c r="GG35" s="694"/>
      <c r="GH35" s="694"/>
      <c r="GI35" s="694"/>
      <c r="GJ35" s="694"/>
      <c r="GK35" s="694"/>
      <c r="GL35" s="694"/>
      <c r="GM35" s="694"/>
      <c r="GN35" s="694"/>
      <c r="GO35" s="694"/>
      <c r="GP35" s="694"/>
      <c r="GQ35" s="694"/>
      <c r="GR35" s="694"/>
      <c r="GS35" s="694"/>
      <c r="GT35" s="694"/>
      <c r="GU35" s="694"/>
      <c r="GV35" s="694"/>
      <c r="GW35" s="694"/>
      <c r="GX35" s="694"/>
      <c r="GY35" s="694"/>
      <c r="GZ35" s="694"/>
      <c r="HA35" s="694"/>
      <c r="HB35" s="694"/>
      <c r="HC35" s="694"/>
      <c r="HD35" s="694"/>
      <c r="HE35" s="694"/>
      <c r="HF35" s="694"/>
      <c r="HG35" s="694"/>
      <c r="HH35" s="694"/>
      <c r="HI35" s="694"/>
      <c r="HJ35" s="694"/>
      <c r="HK35" s="694"/>
      <c r="HL35" s="694"/>
      <c r="HM35" s="694"/>
      <c r="HN35" s="694"/>
      <c r="HO35" s="694"/>
      <c r="HP35" s="694"/>
      <c r="HQ35" s="694"/>
      <c r="HR35" s="694"/>
      <c r="HS35" s="694"/>
      <c r="HT35" s="694"/>
      <c r="HU35" s="694"/>
      <c r="HV35" s="694"/>
      <c r="HW35" s="694"/>
      <c r="HX35" s="694"/>
      <c r="HY35" s="694"/>
      <c r="HZ35" s="694"/>
      <c r="IA35" s="694"/>
      <c r="IB35" s="694"/>
      <c r="IC35" s="694"/>
      <c r="ID35" s="694"/>
      <c r="IE35" s="694"/>
      <c r="IF35" s="694"/>
      <c r="IG35" s="694"/>
      <c r="IH35" s="694"/>
      <c r="II35" s="694"/>
      <c r="IJ35" s="694"/>
      <c r="IK35" s="694"/>
      <c r="IL35" s="694"/>
      <c r="IM35" s="694"/>
      <c r="IN35" s="694"/>
      <c r="IO35" s="694"/>
      <c r="IP35" s="694"/>
    </row>
    <row r="36" spans="1:250" s="628" customFormat="1" ht="18" hidden="1" outlineLevel="1" thickBot="1">
      <c r="A36" s="664" t="s">
        <v>51</v>
      </c>
      <c r="B36" s="1660"/>
      <c r="C36" s="1637" t="s">
        <v>161</v>
      </c>
      <c r="D36" s="1660" t="s">
        <v>141</v>
      </c>
      <c r="E36" s="1637"/>
      <c r="F36" s="1718">
        <v>5000000</v>
      </c>
      <c r="G36" s="1713"/>
      <c r="H36" s="1680"/>
      <c r="I36" s="1674"/>
      <c r="J36" s="695"/>
      <c r="K36" s="695"/>
      <c r="L36" s="695"/>
      <c r="M36" s="695"/>
      <c r="N36" s="695"/>
      <c r="O36" s="695"/>
      <c r="P36" s="695"/>
      <c r="Q36" s="695"/>
      <c r="R36" s="695"/>
      <c r="S36" s="695"/>
      <c r="T36" s="695"/>
      <c r="U36" s="695"/>
      <c r="V36" s="695"/>
      <c r="W36" s="695"/>
      <c r="X36" s="695"/>
      <c r="Y36" s="695"/>
      <c r="Z36" s="695"/>
      <c r="AA36" s="695"/>
      <c r="AB36" s="695"/>
      <c r="AC36" s="695"/>
      <c r="AD36" s="695"/>
      <c r="AE36" s="695"/>
      <c r="AF36" s="695"/>
      <c r="AG36" s="695"/>
      <c r="AH36" s="695"/>
      <c r="AI36" s="695"/>
      <c r="AJ36" s="695"/>
      <c r="AK36" s="695"/>
      <c r="AL36" s="695"/>
      <c r="AM36" s="695"/>
      <c r="AN36" s="695"/>
      <c r="AO36" s="695"/>
      <c r="AP36" s="695"/>
      <c r="AQ36" s="695"/>
      <c r="AR36" s="695"/>
      <c r="AS36" s="695"/>
      <c r="AT36" s="695"/>
      <c r="AU36" s="695"/>
      <c r="AV36" s="695"/>
      <c r="AW36" s="695"/>
      <c r="AX36" s="695"/>
      <c r="AY36" s="695"/>
      <c r="AZ36" s="695"/>
      <c r="BA36" s="695"/>
      <c r="BB36" s="695"/>
      <c r="BC36" s="695"/>
      <c r="BD36" s="695"/>
      <c r="BE36" s="695"/>
      <c r="BF36" s="695"/>
      <c r="BG36" s="695"/>
      <c r="BH36" s="695"/>
      <c r="BI36" s="695"/>
      <c r="BJ36" s="695"/>
      <c r="BK36" s="695"/>
      <c r="BL36" s="695"/>
      <c r="BM36" s="695"/>
      <c r="BN36" s="695"/>
      <c r="BO36" s="695"/>
      <c r="BP36" s="695"/>
      <c r="BQ36" s="695"/>
      <c r="BR36" s="695"/>
      <c r="BS36" s="695"/>
      <c r="BT36" s="695"/>
      <c r="BU36" s="695"/>
      <c r="BV36" s="695"/>
      <c r="BW36" s="695"/>
      <c r="BX36" s="695"/>
      <c r="BY36" s="695"/>
      <c r="BZ36" s="695"/>
      <c r="CA36" s="695"/>
      <c r="CB36" s="695"/>
      <c r="CC36" s="695"/>
      <c r="CD36" s="695"/>
      <c r="CE36" s="695"/>
      <c r="CF36" s="695"/>
      <c r="CG36" s="695"/>
      <c r="CH36" s="695"/>
      <c r="CI36" s="695"/>
      <c r="CJ36" s="695"/>
      <c r="CK36" s="695"/>
      <c r="CL36" s="695"/>
      <c r="CM36" s="695"/>
      <c r="CN36" s="695"/>
      <c r="CO36" s="695"/>
      <c r="CP36" s="695"/>
      <c r="CQ36" s="695"/>
      <c r="CR36" s="695"/>
      <c r="CS36" s="695"/>
      <c r="CT36" s="695"/>
      <c r="CU36" s="695"/>
      <c r="CV36" s="695"/>
      <c r="CW36" s="695"/>
      <c r="CX36" s="695"/>
      <c r="CY36" s="695"/>
      <c r="CZ36" s="695"/>
      <c r="DA36" s="695"/>
      <c r="DB36" s="695"/>
      <c r="DC36" s="695"/>
      <c r="DD36" s="695"/>
      <c r="DE36" s="695"/>
      <c r="DF36" s="695"/>
      <c r="DG36" s="695"/>
      <c r="DH36" s="695"/>
      <c r="DI36" s="695"/>
      <c r="DJ36" s="695"/>
      <c r="DK36" s="695"/>
      <c r="DL36" s="695"/>
      <c r="DM36" s="695"/>
      <c r="DN36" s="695"/>
      <c r="DO36" s="695"/>
      <c r="DP36" s="695"/>
      <c r="DQ36" s="695"/>
      <c r="DR36" s="695"/>
      <c r="DS36" s="695"/>
      <c r="DT36" s="695"/>
      <c r="DU36" s="695"/>
      <c r="DV36" s="695"/>
      <c r="DW36" s="695"/>
      <c r="DX36" s="695"/>
      <c r="DY36" s="695"/>
      <c r="DZ36" s="695"/>
      <c r="EA36" s="695"/>
      <c r="EB36" s="695"/>
      <c r="EC36" s="695"/>
      <c r="ED36" s="695"/>
      <c r="EE36" s="695"/>
      <c r="EF36" s="695"/>
      <c r="EG36" s="695"/>
      <c r="EH36" s="695"/>
      <c r="EI36" s="695"/>
      <c r="EJ36" s="695"/>
      <c r="EK36" s="695"/>
      <c r="EL36" s="695"/>
      <c r="EM36" s="695"/>
      <c r="EN36" s="695"/>
      <c r="EO36" s="695"/>
      <c r="EP36" s="695"/>
      <c r="EQ36" s="695"/>
      <c r="ER36" s="695"/>
      <c r="ES36" s="695"/>
      <c r="ET36" s="695"/>
      <c r="EU36" s="695"/>
      <c r="EV36" s="695"/>
      <c r="EW36" s="695"/>
      <c r="EX36" s="695"/>
      <c r="EY36" s="695"/>
      <c r="EZ36" s="695"/>
      <c r="FA36" s="695"/>
      <c r="FB36" s="695"/>
      <c r="FC36" s="695"/>
      <c r="FD36" s="695"/>
      <c r="FE36" s="695"/>
      <c r="FF36" s="695"/>
      <c r="FG36" s="695"/>
      <c r="FH36" s="695"/>
      <c r="FI36" s="695"/>
      <c r="FJ36" s="695"/>
      <c r="FK36" s="695"/>
      <c r="FL36" s="695"/>
      <c r="FM36" s="695"/>
      <c r="FN36" s="695"/>
      <c r="FO36" s="695"/>
      <c r="FP36" s="695"/>
      <c r="FQ36" s="695"/>
      <c r="FR36" s="695"/>
      <c r="FS36" s="695"/>
      <c r="FT36" s="695"/>
      <c r="FU36" s="695"/>
      <c r="FV36" s="695"/>
      <c r="FW36" s="695"/>
      <c r="FX36" s="695"/>
      <c r="FY36" s="695"/>
      <c r="FZ36" s="695"/>
      <c r="GA36" s="695"/>
      <c r="GB36" s="695"/>
      <c r="GC36" s="695"/>
      <c r="GD36" s="695"/>
      <c r="GE36" s="695"/>
      <c r="GF36" s="695"/>
      <c r="GG36" s="695"/>
      <c r="GH36" s="695"/>
      <c r="GI36" s="695"/>
      <c r="GJ36" s="695"/>
      <c r="GK36" s="695"/>
      <c r="GL36" s="695"/>
      <c r="GM36" s="695"/>
      <c r="GN36" s="695"/>
      <c r="GO36" s="695"/>
      <c r="GP36" s="695"/>
      <c r="GQ36" s="695"/>
      <c r="GR36" s="695"/>
      <c r="GS36" s="695"/>
      <c r="GT36" s="695"/>
      <c r="GU36" s="695"/>
      <c r="GV36" s="695"/>
      <c r="GW36" s="695"/>
      <c r="GX36" s="695"/>
      <c r="GY36" s="695"/>
      <c r="GZ36" s="695"/>
      <c r="HA36" s="695"/>
      <c r="HB36" s="695"/>
      <c r="HC36" s="695"/>
      <c r="HD36" s="695"/>
      <c r="HE36" s="695"/>
      <c r="HF36" s="695"/>
      <c r="HG36" s="695"/>
      <c r="HH36" s="695"/>
      <c r="HI36" s="695"/>
      <c r="HJ36" s="695"/>
      <c r="HK36" s="695"/>
      <c r="HL36" s="695"/>
      <c r="HM36" s="695"/>
      <c r="HN36" s="695"/>
      <c r="HO36" s="695"/>
      <c r="HP36" s="695"/>
      <c r="HQ36" s="695"/>
      <c r="HR36" s="695"/>
      <c r="HS36" s="695"/>
      <c r="HT36" s="695"/>
      <c r="HU36" s="695"/>
      <c r="HV36" s="695"/>
      <c r="HW36" s="695"/>
      <c r="HX36" s="695"/>
      <c r="HY36" s="695"/>
      <c r="HZ36" s="695"/>
      <c r="IA36" s="695"/>
      <c r="IB36" s="695"/>
      <c r="IC36" s="695"/>
      <c r="ID36" s="695"/>
      <c r="IE36" s="695"/>
      <c r="IF36" s="695"/>
      <c r="IG36" s="695"/>
      <c r="IH36" s="695"/>
      <c r="II36" s="695"/>
      <c r="IJ36" s="695"/>
      <c r="IK36" s="695"/>
      <c r="IL36" s="695"/>
      <c r="IM36" s="695"/>
      <c r="IN36" s="695"/>
      <c r="IO36" s="695"/>
      <c r="IP36" s="695"/>
    </row>
    <row r="37" spans="1:250" s="628" customFormat="1" ht="18" hidden="1" outlineLevel="1" thickBot="1">
      <c r="A37" s="664" t="s">
        <v>57</v>
      </c>
      <c r="B37" s="1660"/>
      <c r="C37" s="1637" t="s">
        <v>161</v>
      </c>
      <c r="D37" s="1660" t="s">
        <v>141</v>
      </c>
      <c r="E37" s="1637" t="s">
        <v>187</v>
      </c>
      <c r="F37" s="1718"/>
      <c r="G37" s="1713">
        <v>220000</v>
      </c>
      <c r="H37" s="1680"/>
      <c r="I37" s="1674"/>
      <c r="J37" s="695"/>
      <c r="K37" s="695"/>
      <c r="L37" s="695"/>
      <c r="M37" s="695"/>
      <c r="N37" s="695"/>
      <c r="O37" s="695"/>
      <c r="P37" s="695"/>
      <c r="Q37" s="695"/>
      <c r="R37" s="695"/>
      <c r="S37" s="695"/>
      <c r="T37" s="695"/>
      <c r="U37" s="695"/>
      <c r="V37" s="695"/>
      <c r="W37" s="695"/>
      <c r="X37" s="695"/>
      <c r="Y37" s="695"/>
      <c r="Z37" s="695"/>
      <c r="AA37" s="695"/>
      <c r="AB37" s="695"/>
      <c r="AC37" s="695"/>
      <c r="AD37" s="695"/>
      <c r="AE37" s="695"/>
      <c r="AF37" s="695"/>
      <c r="AG37" s="695"/>
      <c r="AH37" s="695"/>
      <c r="AI37" s="695"/>
      <c r="AJ37" s="695"/>
      <c r="AK37" s="695"/>
      <c r="AL37" s="695"/>
      <c r="AM37" s="695"/>
      <c r="AN37" s="695"/>
      <c r="AO37" s="695"/>
      <c r="AP37" s="695"/>
      <c r="AQ37" s="695"/>
      <c r="AR37" s="695"/>
      <c r="AS37" s="695"/>
      <c r="AT37" s="695"/>
      <c r="AU37" s="695"/>
      <c r="AV37" s="695"/>
      <c r="AW37" s="695"/>
      <c r="AX37" s="695"/>
      <c r="AY37" s="695"/>
      <c r="AZ37" s="695"/>
      <c r="BA37" s="695"/>
      <c r="BB37" s="695"/>
      <c r="BC37" s="695"/>
      <c r="BD37" s="695"/>
      <c r="BE37" s="695"/>
      <c r="BF37" s="695"/>
      <c r="BG37" s="695"/>
      <c r="BH37" s="695"/>
      <c r="BI37" s="695"/>
      <c r="BJ37" s="695"/>
      <c r="BK37" s="695"/>
      <c r="BL37" s="695"/>
      <c r="BM37" s="695"/>
      <c r="BN37" s="695"/>
      <c r="BO37" s="695"/>
      <c r="BP37" s="695"/>
      <c r="BQ37" s="695"/>
      <c r="BR37" s="695"/>
      <c r="BS37" s="695"/>
      <c r="BT37" s="695"/>
      <c r="BU37" s="695"/>
      <c r="BV37" s="695"/>
      <c r="BW37" s="695"/>
      <c r="BX37" s="695"/>
      <c r="BY37" s="695"/>
      <c r="BZ37" s="695"/>
      <c r="CA37" s="695"/>
      <c r="CB37" s="695"/>
      <c r="CC37" s="695"/>
      <c r="CD37" s="695"/>
      <c r="CE37" s="695"/>
      <c r="CF37" s="695"/>
      <c r="CG37" s="695"/>
      <c r="CH37" s="695"/>
      <c r="CI37" s="695"/>
      <c r="CJ37" s="695"/>
      <c r="CK37" s="695"/>
      <c r="CL37" s="695"/>
      <c r="CM37" s="695"/>
      <c r="CN37" s="695"/>
      <c r="CO37" s="695"/>
      <c r="CP37" s="695"/>
      <c r="CQ37" s="695"/>
      <c r="CR37" s="695"/>
      <c r="CS37" s="695"/>
      <c r="CT37" s="695"/>
      <c r="CU37" s="695"/>
      <c r="CV37" s="695"/>
      <c r="CW37" s="695"/>
      <c r="CX37" s="695"/>
      <c r="CY37" s="695"/>
      <c r="CZ37" s="695"/>
      <c r="DA37" s="695"/>
      <c r="DB37" s="695"/>
      <c r="DC37" s="695"/>
      <c r="DD37" s="695"/>
      <c r="DE37" s="695"/>
      <c r="DF37" s="695"/>
      <c r="DG37" s="695"/>
      <c r="DH37" s="695"/>
      <c r="DI37" s="695"/>
      <c r="DJ37" s="695"/>
      <c r="DK37" s="695"/>
      <c r="DL37" s="695"/>
      <c r="DM37" s="695"/>
      <c r="DN37" s="695"/>
      <c r="DO37" s="695"/>
      <c r="DP37" s="695"/>
      <c r="DQ37" s="695"/>
      <c r="DR37" s="695"/>
      <c r="DS37" s="695"/>
      <c r="DT37" s="695"/>
      <c r="DU37" s="695"/>
      <c r="DV37" s="695"/>
      <c r="DW37" s="695"/>
      <c r="DX37" s="695"/>
      <c r="DY37" s="695"/>
      <c r="DZ37" s="695"/>
      <c r="EA37" s="695"/>
      <c r="EB37" s="695"/>
      <c r="EC37" s="695"/>
      <c r="ED37" s="695"/>
      <c r="EE37" s="695"/>
      <c r="EF37" s="695"/>
      <c r="EG37" s="695"/>
      <c r="EH37" s="695"/>
      <c r="EI37" s="695"/>
      <c r="EJ37" s="695"/>
      <c r="EK37" s="695"/>
      <c r="EL37" s="695"/>
      <c r="EM37" s="695"/>
      <c r="EN37" s="695"/>
      <c r="EO37" s="695"/>
      <c r="EP37" s="695"/>
      <c r="EQ37" s="695"/>
      <c r="ER37" s="695"/>
      <c r="ES37" s="695"/>
      <c r="ET37" s="695"/>
      <c r="EU37" s="695"/>
      <c r="EV37" s="695"/>
      <c r="EW37" s="695"/>
      <c r="EX37" s="695"/>
      <c r="EY37" s="695"/>
      <c r="EZ37" s="695"/>
      <c r="FA37" s="695"/>
      <c r="FB37" s="695"/>
      <c r="FC37" s="695"/>
      <c r="FD37" s="695"/>
      <c r="FE37" s="695"/>
      <c r="FF37" s="695"/>
      <c r="FG37" s="695"/>
      <c r="FH37" s="695"/>
      <c r="FI37" s="695"/>
      <c r="FJ37" s="695"/>
      <c r="FK37" s="695"/>
      <c r="FL37" s="695"/>
      <c r="FM37" s="695"/>
      <c r="FN37" s="695"/>
      <c r="FO37" s="695"/>
      <c r="FP37" s="695"/>
      <c r="FQ37" s="695"/>
      <c r="FR37" s="695"/>
      <c r="FS37" s="695"/>
      <c r="FT37" s="695"/>
      <c r="FU37" s="695"/>
      <c r="FV37" s="695"/>
      <c r="FW37" s="695"/>
      <c r="FX37" s="695"/>
      <c r="FY37" s="695"/>
      <c r="FZ37" s="695"/>
      <c r="GA37" s="695"/>
      <c r="GB37" s="695"/>
      <c r="GC37" s="695"/>
      <c r="GD37" s="695"/>
      <c r="GE37" s="695"/>
      <c r="GF37" s="695"/>
      <c r="GG37" s="695"/>
      <c r="GH37" s="695"/>
      <c r="GI37" s="695"/>
      <c r="GJ37" s="695"/>
      <c r="GK37" s="695"/>
      <c r="GL37" s="695"/>
      <c r="GM37" s="695"/>
      <c r="GN37" s="695"/>
      <c r="GO37" s="695"/>
      <c r="GP37" s="695"/>
      <c r="GQ37" s="695"/>
      <c r="GR37" s="695"/>
      <c r="GS37" s="695"/>
      <c r="GT37" s="695"/>
      <c r="GU37" s="695"/>
      <c r="GV37" s="695"/>
      <c r="GW37" s="695"/>
      <c r="GX37" s="695"/>
      <c r="GY37" s="695"/>
      <c r="GZ37" s="695"/>
      <c r="HA37" s="695"/>
      <c r="HB37" s="695"/>
      <c r="HC37" s="695"/>
      <c r="HD37" s="695"/>
      <c r="HE37" s="695"/>
      <c r="HF37" s="695"/>
      <c r="HG37" s="695"/>
      <c r="HH37" s="695"/>
      <c r="HI37" s="695"/>
      <c r="HJ37" s="695"/>
      <c r="HK37" s="695"/>
      <c r="HL37" s="695"/>
      <c r="HM37" s="695"/>
      <c r="HN37" s="695"/>
      <c r="HO37" s="695"/>
      <c r="HP37" s="695"/>
      <c r="HQ37" s="695"/>
      <c r="HR37" s="695"/>
      <c r="HS37" s="695"/>
      <c r="HT37" s="695"/>
      <c r="HU37" s="695"/>
      <c r="HV37" s="695"/>
      <c r="HW37" s="695"/>
      <c r="HX37" s="695"/>
      <c r="HY37" s="695"/>
      <c r="HZ37" s="695"/>
      <c r="IA37" s="695"/>
      <c r="IB37" s="695"/>
      <c r="IC37" s="695"/>
      <c r="ID37" s="695"/>
      <c r="IE37" s="695"/>
      <c r="IF37" s="695"/>
      <c r="IG37" s="695"/>
      <c r="IH37" s="695"/>
      <c r="II37" s="695"/>
      <c r="IJ37" s="695"/>
      <c r="IK37" s="695"/>
      <c r="IL37" s="695"/>
      <c r="IM37" s="695"/>
      <c r="IN37" s="695"/>
      <c r="IO37" s="695"/>
      <c r="IP37" s="695"/>
    </row>
    <row r="38" spans="1:250" s="628" customFormat="1" ht="18" hidden="1" outlineLevel="1" thickBot="1">
      <c r="A38" s="664" t="s">
        <v>57</v>
      </c>
      <c r="B38" s="1660"/>
      <c r="C38" s="1637" t="s">
        <v>161</v>
      </c>
      <c r="D38" s="1660" t="s">
        <v>141</v>
      </c>
      <c r="E38" s="1637" t="s">
        <v>188</v>
      </c>
      <c r="F38" s="1718"/>
      <c r="G38" s="1713">
        <v>5000</v>
      </c>
      <c r="H38" s="1680"/>
      <c r="I38" s="1674"/>
      <c r="J38" s="695"/>
      <c r="K38" s="695"/>
      <c r="L38" s="695"/>
      <c r="M38" s="695"/>
      <c r="N38" s="695"/>
      <c r="O38" s="695"/>
      <c r="P38" s="695"/>
      <c r="Q38" s="695"/>
      <c r="R38" s="695"/>
      <c r="S38" s="695"/>
      <c r="T38" s="695"/>
      <c r="U38" s="695"/>
      <c r="V38" s="695"/>
      <c r="W38" s="695"/>
      <c r="X38" s="695"/>
      <c r="Y38" s="695"/>
      <c r="Z38" s="695"/>
      <c r="AA38" s="695"/>
      <c r="AB38" s="695"/>
      <c r="AC38" s="695"/>
      <c r="AD38" s="695"/>
      <c r="AE38" s="695"/>
      <c r="AF38" s="695"/>
      <c r="AG38" s="695"/>
      <c r="AH38" s="695"/>
      <c r="AI38" s="695"/>
      <c r="AJ38" s="695"/>
      <c r="AK38" s="695"/>
      <c r="AL38" s="695"/>
      <c r="AM38" s="695"/>
      <c r="AN38" s="695"/>
      <c r="AO38" s="695"/>
      <c r="AP38" s="695"/>
      <c r="AQ38" s="695"/>
      <c r="AR38" s="695"/>
      <c r="AS38" s="695"/>
      <c r="AT38" s="695"/>
      <c r="AU38" s="695"/>
      <c r="AV38" s="695"/>
      <c r="AW38" s="695"/>
      <c r="AX38" s="695"/>
      <c r="AY38" s="695"/>
      <c r="AZ38" s="695"/>
      <c r="BA38" s="695"/>
      <c r="BB38" s="695"/>
      <c r="BC38" s="695"/>
      <c r="BD38" s="695"/>
      <c r="BE38" s="695"/>
      <c r="BF38" s="695"/>
      <c r="BG38" s="695"/>
      <c r="BH38" s="695"/>
      <c r="BI38" s="695"/>
      <c r="BJ38" s="695"/>
      <c r="BK38" s="695"/>
      <c r="BL38" s="695"/>
      <c r="BM38" s="695"/>
      <c r="BN38" s="695"/>
      <c r="BO38" s="695"/>
      <c r="BP38" s="695"/>
      <c r="BQ38" s="695"/>
      <c r="BR38" s="695"/>
      <c r="BS38" s="695"/>
      <c r="BT38" s="695"/>
      <c r="BU38" s="695"/>
      <c r="BV38" s="695"/>
      <c r="BW38" s="695"/>
      <c r="BX38" s="695"/>
      <c r="BY38" s="695"/>
      <c r="BZ38" s="695"/>
      <c r="CA38" s="695"/>
      <c r="CB38" s="695"/>
      <c r="CC38" s="695"/>
      <c r="CD38" s="695"/>
      <c r="CE38" s="695"/>
      <c r="CF38" s="695"/>
      <c r="CG38" s="695"/>
      <c r="CH38" s="695"/>
      <c r="CI38" s="695"/>
      <c r="CJ38" s="695"/>
      <c r="CK38" s="695"/>
      <c r="CL38" s="695"/>
      <c r="CM38" s="695"/>
      <c r="CN38" s="695"/>
      <c r="CO38" s="695"/>
      <c r="CP38" s="695"/>
      <c r="CQ38" s="695"/>
      <c r="CR38" s="695"/>
      <c r="CS38" s="695"/>
      <c r="CT38" s="695"/>
      <c r="CU38" s="695"/>
      <c r="CV38" s="695"/>
      <c r="CW38" s="695"/>
      <c r="CX38" s="695"/>
      <c r="CY38" s="695"/>
      <c r="CZ38" s="695"/>
      <c r="DA38" s="695"/>
      <c r="DB38" s="695"/>
      <c r="DC38" s="695"/>
      <c r="DD38" s="695"/>
      <c r="DE38" s="695"/>
      <c r="DF38" s="695"/>
      <c r="DG38" s="695"/>
      <c r="DH38" s="695"/>
      <c r="DI38" s="695"/>
      <c r="DJ38" s="695"/>
      <c r="DK38" s="695"/>
      <c r="DL38" s="695"/>
      <c r="DM38" s="695"/>
      <c r="DN38" s="695"/>
      <c r="DO38" s="695"/>
      <c r="DP38" s="695"/>
      <c r="DQ38" s="695"/>
      <c r="DR38" s="695"/>
      <c r="DS38" s="695"/>
      <c r="DT38" s="695"/>
      <c r="DU38" s="695"/>
      <c r="DV38" s="695"/>
      <c r="DW38" s="695"/>
      <c r="DX38" s="695"/>
      <c r="DY38" s="695"/>
      <c r="DZ38" s="695"/>
      <c r="EA38" s="695"/>
      <c r="EB38" s="695"/>
      <c r="EC38" s="695"/>
      <c r="ED38" s="695"/>
      <c r="EE38" s="695"/>
      <c r="EF38" s="695"/>
      <c r="EG38" s="695"/>
      <c r="EH38" s="695"/>
      <c r="EI38" s="695"/>
      <c r="EJ38" s="695"/>
      <c r="EK38" s="695"/>
      <c r="EL38" s="695"/>
      <c r="EM38" s="695"/>
      <c r="EN38" s="695"/>
      <c r="EO38" s="695"/>
      <c r="EP38" s="695"/>
      <c r="EQ38" s="695"/>
      <c r="ER38" s="695"/>
      <c r="ES38" s="695"/>
      <c r="ET38" s="695"/>
      <c r="EU38" s="695"/>
      <c r="EV38" s="695"/>
      <c r="EW38" s="695"/>
      <c r="EX38" s="695"/>
      <c r="EY38" s="695"/>
      <c r="EZ38" s="695"/>
      <c r="FA38" s="695"/>
      <c r="FB38" s="695"/>
      <c r="FC38" s="695"/>
      <c r="FD38" s="695"/>
      <c r="FE38" s="695"/>
      <c r="FF38" s="695"/>
      <c r="FG38" s="695"/>
      <c r="FH38" s="695"/>
      <c r="FI38" s="695"/>
      <c r="FJ38" s="695"/>
      <c r="FK38" s="695"/>
      <c r="FL38" s="695"/>
      <c r="FM38" s="695"/>
      <c r="FN38" s="695"/>
      <c r="FO38" s="695"/>
      <c r="FP38" s="695"/>
      <c r="FQ38" s="695"/>
      <c r="FR38" s="695"/>
      <c r="FS38" s="695"/>
      <c r="FT38" s="695"/>
      <c r="FU38" s="695"/>
      <c r="FV38" s="695"/>
      <c r="FW38" s="695"/>
      <c r="FX38" s="695"/>
      <c r="FY38" s="695"/>
      <c r="FZ38" s="695"/>
      <c r="GA38" s="695"/>
      <c r="GB38" s="695"/>
      <c r="GC38" s="695"/>
      <c r="GD38" s="695"/>
      <c r="GE38" s="695"/>
      <c r="GF38" s="695"/>
      <c r="GG38" s="695"/>
      <c r="GH38" s="695"/>
      <c r="GI38" s="695"/>
      <c r="GJ38" s="695"/>
      <c r="GK38" s="695"/>
      <c r="GL38" s="695"/>
      <c r="GM38" s="695"/>
      <c r="GN38" s="695"/>
      <c r="GO38" s="695"/>
      <c r="GP38" s="695"/>
      <c r="GQ38" s="695"/>
      <c r="GR38" s="695"/>
      <c r="GS38" s="695"/>
      <c r="GT38" s="695"/>
      <c r="GU38" s="695"/>
      <c r="GV38" s="695"/>
      <c r="GW38" s="695"/>
      <c r="GX38" s="695"/>
      <c r="GY38" s="695"/>
      <c r="GZ38" s="695"/>
      <c r="HA38" s="695"/>
      <c r="HB38" s="695"/>
      <c r="HC38" s="695"/>
      <c r="HD38" s="695"/>
      <c r="HE38" s="695"/>
      <c r="HF38" s="695"/>
      <c r="HG38" s="695"/>
      <c r="HH38" s="695"/>
      <c r="HI38" s="695"/>
      <c r="HJ38" s="695"/>
      <c r="HK38" s="695"/>
      <c r="HL38" s="695"/>
      <c r="HM38" s="695"/>
      <c r="HN38" s="695"/>
      <c r="HO38" s="695"/>
      <c r="HP38" s="695"/>
      <c r="HQ38" s="695"/>
      <c r="HR38" s="695"/>
      <c r="HS38" s="695"/>
      <c r="HT38" s="695"/>
      <c r="HU38" s="695"/>
      <c r="HV38" s="695"/>
      <c r="HW38" s="695"/>
      <c r="HX38" s="695"/>
      <c r="HY38" s="695"/>
      <c r="HZ38" s="695"/>
      <c r="IA38" s="695"/>
      <c r="IB38" s="695"/>
      <c r="IC38" s="695"/>
      <c r="ID38" s="695"/>
      <c r="IE38" s="695"/>
      <c r="IF38" s="695"/>
      <c r="IG38" s="695"/>
      <c r="IH38" s="695"/>
      <c r="II38" s="695"/>
      <c r="IJ38" s="695"/>
      <c r="IK38" s="695"/>
      <c r="IL38" s="695"/>
      <c r="IM38" s="695"/>
      <c r="IN38" s="695"/>
      <c r="IO38" s="695"/>
      <c r="IP38" s="695"/>
    </row>
    <row r="39" spans="1:250" s="628" customFormat="1" ht="18" hidden="1" outlineLevel="1" thickBot="1">
      <c r="A39" s="664" t="s">
        <v>59</v>
      </c>
      <c r="B39" s="1660"/>
      <c r="C39" s="1637" t="s">
        <v>161</v>
      </c>
      <c r="D39" s="1660" t="s">
        <v>141</v>
      </c>
      <c r="E39" s="1637" t="s">
        <v>189</v>
      </c>
      <c r="F39" s="1718"/>
      <c r="G39" s="1713">
        <v>150000</v>
      </c>
      <c r="H39" s="1680"/>
      <c r="I39" s="696"/>
      <c r="J39" s="695"/>
      <c r="K39" s="695"/>
      <c r="L39" s="695"/>
      <c r="M39" s="695"/>
      <c r="N39" s="695"/>
      <c r="O39" s="695"/>
      <c r="P39" s="695"/>
      <c r="Q39" s="695"/>
      <c r="R39" s="695"/>
      <c r="S39" s="695"/>
      <c r="T39" s="695"/>
      <c r="U39" s="695"/>
      <c r="V39" s="695"/>
      <c r="W39" s="695"/>
      <c r="X39" s="695"/>
      <c r="Y39" s="695"/>
      <c r="Z39" s="695"/>
      <c r="AA39" s="695"/>
      <c r="AB39" s="695"/>
      <c r="AC39" s="695"/>
      <c r="AD39" s="695"/>
      <c r="AE39" s="695"/>
      <c r="AF39" s="695"/>
      <c r="AG39" s="695"/>
      <c r="AH39" s="695"/>
      <c r="AI39" s="695"/>
      <c r="AJ39" s="695"/>
      <c r="AK39" s="695"/>
      <c r="AL39" s="695"/>
      <c r="AM39" s="695"/>
      <c r="AN39" s="695"/>
      <c r="AO39" s="695"/>
      <c r="AP39" s="695"/>
      <c r="AQ39" s="695"/>
      <c r="AR39" s="695"/>
      <c r="AS39" s="695"/>
      <c r="AT39" s="695"/>
      <c r="AU39" s="695"/>
      <c r="AV39" s="695"/>
      <c r="AW39" s="695"/>
      <c r="AX39" s="695"/>
      <c r="AY39" s="695"/>
      <c r="AZ39" s="695"/>
      <c r="BA39" s="695"/>
      <c r="BB39" s="695"/>
      <c r="BC39" s="695"/>
      <c r="BD39" s="695"/>
      <c r="BE39" s="695"/>
      <c r="BF39" s="695"/>
      <c r="BG39" s="695"/>
      <c r="BH39" s="695"/>
      <c r="BI39" s="695"/>
      <c r="BJ39" s="695"/>
      <c r="BK39" s="695"/>
      <c r="BL39" s="695"/>
      <c r="BM39" s="695"/>
      <c r="BN39" s="695"/>
      <c r="BO39" s="695"/>
      <c r="BP39" s="695"/>
      <c r="BQ39" s="695"/>
      <c r="BR39" s="695"/>
      <c r="BS39" s="695"/>
      <c r="BT39" s="695"/>
      <c r="BU39" s="695"/>
      <c r="BV39" s="695"/>
      <c r="BW39" s="695"/>
      <c r="BX39" s="695"/>
      <c r="BY39" s="695"/>
      <c r="BZ39" s="695"/>
      <c r="CA39" s="695"/>
      <c r="CB39" s="695"/>
      <c r="CC39" s="695"/>
      <c r="CD39" s="695"/>
      <c r="CE39" s="695"/>
      <c r="CF39" s="695"/>
      <c r="CG39" s="695"/>
      <c r="CH39" s="695"/>
      <c r="CI39" s="695"/>
      <c r="CJ39" s="695"/>
      <c r="CK39" s="695"/>
      <c r="CL39" s="695"/>
      <c r="CM39" s="695"/>
      <c r="CN39" s="695"/>
      <c r="CO39" s="695"/>
      <c r="CP39" s="695"/>
      <c r="CQ39" s="695"/>
      <c r="CR39" s="695"/>
      <c r="CS39" s="695"/>
      <c r="CT39" s="695"/>
      <c r="CU39" s="695"/>
      <c r="CV39" s="695"/>
      <c r="CW39" s="695"/>
      <c r="CX39" s="695"/>
      <c r="CY39" s="695"/>
      <c r="CZ39" s="695"/>
      <c r="DA39" s="695"/>
      <c r="DB39" s="695"/>
      <c r="DC39" s="695"/>
      <c r="DD39" s="695"/>
      <c r="DE39" s="695"/>
      <c r="DF39" s="695"/>
      <c r="DG39" s="695"/>
      <c r="DH39" s="695"/>
      <c r="DI39" s="695"/>
      <c r="DJ39" s="695"/>
      <c r="DK39" s="695"/>
      <c r="DL39" s="695"/>
      <c r="DM39" s="695"/>
      <c r="DN39" s="695"/>
      <c r="DO39" s="695"/>
      <c r="DP39" s="695"/>
      <c r="DQ39" s="695"/>
      <c r="DR39" s="695"/>
      <c r="DS39" s="695"/>
      <c r="DT39" s="695"/>
      <c r="DU39" s="695"/>
      <c r="DV39" s="695"/>
      <c r="DW39" s="695"/>
      <c r="DX39" s="695"/>
      <c r="DY39" s="695"/>
      <c r="DZ39" s="695"/>
      <c r="EA39" s="695"/>
      <c r="EB39" s="695"/>
      <c r="EC39" s="695"/>
      <c r="ED39" s="695"/>
      <c r="EE39" s="695"/>
      <c r="EF39" s="695"/>
      <c r="EG39" s="695"/>
      <c r="EH39" s="695"/>
      <c r="EI39" s="695"/>
      <c r="EJ39" s="695"/>
      <c r="EK39" s="695"/>
      <c r="EL39" s="695"/>
      <c r="EM39" s="695"/>
      <c r="EN39" s="695"/>
      <c r="EO39" s="695"/>
      <c r="EP39" s="695"/>
      <c r="EQ39" s="695"/>
      <c r="ER39" s="695"/>
      <c r="ES39" s="695"/>
      <c r="ET39" s="695"/>
      <c r="EU39" s="695"/>
      <c r="EV39" s="695"/>
      <c r="EW39" s="695"/>
      <c r="EX39" s="695"/>
      <c r="EY39" s="695"/>
      <c r="EZ39" s="695"/>
      <c r="FA39" s="695"/>
      <c r="FB39" s="695"/>
      <c r="FC39" s="695"/>
      <c r="FD39" s="695"/>
      <c r="FE39" s="695"/>
      <c r="FF39" s="695"/>
      <c r="FG39" s="695"/>
      <c r="FH39" s="695"/>
      <c r="FI39" s="695"/>
      <c r="FJ39" s="695"/>
      <c r="FK39" s="695"/>
      <c r="FL39" s="695"/>
      <c r="FM39" s="695"/>
      <c r="FN39" s="695"/>
      <c r="FO39" s="695"/>
      <c r="FP39" s="695"/>
      <c r="FQ39" s="695"/>
      <c r="FR39" s="695"/>
      <c r="FS39" s="695"/>
      <c r="FT39" s="695"/>
      <c r="FU39" s="695"/>
      <c r="FV39" s="695"/>
      <c r="FW39" s="695"/>
      <c r="FX39" s="695"/>
      <c r="FY39" s="695"/>
      <c r="FZ39" s="695"/>
      <c r="GA39" s="695"/>
      <c r="GB39" s="695"/>
      <c r="GC39" s="695"/>
      <c r="GD39" s="695"/>
      <c r="GE39" s="695"/>
      <c r="GF39" s="695"/>
      <c r="GG39" s="695"/>
      <c r="GH39" s="695"/>
      <c r="GI39" s="695"/>
      <c r="GJ39" s="695"/>
      <c r="GK39" s="695"/>
      <c r="GL39" s="695"/>
      <c r="GM39" s="695"/>
      <c r="GN39" s="695"/>
      <c r="GO39" s="695"/>
      <c r="GP39" s="695"/>
      <c r="GQ39" s="695"/>
      <c r="GR39" s="695"/>
      <c r="GS39" s="695"/>
      <c r="GT39" s="695"/>
      <c r="GU39" s="695"/>
      <c r="GV39" s="695"/>
      <c r="GW39" s="695"/>
      <c r="GX39" s="695"/>
      <c r="GY39" s="695"/>
      <c r="GZ39" s="695"/>
      <c r="HA39" s="695"/>
      <c r="HB39" s="695"/>
      <c r="HC39" s="695"/>
      <c r="HD39" s="695"/>
      <c r="HE39" s="695"/>
      <c r="HF39" s="695"/>
      <c r="HG39" s="695"/>
      <c r="HH39" s="695"/>
      <c r="HI39" s="695"/>
      <c r="HJ39" s="695"/>
      <c r="HK39" s="695"/>
      <c r="HL39" s="695"/>
      <c r="HM39" s="695"/>
      <c r="HN39" s="695"/>
      <c r="HO39" s="695"/>
      <c r="HP39" s="695"/>
      <c r="HQ39" s="695"/>
      <c r="HR39" s="695"/>
      <c r="HS39" s="695"/>
      <c r="HT39" s="695"/>
      <c r="HU39" s="695"/>
      <c r="HV39" s="695"/>
      <c r="HW39" s="695"/>
      <c r="HX39" s="695"/>
      <c r="HY39" s="695"/>
      <c r="HZ39" s="695"/>
      <c r="IA39" s="695"/>
      <c r="IB39" s="695"/>
      <c r="IC39" s="695"/>
      <c r="ID39" s="695"/>
      <c r="IE39" s="695"/>
      <c r="IF39" s="695"/>
      <c r="IG39" s="695"/>
      <c r="IH39" s="695"/>
      <c r="II39" s="695"/>
      <c r="IJ39" s="695"/>
      <c r="IK39" s="695"/>
      <c r="IL39" s="695"/>
      <c r="IM39" s="695"/>
      <c r="IN39" s="695"/>
      <c r="IO39" s="695"/>
      <c r="IP39" s="695"/>
    </row>
    <row r="40" spans="1:250" s="628" customFormat="1" ht="18" hidden="1" outlineLevel="1" thickBot="1">
      <c r="A40" s="664" t="s">
        <v>59</v>
      </c>
      <c r="B40" s="1660"/>
      <c r="C40" s="1637" t="s">
        <v>161</v>
      </c>
      <c r="D40" s="1660" t="s">
        <v>141</v>
      </c>
      <c r="E40" s="1637" t="s">
        <v>190</v>
      </c>
      <c r="F40" s="1718"/>
      <c r="G40" s="1713">
        <v>50000</v>
      </c>
      <c r="H40" s="1680"/>
      <c r="I40" s="696"/>
      <c r="J40" s="695"/>
      <c r="K40" s="695"/>
      <c r="L40" s="695"/>
      <c r="M40" s="695"/>
      <c r="N40" s="695"/>
      <c r="O40" s="695"/>
      <c r="P40" s="695"/>
      <c r="Q40" s="695"/>
      <c r="R40" s="695"/>
      <c r="S40" s="695"/>
      <c r="T40" s="695"/>
      <c r="U40" s="695"/>
      <c r="V40" s="695"/>
      <c r="W40" s="695"/>
      <c r="X40" s="695"/>
      <c r="Y40" s="695"/>
      <c r="Z40" s="695"/>
      <c r="AA40" s="695"/>
      <c r="AB40" s="695"/>
      <c r="AC40" s="695"/>
      <c r="AD40" s="695"/>
      <c r="AE40" s="695"/>
      <c r="AF40" s="695"/>
      <c r="AG40" s="695"/>
      <c r="AH40" s="695"/>
      <c r="AI40" s="695"/>
      <c r="AJ40" s="695"/>
      <c r="AK40" s="695"/>
      <c r="AL40" s="695"/>
      <c r="AM40" s="695"/>
      <c r="AN40" s="695"/>
      <c r="AO40" s="695"/>
      <c r="AP40" s="695"/>
      <c r="AQ40" s="695"/>
      <c r="AR40" s="695"/>
      <c r="AS40" s="695"/>
      <c r="AT40" s="695"/>
      <c r="AU40" s="695"/>
      <c r="AV40" s="695"/>
      <c r="AW40" s="695"/>
      <c r="AX40" s="695"/>
      <c r="AY40" s="695"/>
      <c r="AZ40" s="695"/>
      <c r="BA40" s="695"/>
      <c r="BB40" s="695"/>
      <c r="BC40" s="695"/>
      <c r="BD40" s="695"/>
      <c r="BE40" s="695"/>
      <c r="BF40" s="695"/>
      <c r="BG40" s="695"/>
      <c r="BH40" s="695"/>
      <c r="BI40" s="695"/>
      <c r="BJ40" s="695"/>
      <c r="BK40" s="695"/>
      <c r="BL40" s="695"/>
      <c r="BM40" s="695"/>
      <c r="BN40" s="695"/>
      <c r="BO40" s="695"/>
      <c r="BP40" s="695"/>
      <c r="BQ40" s="695"/>
      <c r="BR40" s="695"/>
      <c r="BS40" s="695"/>
      <c r="BT40" s="695"/>
      <c r="BU40" s="695"/>
      <c r="BV40" s="695"/>
      <c r="BW40" s="695"/>
      <c r="BX40" s="695"/>
      <c r="BY40" s="695"/>
      <c r="BZ40" s="695"/>
      <c r="CA40" s="695"/>
      <c r="CB40" s="695"/>
      <c r="CC40" s="695"/>
      <c r="CD40" s="695"/>
      <c r="CE40" s="695"/>
      <c r="CF40" s="695"/>
      <c r="CG40" s="695"/>
      <c r="CH40" s="695"/>
      <c r="CI40" s="695"/>
      <c r="CJ40" s="695"/>
      <c r="CK40" s="695"/>
      <c r="CL40" s="695"/>
      <c r="CM40" s="695"/>
      <c r="CN40" s="695"/>
      <c r="CO40" s="695"/>
      <c r="CP40" s="695"/>
      <c r="CQ40" s="695"/>
      <c r="CR40" s="695"/>
      <c r="CS40" s="695"/>
      <c r="CT40" s="695"/>
      <c r="CU40" s="695"/>
      <c r="CV40" s="695"/>
      <c r="CW40" s="695"/>
      <c r="CX40" s="695"/>
      <c r="CY40" s="695"/>
      <c r="CZ40" s="695"/>
      <c r="DA40" s="695"/>
      <c r="DB40" s="695"/>
      <c r="DC40" s="695"/>
      <c r="DD40" s="695"/>
      <c r="DE40" s="695"/>
      <c r="DF40" s="695"/>
      <c r="DG40" s="695"/>
      <c r="DH40" s="695"/>
      <c r="DI40" s="695"/>
      <c r="DJ40" s="695"/>
      <c r="DK40" s="695"/>
      <c r="DL40" s="695"/>
      <c r="DM40" s="695"/>
      <c r="DN40" s="695"/>
      <c r="DO40" s="695"/>
      <c r="DP40" s="695"/>
      <c r="DQ40" s="695"/>
      <c r="DR40" s="695"/>
      <c r="DS40" s="695"/>
      <c r="DT40" s="695"/>
      <c r="DU40" s="695"/>
      <c r="DV40" s="695"/>
      <c r="DW40" s="695"/>
      <c r="DX40" s="695"/>
      <c r="DY40" s="695"/>
      <c r="DZ40" s="695"/>
      <c r="EA40" s="695"/>
      <c r="EB40" s="695"/>
      <c r="EC40" s="695"/>
      <c r="ED40" s="695"/>
      <c r="EE40" s="695"/>
      <c r="EF40" s="695"/>
      <c r="EG40" s="695"/>
      <c r="EH40" s="695"/>
      <c r="EI40" s="695"/>
      <c r="EJ40" s="695"/>
      <c r="EK40" s="695"/>
      <c r="EL40" s="695"/>
      <c r="EM40" s="695"/>
      <c r="EN40" s="695"/>
      <c r="EO40" s="695"/>
      <c r="EP40" s="695"/>
      <c r="EQ40" s="695"/>
      <c r="ER40" s="695"/>
      <c r="ES40" s="695"/>
      <c r="ET40" s="695"/>
      <c r="EU40" s="695"/>
      <c r="EV40" s="695"/>
      <c r="EW40" s="695"/>
      <c r="EX40" s="695"/>
      <c r="EY40" s="695"/>
      <c r="EZ40" s="695"/>
      <c r="FA40" s="695"/>
      <c r="FB40" s="695"/>
      <c r="FC40" s="695"/>
      <c r="FD40" s="695"/>
      <c r="FE40" s="695"/>
      <c r="FF40" s="695"/>
      <c r="FG40" s="695"/>
      <c r="FH40" s="695"/>
      <c r="FI40" s="695"/>
      <c r="FJ40" s="695"/>
      <c r="FK40" s="695"/>
      <c r="FL40" s="695"/>
      <c r="FM40" s="695"/>
      <c r="FN40" s="695"/>
      <c r="FO40" s="695"/>
      <c r="FP40" s="695"/>
      <c r="FQ40" s="695"/>
      <c r="FR40" s="695"/>
      <c r="FS40" s="695"/>
      <c r="FT40" s="695"/>
      <c r="FU40" s="695"/>
      <c r="FV40" s="695"/>
      <c r="FW40" s="695"/>
      <c r="FX40" s="695"/>
      <c r="FY40" s="695"/>
      <c r="FZ40" s="695"/>
      <c r="GA40" s="695"/>
      <c r="GB40" s="695"/>
      <c r="GC40" s="695"/>
      <c r="GD40" s="695"/>
      <c r="GE40" s="695"/>
      <c r="GF40" s="695"/>
      <c r="GG40" s="695"/>
      <c r="GH40" s="695"/>
      <c r="GI40" s="695"/>
      <c r="GJ40" s="695"/>
      <c r="GK40" s="695"/>
      <c r="GL40" s="695"/>
      <c r="GM40" s="695"/>
      <c r="GN40" s="695"/>
      <c r="GO40" s="695"/>
      <c r="GP40" s="695"/>
      <c r="GQ40" s="695"/>
      <c r="GR40" s="695"/>
      <c r="GS40" s="695"/>
      <c r="GT40" s="695"/>
      <c r="GU40" s="695"/>
      <c r="GV40" s="695"/>
      <c r="GW40" s="695"/>
      <c r="GX40" s="695"/>
      <c r="GY40" s="695"/>
      <c r="GZ40" s="695"/>
      <c r="HA40" s="695"/>
      <c r="HB40" s="695"/>
      <c r="HC40" s="695"/>
      <c r="HD40" s="695"/>
      <c r="HE40" s="695"/>
      <c r="HF40" s="695"/>
      <c r="HG40" s="695"/>
      <c r="HH40" s="695"/>
      <c r="HI40" s="695"/>
      <c r="HJ40" s="695"/>
      <c r="HK40" s="695"/>
      <c r="HL40" s="695"/>
      <c r="HM40" s="695"/>
      <c r="HN40" s="695"/>
      <c r="HO40" s="695"/>
      <c r="HP40" s="695"/>
      <c r="HQ40" s="695"/>
      <c r="HR40" s="695"/>
      <c r="HS40" s="695"/>
      <c r="HT40" s="695"/>
      <c r="HU40" s="695"/>
      <c r="HV40" s="695"/>
      <c r="HW40" s="695"/>
      <c r="HX40" s="695"/>
      <c r="HY40" s="695"/>
      <c r="HZ40" s="695"/>
      <c r="IA40" s="695"/>
      <c r="IB40" s="695"/>
      <c r="IC40" s="695"/>
      <c r="ID40" s="695"/>
      <c r="IE40" s="695"/>
      <c r="IF40" s="695"/>
      <c r="IG40" s="695"/>
      <c r="IH40" s="695"/>
      <c r="II40" s="695"/>
      <c r="IJ40" s="695"/>
      <c r="IK40" s="695"/>
      <c r="IL40" s="695"/>
      <c r="IM40" s="695"/>
      <c r="IN40" s="695"/>
      <c r="IO40" s="695"/>
      <c r="IP40" s="695"/>
    </row>
    <row r="41" spans="1:250" s="628" customFormat="1" ht="18" hidden="1" outlineLevel="1" thickBot="1">
      <c r="A41" s="664" t="s">
        <v>59</v>
      </c>
      <c r="B41" s="1660" t="s">
        <v>170</v>
      </c>
      <c r="C41" s="1637" t="s">
        <v>161</v>
      </c>
      <c r="D41" s="1660" t="s">
        <v>141</v>
      </c>
      <c r="E41" s="1637" t="s">
        <v>191</v>
      </c>
      <c r="F41" s="1718"/>
      <c r="G41" s="1713">
        <v>2200000</v>
      </c>
      <c r="H41" s="1680"/>
      <c r="I41" s="696"/>
      <c r="J41" s="695"/>
      <c r="K41" s="695"/>
      <c r="L41" s="695"/>
      <c r="M41" s="695"/>
      <c r="N41" s="695"/>
      <c r="O41" s="695"/>
      <c r="P41" s="695"/>
      <c r="Q41" s="695"/>
      <c r="R41" s="695"/>
      <c r="S41" s="695"/>
      <c r="T41" s="695"/>
      <c r="U41" s="695"/>
      <c r="V41" s="695"/>
      <c r="W41" s="695"/>
      <c r="X41" s="695"/>
      <c r="Y41" s="695"/>
      <c r="Z41" s="695"/>
      <c r="AA41" s="695"/>
      <c r="AB41" s="695"/>
      <c r="AC41" s="695"/>
      <c r="AD41" s="695"/>
      <c r="AE41" s="695"/>
      <c r="AF41" s="695"/>
      <c r="AG41" s="695"/>
      <c r="AH41" s="695"/>
      <c r="AI41" s="695"/>
      <c r="AJ41" s="695"/>
      <c r="AK41" s="695"/>
      <c r="AL41" s="695"/>
      <c r="AM41" s="695"/>
      <c r="AN41" s="695"/>
      <c r="AO41" s="695"/>
      <c r="AP41" s="695"/>
      <c r="AQ41" s="695"/>
      <c r="AR41" s="695"/>
      <c r="AS41" s="695"/>
      <c r="AT41" s="695"/>
      <c r="AU41" s="695"/>
      <c r="AV41" s="695"/>
      <c r="AW41" s="695"/>
      <c r="AX41" s="695"/>
      <c r="AY41" s="695"/>
      <c r="AZ41" s="695"/>
      <c r="BA41" s="695"/>
      <c r="BB41" s="695"/>
      <c r="BC41" s="695"/>
      <c r="BD41" s="695"/>
      <c r="BE41" s="695"/>
      <c r="BF41" s="695"/>
      <c r="BG41" s="695"/>
      <c r="BH41" s="695"/>
      <c r="BI41" s="695"/>
      <c r="BJ41" s="695"/>
      <c r="BK41" s="695"/>
      <c r="BL41" s="695"/>
      <c r="BM41" s="695"/>
      <c r="BN41" s="695"/>
      <c r="BO41" s="695"/>
      <c r="BP41" s="695"/>
      <c r="BQ41" s="695"/>
      <c r="BR41" s="695"/>
      <c r="BS41" s="695"/>
      <c r="BT41" s="695"/>
      <c r="BU41" s="695"/>
      <c r="BV41" s="695"/>
      <c r="BW41" s="695"/>
      <c r="BX41" s="695"/>
      <c r="BY41" s="695"/>
      <c r="BZ41" s="695"/>
      <c r="CA41" s="695"/>
      <c r="CB41" s="695"/>
      <c r="CC41" s="695"/>
      <c r="CD41" s="695"/>
      <c r="CE41" s="695"/>
      <c r="CF41" s="695"/>
      <c r="CG41" s="695"/>
      <c r="CH41" s="695"/>
      <c r="CI41" s="695"/>
      <c r="CJ41" s="695"/>
      <c r="CK41" s="695"/>
      <c r="CL41" s="695"/>
      <c r="CM41" s="695"/>
      <c r="CN41" s="695"/>
      <c r="CO41" s="695"/>
      <c r="CP41" s="695"/>
      <c r="CQ41" s="695"/>
      <c r="CR41" s="695"/>
      <c r="CS41" s="695"/>
      <c r="CT41" s="695"/>
      <c r="CU41" s="695"/>
      <c r="CV41" s="695"/>
      <c r="CW41" s="695"/>
      <c r="CX41" s="695"/>
      <c r="CY41" s="695"/>
      <c r="CZ41" s="695"/>
      <c r="DA41" s="695"/>
      <c r="DB41" s="695"/>
      <c r="DC41" s="695"/>
      <c r="DD41" s="695"/>
      <c r="DE41" s="695"/>
      <c r="DF41" s="695"/>
      <c r="DG41" s="695"/>
      <c r="DH41" s="695"/>
      <c r="DI41" s="695"/>
      <c r="DJ41" s="695"/>
      <c r="DK41" s="695"/>
      <c r="DL41" s="695"/>
      <c r="DM41" s="695"/>
      <c r="DN41" s="695"/>
      <c r="DO41" s="695"/>
      <c r="DP41" s="695"/>
      <c r="DQ41" s="695"/>
      <c r="DR41" s="695"/>
      <c r="DS41" s="695"/>
      <c r="DT41" s="695"/>
      <c r="DU41" s="695"/>
      <c r="DV41" s="695"/>
      <c r="DW41" s="695"/>
      <c r="DX41" s="695"/>
      <c r="DY41" s="695"/>
      <c r="DZ41" s="695"/>
      <c r="EA41" s="695"/>
      <c r="EB41" s="695"/>
      <c r="EC41" s="695"/>
      <c r="ED41" s="695"/>
      <c r="EE41" s="695"/>
      <c r="EF41" s="695"/>
      <c r="EG41" s="695"/>
      <c r="EH41" s="695"/>
      <c r="EI41" s="695"/>
      <c r="EJ41" s="695"/>
      <c r="EK41" s="695"/>
      <c r="EL41" s="695"/>
      <c r="EM41" s="695"/>
      <c r="EN41" s="695"/>
      <c r="EO41" s="695"/>
      <c r="EP41" s="695"/>
      <c r="EQ41" s="695"/>
      <c r="ER41" s="695"/>
      <c r="ES41" s="695"/>
      <c r="ET41" s="695"/>
      <c r="EU41" s="695"/>
      <c r="EV41" s="695"/>
      <c r="EW41" s="695"/>
      <c r="EX41" s="695"/>
      <c r="EY41" s="695"/>
      <c r="EZ41" s="695"/>
      <c r="FA41" s="695"/>
      <c r="FB41" s="695"/>
      <c r="FC41" s="695"/>
      <c r="FD41" s="695"/>
      <c r="FE41" s="695"/>
      <c r="FF41" s="695"/>
      <c r="FG41" s="695"/>
      <c r="FH41" s="695"/>
      <c r="FI41" s="695"/>
      <c r="FJ41" s="695"/>
      <c r="FK41" s="695"/>
      <c r="FL41" s="695"/>
      <c r="FM41" s="695"/>
      <c r="FN41" s="695"/>
      <c r="FO41" s="695"/>
      <c r="FP41" s="695"/>
      <c r="FQ41" s="695"/>
      <c r="FR41" s="695"/>
      <c r="FS41" s="695"/>
      <c r="FT41" s="695"/>
      <c r="FU41" s="695"/>
      <c r="FV41" s="695"/>
      <c r="FW41" s="695"/>
      <c r="FX41" s="695"/>
      <c r="FY41" s="695"/>
      <c r="FZ41" s="695"/>
      <c r="GA41" s="695"/>
      <c r="GB41" s="695"/>
      <c r="GC41" s="695"/>
      <c r="GD41" s="695"/>
      <c r="GE41" s="695"/>
      <c r="GF41" s="695"/>
      <c r="GG41" s="695"/>
      <c r="GH41" s="695"/>
      <c r="GI41" s="695"/>
      <c r="GJ41" s="695"/>
      <c r="GK41" s="695"/>
      <c r="GL41" s="695"/>
      <c r="GM41" s="695"/>
      <c r="GN41" s="695"/>
      <c r="GO41" s="695"/>
      <c r="GP41" s="695"/>
      <c r="GQ41" s="695"/>
      <c r="GR41" s="695"/>
      <c r="GS41" s="695"/>
      <c r="GT41" s="695"/>
      <c r="GU41" s="695"/>
      <c r="GV41" s="695"/>
      <c r="GW41" s="695"/>
      <c r="GX41" s="695"/>
      <c r="GY41" s="695"/>
      <c r="GZ41" s="695"/>
      <c r="HA41" s="695"/>
      <c r="HB41" s="695"/>
      <c r="HC41" s="695"/>
      <c r="HD41" s="695"/>
      <c r="HE41" s="695"/>
      <c r="HF41" s="695"/>
      <c r="HG41" s="695"/>
      <c r="HH41" s="695"/>
      <c r="HI41" s="695"/>
      <c r="HJ41" s="695"/>
      <c r="HK41" s="695"/>
      <c r="HL41" s="695"/>
      <c r="HM41" s="695"/>
      <c r="HN41" s="695"/>
      <c r="HO41" s="695"/>
      <c r="HP41" s="695"/>
      <c r="HQ41" s="695"/>
      <c r="HR41" s="695"/>
      <c r="HS41" s="695"/>
      <c r="HT41" s="695"/>
      <c r="HU41" s="695"/>
      <c r="HV41" s="695"/>
      <c r="HW41" s="695"/>
      <c r="HX41" s="695"/>
      <c r="HY41" s="695"/>
      <c r="HZ41" s="695"/>
      <c r="IA41" s="695"/>
      <c r="IB41" s="695"/>
      <c r="IC41" s="695"/>
      <c r="ID41" s="695"/>
      <c r="IE41" s="695"/>
      <c r="IF41" s="695"/>
      <c r="IG41" s="695"/>
      <c r="IH41" s="695"/>
      <c r="II41" s="695"/>
      <c r="IJ41" s="695"/>
      <c r="IK41" s="695"/>
      <c r="IL41" s="695"/>
      <c r="IM41" s="695"/>
      <c r="IN41" s="695"/>
      <c r="IO41" s="695"/>
      <c r="IP41" s="695"/>
    </row>
    <row r="42" spans="1:250" s="628" customFormat="1" ht="18" hidden="1" outlineLevel="1" thickBot="1">
      <c r="A42" s="664" t="s">
        <v>59</v>
      </c>
      <c r="B42" s="1660"/>
      <c r="C42" s="1637" t="s">
        <v>161</v>
      </c>
      <c r="D42" s="1660" t="s">
        <v>141</v>
      </c>
      <c r="E42" s="1637" t="s">
        <v>184</v>
      </c>
      <c r="F42" s="1718"/>
      <c r="G42" s="1713">
        <v>8800</v>
      </c>
      <c r="H42" s="1680"/>
      <c r="I42" s="696"/>
      <c r="J42" s="695"/>
      <c r="K42" s="695"/>
      <c r="L42" s="695"/>
      <c r="M42" s="695"/>
      <c r="N42" s="695"/>
      <c r="O42" s="695"/>
      <c r="P42" s="695"/>
      <c r="Q42" s="695"/>
      <c r="R42" s="695"/>
      <c r="S42" s="695"/>
      <c r="T42" s="695"/>
      <c r="U42" s="695"/>
      <c r="V42" s="695"/>
      <c r="W42" s="695"/>
      <c r="X42" s="695"/>
      <c r="Y42" s="695"/>
      <c r="Z42" s="695"/>
      <c r="AA42" s="695"/>
      <c r="AB42" s="695"/>
      <c r="AC42" s="695"/>
      <c r="AD42" s="695"/>
      <c r="AE42" s="695"/>
      <c r="AF42" s="695"/>
      <c r="AG42" s="695"/>
      <c r="AH42" s="695"/>
      <c r="AI42" s="695"/>
      <c r="AJ42" s="695"/>
      <c r="AK42" s="695"/>
      <c r="AL42" s="695"/>
      <c r="AM42" s="695"/>
      <c r="AN42" s="695"/>
      <c r="AO42" s="695"/>
      <c r="AP42" s="695"/>
      <c r="AQ42" s="695"/>
      <c r="AR42" s="695"/>
      <c r="AS42" s="695"/>
      <c r="AT42" s="695"/>
      <c r="AU42" s="695"/>
      <c r="AV42" s="695"/>
      <c r="AW42" s="695"/>
      <c r="AX42" s="695"/>
      <c r="AY42" s="695"/>
      <c r="AZ42" s="695"/>
      <c r="BA42" s="695"/>
      <c r="BB42" s="695"/>
      <c r="BC42" s="695"/>
      <c r="BD42" s="695"/>
      <c r="BE42" s="695"/>
      <c r="BF42" s="695"/>
      <c r="BG42" s="695"/>
      <c r="BH42" s="695"/>
      <c r="BI42" s="695"/>
      <c r="BJ42" s="695"/>
      <c r="BK42" s="695"/>
      <c r="BL42" s="695"/>
      <c r="BM42" s="695"/>
      <c r="BN42" s="695"/>
      <c r="BO42" s="695"/>
      <c r="BP42" s="695"/>
      <c r="BQ42" s="695"/>
      <c r="BR42" s="695"/>
      <c r="BS42" s="695"/>
      <c r="BT42" s="695"/>
      <c r="BU42" s="695"/>
      <c r="BV42" s="695"/>
      <c r="BW42" s="695"/>
      <c r="BX42" s="695"/>
      <c r="BY42" s="695"/>
      <c r="BZ42" s="695"/>
      <c r="CA42" s="695"/>
      <c r="CB42" s="695"/>
      <c r="CC42" s="695"/>
      <c r="CD42" s="695"/>
      <c r="CE42" s="695"/>
      <c r="CF42" s="695"/>
      <c r="CG42" s="695"/>
      <c r="CH42" s="695"/>
      <c r="CI42" s="695"/>
      <c r="CJ42" s="695"/>
      <c r="CK42" s="695"/>
      <c r="CL42" s="695"/>
      <c r="CM42" s="695"/>
      <c r="CN42" s="695"/>
      <c r="CO42" s="695"/>
      <c r="CP42" s="695"/>
      <c r="CQ42" s="695"/>
      <c r="CR42" s="695"/>
      <c r="CS42" s="695"/>
      <c r="CT42" s="695"/>
      <c r="CU42" s="695"/>
      <c r="CV42" s="695"/>
      <c r="CW42" s="695"/>
      <c r="CX42" s="695"/>
      <c r="CY42" s="695"/>
      <c r="CZ42" s="695"/>
      <c r="DA42" s="695"/>
      <c r="DB42" s="695"/>
      <c r="DC42" s="695"/>
      <c r="DD42" s="695"/>
      <c r="DE42" s="695"/>
      <c r="DF42" s="695"/>
      <c r="DG42" s="695"/>
      <c r="DH42" s="695"/>
      <c r="DI42" s="695"/>
      <c r="DJ42" s="695"/>
      <c r="DK42" s="695"/>
      <c r="DL42" s="695"/>
      <c r="DM42" s="695"/>
      <c r="DN42" s="695"/>
      <c r="DO42" s="695"/>
      <c r="DP42" s="695"/>
      <c r="DQ42" s="695"/>
      <c r="DR42" s="695"/>
      <c r="DS42" s="695"/>
      <c r="DT42" s="695"/>
      <c r="DU42" s="695"/>
      <c r="DV42" s="695"/>
      <c r="DW42" s="695"/>
      <c r="DX42" s="695"/>
      <c r="DY42" s="695"/>
      <c r="DZ42" s="695"/>
      <c r="EA42" s="695"/>
      <c r="EB42" s="695"/>
      <c r="EC42" s="695"/>
      <c r="ED42" s="695"/>
      <c r="EE42" s="695"/>
      <c r="EF42" s="695"/>
      <c r="EG42" s="695"/>
      <c r="EH42" s="695"/>
      <c r="EI42" s="695"/>
      <c r="EJ42" s="695"/>
      <c r="EK42" s="695"/>
      <c r="EL42" s="695"/>
      <c r="EM42" s="695"/>
      <c r="EN42" s="695"/>
      <c r="EO42" s="695"/>
      <c r="EP42" s="695"/>
      <c r="EQ42" s="695"/>
      <c r="ER42" s="695"/>
      <c r="ES42" s="695"/>
      <c r="ET42" s="695"/>
      <c r="EU42" s="695"/>
      <c r="EV42" s="695"/>
      <c r="EW42" s="695"/>
      <c r="EX42" s="695"/>
      <c r="EY42" s="695"/>
      <c r="EZ42" s="695"/>
      <c r="FA42" s="695"/>
      <c r="FB42" s="695"/>
      <c r="FC42" s="695"/>
      <c r="FD42" s="695"/>
      <c r="FE42" s="695"/>
      <c r="FF42" s="695"/>
      <c r="FG42" s="695"/>
      <c r="FH42" s="695"/>
      <c r="FI42" s="695"/>
      <c r="FJ42" s="695"/>
      <c r="FK42" s="695"/>
      <c r="FL42" s="695"/>
      <c r="FM42" s="695"/>
      <c r="FN42" s="695"/>
      <c r="FO42" s="695"/>
      <c r="FP42" s="695"/>
      <c r="FQ42" s="695"/>
      <c r="FR42" s="695"/>
      <c r="FS42" s="695"/>
      <c r="FT42" s="695"/>
      <c r="FU42" s="695"/>
      <c r="FV42" s="695"/>
      <c r="FW42" s="695"/>
      <c r="FX42" s="695"/>
      <c r="FY42" s="695"/>
      <c r="FZ42" s="695"/>
      <c r="GA42" s="695"/>
      <c r="GB42" s="695"/>
      <c r="GC42" s="695"/>
      <c r="GD42" s="695"/>
      <c r="GE42" s="695"/>
      <c r="GF42" s="695"/>
      <c r="GG42" s="695"/>
      <c r="GH42" s="695"/>
      <c r="GI42" s="695"/>
      <c r="GJ42" s="695"/>
      <c r="GK42" s="695"/>
      <c r="GL42" s="695"/>
      <c r="GM42" s="695"/>
      <c r="GN42" s="695"/>
      <c r="GO42" s="695"/>
      <c r="GP42" s="695"/>
      <c r="GQ42" s="695"/>
      <c r="GR42" s="695"/>
      <c r="GS42" s="695"/>
      <c r="GT42" s="695"/>
      <c r="GU42" s="695"/>
      <c r="GV42" s="695"/>
      <c r="GW42" s="695"/>
      <c r="GX42" s="695"/>
      <c r="GY42" s="695"/>
      <c r="GZ42" s="695"/>
      <c r="HA42" s="695"/>
      <c r="HB42" s="695"/>
      <c r="HC42" s="695"/>
      <c r="HD42" s="695"/>
      <c r="HE42" s="695"/>
      <c r="HF42" s="695"/>
      <c r="HG42" s="695"/>
      <c r="HH42" s="695"/>
      <c r="HI42" s="695"/>
      <c r="HJ42" s="695"/>
      <c r="HK42" s="695"/>
      <c r="HL42" s="695"/>
      <c r="HM42" s="695"/>
      <c r="HN42" s="695"/>
      <c r="HO42" s="695"/>
      <c r="HP42" s="695"/>
      <c r="HQ42" s="695"/>
      <c r="HR42" s="695"/>
      <c r="HS42" s="695"/>
      <c r="HT42" s="695"/>
      <c r="HU42" s="695"/>
      <c r="HV42" s="695"/>
      <c r="HW42" s="695"/>
      <c r="HX42" s="695"/>
      <c r="HY42" s="695"/>
      <c r="HZ42" s="695"/>
      <c r="IA42" s="695"/>
      <c r="IB42" s="695"/>
      <c r="IC42" s="695"/>
      <c r="ID42" s="695"/>
      <c r="IE42" s="695"/>
      <c r="IF42" s="695"/>
      <c r="IG42" s="695"/>
      <c r="IH42" s="695"/>
      <c r="II42" s="695"/>
      <c r="IJ42" s="695"/>
      <c r="IK42" s="695"/>
      <c r="IL42" s="695"/>
      <c r="IM42" s="695"/>
      <c r="IN42" s="695"/>
      <c r="IO42" s="695"/>
      <c r="IP42" s="695"/>
    </row>
    <row r="43" spans="1:250" s="628" customFormat="1" ht="18" hidden="1" outlineLevel="1" thickBot="1">
      <c r="A43" s="664" t="s">
        <v>61</v>
      </c>
      <c r="B43" s="1660"/>
      <c r="C43" s="1637" t="s">
        <v>161</v>
      </c>
      <c r="D43" s="1660" t="s">
        <v>141</v>
      </c>
      <c r="E43" s="1637" t="s">
        <v>189</v>
      </c>
      <c r="F43" s="1718"/>
      <c r="G43" s="1713">
        <v>1622000</v>
      </c>
      <c r="H43" s="1680"/>
      <c r="I43" s="696"/>
      <c r="J43" s="695"/>
      <c r="K43" s="695"/>
      <c r="L43" s="695"/>
      <c r="M43" s="695"/>
      <c r="N43" s="695"/>
      <c r="O43" s="695"/>
      <c r="P43" s="695"/>
      <c r="Q43" s="695"/>
      <c r="R43" s="695"/>
      <c r="S43" s="695"/>
      <c r="T43" s="695"/>
      <c r="U43" s="695"/>
      <c r="V43" s="695"/>
      <c r="W43" s="695"/>
      <c r="X43" s="695"/>
      <c r="Y43" s="695"/>
      <c r="Z43" s="695"/>
      <c r="AA43" s="695"/>
      <c r="AB43" s="695"/>
      <c r="AC43" s="695"/>
      <c r="AD43" s="695"/>
      <c r="AE43" s="695"/>
      <c r="AF43" s="695"/>
      <c r="AG43" s="695"/>
      <c r="AH43" s="695"/>
      <c r="AI43" s="695"/>
      <c r="AJ43" s="695"/>
      <c r="AK43" s="695"/>
      <c r="AL43" s="695"/>
      <c r="AM43" s="695"/>
      <c r="AN43" s="695"/>
      <c r="AO43" s="695"/>
      <c r="AP43" s="695"/>
      <c r="AQ43" s="695"/>
      <c r="AR43" s="695"/>
      <c r="AS43" s="695"/>
      <c r="AT43" s="695"/>
      <c r="AU43" s="695"/>
      <c r="AV43" s="695"/>
      <c r="AW43" s="695"/>
      <c r="AX43" s="695"/>
      <c r="AY43" s="695"/>
      <c r="AZ43" s="695"/>
      <c r="BA43" s="695"/>
      <c r="BB43" s="695"/>
      <c r="BC43" s="695"/>
      <c r="BD43" s="695"/>
      <c r="BE43" s="695"/>
      <c r="BF43" s="695"/>
      <c r="BG43" s="695"/>
      <c r="BH43" s="695"/>
      <c r="BI43" s="695"/>
      <c r="BJ43" s="695"/>
      <c r="BK43" s="695"/>
      <c r="BL43" s="695"/>
      <c r="BM43" s="695"/>
      <c r="BN43" s="695"/>
      <c r="BO43" s="695"/>
      <c r="BP43" s="695"/>
      <c r="BQ43" s="695"/>
      <c r="BR43" s="695"/>
      <c r="BS43" s="695"/>
      <c r="BT43" s="695"/>
      <c r="BU43" s="695"/>
      <c r="BV43" s="695"/>
      <c r="BW43" s="695"/>
      <c r="BX43" s="695"/>
      <c r="BY43" s="695"/>
      <c r="BZ43" s="695"/>
      <c r="CA43" s="695"/>
      <c r="CB43" s="695"/>
      <c r="CC43" s="695"/>
      <c r="CD43" s="695"/>
      <c r="CE43" s="695"/>
      <c r="CF43" s="695"/>
      <c r="CG43" s="695"/>
      <c r="CH43" s="695"/>
      <c r="CI43" s="695"/>
      <c r="CJ43" s="695"/>
      <c r="CK43" s="695"/>
      <c r="CL43" s="695"/>
      <c r="CM43" s="695"/>
      <c r="CN43" s="695"/>
      <c r="CO43" s="695"/>
      <c r="CP43" s="695"/>
      <c r="CQ43" s="695"/>
      <c r="CR43" s="695"/>
      <c r="CS43" s="695"/>
      <c r="CT43" s="695"/>
      <c r="CU43" s="695"/>
      <c r="CV43" s="695"/>
      <c r="CW43" s="695"/>
      <c r="CX43" s="695"/>
      <c r="CY43" s="695"/>
      <c r="CZ43" s="695"/>
      <c r="DA43" s="695"/>
      <c r="DB43" s="695"/>
      <c r="DC43" s="695"/>
      <c r="DD43" s="695"/>
      <c r="DE43" s="695"/>
      <c r="DF43" s="695"/>
      <c r="DG43" s="695"/>
      <c r="DH43" s="695"/>
      <c r="DI43" s="695"/>
      <c r="DJ43" s="695"/>
      <c r="DK43" s="695"/>
      <c r="DL43" s="695"/>
      <c r="DM43" s="695"/>
      <c r="DN43" s="695"/>
      <c r="DO43" s="695"/>
      <c r="DP43" s="695"/>
      <c r="DQ43" s="695"/>
      <c r="DR43" s="695"/>
      <c r="DS43" s="695"/>
      <c r="DT43" s="695"/>
      <c r="DU43" s="695"/>
      <c r="DV43" s="695"/>
      <c r="DW43" s="695"/>
      <c r="DX43" s="695"/>
      <c r="DY43" s="695"/>
      <c r="DZ43" s="695"/>
      <c r="EA43" s="695"/>
      <c r="EB43" s="695"/>
      <c r="EC43" s="695"/>
      <c r="ED43" s="695"/>
      <c r="EE43" s="695"/>
      <c r="EF43" s="695"/>
      <c r="EG43" s="695"/>
      <c r="EH43" s="695"/>
      <c r="EI43" s="695"/>
      <c r="EJ43" s="695"/>
      <c r="EK43" s="695"/>
      <c r="EL43" s="695"/>
      <c r="EM43" s="695"/>
      <c r="EN43" s="695"/>
      <c r="EO43" s="695"/>
      <c r="EP43" s="695"/>
      <c r="EQ43" s="695"/>
      <c r="ER43" s="695"/>
      <c r="ES43" s="695"/>
      <c r="ET43" s="695"/>
      <c r="EU43" s="695"/>
      <c r="EV43" s="695"/>
      <c r="EW43" s="695"/>
      <c r="EX43" s="695"/>
      <c r="EY43" s="695"/>
      <c r="EZ43" s="695"/>
      <c r="FA43" s="695"/>
      <c r="FB43" s="695"/>
      <c r="FC43" s="695"/>
      <c r="FD43" s="695"/>
      <c r="FE43" s="695"/>
      <c r="FF43" s="695"/>
      <c r="FG43" s="695"/>
      <c r="FH43" s="695"/>
      <c r="FI43" s="695"/>
      <c r="FJ43" s="695"/>
      <c r="FK43" s="695"/>
      <c r="FL43" s="695"/>
      <c r="FM43" s="695"/>
      <c r="FN43" s="695"/>
      <c r="FO43" s="695"/>
      <c r="FP43" s="695"/>
      <c r="FQ43" s="695"/>
      <c r="FR43" s="695"/>
      <c r="FS43" s="695"/>
      <c r="FT43" s="695"/>
      <c r="FU43" s="695"/>
      <c r="FV43" s="695"/>
      <c r="FW43" s="695"/>
      <c r="FX43" s="695"/>
      <c r="FY43" s="695"/>
      <c r="FZ43" s="695"/>
      <c r="GA43" s="695"/>
      <c r="GB43" s="695"/>
      <c r="GC43" s="695"/>
      <c r="GD43" s="695"/>
      <c r="GE43" s="695"/>
      <c r="GF43" s="695"/>
      <c r="GG43" s="695"/>
      <c r="GH43" s="695"/>
      <c r="GI43" s="695"/>
      <c r="GJ43" s="695"/>
      <c r="GK43" s="695"/>
      <c r="GL43" s="695"/>
      <c r="GM43" s="695"/>
      <c r="GN43" s="695"/>
      <c r="GO43" s="695"/>
      <c r="GP43" s="695"/>
      <c r="GQ43" s="695"/>
      <c r="GR43" s="695"/>
      <c r="GS43" s="695"/>
      <c r="GT43" s="695"/>
      <c r="GU43" s="695"/>
      <c r="GV43" s="695"/>
      <c r="GW43" s="695"/>
      <c r="GX43" s="695"/>
      <c r="GY43" s="695"/>
      <c r="GZ43" s="695"/>
      <c r="HA43" s="695"/>
      <c r="HB43" s="695"/>
      <c r="HC43" s="695"/>
      <c r="HD43" s="695"/>
      <c r="HE43" s="695"/>
      <c r="HF43" s="695"/>
      <c r="HG43" s="695"/>
      <c r="HH43" s="695"/>
      <c r="HI43" s="695"/>
      <c r="HJ43" s="695"/>
      <c r="HK43" s="695"/>
      <c r="HL43" s="695"/>
      <c r="HM43" s="695"/>
      <c r="HN43" s="695"/>
      <c r="HO43" s="695"/>
      <c r="HP43" s="695"/>
      <c r="HQ43" s="695"/>
      <c r="HR43" s="695"/>
      <c r="HS43" s="695"/>
      <c r="HT43" s="695"/>
      <c r="HU43" s="695"/>
      <c r="HV43" s="695"/>
      <c r="HW43" s="695"/>
      <c r="HX43" s="695"/>
      <c r="HY43" s="695"/>
      <c r="HZ43" s="695"/>
      <c r="IA43" s="695"/>
      <c r="IB43" s="695"/>
      <c r="IC43" s="695"/>
      <c r="ID43" s="695"/>
      <c r="IE43" s="695"/>
      <c r="IF43" s="695"/>
      <c r="IG43" s="695"/>
      <c r="IH43" s="695"/>
      <c r="II43" s="695"/>
      <c r="IJ43" s="695"/>
      <c r="IK43" s="695"/>
      <c r="IL43" s="695"/>
      <c r="IM43" s="695"/>
      <c r="IN43" s="695"/>
      <c r="IO43" s="695"/>
      <c r="IP43" s="695"/>
    </row>
    <row r="44" spans="1:250" s="628" customFormat="1" ht="18" hidden="1" outlineLevel="1" thickBot="1">
      <c r="A44" s="664" t="s">
        <v>61</v>
      </c>
      <c r="B44" s="1660"/>
      <c r="C44" s="1637" t="s">
        <v>161</v>
      </c>
      <c r="D44" s="1660" t="s">
        <v>141</v>
      </c>
      <c r="E44" s="1637" t="s">
        <v>184</v>
      </c>
      <c r="F44" s="1718"/>
      <c r="G44" s="1713">
        <v>8800</v>
      </c>
      <c r="H44" s="1680"/>
      <c r="I44" s="696"/>
      <c r="J44" s="695"/>
      <c r="K44" s="695"/>
      <c r="L44" s="695"/>
      <c r="M44" s="695"/>
      <c r="N44" s="695"/>
      <c r="O44" s="695"/>
      <c r="P44" s="695"/>
      <c r="Q44" s="695"/>
      <c r="R44" s="695"/>
      <c r="S44" s="695"/>
      <c r="T44" s="695"/>
      <c r="U44" s="695"/>
      <c r="V44" s="695"/>
      <c r="W44" s="695"/>
      <c r="X44" s="695"/>
      <c r="Y44" s="695"/>
      <c r="Z44" s="695"/>
      <c r="AA44" s="695"/>
      <c r="AB44" s="695"/>
      <c r="AC44" s="695"/>
      <c r="AD44" s="695"/>
      <c r="AE44" s="695"/>
      <c r="AF44" s="695"/>
      <c r="AG44" s="695"/>
      <c r="AH44" s="695"/>
      <c r="AI44" s="695"/>
      <c r="AJ44" s="695"/>
      <c r="AK44" s="695"/>
      <c r="AL44" s="695"/>
      <c r="AM44" s="695"/>
      <c r="AN44" s="695"/>
      <c r="AO44" s="695"/>
      <c r="AP44" s="695"/>
      <c r="AQ44" s="695"/>
      <c r="AR44" s="695"/>
      <c r="AS44" s="695"/>
      <c r="AT44" s="695"/>
      <c r="AU44" s="695"/>
      <c r="AV44" s="695"/>
      <c r="AW44" s="695"/>
      <c r="AX44" s="695"/>
      <c r="AY44" s="695"/>
      <c r="AZ44" s="695"/>
      <c r="BA44" s="695"/>
      <c r="BB44" s="695"/>
      <c r="BC44" s="695"/>
      <c r="BD44" s="695"/>
      <c r="BE44" s="695"/>
      <c r="BF44" s="695"/>
      <c r="BG44" s="695"/>
      <c r="BH44" s="695"/>
      <c r="BI44" s="695"/>
      <c r="BJ44" s="695"/>
      <c r="BK44" s="695"/>
      <c r="BL44" s="695"/>
      <c r="BM44" s="695"/>
      <c r="BN44" s="695"/>
      <c r="BO44" s="695"/>
      <c r="BP44" s="695"/>
      <c r="BQ44" s="695"/>
      <c r="BR44" s="695"/>
      <c r="BS44" s="695"/>
      <c r="BT44" s="695"/>
      <c r="BU44" s="695"/>
      <c r="BV44" s="695"/>
      <c r="BW44" s="695"/>
      <c r="BX44" s="695"/>
      <c r="BY44" s="695"/>
      <c r="BZ44" s="695"/>
      <c r="CA44" s="695"/>
      <c r="CB44" s="695"/>
      <c r="CC44" s="695"/>
      <c r="CD44" s="695"/>
      <c r="CE44" s="695"/>
      <c r="CF44" s="695"/>
      <c r="CG44" s="695"/>
      <c r="CH44" s="695"/>
      <c r="CI44" s="695"/>
      <c r="CJ44" s="695"/>
      <c r="CK44" s="695"/>
      <c r="CL44" s="695"/>
      <c r="CM44" s="695"/>
      <c r="CN44" s="695"/>
      <c r="CO44" s="695"/>
      <c r="CP44" s="695"/>
      <c r="CQ44" s="695"/>
      <c r="CR44" s="695"/>
      <c r="CS44" s="695"/>
      <c r="CT44" s="695"/>
      <c r="CU44" s="695"/>
      <c r="CV44" s="695"/>
      <c r="CW44" s="695"/>
      <c r="CX44" s="695"/>
      <c r="CY44" s="695"/>
      <c r="CZ44" s="695"/>
      <c r="DA44" s="695"/>
      <c r="DB44" s="695"/>
      <c r="DC44" s="695"/>
      <c r="DD44" s="695"/>
      <c r="DE44" s="695"/>
      <c r="DF44" s="695"/>
      <c r="DG44" s="695"/>
      <c r="DH44" s="695"/>
      <c r="DI44" s="695"/>
      <c r="DJ44" s="695"/>
      <c r="DK44" s="695"/>
      <c r="DL44" s="695"/>
      <c r="DM44" s="695"/>
      <c r="DN44" s="695"/>
      <c r="DO44" s="695"/>
      <c r="DP44" s="695"/>
      <c r="DQ44" s="695"/>
      <c r="DR44" s="695"/>
      <c r="DS44" s="695"/>
      <c r="DT44" s="695"/>
      <c r="DU44" s="695"/>
      <c r="DV44" s="695"/>
      <c r="DW44" s="695"/>
      <c r="DX44" s="695"/>
      <c r="DY44" s="695"/>
      <c r="DZ44" s="695"/>
      <c r="EA44" s="695"/>
      <c r="EB44" s="695"/>
      <c r="EC44" s="695"/>
      <c r="ED44" s="695"/>
      <c r="EE44" s="695"/>
      <c r="EF44" s="695"/>
      <c r="EG44" s="695"/>
      <c r="EH44" s="695"/>
      <c r="EI44" s="695"/>
      <c r="EJ44" s="695"/>
      <c r="EK44" s="695"/>
      <c r="EL44" s="695"/>
      <c r="EM44" s="695"/>
      <c r="EN44" s="695"/>
      <c r="EO44" s="695"/>
      <c r="EP44" s="695"/>
      <c r="EQ44" s="695"/>
      <c r="ER44" s="695"/>
      <c r="ES44" s="695"/>
      <c r="ET44" s="695"/>
      <c r="EU44" s="695"/>
      <c r="EV44" s="695"/>
      <c r="EW44" s="695"/>
      <c r="EX44" s="695"/>
      <c r="EY44" s="695"/>
      <c r="EZ44" s="695"/>
      <c r="FA44" s="695"/>
      <c r="FB44" s="695"/>
      <c r="FC44" s="695"/>
      <c r="FD44" s="695"/>
      <c r="FE44" s="695"/>
      <c r="FF44" s="695"/>
      <c r="FG44" s="695"/>
      <c r="FH44" s="695"/>
      <c r="FI44" s="695"/>
      <c r="FJ44" s="695"/>
      <c r="FK44" s="695"/>
      <c r="FL44" s="695"/>
      <c r="FM44" s="695"/>
      <c r="FN44" s="695"/>
      <c r="FO44" s="695"/>
      <c r="FP44" s="695"/>
      <c r="FQ44" s="695"/>
      <c r="FR44" s="695"/>
      <c r="FS44" s="695"/>
      <c r="FT44" s="695"/>
      <c r="FU44" s="695"/>
      <c r="FV44" s="695"/>
      <c r="FW44" s="695"/>
      <c r="FX44" s="695"/>
      <c r="FY44" s="695"/>
      <c r="FZ44" s="695"/>
      <c r="GA44" s="695"/>
      <c r="GB44" s="695"/>
      <c r="GC44" s="695"/>
      <c r="GD44" s="695"/>
      <c r="GE44" s="695"/>
      <c r="GF44" s="695"/>
      <c r="GG44" s="695"/>
      <c r="GH44" s="695"/>
      <c r="GI44" s="695"/>
      <c r="GJ44" s="695"/>
      <c r="GK44" s="695"/>
      <c r="GL44" s="695"/>
      <c r="GM44" s="695"/>
      <c r="GN44" s="695"/>
      <c r="GO44" s="695"/>
      <c r="GP44" s="695"/>
      <c r="GQ44" s="695"/>
      <c r="GR44" s="695"/>
      <c r="GS44" s="695"/>
      <c r="GT44" s="695"/>
      <c r="GU44" s="695"/>
      <c r="GV44" s="695"/>
      <c r="GW44" s="695"/>
      <c r="GX44" s="695"/>
      <c r="GY44" s="695"/>
      <c r="GZ44" s="695"/>
      <c r="HA44" s="695"/>
      <c r="HB44" s="695"/>
      <c r="HC44" s="695"/>
      <c r="HD44" s="695"/>
      <c r="HE44" s="695"/>
      <c r="HF44" s="695"/>
      <c r="HG44" s="695"/>
      <c r="HH44" s="695"/>
      <c r="HI44" s="695"/>
      <c r="HJ44" s="695"/>
      <c r="HK44" s="695"/>
      <c r="HL44" s="695"/>
      <c r="HM44" s="695"/>
      <c r="HN44" s="695"/>
      <c r="HO44" s="695"/>
      <c r="HP44" s="695"/>
      <c r="HQ44" s="695"/>
      <c r="HR44" s="695"/>
      <c r="HS44" s="695"/>
      <c r="HT44" s="695"/>
      <c r="HU44" s="695"/>
      <c r="HV44" s="695"/>
      <c r="HW44" s="695"/>
      <c r="HX44" s="695"/>
      <c r="HY44" s="695"/>
      <c r="HZ44" s="695"/>
      <c r="IA44" s="695"/>
      <c r="IB44" s="695"/>
      <c r="IC44" s="695"/>
      <c r="ID44" s="695"/>
      <c r="IE44" s="695"/>
      <c r="IF44" s="695"/>
      <c r="IG44" s="695"/>
      <c r="IH44" s="695"/>
      <c r="II44" s="695"/>
      <c r="IJ44" s="695"/>
      <c r="IK44" s="695"/>
      <c r="IL44" s="695"/>
      <c r="IM44" s="695"/>
      <c r="IN44" s="695"/>
      <c r="IO44" s="695"/>
      <c r="IP44" s="695"/>
    </row>
    <row r="45" spans="1:250" s="626" customFormat="1" ht="18" hidden="1" outlineLevel="1" thickBot="1">
      <c r="A45" s="664" t="s">
        <v>64</v>
      </c>
      <c r="B45" s="1662" t="s">
        <v>192</v>
      </c>
      <c r="C45" s="1638" t="s">
        <v>161</v>
      </c>
      <c r="D45" s="1662" t="s">
        <v>141</v>
      </c>
      <c r="E45" s="1638" t="s">
        <v>193</v>
      </c>
      <c r="F45" s="1720"/>
      <c r="G45" s="1714">
        <v>894300</v>
      </c>
      <c r="H45" s="1655"/>
      <c r="I45" s="1675"/>
      <c r="J45" s="697"/>
      <c r="K45" s="697"/>
      <c r="L45" s="697"/>
      <c r="M45" s="697"/>
      <c r="N45" s="697"/>
      <c r="O45" s="697"/>
      <c r="P45" s="697"/>
      <c r="Q45" s="697"/>
      <c r="R45" s="697"/>
      <c r="S45" s="697"/>
      <c r="T45" s="697"/>
      <c r="U45" s="697"/>
      <c r="V45" s="697"/>
      <c r="W45" s="697"/>
      <c r="X45" s="697"/>
      <c r="Y45" s="697"/>
      <c r="Z45" s="697"/>
      <c r="AA45" s="697"/>
      <c r="AB45" s="697"/>
      <c r="AC45" s="697"/>
      <c r="AD45" s="697"/>
      <c r="AE45" s="697"/>
      <c r="AF45" s="697"/>
      <c r="AG45" s="697"/>
      <c r="AH45" s="697"/>
      <c r="AI45" s="697"/>
      <c r="AJ45" s="697"/>
      <c r="AK45" s="697"/>
      <c r="AL45" s="697"/>
      <c r="AM45" s="697"/>
      <c r="AN45" s="697"/>
      <c r="AO45" s="697"/>
      <c r="AP45" s="697"/>
      <c r="AQ45" s="697"/>
      <c r="AR45" s="697"/>
      <c r="AS45" s="697"/>
      <c r="AT45" s="697"/>
      <c r="AU45" s="697"/>
      <c r="AV45" s="697"/>
      <c r="AW45" s="697"/>
      <c r="AX45" s="697"/>
      <c r="AY45" s="697"/>
      <c r="AZ45" s="697"/>
      <c r="BA45" s="697"/>
      <c r="BB45" s="697"/>
      <c r="BC45" s="697"/>
      <c r="BD45" s="697"/>
      <c r="BE45" s="697"/>
      <c r="BF45" s="697"/>
      <c r="BG45" s="697"/>
      <c r="BH45" s="697"/>
      <c r="BI45" s="697"/>
      <c r="BJ45" s="697"/>
      <c r="BK45" s="697"/>
      <c r="BL45" s="697"/>
      <c r="BM45" s="697"/>
      <c r="BN45" s="697"/>
      <c r="BO45" s="697"/>
      <c r="BP45" s="697"/>
      <c r="BQ45" s="697"/>
      <c r="BR45" s="697"/>
      <c r="BS45" s="697"/>
      <c r="BT45" s="697"/>
      <c r="BU45" s="697"/>
      <c r="BV45" s="697"/>
      <c r="BW45" s="697"/>
      <c r="BX45" s="697"/>
      <c r="BY45" s="697"/>
      <c r="BZ45" s="697"/>
      <c r="CA45" s="697"/>
      <c r="CB45" s="697"/>
      <c r="CC45" s="697"/>
      <c r="CD45" s="697"/>
      <c r="CE45" s="697"/>
      <c r="CF45" s="697"/>
      <c r="CG45" s="697"/>
      <c r="CH45" s="697"/>
      <c r="CI45" s="697"/>
      <c r="CJ45" s="697"/>
      <c r="CK45" s="697"/>
      <c r="CL45" s="697"/>
      <c r="CM45" s="697"/>
      <c r="CN45" s="697"/>
      <c r="CO45" s="697"/>
      <c r="CP45" s="697"/>
      <c r="CQ45" s="697"/>
      <c r="CR45" s="697"/>
      <c r="CS45" s="697"/>
      <c r="CT45" s="697"/>
      <c r="CU45" s="697"/>
      <c r="CV45" s="697"/>
      <c r="CW45" s="697"/>
      <c r="CX45" s="697"/>
      <c r="CY45" s="697"/>
      <c r="CZ45" s="697"/>
      <c r="DA45" s="697"/>
      <c r="DB45" s="697"/>
      <c r="DC45" s="697"/>
      <c r="DD45" s="697"/>
      <c r="DE45" s="697"/>
      <c r="DF45" s="697"/>
      <c r="DG45" s="697"/>
      <c r="DH45" s="697"/>
      <c r="DI45" s="697"/>
      <c r="DJ45" s="697"/>
      <c r="DK45" s="697"/>
      <c r="DL45" s="697"/>
      <c r="DM45" s="697"/>
      <c r="DN45" s="697"/>
      <c r="DO45" s="697"/>
      <c r="DP45" s="697"/>
      <c r="DQ45" s="697"/>
      <c r="DR45" s="697"/>
      <c r="DS45" s="697"/>
      <c r="DT45" s="697"/>
      <c r="DU45" s="697"/>
      <c r="DV45" s="697"/>
      <c r="DW45" s="697"/>
      <c r="DX45" s="697"/>
      <c r="DY45" s="697"/>
      <c r="DZ45" s="697"/>
      <c r="EA45" s="697"/>
      <c r="EB45" s="697"/>
      <c r="EC45" s="697"/>
      <c r="ED45" s="697"/>
      <c r="EE45" s="697"/>
      <c r="EF45" s="697"/>
      <c r="EG45" s="697"/>
      <c r="EH45" s="697"/>
      <c r="EI45" s="697"/>
      <c r="EJ45" s="697"/>
      <c r="EK45" s="697"/>
      <c r="EL45" s="697"/>
      <c r="EM45" s="697"/>
      <c r="EN45" s="697"/>
      <c r="EO45" s="697"/>
      <c r="EP45" s="697"/>
      <c r="EQ45" s="697"/>
      <c r="ER45" s="697"/>
      <c r="ES45" s="697"/>
      <c r="ET45" s="697"/>
      <c r="EU45" s="697"/>
      <c r="EV45" s="697"/>
      <c r="EW45" s="697"/>
      <c r="EX45" s="697"/>
      <c r="EY45" s="697"/>
      <c r="EZ45" s="697"/>
      <c r="FA45" s="697"/>
      <c r="FB45" s="697"/>
      <c r="FC45" s="697"/>
      <c r="FD45" s="697"/>
      <c r="FE45" s="697"/>
      <c r="FF45" s="697"/>
      <c r="FG45" s="697"/>
      <c r="FH45" s="697"/>
      <c r="FI45" s="697"/>
      <c r="FJ45" s="697"/>
      <c r="FK45" s="697"/>
      <c r="FL45" s="697"/>
      <c r="FM45" s="697"/>
      <c r="FN45" s="697"/>
      <c r="FO45" s="697"/>
      <c r="FP45" s="697"/>
      <c r="FQ45" s="697"/>
      <c r="FR45" s="697"/>
      <c r="FS45" s="697"/>
      <c r="FT45" s="697"/>
      <c r="FU45" s="697"/>
      <c r="FV45" s="697"/>
      <c r="FW45" s="697"/>
      <c r="FX45" s="697"/>
      <c r="FY45" s="697"/>
      <c r="FZ45" s="697"/>
      <c r="GA45" s="697"/>
      <c r="GB45" s="697"/>
      <c r="GC45" s="697"/>
      <c r="GD45" s="697"/>
      <c r="GE45" s="697"/>
      <c r="GF45" s="697"/>
      <c r="GG45" s="697"/>
      <c r="GH45" s="697"/>
      <c r="GI45" s="697"/>
      <c r="GJ45" s="697"/>
      <c r="GK45" s="697"/>
      <c r="GL45" s="697"/>
      <c r="GM45" s="697"/>
      <c r="GN45" s="697"/>
      <c r="GO45" s="697"/>
      <c r="GP45" s="697"/>
      <c r="GQ45" s="697"/>
      <c r="GR45" s="697"/>
      <c r="GS45" s="697"/>
      <c r="GT45" s="697"/>
      <c r="GU45" s="697"/>
      <c r="GV45" s="697"/>
      <c r="GW45" s="697"/>
      <c r="GX45" s="697"/>
      <c r="GY45" s="697"/>
      <c r="GZ45" s="697"/>
      <c r="HA45" s="697"/>
      <c r="HB45" s="697"/>
      <c r="HC45" s="697"/>
      <c r="HD45" s="697"/>
      <c r="HE45" s="697"/>
      <c r="HF45" s="697"/>
      <c r="HG45" s="697"/>
      <c r="HH45" s="697"/>
      <c r="HI45" s="697"/>
      <c r="HJ45" s="697"/>
      <c r="HK45" s="697"/>
      <c r="HL45" s="697"/>
      <c r="HM45" s="697"/>
      <c r="HN45" s="697"/>
      <c r="HO45" s="697"/>
      <c r="HP45" s="697"/>
      <c r="HQ45" s="697"/>
      <c r="HR45" s="697"/>
      <c r="HS45" s="697"/>
      <c r="HT45" s="697"/>
      <c r="HU45" s="697"/>
      <c r="HV45" s="697"/>
      <c r="HW45" s="697"/>
      <c r="HX45" s="697"/>
      <c r="HY45" s="697"/>
      <c r="HZ45" s="697"/>
      <c r="IA45" s="697"/>
      <c r="IB45" s="697"/>
      <c r="IC45" s="697"/>
      <c r="ID45" s="697"/>
      <c r="IE45" s="697"/>
      <c r="IF45" s="697"/>
      <c r="IG45" s="697"/>
      <c r="IH45" s="697"/>
      <c r="II45" s="697"/>
      <c r="IJ45" s="697"/>
      <c r="IK45" s="697"/>
      <c r="IL45" s="697"/>
      <c r="IM45" s="697"/>
      <c r="IN45" s="697"/>
      <c r="IO45" s="697"/>
      <c r="IP45" s="697"/>
    </row>
    <row r="46" spans="1:250" s="626" customFormat="1" ht="18" hidden="1" outlineLevel="1" thickBot="1">
      <c r="A46" s="664" t="s">
        <v>64</v>
      </c>
      <c r="B46" s="1662"/>
      <c r="C46" s="1638" t="s">
        <v>161</v>
      </c>
      <c r="D46" s="1662" t="s">
        <v>141</v>
      </c>
      <c r="E46" s="1638" t="s">
        <v>184</v>
      </c>
      <c r="F46" s="1720"/>
      <c r="G46" s="1714">
        <v>8800</v>
      </c>
      <c r="H46" s="1655"/>
      <c r="I46" s="698"/>
      <c r="J46" s="697"/>
      <c r="K46" s="697"/>
      <c r="L46" s="697"/>
      <c r="M46" s="697"/>
      <c r="N46" s="697"/>
      <c r="O46" s="697"/>
      <c r="P46" s="697"/>
      <c r="Q46" s="697"/>
      <c r="R46" s="697"/>
      <c r="S46" s="697"/>
      <c r="T46" s="697"/>
      <c r="U46" s="697"/>
      <c r="V46" s="697"/>
      <c r="W46" s="697"/>
      <c r="X46" s="697"/>
      <c r="Y46" s="697"/>
      <c r="Z46" s="697"/>
      <c r="AA46" s="697"/>
      <c r="AB46" s="697"/>
      <c r="AC46" s="697"/>
      <c r="AD46" s="697"/>
      <c r="AE46" s="697"/>
      <c r="AF46" s="697"/>
      <c r="AG46" s="697"/>
      <c r="AH46" s="697"/>
      <c r="AI46" s="697"/>
      <c r="AJ46" s="697"/>
      <c r="AK46" s="697"/>
      <c r="AL46" s="697"/>
      <c r="AM46" s="697"/>
      <c r="AN46" s="697"/>
      <c r="AO46" s="697"/>
      <c r="AP46" s="697"/>
      <c r="AQ46" s="697"/>
      <c r="AR46" s="697"/>
      <c r="AS46" s="697"/>
      <c r="AT46" s="697"/>
      <c r="AU46" s="697"/>
      <c r="AV46" s="697"/>
      <c r="AW46" s="697"/>
      <c r="AX46" s="697"/>
      <c r="AY46" s="697"/>
      <c r="AZ46" s="697"/>
      <c r="BA46" s="697"/>
      <c r="BB46" s="697"/>
      <c r="BC46" s="697"/>
      <c r="BD46" s="697"/>
      <c r="BE46" s="697"/>
      <c r="BF46" s="697"/>
      <c r="BG46" s="697"/>
      <c r="BH46" s="697"/>
      <c r="BI46" s="697"/>
      <c r="BJ46" s="697"/>
      <c r="BK46" s="697"/>
      <c r="BL46" s="697"/>
      <c r="BM46" s="697"/>
      <c r="BN46" s="697"/>
      <c r="BO46" s="697"/>
      <c r="BP46" s="697"/>
      <c r="BQ46" s="697"/>
      <c r="BR46" s="697"/>
      <c r="BS46" s="697"/>
      <c r="BT46" s="697"/>
      <c r="BU46" s="697"/>
      <c r="BV46" s="697"/>
      <c r="BW46" s="697"/>
      <c r="BX46" s="697"/>
      <c r="BY46" s="697"/>
      <c r="BZ46" s="697"/>
      <c r="CA46" s="697"/>
      <c r="CB46" s="697"/>
      <c r="CC46" s="697"/>
      <c r="CD46" s="697"/>
      <c r="CE46" s="697"/>
      <c r="CF46" s="697"/>
      <c r="CG46" s="697"/>
      <c r="CH46" s="697"/>
      <c r="CI46" s="697"/>
      <c r="CJ46" s="697"/>
      <c r="CK46" s="697"/>
      <c r="CL46" s="697"/>
      <c r="CM46" s="697"/>
      <c r="CN46" s="697"/>
      <c r="CO46" s="697"/>
      <c r="CP46" s="697"/>
      <c r="CQ46" s="697"/>
      <c r="CR46" s="697"/>
      <c r="CS46" s="697"/>
      <c r="CT46" s="697"/>
      <c r="CU46" s="697"/>
      <c r="CV46" s="697"/>
      <c r="CW46" s="697"/>
      <c r="CX46" s="697"/>
      <c r="CY46" s="697"/>
      <c r="CZ46" s="697"/>
      <c r="DA46" s="697"/>
      <c r="DB46" s="697"/>
      <c r="DC46" s="697"/>
      <c r="DD46" s="697"/>
      <c r="DE46" s="697"/>
      <c r="DF46" s="697"/>
      <c r="DG46" s="697"/>
      <c r="DH46" s="697"/>
      <c r="DI46" s="697"/>
      <c r="DJ46" s="697"/>
      <c r="DK46" s="697"/>
      <c r="DL46" s="697"/>
      <c r="DM46" s="697"/>
      <c r="DN46" s="697"/>
      <c r="DO46" s="697"/>
      <c r="DP46" s="697"/>
      <c r="DQ46" s="697"/>
      <c r="DR46" s="697"/>
      <c r="DS46" s="697"/>
      <c r="DT46" s="697"/>
      <c r="DU46" s="697"/>
      <c r="DV46" s="697"/>
      <c r="DW46" s="697"/>
      <c r="DX46" s="697"/>
      <c r="DY46" s="697"/>
      <c r="DZ46" s="697"/>
      <c r="EA46" s="697"/>
      <c r="EB46" s="697"/>
      <c r="EC46" s="697"/>
      <c r="ED46" s="697"/>
      <c r="EE46" s="697"/>
      <c r="EF46" s="697"/>
      <c r="EG46" s="697"/>
      <c r="EH46" s="697"/>
      <c r="EI46" s="697"/>
      <c r="EJ46" s="697"/>
      <c r="EK46" s="697"/>
      <c r="EL46" s="697"/>
      <c r="EM46" s="697"/>
      <c r="EN46" s="697"/>
      <c r="EO46" s="697"/>
      <c r="EP46" s="697"/>
      <c r="EQ46" s="697"/>
      <c r="ER46" s="697"/>
      <c r="ES46" s="697"/>
      <c r="ET46" s="697"/>
      <c r="EU46" s="697"/>
      <c r="EV46" s="697"/>
      <c r="EW46" s="697"/>
      <c r="EX46" s="697"/>
      <c r="EY46" s="697"/>
      <c r="EZ46" s="697"/>
      <c r="FA46" s="697"/>
      <c r="FB46" s="697"/>
      <c r="FC46" s="697"/>
      <c r="FD46" s="697"/>
      <c r="FE46" s="697"/>
      <c r="FF46" s="697"/>
      <c r="FG46" s="697"/>
      <c r="FH46" s="697"/>
      <c r="FI46" s="697"/>
      <c r="FJ46" s="697"/>
      <c r="FK46" s="697"/>
      <c r="FL46" s="697"/>
      <c r="FM46" s="697"/>
      <c r="FN46" s="697"/>
      <c r="FO46" s="697"/>
      <c r="FP46" s="697"/>
      <c r="FQ46" s="697"/>
      <c r="FR46" s="697"/>
      <c r="FS46" s="697"/>
      <c r="FT46" s="697"/>
      <c r="FU46" s="697"/>
      <c r="FV46" s="697"/>
      <c r="FW46" s="697"/>
      <c r="FX46" s="697"/>
      <c r="FY46" s="697"/>
      <c r="FZ46" s="697"/>
      <c r="GA46" s="697"/>
      <c r="GB46" s="697"/>
      <c r="GC46" s="697"/>
      <c r="GD46" s="697"/>
      <c r="GE46" s="697"/>
      <c r="GF46" s="697"/>
      <c r="GG46" s="697"/>
      <c r="GH46" s="697"/>
      <c r="GI46" s="697"/>
      <c r="GJ46" s="697"/>
      <c r="GK46" s="697"/>
      <c r="GL46" s="697"/>
      <c r="GM46" s="697"/>
      <c r="GN46" s="697"/>
      <c r="GO46" s="697"/>
      <c r="GP46" s="697"/>
      <c r="GQ46" s="697"/>
      <c r="GR46" s="697"/>
      <c r="GS46" s="697"/>
      <c r="GT46" s="697"/>
      <c r="GU46" s="697"/>
      <c r="GV46" s="697"/>
      <c r="GW46" s="697"/>
      <c r="GX46" s="697"/>
      <c r="GY46" s="697"/>
      <c r="GZ46" s="697"/>
      <c r="HA46" s="697"/>
      <c r="HB46" s="697"/>
      <c r="HC46" s="697"/>
      <c r="HD46" s="697"/>
      <c r="HE46" s="697"/>
      <c r="HF46" s="697"/>
      <c r="HG46" s="697"/>
      <c r="HH46" s="697"/>
      <c r="HI46" s="697"/>
      <c r="HJ46" s="697"/>
      <c r="HK46" s="697"/>
      <c r="HL46" s="697"/>
      <c r="HM46" s="697"/>
      <c r="HN46" s="697"/>
      <c r="HO46" s="697"/>
      <c r="HP46" s="697"/>
      <c r="HQ46" s="697"/>
      <c r="HR46" s="697"/>
      <c r="HS46" s="697"/>
      <c r="HT46" s="697"/>
      <c r="HU46" s="697"/>
      <c r="HV46" s="697"/>
      <c r="HW46" s="697"/>
      <c r="HX46" s="697"/>
      <c r="HY46" s="697"/>
      <c r="HZ46" s="697"/>
      <c r="IA46" s="697"/>
      <c r="IB46" s="697"/>
      <c r="IC46" s="697"/>
      <c r="ID46" s="697"/>
      <c r="IE46" s="697"/>
      <c r="IF46" s="697"/>
      <c r="IG46" s="697"/>
      <c r="IH46" s="697"/>
      <c r="II46" s="697"/>
      <c r="IJ46" s="697"/>
      <c r="IK46" s="697"/>
      <c r="IL46" s="697"/>
      <c r="IM46" s="697"/>
      <c r="IN46" s="697"/>
      <c r="IO46" s="697"/>
      <c r="IP46" s="697"/>
    </row>
    <row r="47" spans="1:250" s="626" customFormat="1" ht="18" hidden="1" outlineLevel="1" thickBot="1">
      <c r="A47" s="664" t="s">
        <v>64</v>
      </c>
      <c r="B47" s="1662"/>
      <c r="C47" s="1638" t="s">
        <v>161</v>
      </c>
      <c r="D47" s="1662" t="s">
        <v>141</v>
      </c>
      <c r="E47" s="1638" t="s">
        <v>194</v>
      </c>
      <c r="F47" s="1720"/>
      <c r="G47" s="1714">
        <v>53000</v>
      </c>
      <c r="H47" s="1655" t="s">
        <v>195</v>
      </c>
      <c r="I47" s="698"/>
      <c r="J47" s="697"/>
      <c r="K47" s="697"/>
      <c r="L47" s="697"/>
      <c r="M47" s="697"/>
      <c r="N47" s="697"/>
      <c r="O47" s="697"/>
      <c r="P47" s="697"/>
      <c r="Q47" s="697"/>
      <c r="R47" s="697"/>
      <c r="S47" s="697"/>
      <c r="T47" s="697"/>
      <c r="U47" s="697"/>
      <c r="V47" s="697"/>
      <c r="W47" s="697"/>
      <c r="X47" s="697"/>
      <c r="Y47" s="697"/>
      <c r="Z47" s="697"/>
      <c r="AA47" s="697"/>
      <c r="AB47" s="697"/>
      <c r="AC47" s="697"/>
      <c r="AD47" s="697"/>
      <c r="AE47" s="697"/>
      <c r="AF47" s="697"/>
      <c r="AG47" s="697"/>
      <c r="AH47" s="697"/>
      <c r="AI47" s="697"/>
      <c r="AJ47" s="697"/>
      <c r="AK47" s="697"/>
      <c r="AL47" s="697"/>
      <c r="AM47" s="697"/>
      <c r="AN47" s="697"/>
      <c r="AO47" s="697"/>
      <c r="AP47" s="697"/>
      <c r="AQ47" s="697"/>
      <c r="AR47" s="697"/>
      <c r="AS47" s="697"/>
      <c r="AT47" s="697"/>
      <c r="AU47" s="697"/>
      <c r="AV47" s="697"/>
      <c r="AW47" s="697"/>
      <c r="AX47" s="697"/>
      <c r="AY47" s="697"/>
      <c r="AZ47" s="697"/>
      <c r="BA47" s="697"/>
      <c r="BB47" s="697"/>
      <c r="BC47" s="697"/>
      <c r="BD47" s="697"/>
      <c r="BE47" s="697"/>
      <c r="BF47" s="697"/>
      <c r="BG47" s="697"/>
      <c r="BH47" s="697"/>
      <c r="BI47" s="697"/>
      <c r="BJ47" s="697"/>
      <c r="BK47" s="697"/>
      <c r="BL47" s="697"/>
      <c r="BM47" s="697"/>
      <c r="BN47" s="697"/>
      <c r="BO47" s="697"/>
      <c r="BP47" s="697"/>
      <c r="BQ47" s="697"/>
      <c r="BR47" s="697"/>
      <c r="BS47" s="697"/>
      <c r="BT47" s="697"/>
      <c r="BU47" s="697"/>
      <c r="BV47" s="697"/>
      <c r="BW47" s="697"/>
      <c r="BX47" s="697"/>
      <c r="BY47" s="697"/>
      <c r="BZ47" s="697"/>
      <c r="CA47" s="697"/>
      <c r="CB47" s="697"/>
      <c r="CC47" s="697"/>
      <c r="CD47" s="697"/>
      <c r="CE47" s="697"/>
      <c r="CF47" s="697"/>
      <c r="CG47" s="697"/>
      <c r="CH47" s="697"/>
      <c r="CI47" s="697"/>
      <c r="CJ47" s="697"/>
      <c r="CK47" s="697"/>
      <c r="CL47" s="697"/>
      <c r="CM47" s="697"/>
      <c r="CN47" s="697"/>
      <c r="CO47" s="697"/>
      <c r="CP47" s="697"/>
      <c r="CQ47" s="697"/>
      <c r="CR47" s="697"/>
      <c r="CS47" s="697"/>
      <c r="CT47" s="697"/>
      <c r="CU47" s="697"/>
      <c r="CV47" s="697"/>
      <c r="CW47" s="697"/>
      <c r="CX47" s="697"/>
      <c r="CY47" s="697"/>
      <c r="CZ47" s="697"/>
      <c r="DA47" s="697"/>
      <c r="DB47" s="697"/>
      <c r="DC47" s="697"/>
      <c r="DD47" s="697"/>
      <c r="DE47" s="697"/>
      <c r="DF47" s="697"/>
      <c r="DG47" s="697"/>
      <c r="DH47" s="697"/>
      <c r="DI47" s="697"/>
      <c r="DJ47" s="697"/>
      <c r="DK47" s="697"/>
      <c r="DL47" s="697"/>
      <c r="DM47" s="697"/>
      <c r="DN47" s="697"/>
      <c r="DO47" s="697"/>
      <c r="DP47" s="697"/>
      <c r="DQ47" s="697"/>
      <c r="DR47" s="697"/>
      <c r="DS47" s="697"/>
      <c r="DT47" s="697"/>
      <c r="DU47" s="697"/>
      <c r="DV47" s="697"/>
      <c r="DW47" s="697"/>
      <c r="DX47" s="697"/>
      <c r="DY47" s="697"/>
      <c r="DZ47" s="697"/>
      <c r="EA47" s="697"/>
      <c r="EB47" s="697"/>
      <c r="EC47" s="697"/>
      <c r="ED47" s="697"/>
      <c r="EE47" s="697"/>
      <c r="EF47" s="697"/>
      <c r="EG47" s="697"/>
      <c r="EH47" s="697"/>
      <c r="EI47" s="697"/>
      <c r="EJ47" s="697"/>
      <c r="EK47" s="697"/>
      <c r="EL47" s="697"/>
      <c r="EM47" s="697"/>
      <c r="EN47" s="697"/>
      <c r="EO47" s="697"/>
      <c r="EP47" s="697"/>
      <c r="EQ47" s="697"/>
      <c r="ER47" s="697"/>
      <c r="ES47" s="697"/>
      <c r="ET47" s="697"/>
      <c r="EU47" s="697"/>
      <c r="EV47" s="697"/>
      <c r="EW47" s="697"/>
      <c r="EX47" s="697"/>
      <c r="EY47" s="697"/>
      <c r="EZ47" s="697"/>
      <c r="FA47" s="697"/>
      <c r="FB47" s="697"/>
      <c r="FC47" s="697"/>
      <c r="FD47" s="697"/>
      <c r="FE47" s="697"/>
      <c r="FF47" s="697"/>
      <c r="FG47" s="697"/>
      <c r="FH47" s="697"/>
      <c r="FI47" s="697"/>
      <c r="FJ47" s="697"/>
      <c r="FK47" s="697"/>
      <c r="FL47" s="697"/>
      <c r="FM47" s="697"/>
      <c r="FN47" s="697"/>
      <c r="FO47" s="697"/>
      <c r="FP47" s="697"/>
      <c r="FQ47" s="697"/>
      <c r="FR47" s="697"/>
      <c r="FS47" s="697"/>
      <c r="FT47" s="697"/>
      <c r="FU47" s="697"/>
      <c r="FV47" s="697"/>
      <c r="FW47" s="697"/>
      <c r="FX47" s="697"/>
      <c r="FY47" s="697"/>
      <c r="FZ47" s="697"/>
      <c r="GA47" s="697"/>
      <c r="GB47" s="697"/>
      <c r="GC47" s="697"/>
      <c r="GD47" s="697"/>
      <c r="GE47" s="697"/>
      <c r="GF47" s="697"/>
      <c r="GG47" s="697"/>
      <c r="GH47" s="697"/>
      <c r="GI47" s="697"/>
      <c r="GJ47" s="697"/>
      <c r="GK47" s="697"/>
      <c r="GL47" s="697"/>
      <c r="GM47" s="697"/>
      <c r="GN47" s="697"/>
      <c r="GO47" s="697"/>
      <c r="GP47" s="697"/>
      <c r="GQ47" s="697"/>
      <c r="GR47" s="697"/>
      <c r="GS47" s="697"/>
      <c r="GT47" s="697"/>
      <c r="GU47" s="697"/>
      <c r="GV47" s="697"/>
      <c r="GW47" s="697"/>
      <c r="GX47" s="697"/>
      <c r="GY47" s="697"/>
      <c r="GZ47" s="697"/>
      <c r="HA47" s="697"/>
      <c r="HB47" s="697"/>
      <c r="HC47" s="697"/>
      <c r="HD47" s="697"/>
      <c r="HE47" s="697"/>
      <c r="HF47" s="697"/>
      <c r="HG47" s="697"/>
      <c r="HH47" s="697"/>
      <c r="HI47" s="697"/>
      <c r="HJ47" s="697"/>
      <c r="HK47" s="697"/>
      <c r="HL47" s="697"/>
      <c r="HM47" s="697"/>
      <c r="HN47" s="697"/>
      <c r="HO47" s="697"/>
      <c r="HP47" s="697"/>
      <c r="HQ47" s="697"/>
      <c r="HR47" s="697"/>
      <c r="HS47" s="697"/>
      <c r="HT47" s="697"/>
      <c r="HU47" s="697"/>
      <c r="HV47" s="697"/>
      <c r="HW47" s="697"/>
      <c r="HX47" s="697"/>
      <c r="HY47" s="697"/>
      <c r="HZ47" s="697"/>
      <c r="IA47" s="697"/>
      <c r="IB47" s="697"/>
      <c r="IC47" s="697"/>
      <c r="ID47" s="697"/>
      <c r="IE47" s="697"/>
      <c r="IF47" s="697"/>
      <c r="IG47" s="697"/>
      <c r="IH47" s="697"/>
      <c r="II47" s="697"/>
      <c r="IJ47" s="697"/>
      <c r="IK47" s="697"/>
      <c r="IL47" s="697"/>
      <c r="IM47" s="697"/>
      <c r="IN47" s="697"/>
      <c r="IO47" s="697"/>
      <c r="IP47" s="697"/>
    </row>
    <row r="48" spans="1:250" s="628" customFormat="1" ht="18" hidden="1" outlineLevel="1" thickBot="1">
      <c r="A48" s="664" t="s">
        <v>65</v>
      </c>
      <c r="B48" s="1663"/>
      <c r="C48" s="1637" t="s">
        <v>161</v>
      </c>
      <c r="D48" s="1660" t="s">
        <v>141</v>
      </c>
      <c r="E48" s="1637" t="s">
        <v>196</v>
      </c>
      <c r="F48" s="1718">
        <v>10000000</v>
      </c>
      <c r="G48" s="1713"/>
      <c r="H48" s="1680"/>
      <c r="I48" s="696"/>
      <c r="M48" s="695"/>
      <c r="N48" s="695"/>
      <c r="O48" s="695"/>
      <c r="P48" s="695"/>
      <c r="Q48" s="695"/>
      <c r="R48" s="695"/>
      <c r="S48" s="695"/>
      <c r="T48" s="695"/>
      <c r="U48" s="695"/>
      <c r="V48" s="695"/>
      <c r="W48" s="695"/>
      <c r="X48" s="695"/>
      <c r="Y48" s="695"/>
      <c r="Z48" s="695"/>
      <c r="AA48" s="695"/>
      <c r="AB48" s="695"/>
      <c r="AC48" s="695"/>
      <c r="AD48" s="695"/>
      <c r="AE48" s="695"/>
      <c r="AF48" s="695"/>
      <c r="AG48" s="695"/>
      <c r="AH48" s="695"/>
      <c r="AI48" s="695"/>
      <c r="AJ48" s="695"/>
      <c r="AK48" s="695"/>
      <c r="AL48" s="695"/>
      <c r="AM48" s="695"/>
      <c r="AN48" s="695"/>
      <c r="AO48" s="695"/>
      <c r="AP48" s="695"/>
      <c r="AQ48" s="695"/>
      <c r="AR48" s="695"/>
      <c r="AS48" s="695"/>
      <c r="AT48" s="695"/>
      <c r="AU48" s="695"/>
      <c r="AV48" s="695"/>
      <c r="AW48" s="695"/>
      <c r="AX48" s="695"/>
      <c r="AY48" s="695"/>
      <c r="AZ48" s="695"/>
      <c r="BA48" s="695"/>
      <c r="BB48" s="695"/>
      <c r="BC48" s="695"/>
      <c r="BD48" s="695"/>
      <c r="BE48" s="695"/>
      <c r="BF48" s="695"/>
      <c r="BG48" s="695"/>
      <c r="BH48" s="695"/>
      <c r="BI48" s="695"/>
      <c r="BJ48" s="695"/>
      <c r="BK48" s="695"/>
      <c r="BL48" s="695"/>
      <c r="BM48" s="695"/>
      <c r="BN48" s="695"/>
      <c r="BO48" s="695"/>
      <c r="BP48" s="695"/>
      <c r="BQ48" s="695"/>
      <c r="BR48" s="695"/>
      <c r="BS48" s="695"/>
      <c r="BT48" s="695"/>
      <c r="BU48" s="695"/>
      <c r="BV48" s="695"/>
      <c r="BW48" s="695"/>
      <c r="BX48" s="695"/>
      <c r="BY48" s="695"/>
      <c r="BZ48" s="695"/>
      <c r="CA48" s="695"/>
      <c r="CB48" s="695"/>
      <c r="CC48" s="695"/>
      <c r="CD48" s="695"/>
      <c r="CE48" s="695"/>
      <c r="CF48" s="695"/>
      <c r="CG48" s="695"/>
      <c r="CH48" s="695"/>
      <c r="CI48" s="695"/>
      <c r="CJ48" s="695"/>
      <c r="CK48" s="695"/>
      <c r="CL48" s="695"/>
      <c r="CM48" s="695"/>
      <c r="CN48" s="695"/>
      <c r="CO48" s="695"/>
      <c r="CP48" s="695"/>
      <c r="CQ48" s="695"/>
      <c r="CR48" s="695"/>
      <c r="CS48" s="695"/>
      <c r="CT48" s="695"/>
      <c r="CU48" s="695"/>
      <c r="CV48" s="695"/>
      <c r="CW48" s="695"/>
      <c r="CX48" s="695"/>
      <c r="CY48" s="695"/>
      <c r="CZ48" s="695"/>
      <c r="DA48" s="695"/>
      <c r="DB48" s="695"/>
      <c r="DC48" s="695"/>
      <c r="DD48" s="695"/>
      <c r="DE48" s="695"/>
      <c r="DF48" s="695"/>
      <c r="DG48" s="695"/>
      <c r="DH48" s="695"/>
      <c r="DI48" s="695"/>
      <c r="DJ48" s="695"/>
      <c r="DK48" s="695"/>
      <c r="DL48" s="695"/>
      <c r="DM48" s="695"/>
      <c r="DN48" s="695"/>
      <c r="DO48" s="695"/>
      <c r="DP48" s="695"/>
      <c r="DQ48" s="695"/>
      <c r="DR48" s="695"/>
      <c r="DS48" s="695"/>
      <c r="DT48" s="695"/>
      <c r="DU48" s="695"/>
      <c r="DV48" s="695"/>
      <c r="DW48" s="695"/>
      <c r="DX48" s="695"/>
      <c r="DY48" s="695"/>
      <c r="DZ48" s="695"/>
      <c r="EA48" s="695"/>
      <c r="EB48" s="695"/>
      <c r="EC48" s="695"/>
      <c r="ED48" s="695"/>
      <c r="EE48" s="695"/>
      <c r="EF48" s="695"/>
      <c r="EG48" s="695"/>
      <c r="EH48" s="695"/>
      <c r="EI48" s="695"/>
      <c r="EJ48" s="695"/>
      <c r="EK48" s="695"/>
      <c r="EL48" s="695"/>
      <c r="EM48" s="695"/>
      <c r="EN48" s="695"/>
      <c r="EO48" s="695"/>
      <c r="EP48" s="695"/>
      <c r="EQ48" s="695"/>
      <c r="ER48" s="695"/>
      <c r="ES48" s="695"/>
      <c r="ET48" s="695"/>
      <c r="EU48" s="695"/>
      <c r="EV48" s="695"/>
      <c r="EW48" s="695"/>
      <c r="EX48" s="695"/>
      <c r="EY48" s="695"/>
      <c r="EZ48" s="695"/>
      <c r="FA48" s="695"/>
      <c r="FB48" s="695"/>
      <c r="FC48" s="695"/>
      <c r="FD48" s="695"/>
      <c r="FE48" s="695"/>
      <c r="FF48" s="695"/>
      <c r="FG48" s="695"/>
      <c r="FH48" s="695"/>
      <c r="FI48" s="695"/>
      <c r="FJ48" s="695"/>
      <c r="FK48" s="695"/>
      <c r="FL48" s="695"/>
      <c r="FM48" s="695"/>
      <c r="FN48" s="695"/>
      <c r="FO48" s="695"/>
      <c r="FP48" s="695"/>
      <c r="FQ48" s="695"/>
      <c r="FR48" s="695"/>
      <c r="FS48" s="695"/>
      <c r="FT48" s="695"/>
      <c r="FU48" s="695"/>
      <c r="FV48" s="695"/>
      <c r="FW48" s="695"/>
      <c r="FX48" s="695"/>
      <c r="FY48" s="695"/>
      <c r="FZ48" s="695"/>
      <c r="GA48" s="695"/>
      <c r="GB48" s="695"/>
      <c r="GC48" s="695"/>
      <c r="GD48" s="695"/>
      <c r="GE48" s="695"/>
      <c r="GF48" s="695"/>
      <c r="GG48" s="695"/>
      <c r="GH48" s="695"/>
      <c r="GI48" s="695"/>
      <c r="GJ48" s="695"/>
      <c r="GK48" s="695"/>
      <c r="GL48" s="695"/>
      <c r="GM48" s="695"/>
      <c r="GN48" s="695"/>
      <c r="GO48" s="695"/>
      <c r="GP48" s="695"/>
      <c r="GQ48" s="695"/>
      <c r="GR48" s="695"/>
      <c r="GS48" s="695"/>
      <c r="GT48" s="695"/>
      <c r="GU48" s="695"/>
      <c r="GV48" s="695"/>
      <c r="GW48" s="695"/>
      <c r="GX48" s="695"/>
      <c r="GY48" s="695"/>
      <c r="GZ48" s="695"/>
      <c r="HA48" s="695"/>
      <c r="HB48" s="695"/>
      <c r="HC48" s="695"/>
      <c r="HD48" s="695"/>
      <c r="HE48" s="695"/>
      <c r="HF48" s="695"/>
      <c r="HG48" s="695"/>
      <c r="HH48" s="695"/>
      <c r="HI48" s="695"/>
      <c r="HJ48" s="695"/>
      <c r="HK48" s="695"/>
      <c r="HL48" s="695"/>
      <c r="HM48" s="695"/>
      <c r="HN48" s="695"/>
      <c r="HO48" s="695"/>
      <c r="HP48" s="695"/>
      <c r="HQ48" s="695"/>
      <c r="HR48" s="695"/>
      <c r="HS48" s="695"/>
      <c r="HT48" s="695"/>
      <c r="HU48" s="695"/>
      <c r="HV48" s="695"/>
      <c r="HW48" s="695"/>
      <c r="HX48" s="695"/>
      <c r="HY48" s="695"/>
      <c r="HZ48" s="695"/>
      <c r="IA48" s="695"/>
      <c r="IB48" s="695"/>
      <c r="IC48" s="695"/>
      <c r="ID48" s="695"/>
      <c r="IE48" s="695"/>
      <c r="IF48" s="695"/>
      <c r="IG48" s="695"/>
      <c r="IH48" s="695"/>
      <c r="II48" s="695"/>
      <c r="IJ48" s="695"/>
      <c r="IK48" s="695"/>
      <c r="IL48" s="695"/>
      <c r="IM48" s="695"/>
      <c r="IN48" s="695"/>
      <c r="IO48" s="695"/>
      <c r="IP48" s="695"/>
    </row>
    <row r="49" spans="1:250" s="628" customFormat="1" ht="18" hidden="1" outlineLevel="1" thickBot="1">
      <c r="A49" s="664" t="s">
        <v>65</v>
      </c>
      <c r="B49" s="1663"/>
      <c r="C49" s="1637" t="s">
        <v>161</v>
      </c>
      <c r="D49" s="1660" t="s">
        <v>141</v>
      </c>
      <c r="E49" s="1637" t="s">
        <v>197</v>
      </c>
      <c r="F49" s="1718"/>
      <c r="G49" s="1713">
        <v>10000000</v>
      </c>
      <c r="H49" s="1680"/>
      <c r="I49" s="696"/>
      <c r="M49" s="695"/>
      <c r="N49" s="695"/>
      <c r="O49" s="695"/>
      <c r="P49" s="695"/>
      <c r="Q49" s="695"/>
      <c r="R49" s="695"/>
      <c r="S49" s="695"/>
      <c r="T49" s="695"/>
      <c r="U49" s="695"/>
      <c r="V49" s="695"/>
      <c r="W49" s="695"/>
      <c r="X49" s="695"/>
      <c r="Y49" s="695"/>
      <c r="Z49" s="695"/>
      <c r="AA49" s="695"/>
      <c r="AB49" s="695"/>
      <c r="AC49" s="695"/>
      <c r="AD49" s="695"/>
      <c r="AE49" s="695"/>
      <c r="AF49" s="695"/>
      <c r="AG49" s="695"/>
      <c r="AH49" s="695"/>
      <c r="AI49" s="695"/>
      <c r="AJ49" s="695"/>
      <c r="AK49" s="695"/>
      <c r="AL49" s="695"/>
      <c r="AM49" s="695"/>
      <c r="AN49" s="695"/>
      <c r="AO49" s="695"/>
      <c r="AP49" s="695"/>
      <c r="AQ49" s="695"/>
      <c r="AR49" s="695"/>
      <c r="AS49" s="695"/>
      <c r="AT49" s="695"/>
      <c r="AU49" s="695"/>
      <c r="AV49" s="695"/>
      <c r="AW49" s="695"/>
      <c r="AX49" s="695"/>
      <c r="AY49" s="695"/>
      <c r="AZ49" s="695"/>
      <c r="BA49" s="695"/>
      <c r="BB49" s="695"/>
      <c r="BC49" s="695"/>
      <c r="BD49" s="695"/>
      <c r="BE49" s="695"/>
      <c r="BF49" s="695"/>
      <c r="BG49" s="695"/>
      <c r="BH49" s="695"/>
      <c r="BI49" s="695"/>
      <c r="BJ49" s="695"/>
      <c r="BK49" s="695"/>
      <c r="BL49" s="695"/>
      <c r="BM49" s="695"/>
      <c r="BN49" s="695"/>
      <c r="BO49" s="695"/>
      <c r="BP49" s="695"/>
      <c r="BQ49" s="695"/>
      <c r="BR49" s="695"/>
      <c r="BS49" s="695"/>
      <c r="BT49" s="695"/>
      <c r="BU49" s="695"/>
      <c r="BV49" s="695"/>
      <c r="BW49" s="695"/>
      <c r="BX49" s="695"/>
      <c r="BY49" s="695"/>
      <c r="BZ49" s="695"/>
      <c r="CA49" s="695"/>
      <c r="CB49" s="695"/>
      <c r="CC49" s="695"/>
      <c r="CD49" s="695"/>
      <c r="CE49" s="695"/>
      <c r="CF49" s="695"/>
      <c r="CG49" s="695"/>
      <c r="CH49" s="695"/>
      <c r="CI49" s="695"/>
      <c r="CJ49" s="695"/>
      <c r="CK49" s="695"/>
      <c r="CL49" s="695"/>
      <c r="CM49" s="695"/>
      <c r="CN49" s="695"/>
      <c r="CO49" s="695"/>
      <c r="CP49" s="695"/>
      <c r="CQ49" s="695"/>
      <c r="CR49" s="695"/>
      <c r="CS49" s="695"/>
      <c r="CT49" s="695"/>
      <c r="CU49" s="695"/>
      <c r="CV49" s="695"/>
      <c r="CW49" s="695"/>
      <c r="CX49" s="695"/>
      <c r="CY49" s="695"/>
      <c r="CZ49" s="695"/>
      <c r="DA49" s="695"/>
      <c r="DB49" s="695"/>
      <c r="DC49" s="695"/>
      <c r="DD49" s="695"/>
      <c r="DE49" s="695"/>
      <c r="DF49" s="695"/>
      <c r="DG49" s="695"/>
      <c r="DH49" s="695"/>
      <c r="DI49" s="695"/>
      <c r="DJ49" s="695"/>
      <c r="DK49" s="695"/>
      <c r="DL49" s="695"/>
      <c r="DM49" s="695"/>
      <c r="DN49" s="695"/>
      <c r="DO49" s="695"/>
      <c r="DP49" s="695"/>
      <c r="DQ49" s="695"/>
      <c r="DR49" s="695"/>
      <c r="DS49" s="695"/>
      <c r="DT49" s="695"/>
      <c r="DU49" s="695"/>
      <c r="DV49" s="695"/>
      <c r="DW49" s="695"/>
      <c r="DX49" s="695"/>
      <c r="DY49" s="695"/>
      <c r="DZ49" s="695"/>
      <c r="EA49" s="695"/>
      <c r="EB49" s="695"/>
      <c r="EC49" s="695"/>
      <c r="ED49" s="695"/>
      <c r="EE49" s="695"/>
      <c r="EF49" s="695"/>
      <c r="EG49" s="695"/>
      <c r="EH49" s="695"/>
      <c r="EI49" s="695"/>
      <c r="EJ49" s="695"/>
      <c r="EK49" s="695"/>
      <c r="EL49" s="695"/>
      <c r="EM49" s="695"/>
      <c r="EN49" s="695"/>
      <c r="EO49" s="695"/>
      <c r="EP49" s="695"/>
      <c r="EQ49" s="695"/>
      <c r="ER49" s="695"/>
      <c r="ES49" s="695"/>
      <c r="ET49" s="695"/>
      <c r="EU49" s="695"/>
      <c r="EV49" s="695"/>
      <c r="EW49" s="695"/>
      <c r="EX49" s="695"/>
      <c r="EY49" s="695"/>
      <c r="EZ49" s="695"/>
      <c r="FA49" s="695"/>
      <c r="FB49" s="695"/>
      <c r="FC49" s="695"/>
      <c r="FD49" s="695"/>
      <c r="FE49" s="695"/>
      <c r="FF49" s="695"/>
      <c r="FG49" s="695"/>
      <c r="FH49" s="695"/>
      <c r="FI49" s="695"/>
      <c r="FJ49" s="695"/>
      <c r="FK49" s="695"/>
      <c r="FL49" s="695"/>
      <c r="FM49" s="695"/>
      <c r="FN49" s="695"/>
      <c r="FO49" s="695"/>
      <c r="FP49" s="695"/>
      <c r="FQ49" s="695"/>
      <c r="FR49" s="695"/>
      <c r="FS49" s="695"/>
      <c r="FT49" s="695"/>
      <c r="FU49" s="695"/>
      <c r="FV49" s="695"/>
      <c r="FW49" s="695"/>
      <c r="FX49" s="695"/>
      <c r="FY49" s="695"/>
      <c r="FZ49" s="695"/>
      <c r="GA49" s="695"/>
      <c r="GB49" s="695"/>
      <c r="GC49" s="695"/>
      <c r="GD49" s="695"/>
      <c r="GE49" s="695"/>
      <c r="GF49" s="695"/>
      <c r="GG49" s="695"/>
      <c r="GH49" s="695"/>
      <c r="GI49" s="695"/>
      <c r="GJ49" s="695"/>
      <c r="GK49" s="695"/>
      <c r="GL49" s="695"/>
      <c r="GM49" s="695"/>
      <c r="GN49" s="695"/>
      <c r="GO49" s="695"/>
      <c r="GP49" s="695"/>
      <c r="GQ49" s="695"/>
      <c r="GR49" s="695"/>
      <c r="GS49" s="695"/>
      <c r="GT49" s="695"/>
      <c r="GU49" s="695"/>
      <c r="GV49" s="695"/>
      <c r="GW49" s="695"/>
      <c r="GX49" s="695"/>
      <c r="GY49" s="695"/>
      <c r="GZ49" s="695"/>
      <c r="HA49" s="695"/>
      <c r="HB49" s="695"/>
      <c r="HC49" s="695"/>
      <c r="HD49" s="695"/>
      <c r="HE49" s="695"/>
      <c r="HF49" s="695"/>
      <c r="HG49" s="695"/>
      <c r="HH49" s="695"/>
      <c r="HI49" s="695"/>
      <c r="HJ49" s="695"/>
      <c r="HK49" s="695"/>
      <c r="HL49" s="695"/>
      <c r="HM49" s="695"/>
      <c r="HN49" s="695"/>
      <c r="HO49" s="695"/>
      <c r="HP49" s="695"/>
      <c r="HQ49" s="695"/>
      <c r="HR49" s="695"/>
      <c r="HS49" s="695"/>
      <c r="HT49" s="695"/>
      <c r="HU49" s="695"/>
      <c r="HV49" s="695"/>
      <c r="HW49" s="695"/>
      <c r="HX49" s="695"/>
      <c r="HY49" s="695"/>
      <c r="HZ49" s="695"/>
      <c r="IA49" s="695"/>
      <c r="IB49" s="695"/>
      <c r="IC49" s="695"/>
      <c r="ID49" s="695"/>
      <c r="IE49" s="695"/>
      <c r="IF49" s="695"/>
      <c r="IG49" s="695"/>
      <c r="IH49" s="695"/>
      <c r="II49" s="695"/>
      <c r="IJ49" s="695"/>
      <c r="IK49" s="695"/>
      <c r="IL49" s="695"/>
      <c r="IM49" s="695"/>
      <c r="IN49" s="695"/>
      <c r="IO49" s="695"/>
      <c r="IP49" s="695"/>
    </row>
    <row r="50" spans="1:250" s="628" customFormat="1" ht="18" hidden="1" outlineLevel="1" thickBot="1">
      <c r="A50" s="664" t="s">
        <v>65</v>
      </c>
      <c r="B50" s="1660"/>
      <c r="C50" s="1637" t="s">
        <v>161</v>
      </c>
      <c r="D50" s="1660" t="s">
        <v>141</v>
      </c>
      <c r="E50" s="1637" t="s">
        <v>198</v>
      </c>
      <c r="F50" s="1718"/>
      <c r="G50" s="1713">
        <v>7700</v>
      </c>
      <c r="H50" s="1680"/>
      <c r="I50" s="696" t="s">
        <v>199</v>
      </c>
      <c r="M50" s="695"/>
      <c r="N50" s="695"/>
      <c r="O50" s="695"/>
      <c r="P50" s="695"/>
      <c r="Q50" s="695"/>
      <c r="R50" s="695"/>
      <c r="S50" s="695"/>
      <c r="T50" s="695"/>
      <c r="U50" s="695"/>
      <c r="V50" s="695"/>
      <c r="W50" s="695"/>
      <c r="X50" s="695"/>
      <c r="Y50" s="695"/>
      <c r="Z50" s="695"/>
      <c r="AA50" s="695"/>
      <c r="AB50" s="695"/>
      <c r="AC50" s="695"/>
      <c r="AD50" s="695"/>
      <c r="AE50" s="695"/>
      <c r="AF50" s="695"/>
      <c r="AG50" s="695"/>
      <c r="AH50" s="695"/>
      <c r="AI50" s="695"/>
      <c r="AJ50" s="695"/>
      <c r="AK50" s="695"/>
      <c r="AL50" s="695"/>
      <c r="AM50" s="695"/>
      <c r="AN50" s="695"/>
      <c r="AO50" s="695"/>
      <c r="AP50" s="695"/>
      <c r="AQ50" s="695"/>
      <c r="AR50" s="695"/>
      <c r="AS50" s="695"/>
      <c r="AT50" s="695"/>
      <c r="AU50" s="695"/>
      <c r="AV50" s="695"/>
      <c r="AW50" s="695"/>
      <c r="AX50" s="695"/>
      <c r="AY50" s="695"/>
      <c r="AZ50" s="695"/>
      <c r="BA50" s="695"/>
      <c r="BB50" s="695"/>
      <c r="BC50" s="695"/>
      <c r="BD50" s="695"/>
      <c r="BE50" s="695"/>
      <c r="BF50" s="695"/>
      <c r="BG50" s="695"/>
      <c r="BH50" s="695"/>
      <c r="BI50" s="695"/>
      <c r="BJ50" s="695"/>
      <c r="BK50" s="695"/>
      <c r="BL50" s="695"/>
      <c r="BM50" s="695"/>
      <c r="BN50" s="695"/>
      <c r="BO50" s="695"/>
      <c r="BP50" s="695"/>
      <c r="BQ50" s="695"/>
      <c r="BR50" s="695"/>
      <c r="BS50" s="695"/>
      <c r="BT50" s="695"/>
      <c r="BU50" s="695"/>
      <c r="BV50" s="695"/>
      <c r="BW50" s="695"/>
      <c r="BX50" s="695"/>
      <c r="BY50" s="695"/>
      <c r="BZ50" s="695"/>
      <c r="CA50" s="695"/>
      <c r="CB50" s="695"/>
      <c r="CC50" s="695"/>
      <c r="CD50" s="695"/>
      <c r="CE50" s="695"/>
      <c r="CF50" s="695"/>
      <c r="CG50" s="695"/>
      <c r="CH50" s="695"/>
      <c r="CI50" s="695"/>
      <c r="CJ50" s="695"/>
      <c r="CK50" s="695"/>
      <c r="CL50" s="695"/>
      <c r="CM50" s="695"/>
      <c r="CN50" s="695"/>
      <c r="CO50" s="695"/>
      <c r="CP50" s="695"/>
      <c r="CQ50" s="695"/>
      <c r="CR50" s="695"/>
      <c r="CS50" s="695"/>
      <c r="CT50" s="695"/>
      <c r="CU50" s="695"/>
      <c r="CV50" s="695"/>
      <c r="CW50" s="695"/>
      <c r="CX50" s="695"/>
      <c r="CY50" s="695"/>
      <c r="CZ50" s="695"/>
      <c r="DA50" s="695"/>
      <c r="DB50" s="695"/>
      <c r="DC50" s="695"/>
      <c r="DD50" s="695"/>
      <c r="DE50" s="695"/>
      <c r="DF50" s="695"/>
      <c r="DG50" s="695"/>
      <c r="DH50" s="695"/>
      <c r="DI50" s="695"/>
      <c r="DJ50" s="695"/>
      <c r="DK50" s="695"/>
      <c r="DL50" s="695"/>
      <c r="DM50" s="695"/>
      <c r="DN50" s="695"/>
      <c r="DO50" s="695"/>
      <c r="DP50" s="695"/>
      <c r="DQ50" s="695"/>
      <c r="DR50" s="695"/>
      <c r="DS50" s="695"/>
      <c r="DT50" s="695"/>
      <c r="DU50" s="695"/>
      <c r="DV50" s="695"/>
      <c r="DW50" s="695"/>
      <c r="DX50" s="695"/>
      <c r="DY50" s="695"/>
      <c r="DZ50" s="695"/>
      <c r="EA50" s="695"/>
      <c r="EB50" s="695"/>
      <c r="EC50" s="695"/>
      <c r="ED50" s="695"/>
      <c r="EE50" s="695"/>
      <c r="EF50" s="695"/>
      <c r="EG50" s="695"/>
      <c r="EH50" s="695"/>
      <c r="EI50" s="695"/>
      <c r="EJ50" s="695"/>
      <c r="EK50" s="695"/>
      <c r="EL50" s="695"/>
      <c r="EM50" s="695"/>
      <c r="EN50" s="695"/>
      <c r="EO50" s="695"/>
      <c r="EP50" s="695"/>
      <c r="EQ50" s="695"/>
      <c r="ER50" s="695"/>
      <c r="ES50" s="695"/>
      <c r="ET50" s="695"/>
      <c r="EU50" s="695"/>
      <c r="EV50" s="695"/>
      <c r="EW50" s="695"/>
      <c r="EX50" s="695"/>
      <c r="EY50" s="695"/>
      <c r="EZ50" s="695"/>
      <c r="FA50" s="695"/>
      <c r="FB50" s="695"/>
      <c r="FC50" s="695"/>
      <c r="FD50" s="695"/>
      <c r="FE50" s="695"/>
      <c r="FF50" s="695"/>
      <c r="FG50" s="695"/>
      <c r="FH50" s="695"/>
      <c r="FI50" s="695"/>
      <c r="FJ50" s="695"/>
      <c r="FK50" s="695"/>
      <c r="FL50" s="695"/>
      <c r="FM50" s="695"/>
      <c r="FN50" s="695"/>
      <c r="FO50" s="695"/>
      <c r="FP50" s="695"/>
      <c r="FQ50" s="695"/>
      <c r="FR50" s="695"/>
      <c r="FS50" s="695"/>
      <c r="FT50" s="695"/>
      <c r="FU50" s="695"/>
      <c r="FV50" s="695"/>
      <c r="FW50" s="695"/>
      <c r="FX50" s="695"/>
      <c r="FY50" s="695"/>
      <c r="FZ50" s="695"/>
      <c r="GA50" s="695"/>
      <c r="GB50" s="695"/>
      <c r="GC50" s="695"/>
      <c r="GD50" s="695"/>
      <c r="GE50" s="695"/>
      <c r="GF50" s="695"/>
      <c r="GG50" s="695"/>
      <c r="GH50" s="695"/>
      <c r="GI50" s="695"/>
      <c r="GJ50" s="695"/>
      <c r="GK50" s="695"/>
      <c r="GL50" s="695"/>
      <c r="GM50" s="695"/>
      <c r="GN50" s="695"/>
      <c r="GO50" s="695"/>
      <c r="GP50" s="695"/>
      <c r="GQ50" s="695"/>
      <c r="GR50" s="695"/>
      <c r="GS50" s="695"/>
      <c r="GT50" s="695"/>
      <c r="GU50" s="695"/>
      <c r="GV50" s="695"/>
      <c r="GW50" s="695"/>
      <c r="GX50" s="695"/>
      <c r="GY50" s="695"/>
      <c r="GZ50" s="695"/>
      <c r="HA50" s="695"/>
      <c r="HB50" s="695"/>
      <c r="HC50" s="695"/>
      <c r="HD50" s="695"/>
      <c r="HE50" s="695"/>
      <c r="HF50" s="695"/>
      <c r="HG50" s="695"/>
      <c r="HH50" s="695"/>
      <c r="HI50" s="695"/>
      <c r="HJ50" s="695"/>
      <c r="HK50" s="695"/>
      <c r="HL50" s="695"/>
      <c r="HM50" s="695"/>
      <c r="HN50" s="695"/>
      <c r="HO50" s="695"/>
      <c r="HP50" s="695"/>
      <c r="HQ50" s="695"/>
      <c r="HR50" s="695"/>
      <c r="HS50" s="695"/>
      <c r="HT50" s="695"/>
      <c r="HU50" s="695"/>
      <c r="HV50" s="695"/>
      <c r="HW50" s="695"/>
      <c r="HX50" s="695"/>
      <c r="HY50" s="695"/>
      <c r="HZ50" s="695"/>
      <c r="IA50" s="695"/>
      <c r="IB50" s="695"/>
      <c r="IC50" s="695"/>
      <c r="ID50" s="695"/>
      <c r="IE50" s="695"/>
      <c r="IF50" s="695"/>
      <c r="IG50" s="695"/>
      <c r="IH50" s="695"/>
      <c r="II50" s="695"/>
      <c r="IJ50" s="695"/>
      <c r="IK50" s="695"/>
      <c r="IL50" s="695"/>
      <c r="IM50" s="695"/>
      <c r="IN50" s="695"/>
      <c r="IO50" s="695"/>
      <c r="IP50" s="695"/>
    </row>
    <row r="51" spans="1:250" s="628" customFormat="1" ht="18" hidden="1" outlineLevel="1" thickBot="1">
      <c r="A51" s="665" t="s">
        <v>68</v>
      </c>
      <c r="B51" s="666"/>
      <c r="C51" s="666" t="s">
        <v>161</v>
      </c>
      <c r="D51" s="1628" t="s">
        <v>141</v>
      </c>
      <c r="E51" s="666" t="s">
        <v>200</v>
      </c>
      <c r="F51" s="1686"/>
      <c r="G51" s="667">
        <v>15000</v>
      </c>
      <c r="H51" s="1698"/>
      <c r="I51" s="1628"/>
      <c r="M51" s="695"/>
      <c r="N51" s="695"/>
      <c r="O51" s="695"/>
      <c r="P51" s="695"/>
      <c r="Q51" s="695"/>
      <c r="R51" s="695"/>
      <c r="S51" s="695"/>
      <c r="T51" s="695"/>
      <c r="U51" s="695"/>
      <c r="V51" s="695"/>
      <c r="W51" s="695"/>
      <c r="X51" s="695"/>
      <c r="Y51" s="695"/>
      <c r="Z51" s="695"/>
      <c r="AA51" s="695"/>
      <c r="AB51" s="695"/>
      <c r="AC51" s="695"/>
      <c r="AD51" s="695"/>
      <c r="AE51" s="695"/>
      <c r="AF51" s="695"/>
      <c r="AG51" s="695"/>
      <c r="AH51" s="695"/>
      <c r="AI51" s="695"/>
      <c r="AJ51" s="695"/>
      <c r="AK51" s="695"/>
      <c r="AL51" s="695"/>
      <c r="AM51" s="695"/>
      <c r="AN51" s="695"/>
      <c r="AO51" s="695"/>
      <c r="AP51" s="695"/>
      <c r="AQ51" s="695"/>
      <c r="AR51" s="695"/>
      <c r="AS51" s="695"/>
      <c r="AT51" s="695"/>
      <c r="AU51" s="695"/>
      <c r="AV51" s="695"/>
      <c r="AW51" s="695"/>
      <c r="AX51" s="695"/>
      <c r="AY51" s="695"/>
      <c r="AZ51" s="695"/>
      <c r="BA51" s="695"/>
      <c r="BB51" s="695"/>
      <c r="BC51" s="695"/>
      <c r="BD51" s="695"/>
      <c r="BE51" s="695"/>
      <c r="BF51" s="695"/>
      <c r="BG51" s="695"/>
      <c r="BH51" s="695"/>
      <c r="BI51" s="695"/>
      <c r="BJ51" s="695"/>
      <c r="BK51" s="695"/>
      <c r="BL51" s="695"/>
      <c r="BM51" s="695"/>
      <c r="BN51" s="695"/>
      <c r="BO51" s="695"/>
      <c r="BP51" s="695"/>
      <c r="BQ51" s="695"/>
      <c r="BR51" s="695"/>
      <c r="BS51" s="695"/>
      <c r="BT51" s="695"/>
      <c r="BU51" s="695"/>
      <c r="BV51" s="695"/>
      <c r="BW51" s="695"/>
      <c r="BX51" s="695"/>
      <c r="BY51" s="695"/>
      <c r="BZ51" s="695"/>
      <c r="CA51" s="695"/>
      <c r="CB51" s="695"/>
      <c r="CC51" s="695"/>
      <c r="CD51" s="695"/>
      <c r="CE51" s="695"/>
      <c r="CF51" s="695"/>
      <c r="CG51" s="695"/>
      <c r="CH51" s="695"/>
      <c r="CI51" s="695"/>
      <c r="CJ51" s="695"/>
      <c r="CK51" s="695"/>
      <c r="CL51" s="695"/>
      <c r="CM51" s="695"/>
      <c r="CN51" s="695"/>
      <c r="CO51" s="695"/>
      <c r="CP51" s="695"/>
      <c r="CQ51" s="695"/>
      <c r="CR51" s="695"/>
      <c r="CS51" s="695"/>
      <c r="CT51" s="695"/>
      <c r="CU51" s="695"/>
      <c r="CV51" s="695"/>
      <c r="CW51" s="695"/>
      <c r="CX51" s="695"/>
      <c r="CY51" s="695"/>
      <c r="CZ51" s="695"/>
      <c r="DA51" s="695"/>
      <c r="DB51" s="695"/>
      <c r="DC51" s="695"/>
      <c r="DD51" s="695"/>
      <c r="DE51" s="695"/>
      <c r="DF51" s="695"/>
      <c r="DG51" s="695"/>
      <c r="DH51" s="695"/>
      <c r="DI51" s="695"/>
      <c r="DJ51" s="695"/>
      <c r="DK51" s="695"/>
      <c r="DL51" s="695"/>
      <c r="DM51" s="695"/>
      <c r="DN51" s="695"/>
      <c r="DO51" s="695"/>
      <c r="DP51" s="695"/>
      <c r="DQ51" s="695"/>
      <c r="DR51" s="695"/>
      <c r="DS51" s="695"/>
      <c r="DT51" s="695"/>
      <c r="DU51" s="695"/>
      <c r="DV51" s="695"/>
      <c r="DW51" s="695"/>
      <c r="DX51" s="695"/>
      <c r="DY51" s="695"/>
      <c r="DZ51" s="695"/>
      <c r="EA51" s="695"/>
      <c r="EB51" s="695"/>
      <c r="EC51" s="695"/>
      <c r="ED51" s="695"/>
      <c r="EE51" s="695"/>
      <c r="EF51" s="695"/>
      <c r="EG51" s="695"/>
      <c r="EH51" s="695"/>
      <c r="EI51" s="695"/>
      <c r="EJ51" s="695"/>
      <c r="EK51" s="695"/>
      <c r="EL51" s="695"/>
      <c r="EM51" s="695"/>
      <c r="EN51" s="695"/>
      <c r="EO51" s="695"/>
      <c r="EP51" s="695"/>
      <c r="EQ51" s="695"/>
      <c r="ER51" s="695"/>
      <c r="ES51" s="695"/>
      <c r="ET51" s="695"/>
      <c r="EU51" s="695"/>
      <c r="EV51" s="695"/>
      <c r="EW51" s="695"/>
      <c r="EX51" s="695"/>
      <c r="EY51" s="695"/>
      <c r="EZ51" s="695"/>
      <c r="FA51" s="695"/>
      <c r="FB51" s="695"/>
      <c r="FC51" s="695"/>
      <c r="FD51" s="695"/>
      <c r="FE51" s="695"/>
      <c r="FF51" s="695"/>
      <c r="FG51" s="695"/>
      <c r="FH51" s="695"/>
      <c r="FI51" s="695"/>
      <c r="FJ51" s="695"/>
      <c r="FK51" s="695"/>
      <c r="FL51" s="695"/>
      <c r="FM51" s="695"/>
      <c r="FN51" s="695"/>
      <c r="FO51" s="695"/>
      <c r="FP51" s="695"/>
      <c r="FQ51" s="695"/>
      <c r="FR51" s="695"/>
      <c r="FS51" s="695"/>
      <c r="FT51" s="695"/>
      <c r="FU51" s="695"/>
      <c r="FV51" s="695"/>
      <c r="FW51" s="695"/>
      <c r="FX51" s="695"/>
      <c r="FY51" s="695"/>
      <c r="FZ51" s="695"/>
      <c r="GA51" s="695"/>
      <c r="GB51" s="695"/>
      <c r="GC51" s="695"/>
      <c r="GD51" s="695"/>
      <c r="GE51" s="695"/>
      <c r="GF51" s="695"/>
      <c r="GG51" s="695"/>
      <c r="GH51" s="695"/>
      <c r="GI51" s="695"/>
      <c r="GJ51" s="695"/>
      <c r="GK51" s="695"/>
      <c r="GL51" s="695"/>
      <c r="GM51" s="695"/>
      <c r="GN51" s="695"/>
      <c r="GO51" s="695"/>
      <c r="GP51" s="695"/>
      <c r="GQ51" s="695"/>
      <c r="GR51" s="695"/>
      <c r="GS51" s="695"/>
      <c r="GT51" s="695"/>
      <c r="GU51" s="695"/>
      <c r="GV51" s="695"/>
      <c r="GW51" s="695"/>
      <c r="GX51" s="695"/>
      <c r="GY51" s="695"/>
      <c r="GZ51" s="695"/>
      <c r="HA51" s="695"/>
      <c r="HB51" s="695"/>
      <c r="HC51" s="695"/>
      <c r="HD51" s="695"/>
      <c r="HE51" s="695"/>
      <c r="HF51" s="695"/>
      <c r="HG51" s="695"/>
      <c r="HH51" s="695"/>
      <c r="HI51" s="695"/>
      <c r="HJ51" s="695"/>
      <c r="HK51" s="695"/>
      <c r="HL51" s="695"/>
      <c r="HM51" s="695"/>
      <c r="HN51" s="695"/>
      <c r="HO51" s="695"/>
      <c r="HP51" s="695"/>
      <c r="HQ51" s="695"/>
      <c r="HR51" s="695"/>
      <c r="HS51" s="695"/>
      <c r="HT51" s="695"/>
      <c r="HU51" s="695"/>
      <c r="HV51" s="695"/>
      <c r="HW51" s="695"/>
      <c r="HX51" s="695"/>
      <c r="HY51" s="695"/>
      <c r="HZ51" s="695"/>
      <c r="IA51" s="695"/>
      <c r="IB51" s="695"/>
      <c r="IC51" s="695"/>
      <c r="ID51" s="695"/>
      <c r="IE51" s="695"/>
      <c r="IF51" s="695"/>
      <c r="IG51" s="695"/>
      <c r="IH51" s="695"/>
      <c r="II51" s="695"/>
      <c r="IJ51" s="695"/>
      <c r="IK51" s="695"/>
      <c r="IL51" s="695"/>
      <c r="IM51" s="695"/>
      <c r="IN51" s="695"/>
      <c r="IO51" s="695"/>
      <c r="IP51" s="695"/>
    </row>
    <row r="52" spans="1:250" ht="18" collapsed="1" thickBot="1">
      <c r="A52" s="668" t="s">
        <v>70</v>
      </c>
      <c r="B52" s="1664"/>
      <c r="C52" s="1668" t="s">
        <v>161</v>
      </c>
      <c r="D52" s="1664"/>
      <c r="E52" s="1639" t="s">
        <v>201</v>
      </c>
      <c r="F52" s="1695">
        <f>SUM(F22:F51)</f>
        <v>18952661</v>
      </c>
      <c r="G52" s="1710">
        <f>SUM(G23:G51)</f>
        <v>17502376</v>
      </c>
      <c r="H52" s="1682"/>
      <c r="I52" s="1676"/>
    </row>
    <row r="53" spans="1:250" ht="18" thickBot="1">
      <c r="A53" s="1640" t="s">
        <v>138</v>
      </c>
      <c r="B53" s="1645"/>
      <c r="C53" s="1669"/>
      <c r="D53" s="1645"/>
      <c r="E53" s="1669"/>
      <c r="F53" s="1721">
        <f>F52-G52</f>
        <v>1450285</v>
      </c>
      <c r="G53" s="1715"/>
      <c r="H53" s="1683"/>
      <c r="I53" s="669"/>
    </row>
    <row r="54" spans="1:250" s="626" customFormat="1" ht="18" hidden="1" outlineLevel="1" thickBot="1">
      <c r="A54" s="670">
        <v>4.4000000000000004</v>
      </c>
      <c r="B54" s="671" t="s">
        <v>202</v>
      </c>
      <c r="C54" s="671" t="s">
        <v>161</v>
      </c>
      <c r="D54" s="1641" t="s">
        <v>141</v>
      </c>
      <c r="E54" s="671" t="s">
        <v>203</v>
      </c>
      <c r="F54" s="1687"/>
      <c r="G54" s="672">
        <v>1430000</v>
      </c>
      <c r="H54" s="1699"/>
      <c r="I54" s="1677"/>
    </row>
    <row r="55" spans="1:250" s="626" customFormat="1" ht="18" hidden="1" outlineLevel="1" thickBot="1">
      <c r="A55" s="670">
        <v>4.4000000000000004</v>
      </c>
      <c r="B55" s="671" t="s">
        <v>204</v>
      </c>
      <c r="C55" s="671" t="s">
        <v>161</v>
      </c>
      <c r="D55" s="1641" t="s">
        <v>141</v>
      </c>
      <c r="E55" s="671" t="s">
        <v>205</v>
      </c>
      <c r="F55" s="1687"/>
      <c r="G55" s="672">
        <v>60000</v>
      </c>
      <c r="H55" s="1699"/>
      <c r="I55" s="1677"/>
    </row>
    <row r="56" spans="1:250" s="626" customFormat="1" ht="18" hidden="1" outlineLevel="1" thickBot="1">
      <c r="A56" s="670">
        <v>4.4000000000000004</v>
      </c>
      <c r="B56" s="671" t="s">
        <v>206</v>
      </c>
      <c r="C56" s="671" t="s">
        <v>161</v>
      </c>
      <c r="D56" s="1641" t="s">
        <v>141</v>
      </c>
      <c r="E56" s="671" t="s">
        <v>207</v>
      </c>
      <c r="F56" s="1688">
        <v>3000000</v>
      </c>
      <c r="G56" s="672"/>
      <c r="H56" s="1699"/>
      <c r="I56" s="1677"/>
    </row>
    <row r="57" spans="1:250" s="626" customFormat="1" ht="18" hidden="1" outlineLevel="1" thickBot="1">
      <c r="A57" s="670">
        <v>4.4000000000000004</v>
      </c>
      <c r="B57" s="671" t="s">
        <v>145</v>
      </c>
      <c r="C57" s="671" t="s">
        <v>161</v>
      </c>
      <c r="D57" s="1641" t="s">
        <v>141</v>
      </c>
      <c r="E57" s="671" t="s">
        <v>208</v>
      </c>
      <c r="F57" s="1687"/>
      <c r="G57" s="672">
        <v>135000</v>
      </c>
      <c r="H57" s="1699"/>
      <c r="I57" s="1677"/>
    </row>
    <row r="58" spans="1:250" s="626" customFormat="1" ht="18" hidden="1" outlineLevel="1" thickBot="1">
      <c r="A58" s="670">
        <v>5.4</v>
      </c>
      <c r="B58" s="671" t="s">
        <v>209</v>
      </c>
      <c r="C58" s="671" t="s">
        <v>161</v>
      </c>
      <c r="D58" s="1641" t="s">
        <v>141</v>
      </c>
      <c r="E58" s="671" t="s">
        <v>210</v>
      </c>
      <c r="F58" s="1687">
        <v>142225000</v>
      </c>
      <c r="G58" s="672">
        <v>0</v>
      </c>
      <c r="H58" s="1699"/>
      <c r="I58" s="1677" t="s">
        <v>211</v>
      </c>
    </row>
    <row r="59" spans="1:250" s="626" customFormat="1" ht="18" hidden="1" outlineLevel="1" thickBot="1">
      <c r="A59" s="670">
        <v>5.4</v>
      </c>
      <c r="B59" s="671" t="s">
        <v>212</v>
      </c>
      <c r="C59" s="671" t="s">
        <v>161</v>
      </c>
      <c r="D59" s="1641" t="s">
        <v>141</v>
      </c>
      <c r="E59" s="671" t="s">
        <v>213</v>
      </c>
      <c r="F59" s="1687"/>
      <c r="G59" s="672">
        <v>80000</v>
      </c>
      <c r="H59" s="1699"/>
      <c r="I59" s="1677"/>
    </row>
    <row r="60" spans="1:250" s="626" customFormat="1" ht="18" hidden="1" outlineLevel="1" thickBot="1">
      <c r="A60" s="670">
        <v>5.4</v>
      </c>
      <c r="B60" s="671" t="s">
        <v>212</v>
      </c>
      <c r="C60" s="671" t="s">
        <v>161</v>
      </c>
      <c r="D60" s="1641" t="s">
        <v>141</v>
      </c>
      <c r="E60" s="671" t="s">
        <v>214</v>
      </c>
      <c r="F60" s="1687"/>
      <c r="G60" s="672">
        <v>136500</v>
      </c>
      <c r="H60" s="1699"/>
      <c r="I60" s="1677"/>
    </row>
    <row r="61" spans="1:250" s="626" customFormat="1" ht="18" hidden="1" outlineLevel="1" thickBot="1">
      <c r="A61" s="670">
        <v>5.4</v>
      </c>
      <c r="B61" s="671" t="s">
        <v>212</v>
      </c>
      <c r="C61" s="671" t="s">
        <v>161</v>
      </c>
      <c r="D61" s="1641" t="s">
        <v>141</v>
      </c>
      <c r="E61" s="671" t="s">
        <v>215</v>
      </c>
      <c r="F61" s="1687"/>
      <c r="G61" s="672">
        <v>96000</v>
      </c>
      <c r="H61" s="1699"/>
      <c r="I61" s="1677"/>
    </row>
    <row r="62" spans="1:250" s="626" customFormat="1" ht="18" hidden="1" outlineLevel="1" thickBot="1">
      <c r="A62" s="670">
        <v>5.4</v>
      </c>
      <c r="B62" s="671" t="s">
        <v>212</v>
      </c>
      <c r="C62" s="671" t="s">
        <v>161</v>
      </c>
      <c r="D62" s="1641" t="s">
        <v>141</v>
      </c>
      <c r="E62" s="671" t="s">
        <v>216</v>
      </c>
      <c r="F62" s="1687"/>
      <c r="G62" s="672">
        <v>298000</v>
      </c>
      <c r="H62" s="1699"/>
      <c r="I62" s="1677"/>
    </row>
    <row r="63" spans="1:250" s="626" customFormat="1" ht="18" hidden="1" outlineLevel="1" thickBot="1">
      <c r="A63" s="670">
        <v>6.4</v>
      </c>
      <c r="B63" s="671" t="s">
        <v>217</v>
      </c>
      <c r="C63" s="671" t="s">
        <v>161</v>
      </c>
      <c r="D63" s="1641" t="s">
        <v>141</v>
      </c>
      <c r="E63" s="671" t="s">
        <v>218</v>
      </c>
      <c r="F63" s="1687"/>
      <c r="G63" s="672">
        <v>173822</v>
      </c>
      <c r="H63" s="1684"/>
      <c r="I63" s="1677"/>
    </row>
    <row r="64" spans="1:250" s="626" customFormat="1" ht="18" hidden="1" outlineLevel="1" thickBot="1">
      <c r="A64" s="670">
        <v>6.4</v>
      </c>
      <c r="B64" s="671" t="s">
        <v>219</v>
      </c>
      <c r="C64" s="671" t="s">
        <v>161</v>
      </c>
      <c r="D64" s="1641" t="s">
        <v>141</v>
      </c>
      <c r="E64" s="671" t="s">
        <v>220</v>
      </c>
      <c r="F64" s="1687"/>
      <c r="G64" s="672">
        <v>19127</v>
      </c>
      <c r="H64" s="1684"/>
      <c r="I64" s="1677"/>
    </row>
    <row r="65" spans="1:9" s="626" customFormat="1" ht="18" hidden="1" outlineLevel="1" thickBot="1">
      <c r="A65" s="670">
        <v>6.4</v>
      </c>
      <c r="B65" s="671" t="s">
        <v>185</v>
      </c>
      <c r="C65" s="671" t="s">
        <v>161</v>
      </c>
      <c r="D65" s="1641" t="s">
        <v>141</v>
      </c>
      <c r="E65" s="1736" t="s">
        <v>221</v>
      </c>
      <c r="F65" s="1687"/>
      <c r="G65" s="672">
        <v>25000</v>
      </c>
      <c r="H65" s="1699"/>
      <c r="I65" s="1677"/>
    </row>
    <row r="66" spans="1:9" s="626" customFormat="1" ht="18" hidden="1" outlineLevel="1" thickBot="1">
      <c r="A66" s="670">
        <v>6.4</v>
      </c>
      <c r="B66" s="671" t="s">
        <v>222</v>
      </c>
      <c r="C66" s="671" t="s">
        <v>161</v>
      </c>
      <c r="D66" s="1641" t="s">
        <v>141</v>
      </c>
      <c r="E66" s="671" t="s">
        <v>223</v>
      </c>
      <c r="F66" s="1687"/>
      <c r="G66" s="672">
        <v>120000000</v>
      </c>
      <c r="H66" s="1699"/>
      <c r="I66" s="1677" t="s">
        <v>224</v>
      </c>
    </row>
    <row r="67" spans="1:9" s="626" customFormat="1" ht="18" hidden="1" outlineLevel="1" thickBot="1">
      <c r="A67" s="670">
        <v>9.4</v>
      </c>
      <c r="B67" s="671" t="s">
        <v>222</v>
      </c>
      <c r="C67" s="671" t="s">
        <v>161</v>
      </c>
      <c r="D67" s="1641" t="s">
        <v>141</v>
      </c>
      <c r="E67" s="671" t="s">
        <v>225</v>
      </c>
      <c r="F67" s="1687"/>
      <c r="G67" s="672">
        <v>3296600</v>
      </c>
      <c r="H67" s="1699"/>
      <c r="I67" s="713" t="s">
        <v>226</v>
      </c>
    </row>
    <row r="68" spans="1:9" s="626" customFormat="1" ht="18" hidden="1" outlineLevel="1" thickBot="1">
      <c r="A68" s="670">
        <v>9.4</v>
      </c>
      <c r="B68" s="671" t="s">
        <v>185</v>
      </c>
      <c r="C68" s="671" t="s">
        <v>161</v>
      </c>
      <c r="D68" s="1641" t="s">
        <v>141</v>
      </c>
      <c r="E68" s="671" t="s">
        <v>227</v>
      </c>
      <c r="F68" s="1687"/>
      <c r="G68" s="672">
        <v>80000</v>
      </c>
      <c r="H68" s="1699"/>
      <c r="I68" s="714"/>
    </row>
    <row r="69" spans="1:9" s="626" customFormat="1" ht="18" hidden="1" outlineLevel="1" thickBot="1">
      <c r="A69" s="670">
        <v>9.4</v>
      </c>
      <c r="B69" s="671" t="s">
        <v>228</v>
      </c>
      <c r="C69" s="671" t="s">
        <v>161</v>
      </c>
      <c r="D69" s="1641" t="s">
        <v>141</v>
      </c>
      <c r="E69" s="671" t="s">
        <v>229</v>
      </c>
      <c r="F69" s="1687"/>
      <c r="G69" s="672">
        <v>15400</v>
      </c>
      <c r="H69" s="1699"/>
      <c r="I69" s="1677" t="s">
        <v>224</v>
      </c>
    </row>
    <row r="70" spans="1:9" s="626" customFormat="1" ht="18" hidden="1" outlineLevel="1" thickBot="1">
      <c r="A70" s="670">
        <v>11.4</v>
      </c>
      <c r="B70" s="671" t="s">
        <v>230</v>
      </c>
      <c r="C70" s="671" t="s">
        <v>161</v>
      </c>
      <c r="D70" s="1641" t="s">
        <v>141</v>
      </c>
      <c r="E70" s="671" t="s">
        <v>231</v>
      </c>
      <c r="F70" s="1687"/>
      <c r="G70" s="674">
        <v>3000000</v>
      </c>
      <c r="H70" s="1699"/>
      <c r="I70" s="1677"/>
    </row>
    <row r="71" spans="1:9" s="626" customFormat="1" ht="18" hidden="1" outlineLevel="1" thickBot="1">
      <c r="A71" s="670">
        <v>18.399999999999999</v>
      </c>
      <c r="B71" s="671" t="s">
        <v>232</v>
      </c>
      <c r="C71" s="671" t="s">
        <v>161</v>
      </c>
      <c r="D71" s="1641" t="s">
        <v>141</v>
      </c>
      <c r="E71" s="671" t="s">
        <v>233</v>
      </c>
      <c r="F71" s="1687"/>
      <c r="G71" s="700">
        <v>58000</v>
      </c>
      <c r="H71" s="1699"/>
      <c r="I71" s="1677"/>
    </row>
    <row r="72" spans="1:9" s="626" customFormat="1" ht="18" hidden="1" outlineLevel="1" thickBot="1">
      <c r="A72" s="670">
        <v>18.399999999999999</v>
      </c>
      <c r="B72" s="671" t="s">
        <v>234</v>
      </c>
      <c r="C72" s="671" t="s">
        <v>161</v>
      </c>
      <c r="D72" s="1641" t="s">
        <v>141</v>
      </c>
      <c r="E72" s="671" t="s">
        <v>235</v>
      </c>
      <c r="F72" s="1687"/>
      <c r="G72" s="700">
        <v>28000</v>
      </c>
      <c r="H72" s="1699"/>
      <c r="I72" s="1677"/>
    </row>
    <row r="73" spans="1:9" s="626" customFormat="1" ht="18" hidden="1" outlineLevel="1" thickBot="1">
      <c r="A73" s="670">
        <v>23.4</v>
      </c>
      <c r="B73" s="671" t="s">
        <v>236</v>
      </c>
      <c r="C73" s="671" t="s">
        <v>161</v>
      </c>
      <c r="D73" s="1641" t="s">
        <v>141</v>
      </c>
      <c r="E73" s="671" t="s">
        <v>237</v>
      </c>
      <c r="F73" s="1687"/>
      <c r="G73" s="700">
        <v>5400000</v>
      </c>
      <c r="H73" s="1699"/>
      <c r="I73" s="1677"/>
    </row>
    <row r="74" spans="1:9" ht="18" collapsed="1" thickBot="1">
      <c r="A74" s="701" t="s">
        <v>101</v>
      </c>
      <c r="B74" s="1646"/>
      <c r="C74" s="1670" t="s">
        <v>161</v>
      </c>
      <c r="D74" s="1646"/>
      <c r="E74" s="1737" t="s">
        <v>490</v>
      </c>
      <c r="F74" s="1722">
        <f>SUM(F53:F73)</f>
        <v>146675285</v>
      </c>
      <c r="G74" s="1716">
        <f>SUM(G54:G73)</f>
        <v>134331449</v>
      </c>
      <c r="H74" s="1685"/>
      <c r="I74" s="1676"/>
    </row>
    <row r="75" spans="1:9" ht="18" thickBot="1">
      <c r="A75" s="888" t="s">
        <v>138</v>
      </c>
      <c r="B75" s="1665"/>
      <c r="C75" s="1671"/>
      <c r="D75" s="1647"/>
      <c r="E75" s="1671"/>
      <c r="F75" s="889">
        <f>F74-G74</f>
        <v>12343836</v>
      </c>
      <c r="G75" s="702"/>
      <c r="H75" s="1700"/>
      <c r="I75" s="1678"/>
    </row>
    <row r="76" spans="1:9" s="629" customFormat="1" ht="18.75" hidden="1" outlineLevel="1">
      <c r="A76" s="886">
        <v>2.5</v>
      </c>
      <c r="B76" s="885" t="s">
        <v>1595</v>
      </c>
      <c r="C76" s="885" t="s">
        <v>161</v>
      </c>
      <c r="D76" s="1642" t="s">
        <v>141</v>
      </c>
      <c r="E76" s="885" t="s">
        <v>1596</v>
      </c>
      <c r="F76" s="1723"/>
      <c r="G76" s="887">
        <v>50000</v>
      </c>
      <c r="H76" s="1701"/>
      <c r="I76" s="699"/>
    </row>
    <row r="77" spans="1:9" s="629" customFormat="1" hidden="1" outlineLevel="1">
      <c r="A77" s="670">
        <v>2.5</v>
      </c>
      <c r="B77" s="671" t="s">
        <v>234</v>
      </c>
      <c r="C77" s="671"/>
      <c r="D77" s="1641" t="s">
        <v>141</v>
      </c>
      <c r="E77" s="671" t="s">
        <v>238</v>
      </c>
      <c r="F77" s="1687"/>
      <c r="G77" s="672">
        <v>40000</v>
      </c>
      <c r="H77" s="1699"/>
      <c r="I77" s="699"/>
    </row>
    <row r="78" spans="1:9" s="629" customFormat="1" hidden="1" outlineLevel="1">
      <c r="A78" s="670">
        <v>3.5</v>
      </c>
      <c r="B78" s="671" t="s">
        <v>170</v>
      </c>
      <c r="C78" s="671"/>
      <c r="D78" s="1641" t="s">
        <v>141</v>
      </c>
      <c r="E78" s="703" t="s">
        <v>239</v>
      </c>
      <c r="F78" s="1687"/>
      <c r="G78" s="672">
        <v>2200000</v>
      </c>
      <c r="H78" s="1699"/>
      <c r="I78" s="715"/>
    </row>
    <row r="79" spans="1:9" s="629" customFormat="1" hidden="1" outlineLevel="1">
      <c r="A79" s="670">
        <v>3.5</v>
      </c>
      <c r="B79" s="671" t="s">
        <v>192</v>
      </c>
      <c r="C79" s="671"/>
      <c r="D79" s="1641" t="s">
        <v>141</v>
      </c>
      <c r="E79" s="671" t="s">
        <v>240</v>
      </c>
      <c r="F79" s="1687"/>
      <c r="G79" s="672">
        <v>1889008</v>
      </c>
      <c r="H79" s="1699"/>
      <c r="I79" s="715"/>
    </row>
    <row r="80" spans="1:9" s="629" customFormat="1" hidden="1" outlineLevel="1">
      <c r="A80" s="670">
        <v>3.5</v>
      </c>
      <c r="B80" s="671" t="s">
        <v>241</v>
      </c>
      <c r="C80" s="671"/>
      <c r="D80" s="1641" t="s">
        <v>141</v>
      </c>
      <c r="E80" s="671" t="s">
        <v>242</v>
      </c>
      <c r="F80" s="1687"/>
      <c r="G80" s="672">
        <v>7700</v>
      </c>
      <c r="H80" s="1699"/>
      <c r="I80" s="699"/>
    </row>
    <row r="81" spans="1:9" s="629" customFormat="1" hidden="1" outlineLevel="1">
      <c r="A81" s="670">
        <v>3.5</v>
      </c>
      <c r="B81" s="671" t="s">
        <v>243</v>
      </c>
      <c r="C81" s="671"/>
      <c r="D81" s="1641" t="s">
        <v>141</v>
      </c>
      <c r="E81" s="671" t="s">
        <v>235</v>
      </c>
      <c r="F81" s="1687"/>
      <c r="G81" s="674">
        <v>436500</v>
      </c>
      <c r="H81" s="1699"/>
      <c r="I81" s="699"/>
    </row>
    <row r="82" spans="1:9" s="626" customFormat="1" hidden="1" outlineLevel="1">
      <c r="A82" s="670">
        <v>3.5</v>
      </c>
      <c r="B82" s="671" t="s">
        <v>243</v>
      </c>
      <c r="C82" s="671"/>
      <c r="D82" s="1641" t="s">
        <v>141</v>
      </c>
      <c r="E82" s="671" t="s">
        <v>235</v>
      </c>
      <c r="F82" s="1687"/>
      <c r="G82" s="700">
        <v>366900</v>
      </c>
      <c r="H82" s="1699"/>
      <c r="I82" s="699"/>
    </row>
    <row r="83" spans="1:9" s="626" customFormat="1" hidden="1" outlineLevel="1">
      <c r="A83" s="670">
        <v>7.5</v>
      </c>
      <c r="B83" s="671" t="s">
        <v>219</v>
      </c>
      <c r="C83" s="671"/>
      <c r="D83" s="1641" t="s">
        <v>141</v>
      </c>
      <c r="E83" s="671" t="s">
        <v>220</v>
      </c>
      <c r="F83" s="1687"/>
      <c r="G83" s="700">
        <v>31103</v>
      </c>
      <c r="H83" s="1699"/>
      <c r="I83" s="699"/>
    </row>
    <row r="84" spans="1:9" s="626" customFormat="1" hidden="1" outlineLevel="1">
      <c r="A84" s="670">
        <v>9.5</v>
      </c>
      <c r="B84" s="671" t="s">
        <v>244</v>
      </c>
      <c r="C84" s="671" t="s">
        <v>161</v>
      </c>
      <c r="D84" s="1641" t="s">
        <v>141</v>
      </c>
      <c r="E84" s="671" t="s">
        <v>245</v>
      </c>
      <c r="F84" s="1687"/>
      <c r="G84" s="700">
        <v>100000</v>
      </c>
      <c r="H84" s="1699"/>
      <c r="I84" s="699"/>
    </row>
    <row r="85" spans="1:9" s="626" customFormat="1" hidden="1" outlineLevel="1">
      <c r="A85" s="670">
        <v>9.5</v>
      </c>
      <c r="B85" s="671" t="s">
        <v>246</v>
      </c>
      <c r="C85" s="671" t="s">
        <v>161</v>
      </c>
      <c r="D85" s="1641" t="s">
        <v>141</v>
      </c>
      <c r="E85" s="671" t="s">
        <v>247</v>
      </c>
      <c r="F85" s="1687"/>
      <c r="G85" s="700">
        <v>30000</v>
      </c>
      <c r="H85" s="1699"/>
      <c r="I85" s="699"/>
    </row>
    <row r="86" spans="1:9" s="626" customFormat="1" hidden="1" outlineLevel="1">
      <c r="A86" s="670">
        <v>9.5</v>
      </c>
      <c r="B86" s="671" t="s">
        <v>248</v>
      </c>
      <c r="C86" s="671" t="s">
        <v>161</v>
      </c>
      <c r="D86" s="1641" t="s">
        <v>141</v>
      </c>
      <c r="E86" s="671" t="s">
        <v>249</v>
      </c>
      <c r="F86" s="1687"/>
      <c r="G86" s="700">
        <v>100000</v>
      </c>
      <c r="H86" s="1699"/>
      <c r="I86" s="699"/>
    </row>
    <row r="87" spans="1:9" s="626" customFormat="1" hidden="1" outlineLevel="1">
      <c r="A87" s="670">
        <v>9.5</v>
      </c>
      <c r="B87" s="671" t="s">
        <v>222</v>
      </c>
      <c r="C87" s="671" t="s">
        <v>161</v>
      </c>
      <c r="D87" s="1641" t="s">
        <v>141</v>
      </c>
      <c r="E87" s="671" t="s">
        <v>250</v>
      </c>
      <c r="F87" s="1687"/>
      <c r="G87" s="700">
        <v>3258300</v>
      </c>
      <c r="H87" s="1699"/>
      <c r="I87" s="699"/>
    </row>
    <row r="88" spans="1:9" s="626" customFormat="1" hidden="1" outlineLevel="1">
      <c r="A88" s="704">
        <v>10.5</v>
      </c>
      <c r="B88" s="705" t="s">
        <v>219</v>
      </c>
      <c r="C88" s="705" t="s">
        <v>161</v>
      </c>
      <c r="D88" s="1643" t="s">
        <v>141</v>
      </c>
      <c r="E88" s="705" t="s">
        <v>251</v>
      </c>
      <c r="F88" s="1689"/>
      <c r="G88" s="1034">
        <v>20000</v>
      </c>
      <c r="H88" s="1699"/>
      <c r="I88" s="699"/>
    </row>
    <row r="89" spans="1:9" s="626" customFormat="1" hidden="1" outlineLevel="1">
      <c r="A89" s="704">
        <v>14.5</v>
      </c>
      <c r="B89" s="705" t="s">
        <v>18</v>
      </c>
      <c r="C89" s="705" t="s">
        <v>161</v>
      </c>
      <c r="D89" s="1643" t="s">
        <v>141</v>
      </c>
      <c r="E89" s="705" t="s">
        <v>142</v>
      </c>
      <c r="F89" s="1689">
        <v>200000000</v>
      </c>
      <c r="G89" s="1034"/>
      <c r="H89" s="1699"/>
      <c r="I89" s="699"/>
    </row>
    <row r="90" spans="1:9" s="626" customFormat="1" hidden="1" outlineLevel="1">
      <c r="A90" s="704">
        <v>14.5</v>
      </c>
      <c r="B90" s="705" t="s">
        <v>18</v>
      </c>
      <c r="C90" s="705" t="s">
        <v>161</v>
      </c>
      <c r="D90" s="1643" t="s">
        <v>141</v>
      </c>
      <c r="E90" s="705" t="s">
        <v>252</v>
      </c>
      <c r="F90" s="1689"/>
      <c r="G90" s="1034">
        <v>200000000</v>
      </c>
      <c r="H90" s="1699"/>
      <c r="I90" s="699"/>
    </row>
    <row r="91" spans="1:9" s="626" customFormat="1" hidden="1" outlineLevel="1">
      <c r="A91" s="704">
        <v>21.5</v>
      </c>
      <c r="B91" s="705" t="s">
        <v>253</v>
      </c>
      <c r="C91" s="705" t="s">
        <v>161</v>
      </c>
      <c r="D91" s="1643" t="s">
        <v>141</v>
      </c>
      <c r="E91" s="705" t="s">
        <v>254</v>
      </c>
      <c r="F91" s="1689"/>
      <c r="G91" s="1034">
        <v>600000</v>
      </c>
      <c r="H91" s="1699"/>
      <c r="I91" s="699"/>
    </row>
    <row r="92" spans="1:9" s="626" customFormat="1" hidden="1" outlineLevel="1">
      <c r="A92" s="704">
        <v>6.4</v>
      </c>
      <c r="B92" s="705" t="s">
        <v>253</v>
      </c>
      <c r="C92" s="705" t="s">
        <v>161</v>
      </c>
      <c r="D92" s="1643" t="s">
        <v>141</v>
      </c>
      <c r="E92" s="705" t="s">
        <v>255</v>
      </c>
      <c r="F92" s="1689"/>
      <c r="G92" s="706">
        <v>600000</v>
      </c>
      <c r="H92" s="1699"/>
      <c r="I92" s="699"/>
    </row>
    <row r="93" spans="1:9" s="626" customFormat="1" ht="18.75" hidden="1" outlineLevel="1">
      <c r="A93" s="1035">
        <v>21.5</v>
      </c>
      <c r="B93" s="1036" t="s">
        <v>230</v>
      </c>
      <c r="C93" s="1036" t="s">
        <v>161</v>
      </c>
      <c r="D93" s="1644" t="s">
        <v>141</v>
      </c>
      <c r="E93" s="1036" t="s">
        <v>1591</v>
      </c>
      <c r="F93" s="1724">
        <v>200000000</v>
      </c>
      <c r="G93" s="672"/>
      <c r="H93" s="1702"/>
      <c r="I93" s="699"/>
    </row>
    <row r="94" spans="1:9" s="626" customFormat="1" ht="18.75" hidden="1" outlineLevel="1">
      <c r="A94" s="1035">
        <v>21.5</v>
      </c>
      <c r="B94" s="1036" t="s">
        <v>206</v>
      </c>
      <c r="C94" s="1036" t="s">
        <v>161</v>
      </c>
      <c r="D94" s="1644" t="s">
        <v>141</v>
      </c>
      <c r="E94" s="1036" t="s">
        <v>1592</v>
      </c>
      <c r="F94" s="1724"/>
      <c r="G94" s="672">
        <v>200000000</v>
      </c>
      <c r="H94" s="1702"/>
      <c r="I94" s="699"/>
    </row>
    <row r="95" spans="1:9" s="626" customFormat="1" ht="18.75" hidden="1" outlineLevel="1">
      <c r="A95" s="1035">
        <v>22.5</v>
      </c>
      <c r="B95" s="1036" t="s">
        <v>206</v>
      </c>
      <c r="C95" s="1036" t="s">
        <v>161</v>
      </c>
      <c r="D95" s="1644" t="s">
        <v>141</v>
      </c>
      <c r="E95" s="1036" t="s">
        <v>1593</v>
      </c>
      <c r="F95" s="1724">
        <v>250000000</v>
      </c>
      <c r="G95" s="672"/>
      <c r="H95" s="1702"/>
      <c r="I95" s="699"/>
    </row>
    <row r="96" spans="1:9" s="626" customFormat="1" ht="18.75" hidden="1" outlineLevel="1">
      <c r="A96" s="1035">
        <v>22.5</v>
      </c>
      <c r="B96" s="1036" t="s">
        <v>206</v>
      </c>
      <c r="C96" s="1036" t="s">
        <v>161</v>
      </c>
      <c r="D96" s="1644" t="s">
        <v>141</v>
      </c>
      <c r="E96" s="1036" t="s">
        <v>1592</v>
      </c>
      <c r="F96" s="1724"/>
      <c r="G96" s="672">
        <v>250000000</v>
      </c>
      <c r="H96" s="1702"/>
      <c r="I96" s="699"/>
    </row>
    <row r="97" spans="1:9" s="626" customFormat="1" ht="18.75" hidden="1" outlineLevel="1">
      <c r="A97" s="1035">
        <v>22.5</v>
      </c>
      <c r="B97" s="1036" t="s">
        <v>206</v>
      </c>
      <c r="C97" s="1036" t="s">
        <v>161</v>
      </c>
      <c r="D97" s="1644" t="s">
        <v>141</v>
      </c>
      <c r="E97" s="1036" t="s">
        <v>1413</v>
      </c>
      <c r="F97" s="1724"/>
      <c r="G97" s="672">
        <v>137000</v>
      </c>
      <c r="H97" s="1702"/>
      <c r="I97" s="699"/>
    </row>
    <row r="98" spans="1:9" s="626" customFormat="1" ht="18.75" hidden="1" outlineLevel="1">
      <c r="A98" s="1035">
        <v>30.5</v>
      </c>
      <c r="B98" s="1036" t="s">
        <v>209</v>
      </c>
      <c r="C98" s="1036" t="s">
        <v>161</v>
      </c>
      <c r="D98" s="1644" t="s">
        <v>141</v>
      </c>
      <c r="E98" s="1036" t="s">
        <v>1593</v>
      </c>
      <c r="F98" s="1724">
        <v>5000000</v>
      </c>
      <c r="G98" s="672"/>
      <c r="H98" s="1702"/>
      <c r="I98" s="699"/>
    </row>
    <row r="99" spans="1:9" s="626" customFormat="1" ht="18.75" hidden="1" outlineLevel="1">
      <c r="A99" s="1035">
        <v>30.5</v>
      </c>
      <c r="B99" s="1036" t="s">
        <v>209</v>
      </c>
      <c r="C99" s="1036" t="s">
        <v>161</v>
      </c>
      <c r="D99" s="1644" t="s">
        <v>141</v>
      </c>
      <c r="E99" s="1036" t="s">
        <v>1594</v>
      </c>
      <c r="F99" s="1724"/>
      <c r="G99" s="672">
        <v>2200000</v>
      </c>
      <c r="H99" s="1702"/>
      <c r="I99" s="699"/>
    </row>
    <row r="100" spans="1:9" s="626" customFormat="1" ht="18.75" hidden="1" outlineLevel="1">
      <c r="A100" s="1035">
        <v>30.5</v>
      </c>
      <c r="B100" s="1036" t="s">
        <v>209</v>
      </c>
      <c r="C100" s="1036" t="s">
        <v>161</v>
      </c>
      <c r="D100" s="1644" t="s">
        <v>141</v>
      </c>
      <c r="E100" s="1036" t="s">
        <v>184</v>
      </c>
      <c r="F100" s="1724"/>
      <c r="G100" s="672">
        <v>8800</v>
      </c>
      <c r="H100" s="1702"/>
      <c r="I100" s="699"/>
    </row>
    <row r="101" spans="1:9" s="626" customFormat="1" ht="18" collapsed="1" thickBot="1">
      <c r="A101" s="1032" t="s">
        <v>256</v>
      </c>
      <c r="B101" s="1648"/>
      <c r="C101" s="1672" t="s">
        <v>161</v>
      </c>
      <c r="D101" s="1648"/>
      <c r="E101" s="1738" t="s">
        <v>1598</v>
      </c>
      <c r="F101" s="1134">
        <f>SUM(F75:F100)</f>
        <v>667343836</v>
      </c>
      <c r="G101" s="1135">
        <f>SUM(G76:G100)</f>
        <v>662075311</v>
      </c>
      <c r="H101" s="1703"/>
      <c r="I101" s="1033"/>
    </row>
    <row r="102" spans="1:9" s="626" customFormat="1" ht="18" thickBot="1">
      <c r="A102" s="1131" t="s">
        <v>138</v>
      </c>
      <c r="B102" s="1666"/>
      <c r="C102" s="1673"/>
      <c r="D102" s="1649"/>
      <c r="E102" s="1739"/>
      <c r="F102" s="1725">
        <f>F101-G101</f>
        <v>5268525</v>
      </c>
      <c r="G102" s="1717"/>
      <c r="H102" s="1704"/>
      <c r="I102" s="1142"/>
    </row>
    <row r="103" spans="1:9" s="890" customFormat="1" ht="18.75" hidden="1" outlineLevel="1">
      <c r="A103" s="1122">
        <v>1.6</v>
      </c>
      <c r="B103" s="891"/>
      <c r="C103" s="891" t="s">
        <v>161</v>
      </c>
      <c r="D103" s="891" t="s">
        <v>141</v>
      </c>
      <c r="E103" s="891" t="s">
        <v>1599</v>
      </c>
      <c r="F103" s="892"/>
      <c r="G103" s="893">
        <v>600000</v>
      </c>
      <c r="H103" s="894"/>
      <c r="I103" s="1123"/>
    </row>
    <row r="104" spans="1:9" s="890" customFormat="1" ht="18.75" hidden="1" outlineLevel="1">
      <c r="A104" s="1122">
        <v>3.6</v>
      </c>
      <c r="B104" s="891" t="s">
        <v>145</v>
      </c>
      <c r="C104" s="891" t="s">
        <v>161</v>
      </c>
      <c r="D104" s="891" t="s">
        <v>141</v>
      </c>
      <c r="E104" s="891" t="s">
        <v>1600</v>
      </c>
      <c r="F104" s="892"/>
      <c r="G104" s="893">
        <v>110000</v>
      </c>
      <c r="H104" s="1110"/>
      <c r="I104" s="1123"/>
    </row>
    <row r="105" spans="1:9" s="890" customFormat="1" ht="18.75" hidden="1" outlineLevel="1">
      <c r="A105" s="1122">
        <v>2.6</v>
      </c>
      <c r="B105" s="891" t="s">
        <v>219</v>
      </c>
      <c r="C105" s="891" t="s">
        <v>161</v>
      </c>
      <c r="D105" s="891" t="s">
        <v>141</v>
      </c>
      <c r="E105" s="891" t="s">
        <v>220</v>
      </c>
      <c r="F105" s="892"/>
      <c r="G105" s="893">
        <v>31300</v>
      </c>
      <c r="H105" s="894"/>
      <c r="I105" s="1123"/>
    </row>
    <row r="106" spans="1:9" s="890" customFormat="1" ht="18.75" hidden="1" outlineLevel="1">
      <c r="A106" s="1122" t="s">
        <v>1603</v>
      </c>
      <c r="B106" s="891" t="s">
        <v>1680</v>
      </c>
      <c r="C106" s="891" t="s">
        <v>161</v>
      </c>
      <c r="D106" s="891" t="s">
        <v>141</v>
      </c>
      <c r="E106" s="891" t="s">
        <v>1681</v>
      </c>
      <c r="F106" s="892"/>
      <c r="G106" s="893">
        <v>80000</v>
      </c>
      <c r="H106" s="894"/>
      <c r="I106" s="1123"/>
    </row>
    <row r="107" spans="1:9" s="890" customFormat="1" ht="18.75" hidden="1" outlineLevel="1">
      <c r="A107" s="1122">
        <v>27.6</v>
      </c>
      <c r="B107" s="891" t="s">
        <v>219</v>
      </c>
      <c r="C107" s="891" t="s">
        <v>161</v>
      </c>
      <c r="D107" s="891" t="s">
        <v>141</v>
      </c>
      <c r="E107" s="891" t="s">
        <v>220</v>
      </c>
      <c r="F107" s="892"/>
      <c r="G107" s="893">
        <v>27196</v>
      </c>
      <c r="H107" s="894"/>
      <c r="I107" s="1123"/>
    </row>
    <row r="108" spans="1:9" s="890" customFormat="1" ht="18.75" hidden="1" outlineLevel="1">
      <c r="A108" s="1122">
        <v>27.6</v>
      </c>
      <c r="B108" s="891" t="s">
        <v>18</v>
      </c>
      <c r="C108" s="891" t="s">
        <v>161</v>
      </c>
      <c r="D108" s="891" t="s">
        <v>141</v>
      </c>
      <c r="E108" s="891" t="s">
        <v>1944</v>
      </c>
      <c r="F108" s="892">
        <v>5000000</v>
      </c>
      <c r="G108" s="893"/>
      <c r="H108" s="894"/>
      <c r="I108" s="1123"/>
    </row>
    <row r="109" spans="1:9" s="890" customFormat="1" ht="18.75" hidden="1" outlineLevel="1">
      <c r="A109" s="1122">
        <v>28.6</v>
      </c>
      <c r="B109" s="891" t="s">
        <v>18</v>
      </c>
      <c r="C109" s="891" t="s">
        <v>161</v>
      </c>
      <c r="D109" s="891" t="s">
        <v>1720</v>
      </c>
      <c r="E109" s="891" t="s">
        <v>191</v>
      </c>
      <c r="F109" s="892"/>
      <c r="G109" s="893">
        <v>2200000</v>
      </c>
      <c r="H109" s="894"/>
      <c r="I109" s="1123"/>
    </row>
    <row r="110" spans="1:9" s="890" customFormat="1" ht="18.75" hidden="1" outlineLevel="1">
      <c r="A110" s="1037">
        <v>28.6</v>
      </c>
      <c r="B110" s="1038" t="s">
        <v>18</v>
      </c>
      <c r="C110" s="1038" t="s">
        <v>161</v>
      </c>
      <c r="D110" s="1038" t="s">
        <v>1720</v>
      </c>
      <c r="E110" s="1038" t="s">
        <v>1945</v>
      </c>
      <c r="F110" s="1039"/>
      <c r="G110" s="1040">
        <v>1094814</v>
      </c>
      <c r="H110" s="1041"/>
      <c r="I110" s="1042"/>
    </row>
    <row r="111" spans="1:9" s="890" customFormat="1" ht="19.5" hidden="1" outlineLevel="1" thickBot="1">
      <c r="A111" s="1037" t="s">
        <v>1946</v>
      </c>
      <c r="B111" s="1038" t="s">
        <v>18</v>
      </c>
      <c r="C111" s="1038" t="s">
        <v>161</v>
      </c>
      <c r="D111" s="1038" t="s">
        <v>1720</v>
      </c>
      <c r="E111" s="1038" t="s">
        <v>1947</v>
      </c>
      <c r="F111" s="1039"/>
      <c r="G111" s="1040">
        <v>1277436</v>
      </c>
      <c r="H111" s="1041"/>
      <c r="I111" s="1042"/>
    </row>
    <row r="112" spans="1:9" s="1119" customFormat="1" ht="18" collapsed="1" thickBot="1">
      <c r="A112" s="1449" t="s">
        <v>1601</v>
      </c>
      <c r="B112" s="1116"/>
      <c r="C112" s="1117" t="s">
        <v>161</v>
      </c>
      <c r="D112" s="1116"/>
      <c r="E112" s="1115" t="s">
        <v>1602</v>
      </c>
      <c r="F112" s="1136">
        <f>SUM(F102:F111)</f>
        <v>10268525</v>
      </c>
      <c r="G112" s="1137">
        <f>SUM(G103:G111)</f>
        <v>5420746</v>
      </c>
      <c r="H112" s="1116"/>
      <c r="I112" s="1118"/>
    </row>
    <row r="113" spans="1:9" s="895" customFormat="1">
      <c r="A113" s="1131" t="s">
        <v>138</v>
      </c>
      <c r="B113" s="1124"/>
      <c r="C113" s="1124"/>
      <c r="D113" s="1124"/>
      <c r="E113" s="1125"/>
      <c r="F113" s="1138">
        <f>F112-G112</f>
        <v>4847779</v>
      </c>
      <c r="G113" s="1120"/>
      <c r="H113" s="1126"/>
      <c r="I113" s="1121"/>
    </row>
    <row r="114" spans="1:9" s="1130" customFormat="1" outlineLevel="1">
      <c r="A114" s="1133" t="s">
        <v>1716</v>
      </c>
      <c r="B114" s="1129" t="s">
        <v>1719</v>
      </c>
      <c r="C114" s="1132" t="s">
        <v>161</v>
      </c>
      <c r="D114" s="1129" t="s">
        <v>1720</v>
      </c>
      <c r="E114" s="1127" t="s">
        <v>1721</v>
      </c>
      <c r="F114" s="1139"/>
      <c r="G114" s="1140">
        <v>220000</v>
      </c>
      <c r="H114" s="1129"/>
      <c r="I114" s="1129"/>
    </row>
    <row r="115" spans="1:9" s="1130" customFormat="1" outlineLevel="1">
      <c r="A115" s="1133">
        <v>9.6999999999999993</v>
      </c>
      <c r="B115" s="1129" t="s">
        <v>1985</v>
      </c>
      <c r="C115" s="1132" t="s">
        <v>161</v>
      </c>
      <c r="D115" s="1129" t="s">
        <v>1720</v>
      </c>
      <c r="E115" s="1127" t="s">
        <v>142</v>
      </c>
      <c r="F115" s="1139">
        <v>20000000</v>
      </c>
      <c r="G115" s="1140"/>
      <c r="H115" s="1129"/>
      <c r="I115" s="1129"/>
    </row>
    <row r="116" spans="1:9" s="1130" customFormat="1" outlineLevel="1">
      <c r="A116" s="1133">
        <v>9.6999999999999993</v>
      </c>
      <c r="B116" s="1129" t="s">
        <v>185</v>
      </c>
      <c r="C116" s="1132" t="s">
        <v>161</v>
      </c>
      <c r="D116" s="1129" t="s">
        <v>1720</v>
      </c>
      <c r="E116" s="1127" t="s">
        <v>1988</v>
      </c>
      <c r="F116" s="1139"/>
      <c r="G116" s="1140">
        <v>100000</v>
      </c>
      <c r="H116" s="1129"/>
      <c r="I116" s="1129"/>
    </row>
    <row r="117" spans="1:9" s="1130" customFormat="1" outlineLevel="1">
      <c r="A117" s="1133">
        <v>10.7</v>
      </c>
      <c r="B117" s="1129" t="s">
        <v>1986</v>
      </c>
      <c r="C117" s="1132" t="s">
        <v>161</v>
      </c>
      <c r="D117" s="1129" t="s">
        <v>1720</v>
      </c>
      <c r="E117" s="1127" t="s">
        <v>1987</v>
      </c>
      <c r="F117" s="1139"/>
      <c r="G117" s="1140">
        <v>6680000</v>
      </c>
      <c r="H117" s="1129"/>
      <c r="I117" s="1129"/>
    </row>
    <row r="118" spans="1:9" s="1130" customFormat="1" outlineLevel="1">
      <c r="A118" s="1133">
        <v>2.7</v>
      </c>
      <c r="B118" s="1129" t="s">
        <v>1989</v>
      </c>
      <c r="C118" s="1132" t="s">
        <v>161</v>
      </c>
      <c r="D118" s="1129" t="s">
        <v>1720</v>
      </c>
      <c r="E118" s="1127" t="s">
        <v>1990</v>
      </c>
      <c r="F118" s="1139"/>
      <c r="G118" s="1140">
        <v>17000</v>
      </c>
      <c r="H118" s="1129"/>
      <c r="I118" s="1129"/>
    </row>
    <row r="119" spans="1:9" s="1130" customFormat="1" outlineLevel="1">
      <c r="A119" s="1133">
        <v>4.7</v>
      </c>
      <c r="B119" s="1129" t="s">
        <v>1989</v>
      </c>
      <c r="C119" s="1132" t="s">
        <v>161</v>
      </c>
      <c r="D119" s="1129" t="s">
        <v>1720</v>
      </c>
      <c r="E119" s="1127" t="s">
        <v>1991</v>
      </c>
      <c r="F119" s="1139"/>
      <c r="G119" s="1140">
        <v>17000</v>
      </c>
      <c r="H119" s="1129"/>
      <c r="I119" s="1129"/>
    </row>
    <row r="120" spans="1:9" s="1130" customFormat="1" outlineLevel="1">
      <c r="A120" s="1133">
        <v>11.7</v>
      </c>
      <c r="B120" s="1129" t="s">
        <v>1986</v>
      </c>
      <c r="C120" s="1132" t="s">
        <v>161</v>
      </c>
      <c r="D120" s="1129" t="s">
        <v>1720</v>
      </c>
      <c r="E120" s="1128" t="s">
        <v>2023</v>
      </c>
      <c r="F120" s="1139"/>
      <c r="G120" s="1140">
        <v>10000000</v>
      </c>
      <c r="H120" s="1129"/>
      <c r="I120" s="1129"/>
    </row>
    <row r="121" spans="1:9" s="1143" customFormat="1" outlineLevel="1">
      <c r="A121" s="1133">
        <v>11.7</v>
      </c>
      <c r="B121" s="1129" t="s">
        <v>1986</v>
      </c>
      <c r="C121" s="1129" t="s">
        <v>161</v>
      </c>
      <c r="D121" s="1129" t="s">
        <v>1720</v>
      </c>
      <c r="E121" s="1526" t="s">
        <v>2024</v>
      </c>
      <c r="F121" s="672"/>
      <c r="G121" s="672">
        <v>88000</v>
      </c>
      <c r="H121" s="673"/>
      <c r="I121" s="1141"/>
    </row>
    <row r="122" spans="1:9" s="1143" customFormat="1" outlineLevel="1">
      <c r="A122" s="1583">
        <v>17.7</v>
      </c>
      <c r="B122" s="1584" t="s">
        <v>232</v>
      </c>
      <c r="C122" s="1584" t="s">
        <v>161</v>
      </c>
      <c r="D122" s="1584" t="s">
        <v>141</v>
      </c>
      <c r="E122" s="1585" t="s">
        <v>2092</v>
      </c>
      <c r="F122" s="1586"/>
      <c r="G122" s="1586">
        <v>145000</v>
      </c>
      <c r="H122" s="1587"/>
      <c r="I122" s="1588"/>
    </row>
    <row r="123" spans="1:9" s="1143" customFormat="1" outlineLevel="1">
      <c r="A123" s="1583">
        <v>17.7</v>
      </c>
      <c r="B123" s="673" t="s">
        <v>1566</v>
      </c>
      <c r="C123" s="1584" t="s">
        <v>161</v>
      </c>
      <c r="D123" s="1584" t="s">
        <v>141</v>
      </c>
      <c r="E123" s="1585" t="s">
        <v>2065</v>
      </c>
      <c r="F123" s="1586"/>
      <c r="G123" s="1586">
        <v>849000</v>
      </c>
      <c r="H123" s="1587"/>
      <c r="I123" s="1588"/>
    </row>
    <row r="124" spans="1:9" s="1143" customFormat="1" outlineLevel="1">
      <c r="A124" s="1583">
        <v>17.7</v>
      </c>
      <c r="B124" s="1584" t="s">
        <v>2066</v>
      </c>
      <c r="C124" s="1584" t="s">
        <v>161</v>
      </c>
      <c r="D124" s="1584" t="s">
        <v>141</v>
      </c>
      <c r="E124" s="1585" t="s">
        <v>2068</v>
      </c>
      <c r="F124" s="1586"/>
      <c r="G124" s="1586">
        <v>35000</v>
      </c>
      <c r="H124" s="1587"/>
      <c r="I124" s="1588"/>
    </row>
    <row r="125" spans="1:9" s="1143" customFormat="1" outlineLevel="1">
      <c r="A125" s="1583">
        <v>17.7</v>
      </c>
      <c r="B125" s="1584" t="s">
        <v>2067</v>
      </c>
      <c r="C125" s="1584" t="s">
        <v>161</v>
      </c>
      <c r="D125" s="1584" t="s">
        <v>141</v>
      </c>
      <c r="E125" s="1585" t="s">
        <v>2069</v>
      </c>
      <c r="F125" s="1586"/>
      <c r="G125" s="1586">
        <v>8800</v>
      </c>
      <c r="H125" s="1587"/>
      <c r="I125" s="1588"/>
    </row>
    <row r="126" spans="1:9" s="1143" customFormat="1" outlineLevel="1">
      <c r="A126" s="1583">
        <v>18.7</v>
      </c>
      <c r="B126" s="1584" t="s">
        <v>2072</v>
      </c>
      <c r="C126" s="1584" t="s">
        <v>161</v>
      </c>
      <c r="D126" s="1584" t="s">
        <v>141</v>
      </c>
      <c r="E126" s="1585" t="s">
        <v>1988</v>
      </c>
      <c r="F126" s="1586"/>
      <c r="G126" s="1586">
        <v>150000</v>
      </c>
      <c r="H126" s="1587"/>
      <c r="I126" s="1588"/>
    </row>
    <row r="127" spans="1:9" s="1143" customFormat="1" outlineLevel="1">
      <c r="A127" s="1583">
        <v>19.7</v>
      </c>
      <c r="B127" s="1584" t="s">
        <v>2091</v>
      </c>
      <c r="C127" s="1584" t="s">
        <v>161</v>
      </c>
      <c r="D127" s="1584" t="s">
        <v>141</v>
      </c>
      <c r="E127" s="1585" t="s">
        <v>2090</v>
      </c>
      <c r="F127" s="1586"/>
      <c r="G127" s="1586">
        <v>1200000</v>
      </c>
      <c r="H127" s="1587"/>
      <c r="I127" s="1588"/>
    </row>
    <row r="128" spans="1:9" s="1143" customFormat="1" outlineLevel="1">
      <c r="A128" s="1583">
        <v>19.7</v>
      </c>
      <c r="B128" s="1584" t="s">
        <v>2072</v>
      </c>
      <c r="C128" s="1584" t="s">
        <v>161</v>
      </c>
      <c r="D128" s="1584" t="s">
        <v>141</v>
      </c>
      <c r="E128" s="1585" t="s">
        <v>228</v>
      </c>
      <c r="F128" s="1586"/>
      <c r="G128" s="1586">
        <v>100000</v>
      </c>
      <c r="H128" s="1587"/>
      <c r="I128" s="1588"/>
    </row>
    <row r="129" spans="1:9" s="1143" customFormat="1" outlineLevel="1">
      <c r="A129" s="1583">
        <v>20.7</v>
      </c>
      <c r="B129" s="1584" t="s">
        <v>2067</v>
      </c>
      <c r="C129" s="1584" t="s">
        <v>161</v>
      </c>
      <c r="D129" s="1584" t="s">
        <v>141</v>
      </c>
      <c r="E129" s="1585" t="s">
        <v>2069</v>
      </c>
      <c r="F129" s="1586"/>
      <c r="G129" s="1586">
        <v>8800</v>
      </c>
      <c r="H129" s="1587"/>
      <c r="I129" s="1588"/>
    </row>
    <row r="130" spans="1:9" s="1143" customFormat="1" outlineLevel="1">
      <c r="A130" s="1583">
        <v>23.7</v>
      </c>
      <c r="B130" s="1584" t="s">
        <v>2113</v>
      </c>
      <c r="C130" s="1584" t="s">
        <v>161</v>
      </c>
      <c r="D130" s="1584" t="s">
        <v>141</v>
      </c>
      <c r="E130" s="1585" t="s">
        <v>2126</v>
      </c>
      <c r="F130" s="1586"/>
      <c r="G130" s="1586">
        <v>625000</v>
      </c>
      <c r="H130" s="1587"/>
      <c r="I130" s="1588"/>
    </row>
    <row r="131" spans="1:9" s="1143" customFormat="1" outlineLevel="1">
      <c r="A131" s="1583">
        <v>26.7</v>
      </c>
      <c r="B131" s="1584" t="s">
        <v>2125</v>
      </c>
      <c r="C131" s="1584" t="s">
        <v>161</v>
      </c>
      <c r="D131" s="1584" t="s">
        <v>141</v>
      </c>
      <c r="E131" s="1585" t="s">
        <v>2127</v>
      </c>
      <c r="F131" s="1586"/>
      <c r="G131" s="1586">
        <v>1133000</v>
      </c>
      <c r="H131" s="1587"/>
      <c r="I131" s="1588"/>
    </row>
    <row r="132" spans="1:9" s="1143" customFormat="1" outlineLevel="1">
      <c r="A132" s="1583">
        <v>30.7</v>
      </c>
      <c r="B132" s="1584" t="s">
        <v>232</v>
      </c>
      <c r="C132" s="1584" t="s">
        <v>161</v>
      </c>
      <c r="D132" s="1584" t="s">
        <v>141</v>
      </c>
      <c r="E132" s="1585" t="s">
        <v>2068</v>
      </c>
      <c r="F132" s="1586"/>
      <c r="G132" s="1586">
        <v>42000</v>
      </c>
      <c r="H132" s="1587"/>
      <c r="I132" s="1588"/>
    </row>
    <row r="133" spans="1:9" s="1143" customFormat="1" outlineLevel="1">
      <c r="A133" s="1583">
        <v>30.7</v>
      </c>
      <c r="B133" s="1584" t="s">
        <v>2072</v>
      </c>
      <c r="C133" s="1584" t="s">
        <v>161</v>
      </c>
      <c r="D133" s="1584" t="s">
        <v>141</v>
      </c>
      <c r="E133" s="1585" t="s">
        <v>2163</v>
      </c>
      <c r="F133" s="1586"/>
      <c r="G133" s="1586">
        <v>20000</v>
      </c>
      <c r="H133" s="1587"/>
      <c r="I133" s="1588"/>
    </row>
    <row r="134" spans="1:9" s="1143" customFormat="1" outlineLevel="1">
      <c r="A134" s="1583">
        <v>31.7</v>
      </c>
      <c r="B134" s="1584" t="s">
        <v>18</v>
      </c>
      <c r="C134" s="1584" t="s">
        <v>161</v>
      </c>
      <c r="D134" s="1584" t="s">
        <v>141</v>
      </c>
      <c r="E134" s="1585" t="s">
        <v>2153</v>
      </c>
      <c r="F134" s="1586">
        <v>10000000</v>
      </c>
      <c r="G134" s="1586"/>
      <c r="H134" s="1587"/>
      <c r="I134" s="1588"/>
    </row>
    <row r="135" spans="1:9" s="1143" customFormat="1" outlineLevel="1">
      <c r="A135" s="1583">
        <v>31.7</v>
      </c>
      <c r="B135" s="1584" t="s">
        <v>2154</v>
      </c>
      <c r="C135" s="1584" t="s">
        <v>161</v>
      </c>
      <c r="D135" s="1584" t="s">
        <v>141</v>
      </c>
      <c r="E135" s="1585" t="s">
        <v>2155</v>
      </c>
      <c r="F135" s="1586"/>
      <c r="G135" s="1586">
        <v>5670000</v>
      </c>
      <c r="H135" s="1587"/>
      <c r="I135" s="1588"/>
    </row>
    <row r="136" spans="1:9" s="1143" customFormat="1" ht="18" outlineLevel="1" thickBot="1">
      <c r="A136" s="1612">
        <v>31.7</v>
      </c>
      <c r="B136" s="1613" t="s">
        <v>2156</v>
      </c>
      <c r="C136" s="1613" t="s">
        <v>161</v>
      </c>
      <c r="D136" s="1613" t="s">
        <v>141</v>
      </c>
      <c r="E136" s="1614" t="s">
        <v>191</v>
      </c>
      <c r="F136" s="1615"/>
      <c r="G136" s="1615">
        <v>2200000</v>
      </c>
      <c r="H136" s="1616"/>
      <c r="I136" s="1617"/>
    </row>
    <row r="137" spans="1:9" s="890" customFormat="1" ht="18" thickBot="1">
      <c r="A137" s="1449" t="s">
        <v>1717</v>
      </c>
      <c r="B137" s="1624"/>
      <c r="C137" s="1117" t="s">
        <v>161</v>
      </c>
      <c r="D137" s="1624"/>
      <c r="E137" s="1115" t="s">
        <v>1718</v>
      </c>
      <c r="F137" s="1625">
        <f>SUM(F113:F135)</f>
        <v>34847779</v>
      </c>
      <c r="G137" s="1626">
        <f>SUM(G114:G136)</f>
        <v>29308600</v>
      </c>
      <c r="H137" s="1116"/>
      <c r="I137" s="1627"/>
    </row>
    <row r="138" spans="1:9" s="1611" customFormat="1" ht="18.75">
      <c r="A138" s="1618" t="s">
        <v>138</v>
      </c>
      <c r="B138" s="1619"/>
      <c r="C138" s="1619"/>
      <c r="D138" s="1619"/>
      <c r="E138" s="1619"/>
      <c r="F138" s="1620">
        <f>F137-G137</f>
        <v>5539179</v>
      </c>
      <c r="G138" s="1621"/>
      <c r="H138" s="1622"/>
      <c r="I138" s="1623"/>
    </row>
    <row r="139" spans="1:9" s="890" customFormat="1" ht="18.75" outlineLevel="1">
      <c r="A139" s="1856">
        <v>3.8</v>
      </c>
      <c r="B139" s="891" t="s">
        <v>2154</v>
      </c>
      <c r="C139" s="891" t="s">
        <v>161</v>
      </c>
      <c r="D139" s="891" t="s">
        <v>141</v>
      </c>
      <c r="E139" s="891" t="s">
        <v>2160</v>
      </c>
      <c r="F139" s="892"/>
      <c r="G139" s="893">
        <v>1120000</v>
      </c>
      <c r="H139" s="894"/>
      <c r="I139" s="1123"/>
    </row>
    <row r="140" spans="1:9" s="890" customFormat="1" ht="18.75" outlineLevel="1">
      <c r="A140" s="1856">
        <v>3.8</v>
      </c>
      <c r="B140" s="891" t="s">
        <v>228</v>
      </c>
      <c r="C140" s="891" t="s">
        <v>161</v>
      </c>
      <c r="D140" s="891" t="s">
        <v>141</v>
      </c>
      <c r="E140" s="891" t="s">
        <v>184</v>
      </c>
      <c r="F140" s="892"/>
      <c r="G140" s="893">
        <v>8800</v>
      </c>
      <c r="H140" s="894"/>
      <c r="I140" s="1123"/>
    </row>
    <row r="141" spans="1:9" s="890" customFormat="1" ht="18.75" outlineLevel="1">
      <c r="A141" s="1856">
        <v>8.8000000000000007</v>
      </c>
      <c r="B141" s="891" t="s">
        <v>586</v>
      </c>
      <c r="C141" s="891" t="s">
        <v>161</v>
      </c>
      <c r="D141" s="891" t="s">
        <v>141</v>
      </c>
      <c r="E141" s="891" t="s">
        <v>2159</v>
      </c>
      <c r="F141" s="892"/>
      <c r="G141" s="893">
        <v>600000</v>
      </c>
      <c r="H141" s="894"/>
      <c r="I141" s="1123"/>
    </row>
    <row r="142" spans="1:9" s="890" customFormat="1" ht="18.75" outlineLevel="1">
      <c r="A142" s="1856">
        <v>9.8000000000000007</v>
      </c>
      <c r="B142" s="891" t="s">
        <v>192</v>
      </c>
      <c r="C142" s="891" t="s">
        <v>161</v>
      </c>
      <c r="D142" s="891" t="s">
        <v>141</v>
      </c>
      <c r="E142" s="891" t="s">
        <v>2162</v>
      </c>
      <c r="F142" s="892"/>
      <c r="G142" s="893">
        <v>1474812</v>
      </c>
      <c r="H142" s="894"/>
      <c r="I142" s="1123"/>
    </row>
    <row r="143" spans="1:9" s="890" customFormat="1" ht="18.75" outlineLevel="1">
      <c r="A143" s="1856">
        <v>9.8000000000000007</v>
      </c>
      <c r="B143" s="891" t="s">
        <v>2072</v>
      </c>
      <c r="C143" s="891" t="s">
        <v>161</v>
      </c>
      <c r="D143" s="891" t="s">
        <v>141</v>
      </c>
      <c r="E143" s="891" t="s">
        <v>2164</v>
      </c>
      <c r="F143" s="892"/>
      <c r="G143" s="893">
        <v>100000</v>
      </c>
      <c r="H143" s="894"/>
      <c r="I143" s="1123"/>
    </row>
    <row r="144" spans="1:9" s="890" customFormat="1" ht="18.75" outlineLevel="1">
      <c r="A144" s="1856">
        <v>16.8</v>
      </c>
      <c r="B144" s="891" t="s">
        <v>219</v>
      </c>
      <c r="C144" s="891" t="s">
        <v>161</v>
      </c>
      <c r="D144" s="891" t="s">
        <v>141</v>
      </c>
      <c r="E144" s="891" t="s">
        <v>2226</v>
      </c>
      <c r="F144" s="892"/>
      <c r="G144" s="893">
        <v>26747</v>
      </c>
      <c r="H144" s="894"/>
      <c r="I144" s="1123"/>
    </row>
    <row r="145" spans="1:9" s="890" customFormat="1" ht="18.75" outlineLevel="1">
      <c r="A145" s="1856">
        <v>17.8</v>
      </c>
      <c r="B145" s="891" t="s">
        <v>2240</v>
      </c>
      <c r="C145" s="891" t="s">
        <v>161</v>
      </c>
      <c r="D145" s="891" t="s">
        <v>141</v>
      </c>
      <c r="E145" s="891" t="s">
        <v>235</v>
      </c>
      <c r="F145" s="892"/>
      <c r="G145" s="893">
        <v>244000</v>
      </c>
      <c r="H145" s="894"/>
      <c r="I145" s="1123"/>
    </row>
    <row r="146" spans="1:9" s="890" customFormat="1" ht="18.75" outlineLevel="1">
      <c r="A146" s="1856">
        <v>20.8</v>
      </c>
      <c r="B146" s="891" t="s">
        <v>2250</v>
      </c>
      <c r="C146" s="891" t="s">
        <v>161</v>
      </c>
      <c r="D146" s="891" t="s">
        <v>141</v>
      </c>
      <c r="E146" s="891" t="s">
        <v>2251</v>
      </c>
      <c r="F146" s="892"/>
      <c r="G146" s="893">
        <v>10500000</v>
      </c>
      <c r="H146" s="894"/>
      <c r="I146" s="1123"/>
    </row>
    <row r="147" spans="1:9" s="890" customFormat="1" ht="18.75" outlineLevel="1">
      <c r="A147" s="1856">
        <v>20.8</v>
      </c>
      <c r="B147" s="891" t="s">
        <v>18</v>
      </c>
      <c r="C147" s="891" t="s">
        <v>161</v>
      </c>
      <c r="D147" s="891" t="s">
        <v>141</v>
      </c>
      <c r="E147" s="891" t="s">
        <v>2252</v>
      </c>
      <c r="F147" s="892">
        <v>10000000</v>
      </c>
      <c r="G147" s="893"/>
      <c r="H147" s="894"/>
      <c r="I147" s="1123"/>
    </row>
    <row r="148" spans="1:9" s="890" customFormat="1" ht="18.75">
      <c r="A148" s="1606" t="s">
        <v>2157</v>
      </c>
      <c r="B148" s="1605"/>
      <c r="C148" s="1605" t="s">
        <v>161</v>
      </c>
      <c r="D148" s="1605"/>
      <c r="E148" s="1605" t="s">
        <v>2158</v>
      </c>
      <c r="F148" s="1607">
        <f>SUM(F138:F147)</f>
        <v>15539179</v>
      </c>
      <c r="G148" s="1608">
        <f>SUM(G139:G147)</f>
        <v>14074359</v>
      </c>
      <c r="H148" s="1609"/>
      <c r="I148" s="1610"/>
    </row>
    <row r="149" spans="1:9" s="890" customFormat="1" ht="18.75">
      <c r="A149" s="1534"/>
      <c r="B149" s="1535"/>
      <c r="C149" s="1535"/>
      <c r="D149" s="1535"/>
      <c r="E149" s="1536"/>
      <c r="F149" s="1537">
        <f>F148-F138</f>
        <v>10000000</v>
      </c>
      <c r="G149" s="1538">
        <f>F148-G148</f>
        <v>1464820</v>
      </c>
      <c r="H149" s="1539"/>
      <c r="I149" s="1540"/>
    </row>
    <row r="150" spans="1:9" s="890" customFormat="1" ht="18.75">
      <c r="A150" s="1527"/>
      <c r="B150" s="1528"/>
      <c r="C150" s="1528"/>
      <c r="D150" s="1528"/>
      <c r="E150" s="1529"/>
      <c r="F150" s="1530"/>
      <c r="G150" s="1531"/>
      <c r="H150" s="1532"/>
      <c r="I150" s="1533"/>
    </row>
    <row r="151" spans="1:9">
      <c r="F151" s="1589" t="s">
        <v>258</v>
      </c>
      <c r="G151" s="1590">
        <f>G138</f>
        <v>0</v>
      </c>
      <c r="H151" s="631" t="s">
        <v>259</v>
      </c>
    </row>
    <row r="152" spans="1:9">
      <c r="F152" s="707" t="s">
        <v>260</v>
      </c>
      <c r="G152" s="708">
        <f>G113</f>
        <v>0</v>
      </c>
      <c r="H152" s="631" t="s">
        <v>259</v>
      </c>
    </row>
    <row r="153" spans="1:9">
      <c r="F153" s="709" t="s">
        <v>27</v>
      </c>
      <c r="G153" s="710">
        <v>0</v>
      </c>
      <c r="H153" s="631" t="s">
        <v>259</v>
      </c>
    </row>
    <row r="154" spans="1:9">
      <c r="F154" s="711" t="s">
        <v>31</v>
      </c>
      <c r="G154" s="712">
        <f>G149</f>
        <v>1464820</v>
      </c>
      <c r="H154" s="631" t="s">
        <v>259</v>
      </c>
    </row>
  </sheetData>
  <autoFilter ref="A5:IP154"/>
  <mergeCells count="1">
    <mergeCell ref="A1:H1"/>
  </mergeCells>
  <hyperlinks>
    <hyperlink ref="A7" location="'21.02'!A1" display="21/02"/>
    <hyperlink ref="I67" location="MR.SHIN!H26" display="1/4-9/4/2018"/>
  </hyperlinks>
  <pageMargins left="0.75" right="0.75" top="1" bottom="1" header="0.51180555555555596" footer="0.51180555555555596"/>
  <pageSetup paperSize="8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1:DD235"/>
  <sheetViews>
    <sheetView view="pageBreakPreview" zoomScale="60" zoomScaleNormal="60" workbookViewId="0">
      <pane ySplit="4" topLeftCell="A5" activePane="bottomLeft" state="frozen"/>
      <selection pane="bottomLeft" activeCell="F4" sqref="F4"/>
    </sheetView>
  </sheetViews>
  <sheetFormatPr defaultColWidth="8.7109375" defaultRowHeight="18" outlineLevelRow="1"/>
  <cols>
    <col min="1" max="1" width="10.28515625" style="54"/>
    <col min="2" max="2" width="32.5703125" style="54" customWidth="1"/>
    <col min="3" max="3" width="21.140625" style="54" customWidth="1"/>
    <col min="4" max="4" width="27" style="54" customWidth="1"/>
    <col min="5" max="5" width="74.5703125" style="523" customWidth="1"/>
    <col min="6" max="6" width="20.42578125" style="54" customWidth="1"/>
    <col min="7" max="7" width="20.5703125" style="54" customWidth="1"/>
    <col min="8" max="8" width="21.7109375" style="54" customWidth="1"/>
    <col min="9" max="9" width="29.85546875" style="522" customWidth="1"/>
    <col min="10" max="10" width="18.7109375" style="54" customWidth="1"/>
    <col min="11" max="11" width="22.28515625" style="54" bestFit="1" customWidth="1"/>
    <col min="12" max="12" width="17.7109375" style="54" customWidth="1"/>
    <col min="13" max="25" width="9.140625" style="54"/>
    <col min="26" max="26" width="19.5703125" style="524"/>
    <col min="27" max="53" width="9.140625" style="54"/>
    <col min="54" max="54" width="29.28515625" style="524" customWidth="1"/>
    <col min="55" max="55" width="17.28515625" style="54" customWidth="1"/>
    <col min="56" max="56" width="18.7109375" style="54" customWidth="1"/>
    <col min="57" max="57" width="9.140625" style="54"/>
    <col min="58" max="58" width="18.28515625" style="54" customWidth="1"/>
    <col min="59" max="256" width="9.140625" style="54"/>
    <col min="257" max="16384" width="8.7109375" style="54"/>
  </cols>
  <sheetData>
    <row r="1" spans="1:54" s="518" customFormat="1" ht="24.75" hidden="1" customHeight="1" outlineLevel="1">
      <c r="A1" s="1920"/>
      <c r="B1" s="1920"/>
      <c r="C1" s="1920"/>
      <c r="D1" s="1920"/>
      <c r="E1" s="1920"/>
      <c r="F1" s="1920"/>
      <c r="G1" s="63" t="s">
        <v>123</v>
      </c>
      <c r="H1" s="63" t="s">
        <v>124</v>
      </c>
      <c r="I1" s="122"/>
      <c r="Z1" s="549"/>
      <c r="BB1" s="549"/>
    </row>
    <row r="2" spans="1:54" s="518" customFormat="1" ht="24" customHeight="1" collapsed="1">
      <c r="A2" s="1921" t="s">
        <v>1962</v>
      </c>
      <c r="B2" s="1920"/>
      <c r="C2" s="1920"/>
      <c r="D2" s="1920"/>
      <c r="E2" s="1920"/>
      <c r="F2" s="1920"/>
      <c r="G2" s="65"/>
      <c r="H2" s="66"/>
      <c r="I2" s="122"/>
      <c r="Z2" s="549"/>
      <c r="BB2" s="549"/>
    </row>
    <row r="3" spans="1:54" s="518" customFormat="1" ht="24" customHeight="1" thickBot="1">
      <c r="A3" s="960" t="s">
        <v>1666</v>
      </c>
      <c r="B3" s="525"/>
      <c r="C3" s="64"/>
      <c r="D3" s="526"/>
      <c r="E3" s="68"/>
      <c r="F3" s="527">
        <v>43304</v>
      </c>
      <c r="G3" s="65"/>
      <c r="H3" s="65"/>
      <c r="I3" s="122"/>
      <c r="Z3" s="549"/>
      <c r="BB3" s="549"/>
    </row>
    <row r="4" spans="1:54" s="218" customFormat="1">
      <c r="A4" s="70" t="s">
        <v>129</v>
      </c>
      <c r="B4" s="70" t="s">
        <v>261</v>
      </c>
      <c r="C4" s="71" t="s">
        <v>262</v>
      </c>
      <c r="D4" s="71" t="s">
        <v>263</v>
      </c>
      <c r="E4" s="70" t="s">
        <v>133</v>
      </c>
      <c r="F4" s="72" t="s">
        <v>264</v>
      </c>
      <c r="G4" s="73" t="s">
        <v>134</v>
      </c>
      <c r="H4" s="72" t="s">
        <v>135</v>
      </c>
      <c r="I4" s="544" t="s">
        <v>265</v>
      </c>
      <c r="Z4" s="550"/>
      <c r="BB4" s="550"/>
    </row>
    <row r="5" spans="1:54">
      <c r="A5" s="74" t="s">
        <v>266</v>
      </c>
      <c r="B5" s="75"/>
      <c r="C5" s="75"/>
      <c r="D5" s="75"/>
      <c r="E5" s="76"/>
      <c r="F5" s="77"/>
      <c r="G5" s="78">
        <v>74072900</v>
      </c>
      <c r="H5" s="79"/>
      <c r="I5" s="545"/>
    </row>
    <row r="6" spans="1:54" hidden="1" outlineLevel="1">
      <c r="A6" s="147" t="s">
        <v>267</v>
      </c>
      <c r="B6" s="80" t="s">
        <v>268</v>
      </c>
      <c r="C6" s="80" t="s">
        <v>269</v>
      </c>
      <c r="D6" s="81" t="s">
        <v>268</v>
      </c>
      <c r="E6" s="82" t="s">
        <v>270</v>
      </c>
      <c r="F6" s="83" t="s">
        <v>271</v>
      </c>
      <c r="G6" s="84"/>
      <c r="H6" s="84">
        <v>1080000</v>
      </c>
      <c r="I6" s="159"/>
    </row>
    <row r="7" spans="1:54" ht="36" hidden="1" outlineLevel="1">
      <c r="A7" s="147" t="s">
        <v>267</v>
      </c>
      <c r="B7" s="80" t="s">
        <v>272</v>
      </c>
      <c r="C7" s="80" t="s">
        <v>269</v>
      </c>
      <c r="D7" s="81" t="s">
        <v>272</v>
      </c>
      <c r="E7" s="82" t="s">
        <v>273</v>
      </c>
      <c r="F7" s="83" t="s">
        <v>271</v>
      </c>
      <c r="G7" s="84"/>
      <c r="H7" s="84">
        <v>6293750</v>
      </c>
      <c r="I7" s="159"/>
    </row>
    <row r="8" spans="1:54" hidden="1" outlineLevel="1">
      <c r="A8" s="147" t="s">
        <v>274</v>
      </c>
      <c r="B8" s="80" t="s">
        <v>275</v>
      </c>
      <c r="C8" s="80" t="s">
        <v>269</v>
      </c>
      <c r="D8" s="81" t="s">
        <v>275</v>
      </c>
      <c r="E8" s="82" t="s">
        <v>276</v>
      </c>
      <c r="F8" s="83" t="s">
        <v>277</v>
      </c>
      <c r="G8" s="84"/>
      <c r="H8" s="84">
        <v>6000000</v>
      </c>
      <c r="I8" s="159"/>
    </row>
    <row r="9" spans="1:54" hidden="1" outlineLevel="1">
      <c r="A9" s="147" t="s">
        <v>278</v>
      </c>
      <c r="B9" s="80" t="s">
        <v>279</v>
      </c>
      <c r="C9" s="80" t="s">
        <v>269</v>
      </c>
      <c r="D9" s="81" t="s">
        <v>279</v>
      </c>
      <c r="E9" s="82" t="s">
        <v>280</v>
      </c>
      <c r="F9" s="83" t="s">
        <v>271</v>
      </c>
      <c r="G9" s="84"/>
      <c r="H9" s="84">
        <v>7000000</v>
      </c>
      <c r="I9" s="159"/>
    </row>
    <row r="10" spans="1:54" hidden="1" outlineLevel="1">
      <c r="A10" s="147" t="s">
        <v>278</v>
      </c>
      <c r="B10" s="80" t="s">
        <v>281</v>
      </c>
      <c r="C10" s="80" t="s">
        <v>269</v>
      </c>
      <c r="D10" s="81" t="s">
        <v>281</v>
      </c>
      <c r="E10" s="82" t="s">
        <v>282</v>
      </c>
      <c r="F10" s="83" t="s">
        <v>271</v>
      </c>
      <c r="G10" s="84"/>
      <c r="H10" s="84">
        <v>500000</v>
      </c>
      <c r="I10" s="159"/>
    </row>
    <row r="11" spans="1:54" hidden="1" outlineLevel="1">
      <c r="A11" s="147" t="s">
        <v>278</v>
      </c>
      <c r="B11" s="80" t="s">
        <v>283</v>
      </c>
      <c r="C11" s="80" t="s">
        <v>269</v>
      </c>
      <c r="D11" s="81" t="s">
        <v>283</v>
      </c>
      <c r="E11" s="82" t="s">
        <v>284</v>
      </c>
      <c r="F11" s="83" t="s">
        <v>271</v>
      </c>
      <c r="G11" s="84"/>
      <c r="H11" s="84">
        <v>880000</v>
      </c>
      <c r="I11" s="159"/>
    </row>
    <row r="12" spans="1:54" hidden="1" outlineLevel="1">
      <c r="A12" s="147" t="s">
        <v>278</v>
      </c>
      <c r="B12" s="80" t="s">
        <v>285</v>
      </c>
      <c r="C12" s="80" t="s">
        <v>269</v>
      </c>
      <c r="D12" s="81" t="s">
        <v>285</v>
      </c>
      <c r="E12" s="82" t="s">
        <v>286</v>
      </c>
      <c r="F12" s="83" t="s">
        <v>271</v>
      </c>
      <c r="G12" s="84"/>
      <c r="H12" s="84">
        <v>10000000</v>
      </c>
      <c r="I12" s="159"/>
    </row>
    <row r="13" spans="1:54" hidden="1" outlineLevel="1">
      <c r="A13" s="147" t="s">
        <v>287</v>
      </c>
      <c r="B13" s="80" t="s">
        <v>281</v>
      </c>
      <c r="C13" s="80" t="s">
        <v>269</v>
      </c>
      <c r="D13" s="81" t="s">
        <v>281</v>
      </c>
      <c r="E13" s="82" t="s">
        <v>288</v>
      </c>
      <c r="F13" s="83" t="s">
        <v>271</v>
      </c>
      <c r="G13" s="84"/>
      <c r="H13" s="84">
        <v>1630000</v>
      </c>
      <c r="I13" s="159"/>
    </row>
    <row r="14" spans="1:54" hidden="1" outlineLevel="1">
      <c r="A14" s="147" t="s">
        <v>289</v>
      </c>
      <c r="B14" s="80" t="s">
        <v>272</v>
      </c>
      <c r="C14" s="80" t="s">
        <v>269</v>
      </c>
      <c r="D14" s="81" t="s">
        <v>272</v>
      </c>
      <c r="E14" s="82" t="s">
        <v>290</v>
      </c>
      <c r="F14" s="83" t="s">
        <v>271</v>
      </c>
      <c r="G14" s="84"/>
      <c r="H14" s="84">
        <v>2550000</v>
      </c>
      <c r="I14" s="159"/>
    </row>
    <row r="15" spans="1:54" hidden="1" outlineLevel="1">
      <c r="A15" s="147" t="s">
        <v>289</v>
      </c>
      <c r="B15" s="80" t="s">
        <v>291</v>
      </c>
      <c r="C15" s="80" t="s">
        <v>269</v>
      </c>
      <c r="D15" s="81" t="s">
        <v>291</v>
      </c>
      <c r="E15" s="82" t="s">
        <v>292</v>
      </c>
      <c r="F15" s="83" t="s">
        <v>271</v>
      </c>
      <c r="G15" s="84"/>
      <c r="H15" s="84">
        <v>5423200</v>
      </c>
      <c r="I15" s="159"/>
    </row>
    <row r="16" spans="1:54" hidden="1" outlineLevel="1">
      <c r="A16" s="147" t="s">
        <v>289</v>
      </c>
      <c r="B16" s="80" t="s">
        <v>272</v>
      </c>
      <c r="C16" s="80" t="s">
        <v>269</v>
      </c>
      <c r="D16" s="81" t="s">
        <v>272</v>
      </c>
      <c r="E16" s="82" t="s">
        <v>284</v>
      </c>
      <c r="F16" s="83" t="s">
        <v>271</v>
      </c>
      <c r="G16" s="84"/>
      <c r="H16" s="84">
        <v>100000</v>
      </c>
      <c r="I16" s="159"/>
    </row>
    <row r="17" spans="1:9" hidden="1" outlineLevel="1">
      <c r="A17" s="147" t="s">
        <v>289</v>
      </c>
      <c r="B17" s="80" t="s">
        <v>283</v>
      </c>
      <c r="C17" s="80" t="s">
        <v>269</v>
      </c>
      <c r="D17" s="81" t="s">
        <v>283</v>
      </c>
      <c r="E17" s="82" t="s">
        <v>293</v>
      </c>
      <c r="F17" s="83" t="s">
        <v>271</v>
      </c>
      <c r="G17" s="84"/>
      <c r="H17" s="84">
        <v>120000</v>
      </c>
      <c r="I17" s="159"/>
    </row>
    <row r="18" spans="1:9" hidden="1" outlineLevel="1">
      <c r="A18" s="147" t="s">
        <v>289</v>
      </c>
      <c r="B18" s="80" t="s">
        <v>281</v>
      </c>
      <c r="C18" s="80" t="s">
        <v>269</v>
      </c>
      <c r="D18" s="81" t="s">
        <v>281</v>
      </c>
      <c r="E18" s="82" t="s">
        <v>294</v>
      </c>
      <c r="F18" s="83" t="s">
        <v>271</v>
      </c>
      <c r="G18" s="84"/>
      <c r="H18" s="84">
        <v>1680000</v>
      </c>
      <c r="I18" s="159"/>
    </row>
    <row r="19" spans="1:9" hidden="1" outlineLevel="1">
      <c r="A19" s="147" t="s">
        <v>295</v>
      </c>
      <c r="B19" s="80" t="s">
        <v>283</v>
      </c>
      <c r="C19" s="80" t="s">
        <v>269</v>
      </c>
      <c r="D19" s="81" t="s">
        <v>283</v>
      </c>
      <c r="E19" s="82" t="s">
        <v>284</v>
      </c>
      <c r="F19" s="83" t="s">
        <v>271</v>
      </c>
      <c r="G19" s="84"/>
      <c r="H19" s="84">
        <v>70000</v>
      </c>
      <c r="I19" s="159"/>
    </row>
    <row r="20" spans="1:9" hidden="1" outlineLevel="1">
      <c r="A20" s="147" t="s">
        <v>295</v>
      </c>
      <c r="B20" s="80" t="s">
        <v>268</v>
      </c>
      <c r="C20" s="80" t="s">
        <v>269</v>
      </c>
      <c r="D20" s="81" t="s">
        <v>268</v>
      </c>
      <c r="E20" s="82" t="s">
        <v>296</v>
      </c>
      <c r="F20" s="83" t="s">
        <v>271</v>
      </c>
      <c r="G20" s="84"/>
      <c r="H20" s="84">
        <v>6100000</v>
      </c>
      <c r="I20" s="159"/>
    </row>
    <row r="21" spans="1:9" hidden="1" outlineLevel="1">
      <c r="A21" s="147" t="s">
        <v>295</v>
      </c>
      <c r="B21" s="80" t="s">
        <v>272</v>
      </c>
      <c r="C21" s="80" t="s">
        <v>269</v>
      </c>
      <c r="D21" s="81" t="s">
        <v>272</v>
      </c>
      <c r="E21" s="82" t="s">
        <v>297</v>
      </c>
      <c r="F21" s="83" t="s">
        <v>271</v>
      </c>
      <c r="G21" s="84"/>
      <c r="H21" s="84">
        <v>315000</v>
      </c>
      <c r="I21" s="159"/>
    </row>
    <row r="22" spans="1:9" hidden="1" outlineLevel="1">
      <c r="A22" s="147" t="s">
        <v>298</v>
      </c>
      <c r="B22" s="80" t="s">
        <v>268</v>
      </c>
      <c r="C22" s="80" t="s">
        <v>269</v>
      </c>
      <c r="D22" s="81" t="s">
        <v>268</v>
      </c>
      <c r="E22" s="82" t="s">
        <v>299</v>
      </c>
      <c r="F22" s="83" t="s">
        <v>271</v>
      </c>
      <c r="G22" s="84"/>
      <c r="H22" s="84">
        <v>968000</v>
      </c>
      <c r="I22" s="159"/>
    </row>
    <row r="23" spans="1:9" hidden="1" outlineLevel="1">
      <c r="A23" s="147" t="s">
        <v>298</v>
      </c>
      <c r="B23" s="80" t="s">
        <v>300</v>
      </c>
      <c r="C23" s="80" t="s">
        <v>269</v>
      </c>
      <c r="D23" s="81" t="s">
        <v>300</v>
      </c>
      <c r="E23" s="82" t="s">
        <v>301</v>
      </c>
      <c r="F23" s="83" t="s">
        <v>271</v>
      </c>
      <c r="G23" s="84"/>
      <c r="H23" s="84">
        <f>48180+15400</f>
        <v>63580</v>
      </c>
      <c r="I23" s="159"/>
    </row>
    <row r="24" spans="1:9" hidden="1" outlineLevel="1">
      <c r="A24" s="147" t="s">
        <v>298</v>
      </c>
      <c r="B24" s="80" t="s">
        <v>281</v>
      </c>
      <c r="C24" s="80" t="s">
        <v>269</v>
      </c>
      <c r="D24" s="81" t="s">
        <v>281</v>
      </c>
      <c r="E24" s="82" t="s">
        <v>302</v>
      </c>
      <c r="F24" s="83" t="s">
        <v>271</v>
      </c>
      <c r="G24" s="84"/>
      <c r="H24" s="84">
        <v>1240000</v>
      </c>
      <c r="I24" s="159"/>
    </row>
    <row r="25" spans="1:9" hidden="1" outlineLevel="1">
      <c r="A25" s="147" t="s">
        <v>303</v>
      </c>
      <c r="B25" s="80" t="s">
        <v>304</v>
      </c>
      <c r="C25" s="80" t="s">
        <v>269</v>
      </c>
      <c r="D25" s="81" t="s">
        <v>304</v>
      </c>
      <c r="E25" s="82" t="s">
        <v>305</v>
      </c>
      <c r="F25" s="83" t="s">
        <v>271</v>
      </c>
      <c r="G25" s="84">
        <v>100000000</v>
      </c>
      <c r="H25" s="84"/>
      <c r="I25" s="159"/>
    </row>
    <row r="26" spans="1:9" hidden="1" outlineLevel="1">
      <c r="A26" s="147" t="s">
        <v>306</v>
      </c>
      <c r="B26" s="80" t="s">
        <v>285</v>
      </c>
      <c r="C26" s="80" t="s">
        <v>269</v>
      </c>
      <c r="D26" s="81" t="s">
        <v>285</v>
      </c>
      <c r="E26" s="82" t="s">
        <v>307</v>
      </c>
      <c r="F26" s="83" t="s">
        <v>271</v>
      </c>
      <c r="G26" s="84"/>
      <c r="H26" s="84">
        <v>4270000</v>
      </c>
      <c r="I26" s="159"/>
    </row>
    <row r="27" spans="1:9" ht="36" hidden="1" outlineLevel="1">
      <c r="A27" s="147" t="s">
        <v>306</v>
      </c>
      <c r="B27" s="80" t="s">
        <v>308</v>
      </c>
      <c r="C27" s="80" t="s">
        <v>269</v>
      </c>
      <c r="D27" s="81" t="s">
        <v>308</v>
      </c>
      <c r="E27" s="82" t="s">
        <v>309</v>
      </c>
      <c r="F27" s="83" t="s">
        <v>271</v>
      </c>
      <c r="G27" s="84"/>
      <c r="H27" s="84">
        <v>310000</v>
      </c>
      <c r="I27" s="159"/>
    </row>
    <row r="28" spans="1:9" hidden="1" outlineLevel="1">
      <c r="A28" s="147" t="s">
        <v>306</v>
      </c>
      <c r="B28" s="80" t="s">
        <v>285</v>
      </c>
      <c r="C28" s="80" t="s">
        <v>269</v>
      </c>
      <c r="D28" s="81" t="s">
        <v>285</v>
      </c>
      <c r="E28" s="82" t="s">
        <v>310</v>
      </c>
      <c r="F28" s="83" t="s">
        <v>271</v>
      </c>
      <c r="G28" s="84"/>
      <c r="H28" s="84">
        <v>1000000</v>
      </c>
      <c r="I28" s="159"/>
    </row>
    <row r="29" spans="1:9" hidden="1" outlineLevel="1">
      <c r="A29" s="147" t="s">
        <v>306</v>
      </c>
      <c r="B29" s="80" t="s">
        <v>272</v>
      </c>
      <c r="C29" s="80" t="s">
        <v>269</v>
      </c>
      <c r="D29" s="81" t="s">
        <v>272</v>
      </c>
      <c r="E29" s="82" t="s">
        <v>311</v>
      </c>
      <c r="F29" s="83" t="s">
        <v>271</v>
      </c>
      <c r="G29" s="84"/>
      <c r="H29" s="84">
        <v>3585520</v>
      </c>
      <c r="I29" s="159"/>
    </row>
    <row r="30" spans="1:9" hidden="1" outlineLevel="1">
      <c r="A30" s="147" t="s">
        <v>306</v>
      </c>
      <c r="B30" s="80" t="s">
        <v>283</v>
      </c>
      <c r="C30" s="80" t="s">
        <v>269</v>
      </c>
      <c r="D30" s="81" t="s">
        <v>283</v>
      </c>
      <c r="E30" s="82" t="s">
        <v>312</v>
      </c>
      <c r="F30" s="83" t="s">
        <v>313</v>
      </c>
      <c r="G30" s="84"/>
      <c r="H30" s="84">
        <v>3000000</v>
      </c>
      <c r="I30" s="159"/>
    </row>
    <row r="31" spans="1:9" ht="36" hidden="1" outlineLevel="1">
      <c r="A31" s="147" t="s">
        <v>314</v>
      </c>
      <c r="B31" s="80" t="s">
        <v>268</v>
      </c>
      <c r="C31" s="80" t="s">
        <v>269</v>
      </c>
      <c r="D31" s="81" t="s">
        <v>268</v>
      </c>
      <c r="E31" s="82" t="s">
        <v>315</v>
      </c>
      <c r="F31" s="83" t="s">
        <v>271</v>
      </c>
      <c r="G31" s="84"/>
      <c r="H31" s="84">
        <v>350000</v>
      </c>
      <c r="I31" s="159"/>
    </row>
    <row r="32" spans="1:9" hidden="1" outlineLevel="1">
      <c r="A32" s="147" t="s">
        <v>316</v>
      </c>
      <c r="B32" s="80" t="s">
        <v>281</v>
      </c>
      <c r="C32" s="80" t="s">
        <v>269</v>
      </c>
      <c r="D32" s="81" t="s">
        <v>281</v>
      </c>
      <c r="E32" s="82" t="s">
        <v>317</v>
      </c>
      <c r="F32" s="83" t="s">
        <v>271</v>
      </c>
      <c r="G32" s="84"/>
      <c r="H32" s="84">
        <v>2160000</v>
      </c>
      <c r="I32" s="159"/>
    </row>
    <row r="33" spans="1:54" hidden="1" outlineLevel="1">
      <c r="A33" s="147" t="s">
        <v>318</v>
      </c>
      <c r="B33" s="80" t="s">
        <v>268</v>
      </c>
      <c r="C33" s="80" t="s">
        <v>269</v>
      </c>
      <c r="D33" s="81" t="s">
        <v>268</v>
      </c>
      <c r="E33" s="82" t="s">
        <v>319</v>
      </c>
      <c r="F33" s="83" t="s">
        <v>271</v>
      </c>
      <c r="G33" s="84"/>
      <c r="H33" s="84">
        <v>240000</v>
      </c>
      <c r="I33" s="159"/>
    </row>
    <row r="34" spans="1:54" ht="36" hidden="1" outlineLevel="1">
      <c r="A34" s="147" t="s">
        <v>318</v>
      </c>
      <c r="B34" s="80" t="s">
        <v>268</v>
      </c>
      <c r="C34" s="80" t="s">
        <v>269</v>
      </c>
      <c r="D34" s="81" t="s">
        <v>268</v>
      </c>
      <c r="E34" s="82" t="s">
        <v>320</v>
      </c>
      <c r="F34" s="83" t="s">
        <v>271</v>
      </c>
      <c r="G34" s="84"/>
      <c r="H34" s="84">
        <v>260000</v>
      </c>
      <c r="I34" s="159"/>
    </row>
    <row r="35" spans="1:54" hidden="1" outlineLevel="1">
      <c r="A35" s="147" t="s">
        <v>321</v>
      </c>
      <c r="B35" s="80" t="s">
        <v>322</v>
      </c>
      <c r="C35" s="80" t="s">
        <v>269</v>
      </c>
      <c r="D35" s="81" t="s">
        <v>322</v>
      </c>
      <c r="E35" s="82" t="s">
        <v>323</v>
      </c>
      <c r="F35" s="83" t="s">
        <v>271</v>
      </c>
      <c r="G35" s="84"/>
      <c r="H35" s="84">
        <v>50000000</v>
      </c>
      <c r="I35" s="159"/>
    </row>
    <row r="36" spans="1:54" s="519" customFormat="1" hidden="1" outlineLevel="1">
      <c r="A36" s="528" t="s">
        <v>321</v>
      </c>
      <c r="B36" s="529" t="s">
        <v>300</v>
      </c>
      <c r="C36" s="529" t="s">
        <v>269</v>
      </c>
      <c r="D36" s="530" t="s">
        <v>300</v>
      </c>
      <c r="E36" s="531" t="s">
        <v>324</v>
      </c>
      <c r="F36" s="532" t="s">
        <v>271</v>
      </c>
      <c r="G36" s="533"/>
      <c r="H36" s="533">
        <v>38500</v>
      </c>
      <c r="I36" s="546">
        <v>23100</v>
      </c>
      <c r="Z36" s="551"/>
      <c r="BB36" s="551"/>
    </row>
    <row r="37" spans="1:54" hidden="1" outlineLevel="1">
      <c r="A37" s="147" t="s">
        <v>321</v>
      </c>
      <c r="B37" s="80" t="s">
        <v>268</v>
      </c>
      <c r="C37" s="80" t="s">
        <v>269</v>
      </c>
      <c r="D37" s="81" t="s">
        <v>268</v>
      </c>
      <c r="E37" s="82" t="s">
        <v>325</v>
      </c>
      <c r="F37" s="83" t="s">
        <v>271</v>
      </c>
      <c r="G37" s="84"/>
      <c r="H37" s="84">
        <v>180000</v>
      </c>
      <c r="I37" s="159"/>
    </row>
    <row r="38" spans="1:54" s="519" customFormat="1" hidden="1" outlineLevel="1">
      <c r="A38" s="528" t="s">
        <v>321</v>
      </c>
      <c r="B38" s="529" t="s">
        <v>272</v>
      </c>
      <c r="C38" s="529" t="s">
        <v>269</v>
      </c>
      <c r="D38" s="530" t="s">
        <v>272</v>
      </c>
      <c r="E38" s="531" t="s">
        <v>326</v>
      </c>
      <c r="F38" s="532" t="s">
        <v>277</v>
      </c>
      <c r="G38" s="533"/>
      <c r="H38" s="533">
        <v>1369000</v>
      </c>
      <c r="I38" s="546" t="s">
        <v>327</v>
      </c>
      <c r="Z38" s="551"/>
      <c r="BB38" s="551"/>
    </row>
    <row r="39" spans="1:54" ht="36" hidden="1" outlineLevel="1">
      <c r="A39" s="147" t="s">
        <v>328</v>
      </c>
      <c r="B39" s="80" t="s">
        <v>268</v>
      </c>
      <c r="C39" s="80" t="s">
        <v>269</v>
      </c>
      <c r="D39" s="81" t="s">
        <v>268</v>
      </c>
      <c r="E39" s="82" t="s">
        <v>329</v>
      </c>
      <c r="F39" s="83" t="s">
        <v>271</v>
      </c>
      <c r="G39" s="84"/>
      <c r="H39" s="84">
        <v>190000</v>
      </c>
      <c r="I39" s="159"/>
    </row>
    <row r="40" spans="1:54" hidden="1" outlineLevel="1">
      <c r="A40" s="147" t="s">
        <v>328</v>
      </c>
      <c r="B40" s="80" t="s">
        <v>281</v>
      </c>
      <c r="C40" s="80" t="s">
        <v>269</v>
      </c>
      <c r="D40" s="81" t="s">
        <v>281</v>
      </c>
      <c r="E40" s="82" t="s">
        <v>330</v>
      </c>
      <c r="F40" s="83" t="s">
        <v>271</v>
      </c>
      <c r="G40" s="84"/>
      <c r="H40" s="84">
        <v>3060000</v>
      </c>
      <c r="I40" s="159"/>
    </row>
    <row r="41" spans="1:54" hidden="1" outlineLevel="1">
      <c r="A41" s="147" t="s">
        <v>331</v>
      </c>
      <c r="B41" s="80" t="s">
        <v>272</v>
      </c>
      <c r="C41" s="80" t="s">
        <v>269</v>
      </c>
      <c r="D41" s="81" t="s">
        <v>272</v>
      </c>
      <c r="E41" s="82" t="s">
        <v>332</v>
      </c>
      <c r="F41" s="83" t="s">
        <v>271</v>
      </c>
      <c r="G41" s="84"/>
      <c r="H41" s="84">
        <v>1763000</v>
      </c>
      <c r="I41" s="159"/>
    </row>
    <row r="42" spans="1:54" hidden="1" outlineLevel="1">
      <c r="A42" s="147" t="s">
        <v>331</v>
      </c>
      <c r="B42" s="80" t="s">
        <v>272</v>
      </c>
      <c r="C42" s="80" t="s">
        <v>269</v>
      </c>
      <c r="D42" s="81" t="s">
        <v>272</v>
      </c>
      <c r="E42" s="82" t="s">
        <v>333</v>
      </c>
      <c r="F42" s="83" t="s">
        <v>271</v>
      </c>
      <c r="G42" s="84"/>
      <c r="H42" s="84">
        <v>2500000</v>
      </c>
      <c r="I42" s="159"/>
    </row>
    <row r="43" spans="1:54" hidden="1" outlineLevel="1">
      <c r="A43" s="147" t="s">
        <v>331</v>
      </c>
      <c r="B43" s="80" t="s">
        <v>281</v>
      </c>
      <c r="C43" s="80" t="s">
        <v>269</v>
      </c>
      <c r="D43" s="81" t="s">
        <v>281</v>
      </c>
      <c r="E43" s="82" t="s">
        <v>334</v>
      </c>
      <c r="F43" s="83" t="s">
        <v>271</v>
      </c>
      <c r="G43" s="84"/>
      <c r="H43" s="84">
        <v>400000</v>
      </c>
      <c r="I43" s="159"/>
    </row>
    <row r="44" spans="1:54" s="518" customFormat="1" collapsed="1">
      <c r="A44" s="534" t="s">
        <v>38</v>
      </c>
      <c r="B44" s="535"/>
      <c r="C44" s="535" t="s">
        <v>269</v>
      </c>
      <c r="D44" s="536"/>
      <c r="E44" s="537" t="s">
        <v>175</v>
      </c>
      <c r="F44" s="538"/>
      <c r="G44" s="539">
        <f>SUM(G6:G37)</f>
        <v>100000000</v>
      </c>
      <c r="H44" s="540">
        <f>SUM(H6:H43)</f>
        <v>126689550</v>
      </c>
      <c r="I44" s="547"/>
      <c r="Z44" s="549"/>
      <c r="BB44" s="549"/>
    </row>
    <row r="45" spans="1:54" ht="18.75" thickBot="1">
      <c r="A45" s="541" t="s">
        <v>266</v>
      </c>
      <c r="B45" s="98"/>
      <c r="C45" s="98"/>
      <c r="D45" s="99"/>
      <c r="E45" s="542"/>
      <c r="F45" s="101"/>
      <c r="G45" s="102">
        <f>SUM(G5,G44)-H44</f>
        <v>47383350</v>
      </c>
      <c r="H45" s="543"/>
      <c r="I45" s="548"/>
    </row>
    <row r="46" spans="1:54" ht="33" hidden="1" customHeight="1" outlineLevel="1">
      <c r="A46" s="147" t="s">
        <v>335</v>
      </c>
      <c r="B46" s="80" t="s">
        <v>272</v>
      </c>
      <c r="C46" s="80" t="s">
        <v>269</v>
      </c>
      <c r="D46" s="81" t="s">
        <v>272</v>
      </c>
      <c r="E46" s="82" t="s">
        <v>336</v>
      </c>
      <c r="F46" s="83" t="s">
        <v>271</v>
      </c>
      <c r="G46" s="84"/>
      <c r="H46" s="84">
        <v>240000</v>
      </c>
      <c r="I46" s="159"/>
    </row>
    <row r="47" spans="1:54" ht="33" hidden="1" customHeight="1" outlineLevel="1">
      <c r="A47" s="147" t="s">
        <v>335</v>
      </c>
      <c r="B47" s="80" t="s">
        <v>272</v>
      </c>
      <c r="C47" s="80" t="s">
        <v>269</v>
      </c>
      <c r="D47" s="81" t="s">
        <v>272</v>
      </c>
      <c r="E47" s="82" t="s">
        <v>337</v>
      </c>
      <c r="F47" s="83" t="s">
        <v>271</v>
      </c>
      <c r="G47" s="84"/>
      <c r="H47" s="84">
        <v>180000</v>
      </c>
      <c r="I47" s="159"/>
    </row>
    <row r="48" spans="1:54" ht="33" hidden="1" customHeight="1" outlineLevel="1">
      <c r="A48" s="147" t="s">
        <v>335</v>
      </c>
      <c r="B48" s="80" t="s">
        <v>283</v>
      </c>
      <c r="C48" s="80" t="s">
        <v>269</v>
      </c>
      <c r="D48" s="81" t="s">
        <v>283</v>
      </c>
      <c r="E48" s="82" t="s">
        <v>280</v>
      </c>
      <c r="F48" s="83" t="s">
        <v>271</v>
      </c>
      <c r="G48" s="84"/>
      <c r="H48" s="84">
        <v>10000000</v>
      </c>
      <c r="I48" s="159"/>
    </row>
    <row r="49" spans="1:9" ht="33" hidden="1" customHeight="1" outlineLevel="1">
      <c r="A49" s="147" t="s">
        <v>338</v>
      </c>
      <c r="B49" s="80" t="s">
        <v>281</v>
      </c>
      <c r="C49" s="80" t="s">
        <v>269</v>
      </c>
      <c r="D49" s="81" t="s">
        <v>281</v>
      </c>
      <c r="E49" s="82" t="s">
        <v>339</v>
      </c>
      <c r="F49" s="83" t="s">
        <v>271</v>
      </c>
      <c r="G49" s="84"/>
      <c r="H49" s="84">
        <v>1170000</v>
      </c>
      <c r="I49" s="159"/>
    </row>
    <row r="50" spans="1:9" ht="33" hidden="1" customHeight="1" outlineLevel="1">
      <c r="A50" s="147" t="s">
        <v>338</v>
      </c>
      <c r="B50" s="80" t="s">
        <v>275</v>
      </c>
      <c r="C50" s="80" t="s">
        <v>269</v>
      </c>
      <c r="D50" s="81" t="s">
        <v>275</v>
      </c>
      <c r="E50" s="82" t="s">
        <v>276</v>
      </c>
      <c r="F50" s="83" t="s">
        <v>313</v>
      </c>
      <c r="G50" s="84"/>
      <c r="H50" s="84">
        <v>3000000</v>
      </c>
      <c r="I50" s="159"/>
    </row>
    <row r="51" spans="1:9" ht="33" hidden="1" customHeight="1" outlineLevel="1">
      <c r="A51" s="147" t="s">
        <v>338</v>
      </c>
      <c r="B51" s="80" t="s">
        <v>268</v>
      </c>
      <c r="C51" s="80" t="s">
        <v>269</v>
      </c>
      <c r="D51" s="81" t="s">
        <v>268</v>
      </c>
      <c r="E51" s="82" t="s">
        <v>340</v>
      </c>
      <c r="F51" s="83" t="s">
        <v>271</v>
      </c>
      <c r="G51" s="84"/>
      <c r="H51" s="84">
        <v>400000</v>
      </c>
      <c r="I51" s="159"/>
    </row>
    <row r="52" spans="1:9" ht="33" hidden="1" customHeight="1" outlineLevel="1">
      <c r="A52" s="147" t="s">
        <v>338</v>
      </c>
      <c r="B52" s="80" t="s">
        <v>341</v>
      </c>
      <c r="C52" s="80" t="s">
        <v>269</v>
      </c>
      <c r="D52" s="81" t="s">
        <v>341</v>
      </c>
      <c r="E52" s="82" t="s">
        <v>342</v>
      </c>
      <c r="F52" s="83" t="s">
        <v>271</v>
      </c>
      <c r="G52" s="84"/>
      <c r="H52" s="84">
        <v>9500000</v>
      </c>
      <c r="I52" s="159"/>
    </row>
    <row r="53" spans="1:9" ht="33" hidden="1" customHeight="1" outlineLevel="1">
      <c r="A53" s="147" t="s">
        <v>343</v>
      </c>
      <c r="B53" s="80" t="s">
        <v>344</v>
      </c>
      <c r="C53" s="80" t="s">
        <v>269</v>
      </c>
      <c r="D53" s="81" t="s">
        <v>344</v>
      </c>
      <c r="E53" s="82" t="s">
        <v>345</v>
      </c>
      <c r="F53" s="83" t="s">
        <v>271</v>
      </c>
      <c r="G53" s="84"/>
      <c r="H53" s="84">
        <v>1800000</v>
      </c>
      <c r="I53" s="159"/>
    </row>
    <row r="54" spans="1:9" ht="33" hidden="1" customHeight="1" outlineLevel="1">
      <c r="A54" s="147" t="s">
        <v>343</v>
      </c>
      <c r="B54" s="80" t="s">
        <v>346</v>
      </c>
      <c r="C54" s="80" t="s">
        <v>269</v>
      </c>
      <c r="D54" s="81" t="s">
        <v>346</v>
      </c>
      <c r="E54" s="82" t="s">
        <v>347</v>
      </c>
      <c r="F54" s="83" t="s">
        <v>271</v>
      </c>
      <c r="G54" s="84"/>
      <c r="H54" s="84">
        <v>5000000</v>
      </c>
      <c r="I54" s="159"/>
    </row>
    <row r="55" spans="1:9" ht="33" hidden="1" customHeight="1" outlineLevel="1">
      <c r="A55" s="147" t="s">
        <v>343</v>
      </c>
      <c r="B55" s="80" t="s">
        <v>281</v>
      </c>
      <c r="C55" s="80" t="s">
        <v>269</v>
      </c>
      <c r="D55" s="81" t="s">
        <v>281</v>
      </c>
      <c r="E55" s="82" t="s">
        <v>348</v>
      </c>
      <c r="F55" s="83" t="s">
        <v>271</v>
      </c>
      <c r="G55" s="84"/>
      <c r="H55" s="84">
        <v>1250000</v>
      </c>
      <c r="I55" s="159"/>
    </row>
    <row r="56" spans="1:9" ht="33" hidden="1" customHeight="1" outlineLevel="1">
      <c r="A56" s="147" t="s">
        <v>343</v>
      </c>
      <c r="B56" s="80" t="s">
        <v>268</v>
      </c>
      <c r="C56" s="80" t="s">
        <v>269</v>
      </c>
      <c r="D56" s="81" t="s">
        <v>268</v>
      </c>
      <c r="E56" s="82" t="s">
        <v>349</v>
      </c>
      <c r="F56" s="83" t="s">
        <v>271</v>
      </c>
      <c r="G56" s="84"/>
      <c r="H56" s="84">
        <v>300000</v>
      </c>
      <c r="I56" s="159"/>
    </row>
    <row r="57" spans="1:9" ht="33" hidden="1" customHeight="1" outlineLevel="1">
      <c r="A57" s="147" t="s">
        <v>350</v>
      </c>
      <c r="B57" s="80" t="s">
        <v>291</v>
      </c>
      <c r="C57" s="80" t="s">
        <v>269</v>
      </c>
      <c r="D57" s="81" t="s">
        <v>291</v>
      </c>
      <c r="E57" s="82" t="s">
        <v>351</v>
      </c>
      <c r="F57" s="83" t="s">
        <v>271</v>
      </c>
      <c r="G57" s="84"/>
      <c r="H57" s="84">
        <v>3000000</v>
      </c>
      <c r="I57" s="159"/>
    </row>
    <row r="58" spans="1:9" ht="33" hidden="1" customHeight="1" outlineLevel="1">
      <c r="A58" s="147" t="s">
        <v>350</v>
      </c>
      <c r="B58" s="80" t="s">
        <v>281</v>
      </c>
      <c r="C58" s="80" t="s">
        <v>269</v>
      </c>
      <c r="D58" s="81" t="s">
        <v>281</v>
      </c>
      <c r="E58" s="82" t="s">
        <v>352</v>
      </c>
      <c r="F58" s="83" t="s">
        <v>271</v>
      </c>
      <c r="G58" s="84"/>
      <c r="H58" s="84">
        <v>720000</v>
      </c>
      <c r="I58" s="159"/>
    </row>
    <row r="59" spans="1:9" ht="33" hidden="1" customHeight="1" outlineLevel="1">
      <c r="A59" s="147" t="s">
        <v>350</v>
      </c>
      <c r="B59" s="80" t="s">
        <v>353</v>
      </c>
      <c r="C59" s="80" t="s">
        <v>269</v>
      </c>
      <c r="D59" s="81" t="s">
        <v>353</v>
      </c>
      <c r="E59" s="82" t="s">
        <v>354</v>
      </c>
      <c r="F59" s="83" t="s">
        <v>271</v>
      </c>
      <c r="G59" s="84"/>
      <c r="H59" s="84">
        <v>500000</v>
      </c>
      <c r="I59" s="159"/>
    </row>
    <row r="60" spans="1:9" ht="33" hidden="1" customHeight="1" outlineLevel="1">
      <c r="A60" s="147" t="s">
        <v>355</v>
      </c>
      <c r="B60" s="80" t="s">
        <v>272</v>
      </c>
      <c r="C60" s="80" t="s">
        <v>269</v>
      </c>
      <c r="D60" s="81" t="s">
        <v>272</v>
      </c>
      <c r="E60" s="82" t="s">
        <v>356</v>
      </c>
      <c r="F60" s="83" t="s">
        <v>277</v>
      </c>
      <c r="G60" s="84"/>
      <c r="H60" s="84">
        <v>2000000</v>
      </c>
      <c r="I60" s="159"/>
    </row>
    <row r="61" spans="1:9" ht="33" hidden="1" customHeight="1" outlineLevel="1">
      <c r="A61" s="147" t="s">
        <v>355</v>
      </c>
      <c r="B61" s="80" t="s">
        <v>304</v>
      </c>
      <c r="C61" s="80" t="s">
        <v>269</v>
      </c>
      <c r="D61" s="81" t="s">
        <v>304</v>
      </c>
      <c r="E61" s="82" t="s">
        <v>305</v>
      </c>
      <c r="F61" s="83" t="s">
        <v>271</v>
      </c>
      <c r="G61" s="84">
        <v>50000000</v>
      </c>
      <c r="H61" s="84"/>
      <c r="I61" s="159"/>
    </row>
    <row r="62" spans="1:9" ht="33" hidden="1" customHeight="1" outlineLevel="1">
      <c r="A62" s="147" t="s">
        <v>355</v>
      </c>
      <c r="B62" s="80" t="s">
        <v>283</v>
      </c>
      <c r="C62" s="80" t="s">
        <v>269</v>
      </c>
      <c r="D62" s="81" t="s">
        <v>283</v>
      </c>
      <c r="E62" s="82" t="s">
        <v>337</v>
      </c>
      <c r="F62" s="83" t="s">
        <v>271</v>
      </c>
      <c r="G62" s="84"/>
      <c r="H62" s="84">
        <v>70000</v>
      </c>
      <c r="I62" s="159"/>
    </row>
    <row r="63" spans="1:9" ht="33" hidden="1" customHeight="1" outlineLevel="1">
      <c r="A63" s="147" t="s">
        <v>357</v>
      </c>
      <c r="B63" s="80" t="s">
        <v>300</v>
      </c>
      <c r="C63" s="80" t="s">
        <v>269</v>
      </c>
      <c r="D63" s="81" t="s">
        <v>300</v>
      </c>
      <c r="E63" s="82" t="s">
        <v>358</v>
      </c>
      <c r="F63" s="83" t="s">
        <v>271</v>
      </c>
      <c r="G63" s="84"/>
      <c r="H63" s="84">
        <v>53900</v>
      </c>
      <c r="I63" s="159"/>
    </row>
    <row r="64" spans="1:9" ht="33" hidden="1" customHeight="1" outlineLevel="1">
      <c r="A64" s="147" t="s">
        <v>357</v>
      </c>
      <c r="B64" s="80" t="s">
        <v>275</v>
      </c>
      <c r="C64" s="80" t="s">
        <v>269</v>
      </c>
      <c r="D64" s="81" t="s">
        <v>275</v>
      </c>
      <c r="E64" s="82" t="s">
        <v>276</v>
      </c>
      <c r="F64" s="83" t="s">
        <v>277</v>
      </c>
      <c r="G64" s="84"/>
      <c r="H64" s="84">
        <v>6000000</v>
      </c>
      <c r="I64" s="159"/>
    </row>
    <row r="65" spans="1:9" ht="33" hidden="1" customHeight="1" outlineLevel="1">
      <c r="A65" s="147" t="s">
        <v>357</v>
      </c>
      <c r="B65" s="80" t="s">
        <v>281</v>
      </c>
      <c r="C65" s="80" t="s">
        <v>269</v>
      </c>
      <c r="D65" s="81" t="s">
        <v>281</v>
      </c>
      <c r="E65" s="82" t="s">
        <v>359</v>
      </c>
      <c r="F65" s="83" t="s">
        <v>271</v>
      </c>
      <c r="G65" s="84"/>
      <c r="H65" s="84">
        <v>2060000</v>
      </c>
      <c r="I65" s="159"/>
    </row>
    <row r="66" spans="1:9" ht="33" hidden="1" customHeight="1" outlineLevel="1">
      <c r="A66" s="147" t="s">
        <v>360</v>
      </c>
      <c r="B66" s="80" t="s">
        <v>361</v>
      </c>
      <c r="C66" s="80" t="s">
        <v>269</v>
      </c>
      <c r="D66" s="81" t="s">
        <v>361</v>
      </c>
      <c r="E66" s="82" t="s">
        <v>362</v>
      </c>
      <c r="F66" s="83" t="s">
        <v>277</v>
      </c>
      <c r="G66" s="84"/>
      <c r="H66" s="84">
        <v>4400000</v>
      </c>
      <c r="I66" s="159"/>
    </row>
    <row r="67" spans="1:9" ht="33" hidden="1" customHeight="1" outlineLevel="1">
      <c r="A67" s="147" t="s">
        <v>360</v>
      </c>
      <c r="B67" s="80" t="s">
        <v>281</v>
      </c>
      <c r="C67" s="80" t="s">
        <v>269</v>
      </c>
      <c r="D67" s="81" t="s">
        <v>281</v>
      </c>
      <c r="E67" s="82" t="s">
        <v>363</v>
      </c>
      <c r="F67" s="83" t="s">
        <v>271</v>
      </c>
      <c r="G67" s="84"/>
      <c r="H67" s="84">
        <v>2170000</v>
      </c>
      <c r="I67" s="159"/>
    </row>
    <row r="68" spans="1:9" ht="33" hidden="1" customHeight="1" outlineLevel="1">
      <c r="A68" s="147" t="s">
        <v>364</v>
      </c>
      <c r="B68" s="80" t="s">
        <v>268</v>
      </c>
      <c r="C68" s="80" t="s">
        <v>269</v>
      </c>
      <c r="D68" s="81" t="s">
        <v>268</v>
      </c>
      <c r="E68" s="82" t="s">
        <v>365</v>
      </c>
      <c r="F68" s="83" t="s">
        <v>271</v>
      </c>
      <c r="G68" s="84"/>
      <c r="H68" s="84">
        <v>1200000</v>
      </c>
      <c r="I68" s="159"/>
    </row>
    <row r="69" spans="1:9" ht="33" hidden="1" customHeight="1" outlineLevel="1">
      <c r="A69" s="147" t="s">
        <v>364</v>
      </c>
      <c r="B69" s="80" t="s">
        <v>346</v>
      </c>
      <c r="C69" s="80" t="s">
        <v>269</v>
      </c>
      <c r="D69" s="81" t="s">
        <v>346</v>
      </c>
      <c r="E69" s="82" t="s">
        <v>366</v>
      </c>
      <c r="F69" s="83" t="s">
        <v>271</v>
      </c>
      <c r="G69" s="84"/>
      <c r="H69" s="84">
        <v>480000</v>
      </c>
      <c r="I69" s="159"/>
    </row>
    <row r="70" spans="1:9" hidden="1" outlineLevel="1">
      <c r="A70" s="147" t="s">
        <v>367</v>
      </c>
      <c r="B70" s="80" t="s">
        <v>281</v>
      </c>
      <c r="C70" s="80" t="s">
        <v>269</v>
      </c>
      <c r="D70" s="81" t="s">
        <v>281</v>
      </c>
      <c r="E70" s="82" t="s">
        <v>368</v>
      </c>
      <c r="F70" s="83" t="s">
        <v>271</v>
      </c>
      <c r="G70" s="84"/>
      <c r="H70" s="84">
        <v>1870000</v>
      </c>
      <c r="I70" s="159"/>
    </row>
    <row r="71" spans="1:9" hidden="1" outlineLevel="1">
      <c r="A71" s="147" t="s">
        <v>369</v>
      </c>
      <c r="B71" s="80" t="s">
        <v>272</v>
      </c>
      <c r="C71" s="80" t="s">
        <v>269</v>
      </c>
      <c r="D71" s="81" t="s">
        <v>272</v>
      </c>
      <c r="E71" s="82" t="s">
        <v>370</v>
      </c>
      <c r="F71" s="83" t="s">
        <v>277</v>
      </c>
      <c r="G71" s="84"/>
      <c r="H71" s="84">
        <v>1000000</v>
      </c>
      <c r="I71" s="159"/>
    </row>
    <row r="72" spans="1:9" hidden="1" outlineLevel="1">
      <c r="A72" s="147" t="s">
        <v>369</v>
      </c>
      <c r="B72" s="80" t="s">
        <v>281</v>
      </c>
      <c r="C72" s="80" t="s">
        <v>269</v>
      </c>
      <c r="D72" s="81" t="s">
        <v>281</v>
      </c>
      <c r="E72" s="82" t="s">
        <v>371</v>
      </c>
      <c r="F72" s="83" t="s">
        <v>271</v>
      </c>
      <c r="G72" s="84"/>
      <c r="H72" s="84">
        <v>1560000</v>
      </c>
      <c r="I72" s="159"/>
    </row>
    <row r="73" spans="1:9" hidden="1" outlineLevel="1">
      <c r="A73" s="147" t="s">
        <v>372</v>
      </c>
      <c r="B73" s="162" t="s">
        <v>308</v>
      </c>
      <c r="C73" s="162" t="s">
        <v>269</v>
      </c>
      <c r="D73" s="163" t="s">
        <v>308</v>
      </c>
      <c r="E73" s="552" t="s">
        <v>373</v>
      </c>
      <c r="F73" s="83" t="s">
        <v>271</v>
      </c>
      <c r="G73" s="84"/>
      <c r="H73" s="85">
        <v>1000000</v>
      </c>
      <c r="I73" s="159"/>
    </row>
    <row r="74" spans="1:9" hidden="1" outlineLevel="1">
      <c r="A74" s="147" t="s">
        <v>372</v>
      </c>
      <c r="B74" s="162" t="s">
        <v>283</v>
      </c>
      <c r="C74" s="162" t="s">
        <v>269</v>
      </c>
      <c r="D74" s="163" t="s">
        <v>283</v>
      </c>
      <c r="E74" s="552" t="s">
        <v>280</v>
      </c>
      <c r="F74" s="83" t="s">
        <v>271</v>
      </c>
      <c r="G74" s="84"/>
      <c r="H74" s="85">
        <v>6000000</v>
      </c>
      <c r="I74" s="159"/>
    </row>
    <row r="75" spans="1:9" hidden="1" outlineLevel="1">
      <c r="A75" s="147" t="s">
        <v>374</v>
      </c>
      <c r="B75" s="80" t="s">
        <v>281</v>
      </c>
      <c r="C75" s="80" t="s">
        <v>269</v>
      </c>
      <c r="D75" s="81" t="s">
        <v>281</v>
      </c>
      <c r="E75" s="82" t="s">
        <v>375</v>
      </c>
      <c r="F75" s="83" t="s">
        <v>271</v>
      </c>
      <c r="G75" s="84"/>
      <c r="H75" s="84">
        <v>1550000</v>
      </c>
      <c r="I75" s="159"/>
    </row>
    <row r="76" spans="1:9" hidden="1" outlineLevel="1">
      <c r="A76" s="147" t="s">
        <v>376</v>
      </c>
      <c r="B76" s="80" t="s">
        <v>275</v>
      </c>
      <c r="C76" s="80" t="s">
        <v>269</v>
      </c>
      <c r="D76" s="81" t="s">
        <v>275</v>
      </c>
      <c r="E76" s="82" t="s">
        <v>276</v>
      </c>
      <c r="F76" s="83" t="s">
        <v>277</v>
      </c>
      <c r="G76" s="84"/>
      <c r="H76" s="84">
        <v>6000000</v>
      </c>
      <c r="I76" s="159"/>
    </row>
    <row r="77" spans="1:9" hidden="1" outlineLevel="1">
      <c r="A77" s="147" t="s">
        <v>376</v>
      </c>
      <c r="B77" s="80" t="s">
        <v>285</v>
      </c>
      <c r="C77" s="80" t="s">
        <v>269</v>
      </c>
      <c r="D77" s="81" t="s">
        <v>285</v>
      </c>
      <c r="E77" s="82" t="s">
        <v>286</v>
      </c>
      <c r="F77" s="83"/>
      <c r="G77" s="84"/>
      <c r="H77" s="84">
        <v>10000000</v>
      </c>
      <c r="I77" s="159"/>
    </row>
    <row r="78" spans="1:9" hidden="1" outlineLevel="1">
      <c r="A78" s="553" t="s">
        <v>377</v>
      </c>
      <c r="B78" s="162" t="s">
        <v>281</v>
      </c>
      <c r="C78" s="162" t="s">
        <v>269</v>
      </c>
      <c r="D78" s="163" t="s">
        <v>281</v>
      </c>
      <c r="E78" s="552" t="s">
        <v>378</v>
      </c>
      <c r="F78" s="83" t="s">
        <v>271</v>
      </c>
      <c r="G78" s="84"/>
      <c r="H78" s="85">
        <v>3860000</v>
      </c>
      <c r="I78" s="159"/>
    </row>
    <row r="79" spans="1:9" hidden="1" outlineLevel="1">
      <c r="A79" s="553" t="s">
        <v>377</v>
      </c>
      <c r="B79" s="162" t="s">
        <v>379</v>
      </c>
      <c r="C79" s="162" t="s">
        <v>269</v>
      </c>
      <c r="D79" s="163" t="s">
        <v>379</v>
      </c>
      <c r="E79" s="552" t="s">
        <v>380</v>
      </c>
      <c r="F79" s="83" t="s">
        <v>271</v>
      </c>
      <c r="G79" s="84"/>
      <c r="H79" s="85">
        <v>1400000</v>
      </c>
      <c r="I79" s="159"/>
    </row>
    <row r="80" spans="1:9" hidden="1" outlineLevel="1">
      <c r="A80" s="553" t="s">
        <v>377</v>
      </c>
      <c r="B80" s="162" t="s">
        <v>300</v>
      </c>
      <c r="C80" s="162" t="s">
        <v>269</v>
      </c>
      <c r="D80" s="163" t="s">
        <v>300</v>
      </c>
      <c r="E80" s="552" t="s">
        <v>358</v>
      </c>
      <c r="F80" s="83" t="s">
        <v>271</v>
      </c>
      <c r="G80" s="84"/>
      <c r="H80" s="85">
        <v>22000</v>
      </c>
      <c r="I80" s="159"/>
    </row>
    <row r="81" spans="1:54" hidden="1" outlineLevel="1">
      <c r="A81" s="147" t="s">
        <v>381</v>
      </c>
      <c r="B81" s="80" t="s">
        <v>272</v>
      </c>
      <c r="C81" s="80" t="s">
        <v>269</v>
      </c>
      <c r="D81" s="81" t="s">
        <v>272</v>
      </c>
      <c r="E81" s="82" t="s">
        <v>311</v>
      </c>
      <c r="F81" s="83" t="s">
        <v>271</v>
      </c>
      <c r="G81" s="84"/>
      <c r="H81" s="84">
        <v>1339000</v>
      </c>
      <c r="I81" s="159"/>
    </row>
    <row r="82" spans="1:54" hidden="1" outlineLevel="1">
      <c r="A82" s="553" t="s">
        <v>382</v>
      </c>
      <c r="B82" s="162" t="s">
        <v>281</v>
      </c>
      <c r="C82" s="162" t="s">
        <v>269</v>
      </c>
      <c r="D82" s="163" t="s">
        <v>281</v>
      </c>
      <c r="E82" s="552" t="s">
        <v>375</v>
      </c>
      <c r="F82" s="83" t="s">
        <v>271</v>
      </c>
      <c r="G82" s="84"/>
      <c r="H82" s="85">
        <v>1550000</v>
      </c>
      <c r="I82" s="159"/>
    </row>
    <row r="83" spans="1:54" s="58" customFormat="1" hidden="1" outlineLevel="1">
      <c r="A83" s="553" t="s">
        <v>382</v>
      </c>
      <c r="B83" s="162" t="s">
        <v>283</v>
      </c>
      <c r="C83" s="162" t="s">
        <v>269</v>
      </c>
      <c r="D83" s="163" t="s">
        <v>283</v>
      </c>
      <c r="E83" s="552" t="s">
        <v>383</v>
      </c>
      <c r="F83" s="83" t="s">
        <v>271</v>
      </c>
      <c r="G83" s="84"/>
      <c r="H83" s="85">
        <v>175000</v>
      </c>
      <c r="I83" s="159"/>
      <c r="Z83" s="524"/>
      <c r="BB83" s="524"/>
    </row>
    <row r="84" spans="1:54" hidden="1" outlineLevel="1">
      <c r="A84" s="147" t="s">
        <v>384</v>
      </c>
      <c r="B84" s="80" t="s">
        <v>272</v>
      </c>
      <c r="C84" s="80" t="s">
        <v>269</v>
      </c>
      <c r="D84" s="81" t="s">
        <v>272</v>
      </c>
      <c r="E84" s="82" t="s">
        <v>311</v>
      </c>
      <c r="F84" s="83" t="s">
        <v>271</v>
      </c>
      <c r="G84" s="84"/>
      <c r="H84" s="84">
        <v>1260000</v>
      </c>
      <c r="I84" s="159"/>
    </row>
    <row r="85" spans="1:54" hidden="1" outlineLevel="1">
      <c r="A85" s="147" t="s">
        <v>385</v>
      </c>
      <c r="B85" s="80" t="s">
        <v>281</v>
      </c>
      <c r="C85" s="80" t="s">
        <v>269</v>
      </c>
      <c r="D85" s="81" t="s">
        <v>281</v>
      </c>
      <c r="E85" s="82" t="s">
        <v>386</v>
      </c>
      <c r="F85" s="83" t="s">
        <v>271</v>
      </c>
      <c r="G85" s="84"/>
      <c r="H85" s="84">
        <v>1850000</v>
      </c>
      <c r="I85" s="159"/>
    </row>
    <row r="86" spans="1:54" hidden="1" outlineLevel="1">
      <c r="A86" s="147" t="s">
        <v>387</v>
      </c>
      <c r="B86" s="80" t="s">
        <v>281</v>
      </c>
      <c r="C86" s="80" t="s">
        <v>269</v>
      </c>
      <c r="D86" s="81" t="s">
        <v>281</v>
      </c>
      <c r="E86" s="82" t="s">
        <v>388</v>
      </c>
      <c r="F86" s="83" t="s">
        <v>271</v>
      </c>
      <c r="G86" s="84"/>
      <c r="H86" s="84">
        <v>1160000</v>
      </c>
      <c r="I86" s="159"/>
    </row>
    <row r="87" spans="1:54" hidden="1" outlineLevel="1">
      <c r="A87" s="147" t="s">
        <v>389</v>
      </c>
      <c r="B87" s="80" t="s">
        <v>285</v>
      </c>
      <c r="C87" s="80" t="s">
        <v>269</v>
      </c>
      <c r="D87" s="81" t="s">
        <v>285</v>
      </c>
      <c r="E87" s="82" t="s">
        <v>390</v>
      </c>
      <c r="F87" s="83" t="s">
        <v>271</v>
      </c>
      <c r="G87" s="84">
        <v>2000000</v>
      </c>
      <c r="H87" s="84"/>
      <c r="I87" s="159"/>
    </row>
    <row r="88" spans="1:54" hidden="1" outlineLevel="1">
      <c r="A88" s="147" t="s">
        <v>389</v>
      </c>
      <c r="B88" s="80" t="s">
        <v>268</v>
      </c>
      <c r="C88" s="80" t="s">
        <v>269</v>
      </c>
      <c r="D88" s="81" t="s">
        <v>268</v>
      </c>
      <c r="E88" s="82" t="s">
        <v>391</v>
      </c>
      <c r="F88" s="83" t="s">
        <v>277</v>
      </c>
      <c r="G88" s="84"/>
      <c r="H88" s="84">
        <v>950000</v>
      </c>
      <c r="I88" s="159"/>
    </row>
    <row r="89" spans="1:54" hidden="1" outlineLevel="1">
      <c r="A89" s="147" t="s">
        <v>392</v>
      </c>
      <c r="B89" s="80" t="s">
        <v>308</v>
      </c>
      <c r="C89" s="80" t="s">
        <v>269</v>
      </c>
      <c r="D89" s="81" t="s">
        <v>308</v>
      </c>
      <c r="E89" s="82" t="s">
        <v>393</v>
      </c>
      <c r="F89" s="83" t="s">
        <v>271</v>
      </c>
      <c r="G89" s="84"/>
      <c r="H89" s="84">
        <v>120000</v>
      </c>
      <c r="I89" s="159"/>
    </row>
    <row r="90" spans="1:54" hidden="1" outlineLevel="1">
      <c r="A90" s="147" t="s">
        <v>392</v>
      </c>
      <c r="B90" s="80" t="s">
        <v>304</v>
      </c>
      <c r="C90" s="80" t="s">
        <v>269</v>
      </c>
      <c r="D90" s="81" t="s">
        <v>304</v>
      </c>
      <c r="E90" s="82" t="s">
        <v>394</v>
      </c>
      <c r="F90" s="83" t="s">
        <v>271</v>
      </c>
      <c r="G90" s="554">
        <v>150000000</v>
      </c>
      <c r="H90" s="84"/>
      <c r="I90" s="159"/>
    </row>
    <row r="91" spans="1:54" hidden="1" outlineLevel="1">
      <c r="A91" s="147" t="s">
        <v>392</v>
      </c>
      <c r="B91" s="80" t="s">
        <v>300</v>
      </c>
      <c r="C91" s="80" t="s">
        <v>269</v>
      </c>
      <c r="D91" s="81" t="s">
        <v>300</v>
      </c>
      <c r="E91" s="82" t="s">
        <v>324</v>
      </c>
      <c r="F91" s="83" t="s">
        <v>271</v>
      </c>
      <c r="G91" s="84"/>
      <c r="H91" s="84">
        <v>49500</v>
      </c>
      <c r="I91" s="159"/>
    </row>
    <row r="92" spans="1:54" hidden="1" outlineLevel="1">
      <c r="A92" s="555" t="s">
        <v>392</v>
      </c>
      <c r="B92" s="556" t="s">
        <v>395</v>
      </c>
      <c r="C92" s="556" t="s">
        <v>269</v>
      </c>
      <c r="D92" s="557" t="s">
        <v>395</v>
      </c>
      <c r="E92" s="558" t="s">
        <v>396</v>
      </c>
      <c r="F92" s="559" t="s">
        <v>271</v>
      </c>
      <c r="G92" s="554"/>
      <c r="H92" s="554">
        <v>100000000</v>
      </c>
      <c r="I92" s="159">
        <v>0</v>
      </c>
    </row>
    <row r="93" spans="1:54" hidden="1" outlineLevel="1">
      <c r="A93" s="147" t="s">
        <v>392</v>
      </c>
      <c r="B93" s="80" t="s">
        <v>397</v>
      </c>
      <c r="C93" s="80" t="s">
        <v>269</v>
      </c>
      <c r="D93" s="81" t="s">
        <v>397</v>
      </c>
      <c r="E93" s="82" t="s">
        <v>398</v>
      </c>
      <c r="F93" s="83" t="s">
        <v>271</v>
      </c>
      <c r="G93" s="84"/>
      <c r="H93" s="84">
        <v>600000</v>
      </c>
      <c r="I93" s="159"/>
    </row>
    <row r="94" spans="1:54" hidden="1" outlineLevel="1">
      <c r="A94" s="147" t="s">
        <v>392</v>
      </c>
      <c r="B94" s="80" t="s">
        <v>322</v>
      </c>
      <c r="C94" s="80" t="s">
        <v>269</v>
      </c>
      <c r="D94" s="81" t="s">
        <v>322</v>
      </c>
      <c r="E94" s="82" t="s">
        <v>399</v>
      </c>
      <c r="F94" s="83" t="s">
        <v>271</v>
      </c>
      <c r="G94" s="84"/>
      <c r="H94" s="84">
        <v>50000000</v>
      </c>
      <c r="I94" s="159"/>
    </row>
    <row r="95" spans="1:54" hidden="1" outlineLevel="1">
      <c r="A95" s="147" t="s">
        <v>400</v>
      </c>
      <c r="B95" s="80" t="s">
        <v>304</v>
      </c>
      <c r="C95" s="80" t="s">
        <v>269</v>
      </c>
      <c r="D95" s="81" t="s">
        <v>304</v>
      </c>
      <c r="E95" s="82" t="s">
        <v>305</v>
      </c>
      <c r="F95" s="83" t="s">
        <v>271</v>
      </c>
      <c r="G95" s="84">
        <v>100000000</v>
      </c>
      <c r="H95" s="84"/>
      <c r="I95" s="159"/>
    </row>
    <row r="96" spans="1:54" hidden="1" outlineLevel="1">
      <c r="A96" s="147" t="s">
        <v>400</v>
      </c>
      <c r="B96" s="80" t="s">
        <v>300</v>
      </c>
      <c r="C96" s="80" t="s">
        <v>269</v>
      </c>
      <c r="D96" s="81" t="s">
        <v>300</v>
      </c>
      <c r="E96" s="82" t="s">
        <v>324</v>
      </c>
      <c r="F96" s="83" t="s">
        <v>271</v>
      </c>
      <c r="G96" s="84"/>
      <c r="H96" s="84">
        <v>33000</v>
      </c>
      <c r="I96" s="159"/>
    </row>
    <row r="97" spans="1:56" hidden="1" outlineLevel="1">
      <c r="A97" s="147" t="s">
        <v>400</v>
      </c>
      <c r="B97" s="80" t="s">
        <v>275</v>
      </c>
      <c r="C97" s="80" t="s">
        <v>269</v>
      </c>
      <c r="D97" s="81" t="s">
        <v>275</v>
      </c>
      <c r="E97" s="82" t="s">
        <v>276</v>
      </c>
      <c r="F97" s="83" t="s">
        <v>277</v>
      </c>
      <c r="G97" s="84"/>
      <c r="H97" s="84">
        <v>3000000</v>
      </c>
      <c r="I97" s="159"/>
    </row>
    <row r="98" spans="1:56" hidden="1" outlineLevel="1">
      <c r="A98" s="147" t="s">
        <v>400</v>
      </c>
      <c r="B98" s="80" t="s">
        <v>272</v>
      </c>
      <c r="C98" s="80" t="s">
        <v>269</v>
      </c>
      <c r="D98" s="81" t="s">
        <v>272</v>
      </c>
      <c r="E98" s="82" t="s">
        <v>326</v>
      </c>
      <c r="F98" s="83" t="s">
        <v>277</v>
      </c>
      <c r="G98" s="84"/>
      <c r="H98" s="84">
        <v>1300000</v>
      </c>
      <c r="I98" s="159"/>
    </row>
    <row r="99" spans="1:56" hidden="1" outlineLevel="1">
      <c r="A99" s="147" t="s">
        <v>401</v>
      </c>
      <c r="B99" s="80" t="s">
        <v>283</v>
      </c>
      <c r="C99" s="80" t="s">
        <v>269</v>
      </c>
      <c r="D99" s="81" t="s">
        <v>283</v>
      </c>
      <c r="E99" s="82" t="s">
        <v>402</v>
      </c>
      <c r="F99" s="83" t="s">
        <v>271</v>
      </c>
      <c r="G99" s="84"/>
      <c r="H99" s="84">
        <v>675000</v>
      </c>
      <c r="I99" s="159"/>
    </row>
    <row r="100" spans="1:56" hidden="1" outlineLevel="1">
      <c r="A100" s="147" t="s">
        <v>401</v>
      </c>
      <c r="B100" s="80" t="s">
        <v>272</v>
      </c>
      <c r="C100" s="80" t="s">
        <v>269</v>
      </c>
      <c r="D100" s="81" t="s">
        <v>272</v>
      </c>
      <c r="E100" s="82" t="s">
        <v>326</v>
      </c>
      <c r="F100" s="83" t="s">
        <v>277</v>
      </c>
      <c r="G100" s="84"/>
      <c r="H100" s="84">
        <v>1160000</v>
      </c>
      <c r="I100" s="159"/>
    </row>
    <row r="101" spans="1:56" ht="18.75" hidden="1" outlineLevel="1" thickBot="1">
      <c r="A101" s="147" t="s">
        <v>403</v>
      </c>
      <c r="B101" s="80" t="s">
        <v>404</v>
      </c>
      <c r="C101" s="80" t="s">
        <v>269</v>
      </c>
      <c r="D101" s="81" t="s">
        <v>404</v>
      </c>
      <c r="E101" s="82" t="s">
        <v>405</v>
      </c>
      <c r="F101" s="83" t="s">
        <v>271</v>
      </c>
      <c r="G101" s="84"/>
      <c r="H101" s="84">
        <v>2500000</v>
      </c>
      <c r="I101" s="159"/>
    </row>
    <row r="102" spans="1:56" ht="18.75" hidden="1" outlineLevel="1" thickBot="1">
      <c r="A102" s="147" t="s">
        <v>403</v>
      </c>
      <c r="B102" s="80" t="s">
        <v>281</v>
      </c>
      <c r="C102" s="80" t="s">
        <v>269</v>
      </c>
      <c r="D102" s="81" t="s">
        <v>281</v>
      </c>
      <c r="E102" s="82" t="s">
        <v>406</v>
      </c>
      <c r="F102" s="83" t="s">
        <v>271</v>
      </c>
      <c r="G102" s="84"/>
      <c r="H102" s="84">
        <v>5670000</v>
      </c>
      <c r="I102" s="159"/>
      <c r="J102" s="596" t="s">
        <v>407</v>
      </c>
      <c r="K102" s="597">
        <f>K104-K103</f>
        <v>39135950</v>
      </c>
    </row>
    <row r="103" spans="1:56" ht="18.75" hidden="1" outlineLevel="1" thickBot="1">
      <c r="A103" s="147" t="s">
        <v>408</v>
      </c>
      <c r="B103" s="80" t="s">
        <v>409</v>
      </c>
      <c r="C103" s="80" t="s">
        <v>269</v>
      </c>
      <c r="D103" s="81" t="s">
        <v>285</v>
      </c>
      <c r="E103" s="82" t="s">
        <v>410</v>
      </c>
      <c r="F103" s="83" t="s">
        <v>271</v>
      </c>
      <c r="G103" s="84"/>
      <c r="H103" s="84">
        <v>1000000</v>
      </c>
      <c r="I103" s="159"/>
      <c r="J103" s="596" t="s">
        <v>411</v>
      </c>
      <c r="K103" s="598">
        <v>45000000</v>
      </c>
    </row>
    <row r="104" spans="1:56" ht="18.75" hidden="1" outlineLevel="1" thickBot="1">
      <c r="A104" s="560"/>
      <c r="B104" s="561" t="s">
        <v>412</v>
      </c>
      <c r="C104" s="561" t="s">
        <v>269</v>
      </c>
      <c r="D104" s="562" t="s">
        <v>412</v>
      </c>
      <c r="E104" s="563" t="s">
        <v>413</v>
      </c>
      <c r="F104" s="564" t="s">
        <v>271</v>
      </c>
      <c r="G104" s="565"/>
      <c r="H104" s="565">
        <v>100000</v>
      </c>
      <c r="I104" s="159"/>
      <c r="J104" s="596" t="s">
        <v>414</v>
      </c>
      <c r="K104" s="598">
        <f>G107</f>
        <v>84135950</v>
      </c>
    </row>
    <row r="105" spans="1:56" ht="18.75" hidden="1" outlineLevel="1" thickBot="1">
      <c r="A105" s="566"/>
      <c r="B105" s="567"/>
      <c r="C105" s="567"/>
      <c r="D105" s="568"/>
      <c r="E105" s="569" t="s">
        <v>415</v>
      </c>
      <c r="F105" s="570"/>
      <c r="G105" s="571"/>
      <c r="H105" s="572">
        <v>1000000</v>
      </c>
      <c r="I105" s="599" t="s">
        <v>416</v>
      </c>
      <c r="J105" s="600"/>
      <c r="K105" s="601"/>
    </row>
    <row r="106" spans="1:56" collapsed="1">
      <c r="A106" s="573" t="s">
        <v>70</v>
      </c>
      <c r="B106" s="574"/>
      <c r="C106" s="1407" t="s">
        <v>269</v>
      </c>
      <c r="D106" s="574"/>
      <c r="E106" s="575" t="s">
        <v>201</v>
      </c>
      <c r="F106" s="576"/>
      <c r="G106" s="577">
        <f>SUM(G45:G105)</f>
        <v>349383350</v>
      </c>
      <c r="H106" s="578">
        <f>SUM(H46:H105)</f>
        <v>265247400</v>
      </c>
      <c r="I106" s="602"/>
    </row>
    <row r="107" spans="1:56" ht="18.75" thickBot="1">
      <c r="A107" s="1922" t="s">
        <v>266</v>
      </c>
      <c r="B107" s="1922"/>
      <c r="C107" s="1922"/>
      <c r="D107" s="1922"/>
      <c r="E107" s="579"/>
      <c r="F107" s="580"/>
      <c r="G107" s="581">
        <f>G106-H106</f>
        <v>84135950</v>
      </c>
      <c r="H107" s="582"/>
      <c r="I107" s="548"/>
      <c r="BD107" s="524"/>
    </row>
    <row r="108" spans="1:56" s="520" customFormat="1" hidden="1" outlineLevel="1">
      <c r="A108" s="583" t="s">
        <v>417</v>
      </c>
      <c r="B108" s="584" t="s">
        <v>418</v>
      </c>
      <c r="C108" s="584" t="s">
        <v>269</v>
      </c>
      <c r="D108" s="584" t="s">
        <v>418</v>
      </c>
      <c r="E108" s="585" t="s">
        <v>419</v>
      </c>
      <c r="F108" s="586" t="s">
        <v>420</v>
      </c>
      <c r="G108" s="587"/>
      <c r="H108" s="587">
        <v>260000</v>
      </c>
      <c r="I108" s="603" t="s">
        <v>421</v>
      </c>
      <c r="J108" s="520" t="s">
        <v>37</v>
      </c>
      <c r="Z108" s="608"/>
      <c r="BB108" s="608"/>
    </row>
    <row r="109" spans="1:56" s="520" customFormat="1" hidden="1" outlineLevel="1">
      <c r="A109" s="583" t="s">
        <v>422</v>
      </c>
      <c r="B109" s="584" t="s">
        <v>418</v>
      </c>
      <c r="C109" s="584" t="s">
        <v>269</v>
      </c>
      <c r="D109" s="584" t="s">
        <v>418</v>
      </c>
      <c r="E109" s="585" t="s">
        <v>419</v>
      </c>
      <c r="F109" s="586" t="s">
        <v>420</v>
      </c>
      <c r="G109" s="587"/>
      <c r="H109" s="587">
        <v>190000</v>
      </c>
      <c r="I109" s="603" t="s">
        <v>421</v>
      </c>
      <c r="J109" s="520" t="s">
        <v>37</v>
      </c>
      <c r="Z109" s="608"/>
      <c r="BB109" s="608"/>
    </row>
    <row r="110" spans="1:56" hidden="1" outlineLevel="1">
      <c r="A110" s="147" t="s">
        <v>422</v>
      </c>
      <c r="B110" s="80" t="s">
        <v>281</v>
      </c>
      <c r="C110" s="80" t="s">
        <v>269</v>
      </c>
      <c r="D110" s="81" t="s">
        <v>281</v>
      </c>
      <c r="E110" s="82" t="s">
        <v>423</v>
      </c>
      <c r="F110" s="83" t="s">
        <v>420</v>
      </c>
      <c r="G110" s="84"/>
      <c r="H110" s="84">
        <f>8*80000+280000</f>
        <v>920000</v>
      </c>
      <c r="I110" s="159"/>
      <c r="J110" s="54" t="s">
        <v>37</v>
      </c>
    </row>
    <row r="111" spans="1:56" hidden="1" outlineLevel="1">
      <c r="A111" s="147" t="s">
        <v>422</v>
      </c>
      <c r="B111" s="80" t="s">
        <v>424</v>
      </c>
      <c r="C111" s="80" t="s">
        <v>269</v>
      </c>
      <c r="D111" s="80" t="s">
        <v>424</v>
      </c>
      <c r="E111" s="82" t="s">
        <v>425</v>
      </c>
      <c r="F111" s="83" t="s">
        <v>420</v>
      </c>
      <c r="G111" s="84"/>
      <c r="H111" s="84">
        <v>175000</v>
      </c>
      <c r="I111" s="159"/>
      <c r="J111" s="54" t="s">
        <v>37</v>
      </c>
    </row>
    <row r="112" spans="1:56" s="520" customFormat="1" hidden="1" outlineLevel="1">
      <c r="A112" s="583" t="s">
        <v>426</v>
      </c>
      <c r="B112" s="584" t="s">
        <v>418</v>
      </c>
      <c r="C112" s="584" t="s">
        <v>269</v>
      </c>
      <c r="D112" s="584" t="s">
        <v>418</v>
      </c>
      <c r="E112" s="585" t="s">
        <v>427</v>
      </c>
      <c r="F112" s="586"/>
      <c r="G112" s="587"/>
      <c r="H112" s="587">
        <v>160000</v>
      </c>
      <c r="I112" s="603" t="s">
        <v>428</v>
      </c>
      <c r="J112" s="604" t="s">
        <v>37</v>
      </c>
      <c r="Z112" s="608"/>
      <c r="BB112" s="608"/>
    </row>
    <row r="113" spans="1:54" hidden="1" outlineLevel="1">
      <c r="A113" s="147" t="s">
        <v>429</v>
      </c>
      <c r="B113" s="80" t="s">
        <v>430</v>
      </c>
      <c r="C113" s="80" t="s">
        <v>269</v>
      </c>
      <c r="D113" s="80" t="s">
        <v>430</v>
      </c>
      <c r="E113" s="82" t="s">
        <v>431</v>
      </c>
      <c r="F113" s="83" t="s">
        <v>277</v>
      </c>
      <c r="G113" s="84"/>
      <c r="H113" s="84">
        <v>13024000</v>
      </c>
      <c r="I113" s="159"/>
      <c r="J113" s="54" t="s">
        <v>37</v>
      </c>
    </row>
    <row r="114" spans="1:54" s="520" customFormat="1" hidden="1" outlineLevel="1">
      <c r="A114" s="583" t="s">
        <v>426</v>
      </c>
      <c r="B114" s="584" t="s">
        <v>432</v>
      </c>
      <c r="C114" s="584" t="s">
        <v>269</v>
      </c>
      <c r="D114" s="588" t="s">
        <v>285</v>
      </c>
      <c r="E114" s="585" t="s">
        <v>366</v>
      </c>
      <c r="F114" s="586" t="s">
        <v>420</v>
      </c>
      <c r="G114" s="587"/>
      <c r="H114" s="587">
        <v>3150000</v>
      </c>
      <c r="I114" s="603" t="s">
        <v>421</v>
      </c>
      <c r="J114" s="604"/>
      <c r="Z114" s="608"/>
      <c r="BB114" s="608"/>
    </row>
    <row r="115" spans="1:54" s="521" customFormat="1" hidden="1" outlineLevel="1">
      <c r="A115" s="589" t="s">
        <v>433</v>
      </c>
      <c r="B115" s="590" t="s">
        <v>424</v>
      </c>
      <c r="C115" s="590" t="s">
        <v>269</v>
      </c>
      <c r="D115" s="590" t="s">
        <v>424</v>
      </c>
      <c r="E115" s="591" t="s">
        <v>434</v>
      </c>
      <c r="F115" s="592" t="s">
        <v>277</v>
      </c>
      <c r="G115" s="593"/>
      <c r="H115" s="593">
        <v>3000000</v>
      </c>
      <c r="I115" s="605"/>
      <c r="Z115" s="609"/>
      <c r="BB115" s="609"/>
    </row>
    <row r="116" spans="1:54" hidden="1" outlineLevel="1">
      <c r="A116" s="147" t="s">
        <v>433</v>
      </c>
      <c r="B116" s="80" t="s">
        <v>285</v>
      </c>
      <c r="C116" s="80" t="s">
        <v>269</v>
      </c>
      <c r="D116" s="81" t="s">
        <v>285</v>
      </c>
      <c r="E116" s="82" t="s">
        <v>286</v>
      </c>
      <c r="F116" s="83" t="s">
        <v>271</v>
      </c>
      <c r="G116" s="84"/>
      <c r="H116" s="84">
        <v>10000000</v>
      </c>
      <c r="I116" s="159"/>
    </row>
    <row r="117" spans="1:54" hidden="1" outlineLevel="1">
      <c r="A117" s="147" t="s">
        <v>433</v>
      </c>
      <c r="B117" s="80" t="s">
        <v>285</v>
      </c>
      <c r="C117" s="80" t="s">
        <v>269</v>
      </c>
      <c r="D117" s="81" t="s">
        <v>285</v>
      </c>
      <c r="E117" s="82" t="s">
        <v>435</v>
      </c>
      <c r="F117" s="83" t="s">
        <v>271</v>
      </c>
      <c r="G117" s="84"/>
      <c r="H117" s="84">
        <v>1000000</v>
      </c>
      <c r="I117" s="159"/>
    </row>
    <row r="118" spans="1:54" hidden="1" outlineLevel="1">
      <c r="A118" s="147" t="s">
        <v>433</v>
      </c>
      <c r="B118" s="80" t="s">
        <v>424</v>
      </c>
      <c r="C118" s="80" t="s">
        <v>269</v>
      </c>
      <c r="D118" s="80" t="s">
        <v>424</v>
      </c>
      <c r="E118" s="82" t="s">
        <v>436</v>
      </c>
      <c r="F118" s="83" t="s">
        <v>271</v>
      </c>
      <c r="G118" s="84"/>
      <c r="H118" s="84">
        <v>500000</v>
      </c>
      <c r="I118" s="159"/>
      <c r="J118" s="606"/>
    </row>
    <row r="119" spans="1:54" hidden="1" outlineLevel="1">
      <c r="A119" s="147" t="s">
        <v>437</v>
      </c>
      <c r="B119" s="80" t="s">
        <v>418</v>
      </c>
      <c r="C119" s="80" t="s">
        <v>269</v>
      </c>
      <c r="D119" s="80" t="s">
        <v>418</v>
      </c>
      <c r="E119" s="86" t="s">
        <v>438</v>
      </c>
      <c r="F119" s="83" t="s">
        <v>277</v>
      </c>
      <c r="G119" s="84"/>
      <c r="H119" s="84">
        <v>950000</v>
      </c>
      <c r="I119" s="159"/>
      <c r="J119" s="606"/>
    </row>
    <row r="120" spans="1:54" hidden="1" outlineLevel="1">
      <c r="A120" s="147" t="s">
        <v>437</v>
      </c>
      <c r="B120" s="80" t="s">
        <v>281</v>
      </c>
      <c r="C120" s="80" t="s">
        <v>269</v>
      </c>
      <c r="D120" s="81" t="s">
        <v>281</v>
      </c>
      <c r="E120" s="82" t="s">
        <v>439</v>
      </c>
      <c r="F120" s="83" t="s">
        <v>271</v>
      </c>
      <c r="G120" s="84"/>
      <c r="H120" s="84">
        <v>1710000</v>
      </c>
      <c r="I120" s="159"/>
    </row>
    <row r="121" spans="1:54" hidden="1" outlineLevel="1">
      <c r="A121" s="147" t="s">
        <v>437</v>
      </c>
      <c r="B121" s="80" t="s">
        <v>430</v>
      </c>
      <c r="C121" s="80" t="s">
        <v>269</v>
      </c>
      <c r="D121" s="80" t="s">
        <v>430</v>
      </c>
      <c r="E121" s="82" t="s">
        <v>431</v>
      </c>
      <c r="F121" s="83" t="s">
        <v>277</v>
      </c>
      <c r="G121" s="84"/>
      <c r="H121" s="594">
        <v>31369500</v>
      </c>
      <c r="I121" s="159" t="s">
        <v>440</v>
      </c>
    </row>
    <row r="122" spans="1:54" hidden="1" outlineLevel="1">
      <c r="A122" s="147" t="s">
        <v>437</v>
      </c>
      <c r="B122" s="80" t="s">
        <v>285</v>
      </c>
      <c r="C122" s="80" t="s">
        <v>269</v>
      </c>
      <c r="D122" s="81" t="s">
        <v>285</v>
      </c>
      <c r="E122" s="82" t="s">
        <v>286</v>
      </c>
      <c r="F122" s="83" t="s">
        <v>271</v>
      </c>
      <c r="G122" s="84"/>
      <c r="H122" s="84">
        <v>3590000</v>
      </c>
      <c r="I122" s="159" t="s">
        <v>441</v>
      </c>
      <c r="J122" s="58"/>
    </row>
    <row r="123" spans="1:54" s="521" customFormat="1" hidden="1" outlineLevel="1">
      <c r="A123" s="589" t="s">
        <v>437</v>
      </c>
      <c r="B123" s="590" t="s">
        <v>424</v>
      </c>
      <c r="C123" s="590" t="s">
        <v>269</v>
      </c>
      <c r="D123" s="595" t="s">
        <v>424</v>
      </c>
      <c r="E123" s="591" t="s">
        <v>442</v>
      </c>
      <c r="F123" s="592" t="s">
        <v>271</v>
      </c>
      <c r="G123" s="593"/>
      <c r="H123" s="593">
        <v>160000</v>
      </c>
      <c r="I123" s="605"/>
      <c r="J123" s="607"/>
      <c r="Z123" s="609"/>
      <c r="BB123" s="609"/>
    </row>
    <row r="124" spans="1:54" hidden="1" outlineLevel="1">
      <c r="A124" s="147" t="s">
        <v>437</v>
      </c>
      <c r="B124" s="80" t="s">
        <v>443</v>
      </c>
      <c r="C124" s="80" t="s">
        <v>269</v>
      </c>
      <c r="D124" s="81" t="s">
        <v>443</v>
      </c>
      <c r="E124" s="82" t="s">
        <v>444</v>
      </c>
      <c r="F124" s="83" t="s">
        <v>271</v>
      </c>
      <c r="G124" s="84"/>
      <c r="H124" s="84">
        <v>250000</v>
      </c>
      <c r="I124" s="159"/>
      <c r="J124" s="58"/>
    </row>
    <row r="125" spans="1:54" hidden="1" outlineLevel="1">
      <c r="A125" s="147" t="s">
        <v>445</v>
      </c>
      <c r="B125" s="80" t="s">
        <v>432</v>
      </c>
      <c r="C125" s="80" t="s">
        <v>269</v>
      </c>
      <c r="D125" s="81" t="s">
        <v>285</v>
      </c>
      <c r="E125" s="86" t="s">
        <v>366</v>
      </c>
      <c r="F125" s="83" t="s">
        <v>271</v>
      </c>
      <c r="G125" s="84"/>
      <c r="H125" s="84">
        <v>3580000</v>
      </c>
      <c r="I125" s="159"/>
    </row>
    <row r="126" spans="1:54" hidden="1" outlineLevel="1">
      <c r="A126" s="147" t="s">
        <v>445</v>
      </c>
      <c r="B126" s="80" t="s">
        <v>443</v>
      </c>
      <c r="C126" s="80" t="s">
        <v>269</v>
      </c>
      <c r="D126" s="80" t="s">
        <v>443</v>
      </c>
      <c r="E126" s="82" t="s">
        <v>446</v>
      </c>
      <c r="F126" s="83" t="s">
        <v>271</v>
      </c>
      <c r="G126" s="84"/>
      <c r="H126" s="84">
        <v>100000</v>
      </c>
      <c r="I126" s="159"/>
    </row>
    <row r="127" spans="1:54" hidden="1" outlineLevel="1">
      <c r="A127" s="147" t="s">
        <v>445</v>
      </c>
      <c r="B127" s="80" t="s">
        <v>432</v>
      </c>
      <c r="C127" s="80" t="s">
        <v>269</v>
      </c>
      <c r="D127" s="81" t="s">
        <v>285</v>
      </c>
      <c r="E127" s="86" t="s">
        <v>447</v>
      </c>
      <c r="F127" s="83" t="s">
        <v>271</v>
      </c>
      <c r="G127" s="84"/>
      <c r="H127" s="84">
        <v>1000000</v>
      </c>
      <c r="I127" s="159"/>
    </row>
    <row r="128" spans="1:54" hidden="1" outlineLevel="1">
      <c r="A128" s="147" t="s">
        <v>448</v>
      </c>
      <c r="B128" s="80" t="s">
        <v>281</v>
      </c>
      <c r="C128" s="80" t="s">
        <v>269</v>
      </c>
      <c r="D128" s="81" t="s">
        <v>281</v>
      </c>
      <c r="E128" s="82" t="s">
        <v>449</v>
      </c>
      <c r="F128" s="83" t="s">
        <v>271</v>
      </c>
      <c r="G128" s="84"/>
      <c r="H128" s="84">
        <v>1040000</v>
      </c>
      <c r="I128" s="159"/>
    </row>
    <row r="129" spans="1:9" hidden="1" outlineLevel="1">
      <c r="A129" s="610" t="s">
        <v>450</v>
      </c>
      <c r="B129" s="80" t="s">
        <v>432</v>
      </c>
      <c r="C129" s="80" t="s">
        <v>269</v>
      </c>
      <c r="D129" s="81" t="s">
        <v>285</v>
      </c>
      <c r="E129" s="86" t="s">
        <v>366</v>
      </c>
      <c r="F129" s="83" t="s">
        <v>271</v>
      </c>
      <c r="G129" s="84"/>
      <c r="H129" s="84">
        <v>800000</v>
      </c>
      <c r="I129" s="159"/>
    </row>
    <row r="130" spans="1:9" hidden="1" outlineLevel="1">
      <c r="A130" s="610" t="s">
        <v>450</v>
      </c>
      <c r="B130" s="80" t="s">
        <v>432</v>
      </c>
      <c r="C130" s="80" t="s">
        <v>269</v>
      </c>
      <c r="D130" s="81" t="s">
        <v>285</v>
      </c>
      <c r="E130" s="82" t="s">
        <v>451</v>
      </c>
      <c r="F130" s="83" t="s">
        <v>271</v>
      </c>
      <c r="G130" s="84"/>
      <c r="H130" s="84">
        <v>500000</v>
      </c>
      <c r="I130" s="159"/>
    </row>
    <row r="131" spans="1:9" hidden="1" outlineLevel="1">
      <c r="A131" s="610" t="s">
        <v>452</v>
      </c>
      <c r="B131" s="80" t="s">
        <v>424</v>
      </c>
      <c r="C131" s="80" t="s">
        <v>269</v>
      </c>
      <c r="D131" s="80" t="s">
        <v>424</v>
      </c>
      <c r="E131" s="82" t="s">
        <v>425</v>
      </c>
      <c r="F131" s="83" t="s">
        <v>271</v>
      </c>
      <c r="G131" s="84"/>
      <c r="H131" s="84">
        <v>175000</v>
      </c>
      <c r="I131" s="159"/>
    </row>
    <row r="132" spans="1:9" hidden="1" outlineLevel="1">
      <c r="A132" s="610" t="s">
        <v>452</v>
      </c>
      <c r="B132" s="80" t="s">
        <v>424</v>
      </c>
      <c r="C132" s="80" t="s">
        <v>269</v>
      </c>
      <c r="D132" s="80" t="s">
        <v>424</v>
      </c>
      <c r="E132" s="611" t="s">
        <v>453</v>
      </c>
      <c r="F132" s="83" t="s">
        <v>271</v>
      </c>
      <c r="G132" s="84"/>
      <c r="H132" s="84">
        <v>150000</v>
      </c>
      <c r="I132" s="159"/>
    </row>
    <row r="133" spans="1:9" hidden="1" outlineLevel="1">
      <c r="A133" s="147" t="s">
        <v>454</v>
      </c>
      <c r="B133" s="80" t="s">
        <v>281</v>
      </c>
      <c r="C133" s="80" t="s">
        <v>269</v>
      </c>
      <c r="D133" s="81" t="s">
        <v>281</v>
      </c>
      <c r="E133" s="82" t="s">
        <v>455</v>
      </c>
      <c r="F133" s="83" t="s">
        <v>271</v>
      </c>
      <c r="G133" s="84"/>
      <c r="H133" s="84">
        <v>1150000</v>
      </c>
      <c r="I133" s="159"/>
    </row>
    <row r="134" spans="1:9" hidden="1" outlineLevel="1">
      <c r="A134" s="147" t="s">
        <v>456</v>
      </c>
      <c r="B134" s="80" t="s">
        <v>418</v>
      </c>
      <c r="C134" s="80" t="s">
        <v>269</v>
      </c>
      <c r="D134" s="80" t="s">
        <v>418</v>
      </c>
      <c r="E134" s="86" t="s">
        <v>438</v>
      </c>
      <c r="F134" s="83" t="s">
        <v>277</v>
      </c>
      <c r="G134" s="84"/>
      <c r="H134" s="84">
        <v>1000000</v>
      </c>
      <c r="I134" s="159"/>
    </row>
    <row r="135" spans="1:9" hidden="1" outlineLevel="1">
      <c r="A135" s="147" t="s">
        <v>457</v>
      </c>
      <c r="B135" s="80" t="s">
        <v>281</v>
      </c>
      <c r="C135" s="80" t="s">
        <v>269</v>
      </c>
      <c r="D135" s="81" t="s">
        <v>281</v>
      </c>
      <c r="E135" s="82" t="s">
        <v>334</v>
      </c>
      <c r="F135" s="83" t="s">
        <v>271</v>
      </c>
      <c r="G135" s="84"/>
      <c r="H135" s="84">
        <v>400000</v>
      </c>
      <c r="I135" s="159"/>
    </row>
    <row r="136" spans="1:9" hidden="1" outlineLevel="1">
      <c r="A136" s="147" t="s">
        <v>458</v>
      </c>
      <c r="B136" s="80" t="s">
        <v>304</v>
      </c>
      <c r="C136" s="80" t="s">
        <v>269</v>
      </c>
      <c r="D136" s="81" t="s">
        <v>304</v>
      </c>
      <c r="E136" s="82" t="s">
        <v>305</v>
      </c>
      <c r="F136" s="83" t="s">
        <v>271</v>
      </c>
      <c r="G136" s="84">
        <v>50000000</v>
      </c>
      <c r="H136" s="84"/>
      <c r="I136" s="159"/>
    </row>
    <row r="137" spans="1:9" hidden="1" outlineLevel="1">
      <c r="A137" s="147" t="s">
        <v>458</v>
      </c>
      <c r="B137" s="81" t="s">
        <v>459</v>
      </c>
      <c r="C137" s="80" t="s">
        <v>269</v>
      </c>
      <c r="D137" s="81" t="s">
        <v>459</v>
      </c>
      <c r="E137" s="611" t="s">
        <v>460</v>
      </c>
      <c r="F137" s="83" t="s">
        <v>271</v>
      </c>
      <c r="G137" s="84"/>
      <c r="H137" s="84">
        <v>2200000</v>
      </c>
      <c r="I137" s="159"/>
    </row>
    <row r="138" spans="1:9" hidden="1" outlineLevel="1">
      <c r="A138" s="147" t="s">
        <v>458</v>
      </c>
      <c r="B138" s="80" t="s">
        <v>424</v>
      </c>
      <c r="C138" s="80" t="s">
        <v>269</v>
      </c>
      <c r="D138" s="80" t="s">
        <v>424</v>
      </c>
      <c r="E138" s="82" t="s">
        <v>461</v>
      </c>
      <c r="F138" s="83" t="s">
        <v>271</v>
      </c>
      <c r="G138" s="84"/>
      <c r="H138" s="84">
        <v>200000</v>
      </c>
      <c r="I138" s="159"/>
    </row>
    <row r="139" spans="1:9" hidden="1" outlineLevel="1">
      <c r="A139" s="147" t="s">
        <v>458</v>
      </c>
      <c r="B139" s="80" t="s">
        <v>424</v>
      </c>
      <c r="C139" s="80" t="s">
        <v>269</v>
      </c>
      <c r="D139" s="80" t="s">
        <v>424</v>
      </c>
      <c r="E139" s="82" t="s">
        <v>436</v>
      </c>
      <c r="F139" s="83" t="s">
        <v>271</v>
      </c>
      <c r="G139" s="84"/>
      <c r="H139" s="84">
        <v>500000</v>
      </c>
      <c r="I139" s="159"/>
    </row>
    <row r="140" spans="1:9" hidden="1" outlineLevel="1">
      <c r="A140" s="147" t="s">
        <v>458</v>
      </c>
      <c r="B140" s="80" t="s">
        <v>424</v>
      </c>
      <c r="C140" s="80" t="s">
        <v>269</v>
      </c>
      <c r="D140" s="80" t="s">
        <v>424</v>
      </c>
      <c r="E140" s="82" t="s">
        <v>462</v>
      </c>
      <c r="F140" s="83" t="s">
        <v>277</v>
      </c>
      <c r="G140" s="84"/>
      <c r="H140" s="84">
        <v>10725000</v>
      </c>
      <c r="I140" s="159"/>
    </row>
    <row r="141" spans="1:9" hidden="1" outlineLevel="1">
      <c r="A141" s="147" t="s">
        <v>463</v>
      </c>
      <c r="B141" s="80" t="s">
        <v>464</v>
      </c>
      <c r="C141" s="80" t="s">
        <v>269</v>
      </c>
      <c r="D141" s="80" t="s">
        <v>464</v>
      </c>
      <c r="E141" s="82" t="s">
        <v>465</v>
      </c>
      <c r="F141" s="83" t="s">
        <v>271</v>
      </c>
      <c r="G141" s="84"/>
      <c r="H141" s="84">
        <v>5000000</v>
      </c>
      <c r="I141" s="159"/>
    </row>
    <row r="142" spans="1:9" hidden="1" outlineLevel="1">
      <c r="A142" s="147" t="s">
        <v>463</v>
      </c>
      <c r="B142" s="80" t="s">
        <v>432</v>
      </c>
      <c r="C142" s="80" t="s">
        <v>269</v>
      </c>
      <c r="D142" s="81" t="s">
        <v>432</v>
      </c>
      <c r="E142" s="82" t="s">
        <v>286</v>
      </c>
      <c r="F142" s="83" t="s">
        <v>271</v>
      </c>
      <c r="G142" s="84"/>
      <c r="H142" s="84">
        <v>10000000</v>
      </c>
      <c r="I142" s="159"/>
    </row>
    <row r="143" spans="1:9" hidden="1" outlineLevel="1">
      <c r="A143" s="147" t="s">
        <v>463</v>
      </c>
      <c r="B143" s="80" t="s">
        <v>424</v>
      </c>
      <c r="C143" s="80" t="s">
        <v>269</v>
      </c>
      <c r="D143" s="80" t="s">
        <v>424</v>
      </c>
      <c r="E143" s="82" t="s">
        <v>466</v>
      </c>
      <c r="F143" s="83" t="s">
        <v>271</v>
      </c>
      <c r="G143" s="84"/>
      <c r="H143" s="84">
        <v>300000</v>
      </c>
      <c r="I143" s="159"/>
    </row>
    <row r="144" spans="1:9" hidden="1" outlineLevel="1">
      <c r="A144" s="147" t="s">
        <v>467</v>
      </c>
      <c r="B144" s="80" t="s">
        <v>468</v>
      </c>
      <c r="C144" s="80" t="s">
        <v>269</v>
      </c>
      <c r="D144" s="81" t="s">
        <v>468</v>
      </c>
      <c r="E144" s="82" t="s">
        <v>469</v>
      </c>
      <c r="F144" s="83" t="s">
        <v>271</v>
      </c>
      <c r="G144" s="84"/>
      <c r="H144" s="84">
        <v>200000</v>
      </c>
      <c r="I144" s="159"/>
    </row>
    <row r="145" spans="1:9" hidden="1" outlineLevel="1">
      <c r="A145" s="147" t="s">
        <v>470</v>
      </c>
      <c r="B145" s="80" t="s">
        <v>409</v>
      </c>
      <c r="C145" s="80" t="s">
        <v>269</v>
      </c>
      <c r="D145" s="81" t="s">
        <v>409</v>
      </c>
      <c r="E145" s="82" t="s">
        <v>425</v>
      </c>
      <c r="F145" s="83" t="s">
        <v>271</v>
      </c>
      <c r="G145" s="84"/>
      <c r="H145" s="84">
        <v>350000</v>
      </c>
      <c r="I145" s="159"/>
    </row>
    <row r="146" spans="1:9" hidden="1" outlineLevel="1">
      <c r="A146" s="147" t="s">
        <v>470</v>
      </c>
      <c r="B146" s="80" t="s">
        <v>281</v>
      </c>
      <c r="C146" s="80" t="s">
        <v>269</v>
      </c>
      <c r="D146" s="81" t="s">
        <v>281</v>
      </c>
      <c r="E146" s="82" t="s">
        <v>471</v>
      </c>
      <c r="F146" s="83" t="s">
        <v>271</v>
      </c>
      <c r="G146" s="84"/>
      <c r="H146" s="84">
        <v>680000</v>
      </c>
      <c r="I146" s="159"/>
    </row>
    <row r="147" spans="1:9" hidden="1" outlineLevel="1">
      <c r="A147" s="147" t="s">
        <v>470</v>
      </c>
      <c r="B147" s="80" t="s">
        <v>468</v>
      </c>
      <c r="C147" s="80" t="s">
        <v>269</v>
      </c>
      <c r="D147" s="81" t="s">
        <v>468</v>
      </c>
      <c r="E147" s="82" t="s">
        <v>469</v>
      </c>
      <c r="F147" s="83" t="s">
        <v>271</v>
      </c>
      <c r="G147" s="84"/>
      <c r="H147" s="84">
        <v>100000</v>
      </c>
      <c r="I147" s="159"/>
    </row>
    <row r="148" spans="1:9" hidden="1" outlineLevel="1">
      <c r="A148" s="147" t="s">
        <v>470</v>
      </c>
      <c r="B148" s="80" t="s">
        <v>432</v>
      </c>
      <c r="C148" s="80" t="s">
        <v>269</v>
      </c>
      <c r="D148" s="80" t="s">
        <v>432</v>
      </c>
      <c r="E148" s="82" t="s">
        <v>447</v>
      </c>
      <c r="F148" s="83" t="s">
        <v>271</v>
      </c>
      <c r="G148" s="84"/>
      <c r="H148" s="84">
        <v>1000000</v>
      </c>
      <c r="I148" s="159"/>
    </row>
    <row r="149" spans="1:9" hidden="1" outlineLevel="1">
      <c r="A149" s="147" t="s">
        <v>472</v>
      </c>
      <c r="B149" s="80" t="s">
        <v>432</v>
      </c>
      <c r="C149" s="80" t="s">
        <v>269</v>
      </c>
      <c r="D149" s="80" t="s">
        <v>432</v>
      </c>
      <c r="E149" s="82" t="s">
        <v>366</v>
      </c>
      <c r="F149" s="83" t="s">
        <v>271</v>
      </c>
      <c r="G149" s="84"/>
      <c r="H149" s="84">
        <v>1660000</v>
      </c>
      <c r="I149" s="159"/>
    </row>
    <row r="150" spans="1:9" hidden="1" outlineLevel="1">
      <c r="A150" s="147" t="s">
        <v>472</v>
      </c>
      <c r="B150" s="80" t="s">
        <v>432</v>
      </c>
      <c r="C150" s="80" t="s">
        <v>269</v>
      </c>
      <c r="D150" s="80" t="s">
        <v>432</v>
      </c>
      <c r="E150" s="82" t="s">
        <v>473</v>
      </c>
      <c r="F150" s="83" t="s">
        <v>271</v>
      </c>
      <c r="G150" s="84"/>
      <c r="H150" s="84">
        <v>1000000</v>
      </c>
      <c r="I150" s="159"/>
    </row>
    <row r="151" spans="1:9" hidden="1" outlineLevel="1">
      <c r="A151" s="147" t="s">
        <v>474</v>
      </c>
      <c r="B151" s="80" t="s">
        <v>281</v>
      </c>
      <c r="C151" s="80" t="s">
        <v>269</v>
      </c>
      <c r="D151" s="81" t="s">
        <v>281</v>
      </c>
      <c r="E151" s="82" t="s">
        <v>475</v>
      </c>
      <c r="F151" s="83"/>
      <c r="G151" s="84">
        <v>10000000</v>
      </c>
      <c r="H151" s="84"/>
      <c r="I151" s="159"/>
    </row>
    <row r="152" spans="1:9" hidden="1" outlineLevel="1">
      <c r="A152" s="147" t="s">
        <v>476</v>
      </c>
      <c r="B152" s="80" t="s">
        <v>424</v>
      </c>
      <c r="C152" s="80" t="s">
        <v>269</v>
      </c>
      <c r="D152" s="80" t="s">
        <v>424</v>
      </c>
      <c r="E152" s="82" t="s">
        <v>477</v>
      </c>
      <c r="F152" s="83" t="s">
        <v>271</v>
      </c>
      <c r="G152" s="612"/>
      <c r="H152" s="612">
        <v>500000</v>
      </c>
      <c r="I152" s="159"/>
    </row>
    <row r="153" spans="1:9" hidden="1" outlineLevel="1">
      <c r="A153" s="147" t="s">
        <v>476</v>
      </c>
      <c r="B153" s="80" t="s">
        <v>281</v>
      </c>
      <c r="C153" s="80" t="s">
        <v>269</v>
      </c>
      <c r="D153" s="81" t="s">
        <v>281</v>
      </c>
      <c r="E153" s="82" t="s">
        <v>478</v>
      </c>
      <c r="F153" s="83"/>
      <c r="G153" s="612">
        <v>250000</v>
      </c>
      <c r="H153" s="612"/>
      <c r="I153" s="159"/>
    </row>
    <row r="154" spans="1:9" hidden="1" outlineLevel="1">
      <c r="A154" s="147" t="s">
        <v>476</v>
      </c>
      <c r="B154" s="80" t="s">
        <v>418</v>
      </c>
      <c r="C154" s="80" t="s">
        <v>269</v>
      </c>
      <c r="D154" s="80" t="s">
        <v>418</v>
      </c>
      <c r="E154" s="82" t="s">
        <v>438</v>
      </c>
      <c r="F154" s="83" t="s">
        <v>277</v>
      </c>
      <c r="G154" s="84"/>
      <c r="H154" s="84">
        <v>1014300</v>
      </c>
      <c r="I154" s="159"/>
    </row>
    <row r="155" spans="1:9" hidden="1" outlineLevel="1">
      <c r="A155" s="147" t="s">
        <v>476</v>
      </c>
      <c r="B155" s="80" t="s">
        <v>418</v>
      </c>
      <c r="C155" s="80" t="s">
        <v>269</v>
      </c>
      <c r="D155" s="80" t="s">
        <v>418</v>
      </c>
      <c r="E155" s="82" t="s">
        <v>479</v>
      </c>
      <c r="F155" s="83" t="s">
        <v>271</v>
      </c>
      <c r="G155" s="84"/>
      <c r="H155" s="84">
        <v>700000</v>
      </c>
      <c r="I155" s="159"/>
    </row>
    <row r="156" spans="1:9" hidden="1" outlineLevel="1">
      <c r="A156" s="147" t="s">
        <v>480</v>
      </c>
      <c r="B156" s="80" t="s">
        <v>418</v>
      </c>
      <c r="C156" s="80" t="s">
        <v>269</v>
      </c>
      <c r="D156" s="80" t="s">
        <v>418</v>
      </c>
      <c r="E156" s="82" t="s">
        <v>438</v>
      </c>
      <c r="F156" s="83" t="s">
        <v>277</v>
      </c>
      <c r="G156" s="84"/>
      <c r="H156" s="84">
        <v>950000</v>
      </c>
      <c r="I156" s="159"/>
    </row>
    <row r="157" spans="1:9" hidden="1" outlineLevel="1">
      <c r="A157" s="147" t="s">
        <v>481</v>
      </c>
      <c r="B157" s="80" t="s">
        <v>432</v>
      </c>
      <c r="C157" s="80" t="s">
        <v>269</v>
      </c>
      <c r="D157" s="80" t="s">
        <v>432</v>
      </c>
      <c r="E157" s="82" t="s">
        <v>482</v>
      </c>
      <c r="F157" s="83" t="s">
        <v>271</v>
      </c>
      <c r="G157" s="84"/>
      <c r="H157" s="84">
        <v>6000000</v>
      </c>
      <c r="I157" s="159"/>
    </row>
    <row r="158" spans="1:9" hidden="1" outlineLevel="1">
      <c r="A158" s="147" t="s">
        <v>481</v>
      </c>
      <c r="B158" s="80" t="s">
        <v>432</v>
      </c>
      <c r="C158" s="80" t="s">
        <v>269</v>
      </c>
      <c r="D158" s="80" t="s">
        <v>432</v>
      </c>
      <c r="E158" s="82" t="s">
        <v>483</v>
      </c>
      <c r="F158" s="83" t="s">
        <v>271</v>
      </c>
      <c r="G158" s="84"/>
      <c r="H158" s="84">
        <v>10000000</v>
      </c>
      <c r="I158" s="159"/>
    </row>
    <row r="159" spans="1:9" hidden="1" outlineLevel="1">
      <c r="A159" s="147" t="s">
        <v>484</v>
      </c>
      <c r="B159" s="80" t="s">
        <v>418</v>
      </c>
      <c r="C159" s="80" t="s">
        <v>269</v>
      </c>
      <c r="D159" s="81" t="s">
        <v>418</v>
      </c>
      <c r="E159" s="611" t="s">
        <v>485</v>
      </c>
      <c r="F159" s="83" t="s">
        <v>271</v>
      </c>
      <c r="G159" s="84"/>
      <c r="H159" s="84">
        <v>300000</v>
      </c>
      <c r="I159" s="159"/>
    </row>
    <row r="160" spans="1:9" hidden="1" outlineLevel="1">
      <c r="A160" s="147" t="s">
        <v>486</v>
      </c>
      <c r="B160" s="80" t="s">
        <v>418</v>
      </c>
      <c r="C160" s="80" t="s">
        <v>269</v>
      </c>
      <c r="D160" s="81" t="s">
        <v>418</v>
      </c>
      <c r="E160" s="82" t="s">
        <v>438</v>
      </c>
      <c r="F160" s="83" t="s">
        <v>277</v>
      </c>
      <c r="G160" s="84"/>
      <c r="H160" s="84">
        <v>900000</v>
      </c>
      <c r="I160" s="159"/>
    </row>
    <row r="161" spans="1:56" hidden="1" outlineLevel="1">
      <c r="A161" s="147" t="s">
        <v>487</v>
      </c>
      <c r="B161" s="80" t="s">
        <v>418</v>
      </c>
      <c r="C161" s="80" t="s">
        <v>269</v>
      </c>
      <c r="D161" s="81" t="s">
        <v>418</v>
      </c>
      <c r="E161" s="611" t="s">
        <v>485</v>
      </c>
      <c r="F161" s="83" t="s">
        <v>271</v>
      </c>
      <c r="G161" s="84"/>
      <c r="H161" s="84">
        <v>260000</v>
      </c>
      <c r="I161" s="159"/>
    </row>
    <row r="162" spans="1:56" hidden="1" outlineLevel="1">
      <c r="A162" s="147" t="s">
        <v>487</v>
      </c>
      <c r="B162" s="80" t="s">
        <v>424</v>
      </c>
      <c r="C162" s="80" t="s">
        <v>269</v>
      </c>
      <c r="D162" s="80" t="s">
        <v>424</v>
      </c>
      <c r="E162" s="82" t="s">
        <v>366</v>
      </c>
      <c r="F162" s="83" t="s">
        <v>271</v>
      </c>
      <c r="G162" s="84"/>
      <c r="H162" s="84">
        <v>3000000</v>
      </c>
      <c r="I162" s="159"/>
    </row>
    <row r="163" spans="1:56" hidden="1" outlineLevel="1">
      <c r="A163" s="147" t="s">
        <v>488</v>
      </c>
      <c r="B163" s="80" t="s">
        <v>432</v>
      </c>
      <c r="C163" s="80" t="s">
        <v>269</v>
      </c>
      <c r="D163" s="80" t="s">
        <v>432</v>
      </c>
      <c r="E163" s="82" t="s">
        <v>489</v>
      </c>
      <c r="F163" s="83" t="s">
        <v>271</v>
      </c>
      <c r="G163" s="84"/>
      <c r="H163" s="84">
        <v>1000000</v>
      </c>
      <c r="I163" s="159"/>
    </row>
    <row r="164" spans="1:56" ht="18.75" hidden="1" outlineLevel="1" thickBot="1">
      <c r="A164" s="147" t="s">
        <v>488</v>
      </c>
      <c r="B164" s="80" t="s">
        <v>424</v>
      </c>
      <c r="C164" s="80" t="s">
        <v>269</v>
      </c>
      <c r="D164" s="80" t="s">
        <v>424</v>
      </c>
      <c r="E164" s="82" t="s">
        <v>425</v>
      </c>
      <c r="F164" s="83" t="s">
        <v>271</v>
      </c>
      <c r="G164" s="84"/>
      <c r="H164" s="84">
        <v>175000</v>
      </c>
      <c r="I164" s="159"/>
    </row>
    <row r="165" spans="1:56" ht="18.75" collapsed="1" thickBot="1">
      <c r="A165" s="613" t="s">
        <v>101</v>
      </c>
      <c r="B165" s="614"/>
      <c r="C165" s="1408" t="s">
        <v>269</v>
      </c>
      <c r="D165" s="959" t="s">
        <v>1665</v>
      </c>
      <c r="E165" s="615" t="s">
        <v>490</v>
      </c>
      <c r="F165" s="616"/>
      <c r="G165" s="617">
        <f>SUM(G107:G164)</f>
        <v>144385950</v>
      </c>
      <c r="H165" s="578">
        <f>SUM(H108:H164)</f>
        <v>139017800</v>
      </c>
      <c r="I165" s="620"/>
    </row>
    <row r="166" spans="1:56" ht="18.75" thickBot="1">
      <c r="A166" s="1923" t="s">
        <v>266</v>
      </c>
      <c r="B166" s="1924"/>
      <c r="C166" s="1924"/>
      <c r="D166" s="1924"/>
      <c r="E166" s="618"/>
      <c r="F166" s="144"/>
      <c r="G166" s="145">
        <f>G165-H165</f>
        <v>5368150</v>
      </c>
      <c r="H166" s="619"/>
      <c r="I166" s="621"/>
      <c r="BD166" s="524"/>
    </row>
    <row r="167" spans="1:56" s="940" customFormat="1" ht="30" hidden="1" customHeight="1" outlineLevel="1">
      <c r="A167" s="950" t="s">
        <v>1032</v>
      </c>
      <c r="B167" s="935" t="s">
        <v>1959</v>
      </c>
      <c r="C167" s="935" t="s">
        <v>492</v>
      </c>
      <c r="D167" s="935" t="s">
        <v>1959</v>
      </c>
      <c r="E167" s="941" t="s">
        <v>1960</v>
      </c>
      <c r="F167" s="938" t="s">
        <v>271</v>
      </c>
      <c r="G167" s="913"/>
      <c r="H167" s="913">
        <v>3178000</v>
      </c>
      <c r="I167" s="939">
        <f>I166+G167-H167</f>
        <v>-3178000</v>
      </c>
      <c r="Z167" s="951"/>
      <c r="BB167" s="951"/>
    </row>
    <row r="168" spans="1:56" s="940" customFormat="1" ht="30" hidden="1" customHeight="1" outlineLevel="1">
      <c r="A168" s="950" t="s">
        <v>502</v>
      </c>
      <c r="B168" s="935" t="s">
        <v>1959</v>
      </c>
      <c r="C168" s="935" t="s">
        <v>492</v>
      </c>
      <c r="D168" s="935" t="s">
        <v>1959</v>
      </c>
      <c r="E168" s="941" t="s">
        <v>1960</v>
      </c>
      <c r="F168" s="938" t="s">
        <v>271</v>
      </c>
      <c r="G168" s="913"/>
      <c r="H168" s="913">
        <v>1000000</v>
      </c>
      <c r="I168" s="939">
        <f t="shared" ref="I168:I208" si="0">I167+G168-H168</f>
        <v>-4178000</v>
      </c>
      <c r="Z168" s="951"/>
      <c r="BB168" s="951"/>
    </row>
    <row r="169" spans="1:56" s="940" customFormat="1" hidden="1" outlineLevel="1">
      <c r="A169" s="950" t="s">
        <v>491</v>
      </c>
      <c r="B169" s="935" t="s">
        <v>432</v>
      </c>
      <c r="C169" s="935" t="s">
        <v>492</v>
      </c>
      <c r="D169" s="935" t="s">
        <v>432</v>
      </c>
      <c r="E169" s="941" t="s">
        <v>366</v>
      </c>
      <c r="F169" s="938" t="s">
        <v>271</v>
      </c>
      <c r="G169" s="913"/>
      <c r="H169" s="913">
        <v>1150000</v>
      </c>
      <c r="I169" s="939">
        <f t="shared" si="0"/>
        <v>-5328000</v>
      </c>
      <c r="Z169" s="951"/>
      <c r="BB169" s="951"/>
    </row>
    <row r="170" spans="1:56" s="940" customFormat="1" hidden="1" outlineLevel="1">
      <c r="A170" s="950" t="s">
        <v>488</v>
      </c>
      <c r="B170" s="935" t="s">
        <v>432</v>
      </c>
      <c r="C170" s="935" t="s">
        <v>492</v>
      </c>
      <c r="D170" s="935" t="s">
        <v>432</v>
      </c>
      <c r="E170" s="941" t="s">
        <v>366</v>
      </c>
      <c r="F170" s="938" t="s">
        <v>271</v>
      </c>
      <c r="G170" s="913"/>
      <c r="H170" s="913">
        <v>1240000</v>
      </c>
      <c r="I170" s="939">
        <f t="shared" si="0"/>
        <v>-6568000</v>
      </c>
      <c r="Z170" s="951"/>
      <c r="BB170" s="951"/>
    </row>
    <row r="171" spans="1:56" s="940" customFormat="1" hidden="1" outlineLevel="1">
      <c r="A171" s="950" t="s">
        <v>493</v>
      </c>
      <c r="B171" s="935" t="s">
        <v>418</v>
      </c>
      <c r="C171" s="935" t="s">
        <v>492</v>
      </c>
      <c r="D171" s="935" t="s">
        <v>418</v>
      </c>
      <c r="E171" s="941" t="s">
        <v>494</v>
      </c>
      <c r="F171" s="938" t="s">
        <v>271</v>
      </c>
      <c r="G171" s="913"/>
      <c r="H171" s="913">
        <v>50000</v>
      </c>
      <c r="I171" s="939">
        <f t="shared" si="0"/>
        <v>-6618000</v>
      </c>
      <c r="J171" s="1157"/>
      <c r="Z171" s="951"/>
      <c r="BB171" s="951"/>
    </row>
    <row r="172" spans="1:56" s="940" customFormat="1" hidden="1" outlineLevel="1">
      <c r="A172" s="950" t="s">
        <v>495</v>
      </c>
      <c r="B172" s="935" t="s">
        <v>418</v>
      </c>
      <c r="C172" s="935" t="s">
        <v>492</v>
      </c>
      <c r="D172" s="935" t="s">
        <v>418</v>
      </c>
      <c r="E172" s="941" t="s">
        <v>496</v>
      </c>
      <c r="F172" s="938" t="s">
        <v>271</v>
      </c>
      <c r="G172" s="913"/>
      <c r="H172" s="913">
        <v>650000</v>
      </c>
      <c r="I172" s="939">
        <f t="shared" si="0"/>
        <v>-7268000</v>
      </c>
      <c r="J172" s="1157"/>
      <c r="Z172" s="951"/>
      <c r="BB172" s="951"/>
    </row>
    <row r="173" spans="1:56" s="940" customFormat="1" hidden="1" outlineLevel="1">
      <c r="A173" s="950" t="s">
        <v>497</v>
      </c>
      <c r="B173" s="935" t="s">
        <v>418</v>
      </c>
      <c r="C173" s="935" t="s">
        <v>492</v>
      </c>
      <c r="D173" s="935" t="s">
        <v>418</v>
      </c>
      <c r="E173" s="941" t="s">
        <v>498</v>
      </c>
      <c r="F173" s="938" t="s">
        <v>277</v>
      </c>
      <c r="G173" s="913"/>
      <c r="H173" s="913">
        <v>703800</v>
      </c>
      <c r="I173" s="939">
        <f t="shared" si="0"/>
        <v>-7971800</v>
      </c>
      <c r="Z173" s="951"/>
      <c r="BB173" s="951"/>
    </row>
    <row r="174" spans="1:56" s="940" customFormat="1" hidden="1" outlineLevel="1">
      <c r="A174" s="950" t="s">
        <v>499</v>
      </c>
      <c r="B174" s="935" t="s">
        <v>424</v>
      </c>
      <c r="C174" s="935" t="s">
        <v>492</v>
      </c>
      <c r="D174" s="935" t="s">
        <v>424</v>
      </c>
      <c r="E174" s="941" t="s">
        <v>477</v>
      </c>
      <c r="F174" s="938" t="s">
        <v>271</v>
      </c>
      <c r="G174" s="913"/>
      <c r="H174" s="913">
        <v>500000</v>
      </c>
      <c r="I174" s="939">
        <f t="shared" si="0"/>
        <v>-8471800</v>
      </c>
      <c r="J174" s="1157"/>
      <c r="Z174" s="951"/>
      <c r="BB174" s="951"/>
    </row>
    <row r="175" spans="1:56" s="940" customFormat="1" hidden="1" outlineLevel="1">
      <c r="A175" s="950" t="s">
        <v>499</v>
      </c>
      <c r="B175" s="935" t="s">
        <v>432</v>
      </c>
      <c r="C175" s="935" t="s">
        <v>492</v>
      </c>
      <c r="D175" s="935" t="s">
        <v>432</v>
      </c>
      <c r="E175" s="941" t="s">
        <v>500</v>
      </c>
      <c r="F175" s="938" t="s">
        <v>271</v>
      </c>
      <c r="G175" s="913"/>
      <c r="H175" s="913">
        <v>1000000</v>
      </c>
      <c r="I175" s="939">
        <f t="shared" si="0"/>
        <v>-9471800</v>
      </c>
      <c r="Z175" s="951"/>
      <c r="BB175" s="951"/>
    </row>
    <row r="176" spans="1:56" s="940" customFormat="1" hidden="1" outlineLevel="1">
      <c r="A176" s="950" t="s">
        <v>499</v>
      </c>
      <c r="B176" s="935" t="s">
        <v>418</v>
      </c>
      <c r="C176" s="935" t="s">
        <v>492</v>
      </c>
      <c r="D176" s="935" t="s">
        <v>418</v>
      </c>
      <c r="E176" s="941" t="s">
        <v>498</v>
      </c>
      <c r="F176" s="938" t="s">
        <v>277</v>
      </c>
      <c r="G176" s="913"/>
      <c r="H176" s="913">
        <v>1000000</v>
      </c>
      <c r="I176" s="939">
        <f t="shared" si="0"/>
        <v>-10471800</v>
      </c>
      <c r="Z176" s="951"/>
      <c r="BB176" s="951"/>
    </row>
    <row r="177" spans="1:54" s="940" customFormat="1" hidden="1" outlineLevel="1">
      <c r="A177" s="950" t="s">
        <v>501</v>
      </c>
      <c r="B177" s="935" t="s">
        <v>304</v>
      </c>
      <c r="C177" s="935" t="s">
        <v>269</v>
      </c>
      <c r="D177" s="936" t="s">
        <v>304</v>
      </c>
      <c r="E177" s="937" t="s">
        <v>305</v>
      </c>
      <c r="F177" s="938" t="s">
        <v>271</v>
      </c>
      <c r="G177" s="913">
        <v>30000000</v>
      </c>
      <c r="H177" s="913"/>
      <c r="I177" s="939">
        <f t="shared" si="0"/>
        <v>19528200</v>
      </c>
      <c r="J177" s="1157"/>
      <c r="Z177" s="951"/>
      <c r="BB177" s="951"/>
    </row>
    <row r="178" spans="1:54" s="940" customFormat="1" hidden="1" outlineLevel="1">
      <c r="A178" s="950" t="s">
        <v>502</v>
      </c>
      <c r="B178" s="935" t="s">
        <v>424</v>
      </c>
      <c r="C178" s="935" t="s">
        <v>492</v>
      </c>
      <c r="D178" s="935" t="s">
        <v>424</v>
      </c>
      <c r="E178" s="937" t="s">
        <v>503</v>
      </c>
      <c r="F178" s="938" t="s">
        <v>271</v>
      </c>
      <c r="G178" s="913"/>
      <c r="H178" s="913">
        <v>185000</v>
      </c>
      <c r="I178" s="939">
        <f t="shared" si="0"/>
        <v>19343200</v>
      </c>
      <c r="J178" s="1157"/>
      <c r="Z178" s="951"/>
      <c r="BB178" s="951"/>
    </row>
    <row r="179" spans="1:54" s="940" customFormat="1" hidden="1" outlineLevel="1">
      <c r="A179" s="950" t="s">
        <v>502</v>
      </c>
      <c r="B179" s="935" t="s">
        <v>418</v>
      </c>
      <c r="C179" s="935" t="s">
        <v>492</v>
      </c>
      <c r="D179" s="935" t="s">
        <v>418</v>
      </c>
      <c r="E179" s="941" t="s">
        <v>498</v>
      </c>
      <c r="F179" s="938" t="s">
        <v>277</v>
      </c>
      <c r="G179" s="913"/>
      <c r="H179" s="913">
        <v>1000000</v>
      </c>
      <c r="I179" s="939">
        <f t="shared" si="0"/>
        <v>18343200</v>
      </c>
      <c r="J179" s="1157"/>
      <c r="Z179" s="951"/>
      <c r="BB179" s="951"/>
    </row>
    <row r="180" spans="1:54" s="940" customFormat="1" hidden="1" outlineLevel="1">
      <c r="A180" s="950" t="s">
        <v>502</v>
      </c>
      <c r="B180" s="935" t="s">
        <v>418</v>
      </c>
      <c r="C180" s="935" t="s">
        <v>492</v>
      </c>
      <c r="D180" s="935" t="s">
        <v>418</v>
      </c>
      <c r="E180" s="941" t="s">
        <v>494</v>
      </c>
      <c r="F180" s="938" t="s">
        <v>271</v>
      </c>
      <c r="G180" s="913"/>
      <c r="H180" s="913">
        <v>640000</v>
      </c>
      <c r="I180" s="939">
        <f t="shared" si="0"/>
        <v>17703200</v>
      </c>
      <c r="J180" s="1157"/>
      <c r="Z180" s="951"/>
      <c r="BB180" s="951"/>
    </row>
    <row r="181" spans="1:54" s="940" customFormat="1" hidden="1" outlineLevel="1">
      <c r="A181" s="950" t="s">
        <v>504</v>
      </c>
      <c r="B181" s="935" t="s">
        <v>418</v>
      </c>
      <c r="C181" s="935" t="s">
        <v>492</v>
      </c>
      <c r="D181" s="935" t="s">
        <v>418</v>
      </c>
      <c r="E181" s="941" t="s">
        <v>498</v>
      </c>
      <c r="F181" s="938" t="s">
        <v>277</v>
      </c>
      <c r="G181" s="913"/>
      <c r="H181" s="913">
        <v>800000</v>
      </c>
      <c r="I181" s="939">
        <f t="shared" si="0"/>
        <v>16903200</v>
      </c>
      <c r="Z181" s="951"/>
      <c r="BB181" s="951"/>
    </row>
    <row r="182" spans="1:54" s="940" customFormat="1" hidden="1" outlineLevel="1">
      <c r="A182" s="950" t="s">
        <v>504</v>
      </c>
      <c r="B182" s="935" t="s">
        <v>418</v>
      </c>
      <c r="C182" s="935" t="s">
        <v>492</v>
      </c>
      <c r="D182" s="935" t="s">
        <v>418</v>
      </c>
      <c r="E182" s="941" t="s">
        <v>505</v>
      </c>
      <c r="F182" s="938" t="s">
        <v>271</v>
      </c>
      <c r="G182" s="913"/>
      <c r="H182" s="913">
        <v>595000</v>
      </c>
      <c r="I182" s="939">
        <f t="shared" si="0"/>
        <v>16308200</v>
      </c>
      <c r="Z182" s="951"/>
      <c r="BB182" s="951"/>
    </row>
    <row r="183" spans="1:54" s="940" customFormat="1" hidden="1" outlineLevel="1">
      <c r="A183" s="950" t="s">
        <v>504</v>
      </c>
      <c r="B183" s="935" t="s">
        <v>432</v>
      </c>
      <c r="C183" s="935" t="s">
        <v>492</v>
      </c>
      <c r="D183" s="935" t="s">
        <v>432</v>
      </c>
      <c r="E183" s="941" t="s">
        <v>366</v>
      </c>
      <c r="F183" s="938" t="s">
        <v>271</v>
      </c>
      <c r="G183" s="913"/>
      <c r="H183" s="913">
        <v>1480000</v>
      </c>
      <c r="I183" s="939">
        <f t="shared" si="0"/>
        <v>14828200</v>
      </c>
      <c r="Z183" s="951"/>
      <c r="BB183" s="951"/>
    </row>
    <row r="184" spans="1:54" s="940" customFormat="1" hidden="1" outlineLevel="1">
      <c r="A184" s="950" t="s">
        <v>504</v>
      </c>
      <c r="B184" s="935" t="s">
        <v>432</v>
      </c>
      <c r="C184" s="935" t="s">
        <v>492</v>
      </c>
      <c r="D184" s="935" t="s">
        <v>432</v>
      </c>
      <c r="E184" s="941" t="s">
        <v>410</v>
      </c>
      <c r="F184" s="938" t="s">
        <v>271</v>
      </c>
      <c r="G184" s="913"/>
      <c r="H184" s="913">
        <v>1000000</v>
      </c>
      <c r="I184" s="939">
        <f t="shared" si="0"/>
        <v>13828200</v>
      </c>
      <c r="Z184" s="951"/>
      <c r="BB184" s="951"/>
    </row>
    <row r="185" spans="1:54" s="940" customFormat="1" hidden="1" outlineLevel="1">
      <c r="A185" s="950" t="s">
        <v>506</v>
      </c>
      <c r="B185" s="935" t="s">
        <v>424</v>
      </c>
      <c r="C185" s="935" t="s">
        <v>492</v>
      </c>
      <c r="D185" s="935" t="s">
        <v>424</v>
      </c>
      <c r="E185" s="941" t="s">
        <v>507</v>
      </c>
      <c r="F185" s="938" t="s">
        <v>271</v>
      </c>
      <c r="G185" s="913"/>
      <c r="H185" s="913">
        <v>56000</v>
      </c>
      <c r="I185" s="939">
        <f t="shared" si="0"/>
        <v>13772200</v>
      </c>
      <c r="Z185" s="951"/>
      <c r="BB185" s="951"/>
    </row>
    <row r="186" spans="1:54" s="940" customFormat="1" hidden="1" outlineLevel="1">
      <c r="A186" s="950" t="s">
        <v>508</v>
      </c>
      <c r="B186" s="935" t="s">
        <v>424</v>
      </c>
      <c r="C186" s="935" t="s">
        <v>492</v>
      </c>
      <c r="D186" s="935" t="s">
        <v>424</v>
      </c>
      <c r="E186" s="941" t="s">
        <v>509</v>
      </c>
      <c r="F186" s="938" t="s">
        <v>271</v>
      </c>
      <c r="G186" s="913"/>
      <c r="H186" s="913">
        <v>89000</v>
      </c>
      <c r="I186" s="939">
        <f t="shared" si="0"/>
        <v>13683200</v>
      </c>
      <c r="Z186" s="951"/>
      <c r="BB186" s="951"/>
    </row>
    <row r="187" spans="1:54" s="940" customFormat="1" hidden="1" outlineLevel="1">
      <c r="A187" s="950" t="s">
        <v>508</v>
      </c>
      <c r="B187" s="935" t="s">
        <v>432</v>
      </c>
      <c r="C187" s="935" t="s">
        <v>492</v>
      </c>
      <c r="D187" s="935" t="s">
        <v>432</v>
      </c>
      <c r="E187" s="941" t="s">
        <v>366</v>
      </c>
      <c r="F187" s="938" t="s">
        <v>271</v>
      </c>
      <c r="G187" s="913"/>
      <c r="H187" s="913">
        <v>660000</v>
      </c>
      <c r="I187" s="939">
        <f t="shared" si="0"/>
        <v>13023200</v>
      </c>
      <c r="Z187" s="951"/>
      <c r="BB187" s="951"/>
    </row>
    <row r="188" spans="1:54" s="940" customFormat="1" hidden="1" outlineLevel="1">
      <c r="A188" s="950" t="s">
        <v>508</v>
      </c>
      <c r="B188" s="935" t="s">
        <v>424</v>
      </c>
      <c r="C188" s="935" t="s">
        <v>492</v>
      </c>
      <c r="D188" s="935" t="s">
        <v>424</v>
      </c>
      <c r="E188" s="941" t="s">
        <v>436</v>
      </c>
      <c r="F188" s="938" t="s">
        <v>271</v>
      </c>
      <c r="G188" s="913"/>
      <c r="H188" s="913">
        <v>300000</v>
      </c>
      <c r="I188" s="939">
        <f t="shared" si="0"/>
        <v>12723200</v>
      </c>
      <c r="Z188" s="951"/>
      <c r="BB188" s="951"/>
    </row>
    <row r="189" spans="1:54" s="940" customFormat="1" hidden="1" outlineLevel="1">
      <c r="A189" s="950" t="s">
        <v>508</v>
      </c>
      <c r="B189" s="935" t="s">
        <v>432</v>
      </c>
      <c r="C189" s="935" t="s">
        <v>492</v>
      </c>
      <c r="D189" s="935" t="s">
        <v>432</v>
      </c>
      <c r="E189" s="941" t="s">
        <v>510</v>
      </c>
      <c r="F189" s="938" t="s">
        <v>271</v>
      </c>
      <c r="G189" s="913"/>
      <c r="H189" s="913">
        <v>8000000</v>
      </c>
      <c r="I189" s="939">
        <f t="shared" si="0"/>
        <v>4723200</v>
      </c>
      <c r="Z189" s="951"/>
      <c r="BB189" s="951"/>
    </row>
    <row r="190" spans="1:54" s="940" customFormat="1" hidden="1" outlineLevel="1">
      <c r="A190" s="950" t="s">
        <v>1656</v>
      </c>
      <c r="B190" s="935" t="s">
        <v>432</v>
      </c>
      <c r="C190" s="935" t="s">
        <v>492</v>
      </c>
      <c r="D190" s="935" t="s">
        <v>432</v>
      </c>
      <c r="E190" s="941" t="s">
        <v>1657</v>
      </c>
      <c r="F190" s="938" t="s">
        <v>271</v>
      </c>
      <c r="G190" s="913"/>
      <c r="H190" s="913">
        <v>5000000</v>
      </c>
      <c r="I190" s="939">
        <f t="shared" si="0"/>
        <v>-276800</v>
      </c>
      <c r="Z190" s="951"/>
      <c r="BB190" s="951"/>
    </row>
    <row r="191" spans="1:54" s="940" customFormat="1" hidden="1" outlineLevel="1">
      <c r="A191" s="950" t="s">
        <v>1656</v>
      </c>
      <c r="B191" s="935" t="s">
        <v>281</v>
      </c>
      <c r="C191" s="935" t="s">
        <v>269</v>
      </c>
      <c r="D191" s="936" t="s">
        <v>281</v>
      </c>
      <c r="E191" s="937" t="s">
        <v>475</v>
      </c>
      <c r="F191" s="938"/>
      <c r="G191" s="913">
        <v>15000000</v>
      </c>
      <c r="H191" s="913"/>
      <c r="I191" s="939">
        <f t="shared" si="0"/>
        <v>14723200</v>
      </c>
      <c r="Z191" s="951"/>
      <c r="BB191" s="951"/>
    </row>
    <row r="192" spans="1:54" s="940" customFormat="1" hidden="1" outlineLevel="1">
      <c r="A192" s="950" t="s">
        <v>1656</v>
      </c>
      <c r="B192" s="935" t="s">
        <v>432</v>
      </c>
      <c r="C192" s="935" t="s">
        <v>492</v>
      </c>
      <c r="D192" s="935" t="s">
        <v>432</v>
      </c>
      <c r="E192" s="941" t="s">
        <v>366</v>
      </c>
      <c r="F192" s="938"/>
      <c r="G192" s="913"/>
      <c r="H192" s="913">
        <v>1440000</v>
      </c>
      <c r="I192" s="939">
        <f t="shared" si="0"/>
        <v>13283200</v>
      </c>
      <c r="Z192" s="951"/>
      <c r="BB192" s="951"/>
    </row>
    <row r="193" spans="1:54" s="940" customFormat="1" hidden="1" outlineLevel="1">
      <c r="A193" s="950" t="s">
        <v>1210</v>
      </c>
      <c r="B193" s="935" t="s">
        <v>432</v>
      </c>
      <c r="C193" s="935" t="s">
        <v>492</v>
      </c>
      <c r="D193" s="935" t="s">
        <v>432</v>
      </c>
      <c r="E193" s="941" t="s">
        <v>366</v>
      </c>
      <c r="F193" s="938"/>
      <c r="G193" s="913"/>
      <c r="H193" s="913">
        <v>1300000</v>
      </c>
      <c r="I193" s="939">
        <f t="shared" si="0"/>
        <v>11983200</v>
      </c>
      <c r="Z193" s="951"/>
      <c r="BB193" s="951"/>
    </row>
    <row r="194" spans="1:54" s="940" customFormat="1" hidden="1" outlineLevel="1">
      <c r="A194" s="950" t="s">
        <v>1615</v>
      </c>
      <c r="B194" s="935" t="s">
        <v>424</v>
      </c>
      <c r="C194" s="935" t="s">
        <v>492</v>
      </c>
      <c r="D194" s="935" t="s">
        <v>424</v>
      </c>
      <c r="E194" s="941" t="s">
        <v>846</v>
      </c>
      <c r="F194" s="938"/>
      <c r="G194" s="913"/>
      <c r="H194" s="913">
        <v>175000</v>
      </c>
      <c r="I194" s="939">
        <f t="shared" si="0"/>
        <v>11808200</v>
      </c>
      <c r="Z194" s="951"/>
      <c r="BB194" s="951"/>
    </row>
    <row r="195" spans="1:54" s="940" customFormat="1" hidden="1" outlineLevel="1">
      <c r="A195" s="950" t="s">
        <v>1615</v>
      </c>
      <c r="B195" s="935" t="s">
        <v>1658</v>
      </c>
      <c r="C195" s="935" t="s">
        <v>492</v>
      </c>
      <c r="D195" s="935" t="s">
        <v>1658</v>
      </c>
      <c r="E195" s="937" t="s">
        <v>1659</v>
      </c>
      <c r="F195" s="938"/>
      <c r="G195" s="913"/>
      <c r="H195" s="913">
        <v>600000</v>
      </c>
      <c r="I195" s="939">
        <f t="shared" si="0"/>
        <v>11208200</v>
      </c>
      <c r="Z195" s="951"/>
      <c r="BB195" s="951"/>
    </row>
    <row r="196" spans="1:54" s="940" customFormat="1" hidden="1" outlineLevel="1">
      <c r="A196" s="950" t="s">
        <v>1618</v>
      </c>
      <c r="B196" s="935" t="s">
        <v>432</v>
      </c>
      <c r="C196" s="935" t="s">
        <v>492</v>
      </c>
      <c r="D196" s="935" t="s">
        <v>432</v>
      </c>
      <c r="E196" s="937" t="s">
        <v>1660</v>
      </c>
      <c r="F196" s="938"/>
      <c r="G196" s="913"/>
      <c r="H196" s="913">
        <v>3660000</v>
      </c>
      <c r="I196" s="939">
        <f t="shared" si="0"/>
        <v>7548200</v>
      </c>
      <c r="Z196" s="951"/>
      <c r="BB196" s="951"/>
    </row>
    <row r="197" spans="1:54" s="940" customFormat="1" hidden="1" outlineLevel="1">
      <c r="A197" s="950" t="s">
        <v>1618</v>
      </c>
      <c r="B197" s="935" t="s">
        <v>281</v>
      </c>
      <c r="C197" s="935" t="s">
        <v>269</v>
      </c>
      <c r="D197" s="936" t="s">
        <v>281</v>
      </c>
      <c r="E197" s="937" t="s">
        <v>475</v>
      </c>
      <c r="F197" s="938"/>
      <c r="G197" s="913">
        <v>3000000</v>
      </c>
      <c r="H197" s="913"/>
      <c r="I197" s="939">
        <f t="shared" si="0"/>
        <v>10548200</v>
      </c>
      <c r="Z197" s="951"/>
      <c r="BB197" s="951"/>
    </row>
    <row r="198" spans="1:54" s="940" customFormat="1" hidden="1" outlineLevel="1">
      <c r="A198" s="950" t="s">
        <v>1661</v>
      </c>
      <c r="B198" s="935" t="s">
        <v>424</v>
      </c>
      <c r="C198" s="935" t="s">
        <v>492</v>
      </c>
      <c r="D198" s="935" t="s">
        <v>424</v>
      </c>
      <c r="E198" s="941" t="s">
        <v>509</v>
      </c>
      <c r="F198" s="938"/>
      <c r="G198" s="913"/>
      <c r="H198" s="913">
        <v>89000</v>
      </c>
      <c r="I198" s="939">
        <f t="shared" si="0"/>
        <v>10459200</v>
      </c>
      <c r="Z198" s="951"/>
      <c r="BB198" s="951"/>
    </row>
    <row r="199" spans="1:54" s="940" customFormat="1" hidden="1" outlineLevel="1">
      <c r="A199" s="950" t="s">
        <v>1620</v>
      </c>
      <c r="B199" s="935" t="s">
        <v>432</v>
      </c>
      <c r="C199" s="935" t="s">
        <v>492</v>
      </c>
      <c r="D199" s="935" t="s">
        <v>432</v>
      </c>
      <c r="E199" s="937" t="s">
        <v>1662</v>
      </c>
      <c r="F199" s="938"/>
      <c r="G199" s="913"/>
      <c r="H199" s="913">
        <v>750000</v>
      </c>
      <c r="I199" s="939">
        <f t="shared" si="0"/>
        <v>9709200</v>
      </c>
      <c r="Z199" s="951"/>
      <c r="BB199" s="951"/>
    </row>
    <row r="200" spans="1:54" s="940" customFormat="1" hidden="1" outlineLevel="1">
      <c r="A200" s="950" t="s">
        <v>1620</v>
      </c>
      <c r="B200" s="935" t="s">
        <v>424</v>
      </c>
      <c r="C200" s="935" t="s">
        <v>492</v>
      </c>
      <c r="D200" s="935" t="s">
        <v>424</v>
      </c>
      <c r="E200" s="941" t="s">
        <v>1663</v>
      </c>
      <c r="F200" s="938"/>
      <c r="G200" s="913"/>
      <c r="H200" s="913">
        <v>670000</v>
      </c>
      <c r="I200" s="939">
        <f t="shared" si="0"/>
        <v>9039200</v>
      </c>
      <c r="Z200" s="951"/>
      <c r="BB200" s="951"/>
    </row>
    <row r="201" spans="1:54" s="940" customFormat="1" hidden="1" outlineLevel="1">
      <c r="A201" s="950" t="s">
        <v>1627</v>
      </c>
      <c r="B201" s="935" t="s">
        <v>432</v>
      </c>
      <c r="C201" s="935" t="s">
        <v>492</v>
      </c>
      <c r="D201" s="935" t="s">
        <v>432</v>
      </c>
      <c r="E201" s="941" t="s">
        <v>1664</v>
      </c>
      <c r="F201" s="938"/>
      <c r="G201" s="913"/>
      <c r="H201" s="913">
        <v>5000000</v>
      </c>
      <c r="I201" s="939">
        <f t="shared" si="0"/>
        <v>4039200</v>
      </c>
      <c r="Z201" s="951"/>
      <c r="BB201" s="951"/>
    </row>
    <row r="202" spans="1:54" s="940" customFormat="1" hidden="1" outlineLevel="1">
      <c r="A202" s="950" t="s">
        <v>1627</v>
      </c>
      <c r="B202" s="935" t="s">
        <v>432</v>
      </c>
      <c r="C202" s="935" t="s">
        <v>492</v>
      </c>
      <c r="D202" s="935" t="s">
        <v>432</v>
      </c>
      <c r="E202" s="941" t="s">
        <v>366</v>
      </c>
      <c r="F202" s="938"/>
      <c r="G202" s="913"/>
      <c r="H202" s="913">
        <v>1180000</v>
      </c>
      <c r="I202" s="939">
        <f t="shared" si="0"/>
        <v>2859200</v>
      </c>
      <c r="Z202" s="951"/>
      <c r="BB202" s="951"/>
    </row>
    <row r="203" spans="1:54" s="940" customFormat="1" hidden="1" outlineLevel="1">
      <c r="A203" s="950" t="s">
        <v>1629</v>
      </c>
      <c r="B203" s="935" t="s">
        <v>432</v>
      </c>
      <c r="C203" s="935" t="s">
        <v>492</v>
      </c>
      <c r="D203" s="935" t="s">
        <v>432</v>
      </c>
      <c r="E203" s="941" t="s">
        <v>366</v>
      </c>
      <c r="F203" s="938"/>
      <c r="G203" s="913"/>
      <c r="H203" s="913">
        <v>800000</v>
      </c>
      <c r="I203" s="939">
        <f t="shared" si="0"/>
        <v>2059200</v>
      </c>
      <c r="Z203" s="951"/>
      <c r="BB203" s="951"/>
    </row>
    <row r="204" spans="1:54" s="940" customFormat="1" hidden="1" outlineLevel="1">
      <c r="A204" s="950" t="s">
        <v>1629</v>
      </c>
      <c r="B204" s="935" t="s">
        <v>432</v>
      </c>
      <c r="C204" s="935" t="s">
        <v>492</v>
      </c>
      <c r="D204" s="935" t="s">
        <v>432</v>
      </c>
      <c r="E204" s="941" t="s">
        <v>410</v>
      </c>
      <c r="F204" s="938"/>
      <c r="G204" s="913"/>
      <c r="H204" s="913">
        <v>1000000</v>
      </c>
      <c r="I204" s="939">
        <f t="shared" si="0"/>
        <v>1059200</v>
      </c>
      <c r="Z204" s="951"/>
      <c r="BB204" s="951"/>
    </row>
    <row r="205" spans="1:54" s="940" customFormat="1" hidden="1" outlineLevel="1">
      <c r="A205" s="950" t="s">
        <v>1629</v>
      </c>
      <c r="B205" s="935" t="s">
        <v>432</v>
      </c>
      <c r="C205" s="935" t="s">
        <v>492</v>
      </c>
      <c r="D205" s="935" t="s">
        <v>432</v>
      </c>
      <c r="E205" s="941" t="s">
        <v>1953</v>
      </c>
      <c r="F205" s="938"/>
      <c r="G205" s="913"/>
      <c r="H205" s="913">
        <v>1200000</v>
      </c>
      <c r="I205" s="939">
        <f t="shared" si="0"/>
        <v>-140800</v>
      </c>
      <c r="Z205" s="951"/>
      <c r="BB205" s="951"/>
    </row>
    <row r="206" spans="1:54" s="940" customFormat="1" hidden="1" outlineLevel="1">
      <c r="A206" s="950" t="s">
        <v>1641</v>
      </c>
      <c r="B206" s="935" t="s">
        <v>1954</v>
      </c>
      <c r="C206" s="935" t="s">
        <v>492</v>
      </c>
      <c r="D206" s="935" t="s">
        <v>1954</v>
      </c>
      <c r="E206" s="941" t="s">
        <v>1955</v>
      </c>
      <c r="F206" s="938"/>
      <c r="G206" s="913"/>
      <c r="H206" s="913">
        <v>971000</v>
      </c>
      <c r="I206" s="1417">
        <f t="shared" si="0"/>
        <v>-1111800</v>
      </c>
      <c r="Z206" s="951"/>
      <c r="BB206" s="951"/>
    </row>
    <row r="207" spans="1:54" s="940" customFormat="1" ht="18.75" hidden="1" outlineLevel="1" thickBot="1">
      <c r="A207" s="950" t="s">
        <v>1956</v>
      </c>
      <c r="B207" s="935" t="s">
        <v>424</v>
      </c>
      <c r="C207" s="935" t="s">
        <v>492</v>
      </c>
      <c r="D207" s="935" t="s">
        <v>424</v>
      </c>
      <c r="E207" s="941" t="s">
        <v>1957</v>
      </c>
      <c r="F207" s="938"/>
      <c r="G207" s="913"/>
      <c r="H207" s="913">
        <v>305000</v>
      </c>
      <c r="I207" s="1417">
        <f t="shared" si="0"/>
        <v>-1416800</v>
      </c>
      <c r="Z207" s="951"/>
      <c r="BB207" s="951"/>
    </row>
    <row r="208" spans="1:54" s="940" customFormat="1" hidden="1" outlineLevel="1">
      <c r="A208" s="950" t="s">
        <v>1956</v>
      </c>
      <c r="B208" s="935" t="s">
        <v>432</v>
      </c>
      <c r="C208" s="935" t="s">
        <v>492</v>
      </c>
      <c r="D208" s="935" t="s">
        <v>432</v>
      </c>
      <c r="E208" s="941" t="s">
        <v>366</v>
      </c>
      <c r="F208" s="938"/>
      <c r="G208" s="913"/>
      <c r="H208" s="913">
        <v>220000</v>
      </c>
      <c r="I208" s="1417">
        <f t="shared" si="0"/>
        <v>-1636800</v>
      </c>
      <c r="J208" s="1421" t="s">
        <v>407</v>
      </c>
      <c r="K208" s="1418">
        <v>2661350</v>
      </c>
      <c r="Z208" s="951"/>
      <c r="BB208" s="951"/>
    </row>
    <row r="209" spans="1:58" s="940" customFormat="1" ht="19.5" hidden="1" customHeight="1" outlineLevel="1">
      <c r="A209" s="950" t="s">
        <v>1651</v>
      </c>
      <c r="B209" s="935" t="s">
        <v>424</v>
      </c>
      <c r="C209" s="935" t="s">
        <v>492</v>
      </c>
      <c r="D209" s="935" t="s">
        <v>424</v>
      </c>
      <c r="E209" s="1399" t="s">
        <v>1958</v>
      </c>
      <c r="F209" s="1400"/>
      <c r="G209" s="913"/>
      <c r="H209" s="913">
        <v>70000</v>
      </c>
      <c r="I209" s="939">
        <f>I208+G209-H209</f>
        <v>-1706800</v>
      </c>
      <c r="J209" s="1422" t="s">
        <v>411</v>
      </c>
      <c r="K209" s="1419">
        <v>1000000</v>
      </c>
      <c r="Z209" s="951"/>
      <c r="BB209" s="951"/>
    </row>
    <row r="210" spans="1:58" s="940" customFormat="1" ht="18.75" collapsed="1" thickBot="1">
      <c r="A210" s="1401" t="s">
        <v>256</v>
      </c>
      <c r="B210" s="1402"/>
      <c r="C210" s="1402" t="s">
        <v>269</v>
      </c>
      <c r="D210" s="1406" t="s">
        <v>1961</v>
      </c>
      <c r="E210" s="1405" t="s">
        <v>1598</v>
      </c>
      <c r="F210" s="1403"/>
      <c r="G210" s="1404">
        <f>SUM(G166:G209)</f>
        <v>53368150</v>
      </c>
      <c r="H210" s="1404">
        <f>SUM(H166:H209)</f>
        <v>49706800</v>
      </c>
      <c r="I210" s="952"/>
      <c r="J210" s="1423" t="s">
        <v>414</v>
      </c>
      <c r="K210" s="1420">
        <v>3661350</v>
      </c>
      <c r="Z210" s="951"/>
      <c r="BB210" s="951"/>
    </row>
    <row r="211" spans="1:58" s="940" customFormat="1" ht="19.5" customHeight="1" thickBot="1">
      <c r="A211" s="1925" t="s">
        <v>266</v>
      </c>
      <c r="B211" s="1926"/>
      <c r="C211" s="1926"/>
      <c r="D211" s="1926"/>
      <c r="E211" s="1927"/>
      <c r="F211" s="1409"/>
      <c r="G211" s="1410">
        <f>G210-H210</f>
        <v>3661350</v>
      </c>
      <c r="H211" s="1410"/>
      <c r="I211" s="1411"/>
      <c r="Z211" s="951"/>
      <c r="BB211" s="951"/>
    </row>
    <row r="212" spans="1:58" s="940" customFormat="1" ht="19.5" hidden="1" customHeight="1" outlineLevel="1">
      <c r="A212" s="950" t="s">
        <v>1722</v>
      </c>
      <c r="B212" s="935" t="s">
        <v>424</v>
      </c>
      <c r="C212" s="935" t="s">
        <v>492</v>
      </c>
      <c r="D212" s="935" t="s">
        <v>424</v>
      </c>
      <c r="E212" s="941" t="s">
        <v>1948</v>
      </c>
      <c r="F212" s="938" t="s">
        <v>1949</v>
      </c>
      <c r="G212" s="913"/>
      <c r="H212" s="913">
        <v>600000</v>
      </c>
      <c r="I212" s="939">
        <f>I209+G212-H212</f>
        <v>-2306800</v>
      </c>
      <c r="Z212" s="951"/>
      <c r="BB212" s="951"/>
    </row>
    <row r="213" spans="1:58" s="940" customFormat="1" ht="19.5" hidden="1" customHeight="1" outlineLevel="1">
      <c r="A213" s="950" t="s">
        <v>1729</v>
      </c>
      <c r="B213" s="935" t="s">
        <v>443</v>
      </c>
      <c r="C213" s="935" t="s">
        <v>492</v>
      </c>
      <c r="D213" s="935" t="s">
        <v>443</v>
      </c>
      <c r="E213" s="941" t="s">
        <v>1950</v>
      </c>
      <c r="F213" s="938" t="s">
        <v>1949</v>
      </c>
      <c r="G213" s="913"/>
      <c r="H213" s="913">
        <v>160000</v>
      </c>
      <c r="I213" s="939">
        <f>I212+G213-H213</f>
        <v>-2466800</v>
      </c>
      <c r="Z213" s="951"/>
      <c r="BB213" s="951"/>
    </row>
    <row r="214" spans="1:58" s="940" customFormat="1" ht="19.5" hidden="1" customHeight="1" outlineLevel="1">
      <c r="A214" s="950" t="s">
        <v>1733</v>
      </c>
      <c r="B214" s="935" t="s">
        <v>432</v>
      </c>
      <c r="C214" s="935" t="s">
        <v>492</v>
      </c>
      <c r="D214" s="935" t="s">
        <v>432</v>
      </c>
      <c r="E214" s="941" t="s">
        <v>1951</v>
      </c>
      <c r="F214" s="938" t="s">
        <v>1949</v>
      </c>
      <c r="G214" s="913"/>
      <c r="H214" s="913">
        <v>900000</v>
      </c>
      <c r="I214" s="939">
        <f>I213+G214-H214</f>
        <v>-3366800</v>
      </c>
      <c r="Z214" s="951"/>
      <c r="BB214" s="951"/>
    </row>
    <row r="215" spans="1:58" s="940" customFormat="1" ht="19.5" hidden="1" customHeight="1" outlineLevel="1" thickBot="1">
      <c r="A215" s="1307" t="s">
        <v>1735</v>
      </c>
      <c r="B215" s="1308" t="s">
        <v>424</v>
      </c>
      <c r="C215" s="1308" t="s">
        <v>492</v>
      </c>
      <c r="D215" s="1308" t="s">
        <v>424</v>
      </c>
      <c r="E215" s="1309" t="s">
        <v>1952</v>
      </c>
      <c r="F215" s="1310" t="s">
        <v>1949</v>
      </c>
      <c r="G215" s="1311"/>
      <c r="H215" s="1311">
        <v>2001350</v>
      </c>
      <c r="I215" s="1312">
        <f>I214+G215-H215</f>
        <v>-5368150</v>
      </c>
      <c r="Z215" s="951"/>
      <c r="BB215" s="951"/>
    </row>
    <row r="216" spans="1:58" s="940" customFormat="1" ht="18.75" collapsed="1" thickBot="1">
      <c r="A216" s="1412" t="s">
        <v>1601</v>
      </c>
      <c r="B216" s="959"/>
      <c r="C216" s="1416" t="s">
        <v>269</v>
      </c>
      <c r="D216" s="959" t="s">
        <v>1665</v>
      </c>
      <c r="E216" s="1416" t="s">
        <v>1602</v>
      </c>
      <c r="F216" s="1413"/>
      <c r="G216" s="1414">
        <f>SUM(G211:G215)</f>
        <v>3661350</v>
      </c>
      <c r="H216" s="1414">
        <f>SUM(H211:H215)</f>
        <v>3661350</v>
      </c>
      <c r="I216" s="1415"/>
      <c r="Z216" s="951"/>
      <c r="BB216" s="951"/>
    </row>
    <row r="217" spans="1:58" s="940" customFormat="1" ht="19.5" customHeight="1" thickBot="1">
      <c r="A217" s="1426" t="s">
        <v>266</v>
      </c>
      <c r="B217" s="1427"/>
      <c r="C217" s="1427"/>
      <c r="D217" s="1427"/>
      <c r="E217" s="1428"/>
      <c r="F217" s="1429"/>
      <c r="G217" s="1430">
        <f>G216-H216</f>
        <v>0</v>
      </c>
      <c r="H217" s="1431"/>
      <c r="I217" s="1432"/>
      <c r="Z217" s="951"/>
      <c r="BB217" s="951"/>
      <c r="BD217" s="951"/>
    </row>
    <row r="218" spans="1:58" s="1165" customFormat="1" ht="19.5" hidden="1" customHeight="1" outlineLevel="1">
      <c r="A218" s="1433"/>
      <c r="B218" s="1433"/>
      <c r="C218" s="1433"/>
      <c r="D218" s="1433"/>
      <c r="E218" s="1171"/>
      <c r="F218" s="1172"/>
      <c r="G218" s="1150"/>
      <c r="H218" s="1150"/>
      <c r="I218" s="1173"/>
      <c r="Z218" s="1424"/>
      <c r="BB218" s="1424"/>
      <c r="BD218" s="1424"/>
    </row>
    <row r="219" spans="1:58" s="1165" customFormat="1" ht="19.5" hidden="1" customHeight="1" outlineLevel="1">
      <c r="A219" s="1433"/>
      <c r="B219" s="1433"/>
      <c r="C219" s="1433"/>
      <c r="D219" s="1433"/>
      <c r="E219" s="1171"/>
      <c r="F219" s="1172"/>
      <c r="G219" s="1150"/>
      <c r="H219" s="1150"/>
      <c r="I219" s="1173"/>
      <c r="Z219" s="1424"/>
      <c r="BB219" s="1424"/>
      <c r="BD219" s="1424"/>
    </row>
    <row r="220" spans="1:58" s="1165" customFormat="1" ht="19.5" hidden="1" customHeight="1" outlineLevel="1" thickBot="1">
      <c r="A220" s="1435"/>
      <c r="B220" s="1435"/>
      <c r="C220" s="1435"/>
      <c r="D220" s="1435"/>
      <c r="E220" s="1436"/>
      <c r="F220" s="1437"/>
      <c r="G220" s="1438"/>
      <c r="H220" s="1438"/>
      <c r="I220" s="1439"/>
      <c r="Z220" s="1424"/>
      <c r="BB220" s="1424"/>
      <c r="BD220" s="1424"/>
    </row>
    <row r="221" spans="1:58" s="1165" customFormat="1" ht="19.5" customHeight="1" collapsed="1" thickBot="1">
      <c r="A221" s="1412" t="s">
        <v>1717</v>
      </c>
      <c r="B221" s="959"/>
      <c r="C221" s="959"/>
      <c r="D221" s="959"/>
      <c r="E221" s="1440"/>
      <c r="F221" s="1416"/>
      <c r="G221" s="1414"/>
      <c r="H221" s="1414"/>
      <c r="I221" s="1441"/>
      <c r="Z221" s="1424"/>
      <c r="BB221" s="1424"/>
      <c r="BD221" s="1424"/>
    </row>
    <row r="222" spans="1:58" s="61" customFormat="1" ht="19.5" customHeight="1" thickBot="1">
      <c r="A222" s="1442" t="s">
        <v>266</v>
      </c>
      <c r="B222" s="1443"/>
      <c r="C222" s="1443"/>
      <c r="D222" s="1443"/>
      <c r="E222" s="1444"/>
      <c r="F222" s="1445"/>
      <c r="G222" s="953"/>
      <c r="H222" s="953"/>
      <c r="I222" s="1446"/>
      <c r="Z222" s="1425"/>
      <c r="BB222" s="1425"/>
      <c r="BD222" s="1425"/>
    </row>
    <row r="223" spans="1:58" s="940" customFormat="1" ht="19.5" customHeight="1" thickBot="1">
      <c r="E223" s="942"/>
      <c r="H223" s="1434"/>
      <c r="I223" s="943"/>
      <c r="Z223" s="951"/>
      <c r="BB223" s="951"/>
      <c r="BD223" s="1157"/>
    </row>
    <row r="224" spans="1:58" s="944" customFormat="1" ht="19.5" customHeight="1" thickBot="1">
      <c r="A224" s="940"/>
      <c r="B224" s="940"/>
      <c r="D224" s="940"/>
      <c r="E224" s="942"/>
      <c r="F224" s="1390"/>
      <c r="G224" s="945" t="s">
        <v>407</v>
      </c>
      <c r="H224" s="946"/>
      <c r="I224" s="1391"/>
      <c r="J224" s="1205"/>
      <c r="K224" s="1392"/>
      <c r="L224" s="1393"/>
      <c r="Z224" s="1205"/>
      <c r="BB224" s="1205"/>
      <c r="BD224" s="1394"/>
      <c r="BF224" s="1394"/>
    </row>
    <row r="225" spans="1:108" s="944" customFormat="1" ht="19.5" customHeight="1" thickBot="1">
      <c r="A225" s="940"/>
      <c r="B225" s="940"/>
      <c r="D225" s="940"/>
      <c r="E225" s="1395"/>
      <c r="G225" s="945" t="s">
        <v>411</v>
      </c>
      <c r="H225" s="946">
        <v>0</v>
      </c>
      <c r="I225" s="1396"/>
      <c r="J225" s="947"/>
      <c r="Z225" s="1205"/>
      <c r="BB225" s="1205"/>
      <c r="BD225" s="1205"/>
    </row>
    <row r="226" spans="1:108" s="944" customFormat="1" ht="19.5" customHeight="1" thickBot="1">
      <c r="D226" s="940"/>
      <c r="E226" s="948"/>
      <c r="G226" s="945" t="s">
        <v>414</v>
      </c>
      <c r="H226" s="946">
        <f>G217</f>
        <v>0</v>
      </c>
      <c r="I226" s="1397"/>
      <c r="J226" s="1398"/>
      <c r="K226" s="940"/>
      <c r="L226" s="940"/>
      <c r="M226" s="940"/>
      <c r="N226" s="940"/>
      <c r="O226" s="940"/>
      <c r="P226" s="940"/>
      <c r="Q226" s="940"/>
      <c r="R226" s="940"/>
      <c r="S226" s="940"/>
      <c r="T226" s="940"/>
      <c r="U226" s="940"/>
      <c r="V226" s="940"/>
      <c r="W226" s="940"/>
      <c r="X226" s="940"/>
      <c r="Y226" s="940"/>
      <c r="Z226" s="951"/>
      <c r="AA226" s="940"/>
      <c r="AB226" s="940"/>
      <c r="AC226" s="940"/>
      <c r="AD226" s="940"/>
      <c r="AE226" s="940"/>
      <c r="AF226" s="940"/>
      <c r="AG226" s="940"/>
      <c r="AH226" s="940"/>
      <c r="AI226" s="940"/>
      <c r="AJ226" s="940"/>
      <c r="AK226" s="940"/>
      <c r="AL226" s="940"/>
      <c r="AM226" s="940"/>
      <c r="AN226" s="940"/>
      <c r="AO226" s="940"/>
      <c r="AP226" s="940"/>
      <c r="AQ226" s="940"/>
      <c r="AR226" s="940"/>
      <c r="AS226" s="940"/>
      <c r="AT226" s="940"/>
      <c r="AU226" s="940"/>
      <c r="AV226" s="940"/>
      <c r="AW226" s="940"/>
      <c r="AX226" s="940"/>
      <c r="AY226" s="940"/>
      <c r="AZ226" s="940"/>
      <c r="BA226" s="940"/>
      <c r="BB226" s="951"/>
      <c r="BC226" s="940"/>
      <c r="BD226" s="951"/>
      <c r="BE226" s="940"/>
      <c r="BF226" s="940"/>
      <c r="BG226" s="940"/>
      <c r="BH226" s="940"/>
      <c r="BI226" s="940"/>
      <c r="BJ226" s="940"/>
      <c r="BK226" s="940"/>
      <c r="BL226" s="940"/>
      <c r="BM226" s="940"/>
      <c r="BN226" s="940"/>
      <c r="BO226" s="940"/>
      <c r="BP226" s="940"/>
      <c r="BQ226" s="940"/>
      <c r="BR226" s="940"/>
      <c r="BS226" s="940"/>
      <c r="BT226" s="940"/>
      <c r="BU226" s="940"/>
      <c r="BV226" s="940"/>
      <c r="BW226" s="940"/>
      <c r="BX226" s="940"/>
      <c r="BY226" s="940"/>
      <c r="BZ226" s="940"/>
      <c r="CA226" s="940"/>
      <c r="CB226" s="940"/>
      <c r="CC226" s="940"/>
      <c r="CD226" s="940"/>
      <c r="CE226" s="940"/>
      <c r="CF226" s="940"/>
      <c r="CG226" s="940"/>
      <c r="CH226" s="940"/>
      <c r="CI226" s="940"/>
      <c r="CJ226" s="940"/>
      <c r="CK226" s="940"/>
      <c r="CL226" s="940"/>
      <c r="CM226" s="940"/>
      <c r="CN226" s="940"/>
      <c r="CO226" s="940"/>
      <c r="CP226" s="940"/>
      <c r="CQ226" s="940"/>
      <c r="CR226" s="940"/>
      <c r="CS226" s="940"/>
      <c r="CT226" s="940"/>
      <c r="CU226" s="940"/>
      <c r="CV226" s="940"/>
      <c r="CW226" s="940"/>
      <c r="CX226" s="940"/>
      <c r="CY226" s="940"/>
      <c r="CZ226" s="940"/>
      <c r="DA226" s="940"/>
      <c r="DB226" s="940"/>
      <c r="DC226" s="940"/>
      <c r="DD226" s="940"/>
    </row>
    <row r="227" spans="1:108" s="940" customFormat="1" ht="19.5" customHeight="1">
      <c r="E227" s="942"/>
      <c r="I227" s="943"/>
      <c r="J227" s="951"/>
      <c r="Z227" s="951"/>
      <c r="BB227" s="951"/>
    </row>
    <row r="228" spans="1:108" ht="19.5" customHeight="1">
      <c r="A228" s="954"/>
      <c r="B228" s="955"/>
      <c r="C228" s="955"/>
      <c r="D228" s="955"/>
      <c r="E228" s="956"/>
      <c r="F228" s="957"/>
      <c r="G228" s="958"/>
      <c r="H228" s="958"/>
      <c r="BD228" s="524"/>
    </row>
    <row r="229" spans="1:108" ht="18" customHeight="1"/>
    <row r="230" spans="1:108" s="522" customFormat="1" ht="18" customHeight="1">
      <c r="A230" s="54"/>
      <c r="B230" s="54"/>
      <c r="C230" s="54"/>
      <c r="D230" s="54"/>
      <c r="E230" s="523"/>
      <c r="F230" s="54"/>
      <c r="I230" s="122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2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2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</row>
    <row r="231" spans="1:108" s="522" customFormat="1" ht="18" customHeight="1">
      <c r="A231" s="54"/>
      <c r="B231" s="54"/>
      <c r="C231" s="54"/>
      <c r="D231" s="54"/>
      <c r="E231" s="523"/>
      <c r="F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2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2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</row>
    <row r="232" spans="1:108" s="522" customFormat="1" ht="19.5" customHeight="1">
      <c r="A232" s="54"/>
      <c r="B232" s="54"/>
      <c r="C232" s="54"/>
      <c r="D232" s="54"/>
      <c r="E232" s="523"/>
      <c r="F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2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2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</row>
    <row r="233" spans="1:108" s="522" customFormat="1" ht="21.75" customHeight="1" thickBot="1">
      <c r="A233" s="54"/>
      <c r="B233" s="54"/>
      <c r="C233" s="54"/>
      <c r="D233" s="54"/>
      <c r="E233" s="523"/>
      <c r="F233" s="54"/>
      <c r="G233" s="54"/>
      <c r="H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2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2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</row>
    <row r="234" spans="1:108" s="522" customFormat="1" ht="29.25" customHeight="1">
      <c r="A234" s="1919"/>
      <c r="B234" s="1919"/>
      <c r="C234" s="1919"/>
      <c r="D234" s="54"/>
      <c r="E234" s="523"/>
      <c r="F234" s="622"/>
      <c r="G234" s="54"/>
      <c r="H234" s="623" t="s">
        <v>512</v>
      </c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2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2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</row>
    <row r="235" spans="1:108" s="522" customFormat="1" ht="24" customHeight="1">
      <c r="A235" s="54"/>
      <c r="B235" s="54"/>
      <c r="C235" s="54"/>
      <c r="D235" s="54"/>
      <c r="E235" s="523"/>
      <c r="F235" s="54"/>
      <c r="G235" s="524"/>
      <c r="H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2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2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</row>
  </sheetData>
  <mergeCells count="6">
    <mergeCell ref="A234:C234"/>
    <mergeCell ref="A1:F1"/>
    <mergeCell ref="A2:F2"/>
    <mergeCell ref="A107:D107"/>
    <mergeCell ref="A166:D166"/>
    <mergeCell ref="A211:E211"/>
  </mergeCells>
  <pageMargins left="0.75" right="0.75" top="1" bottom="1" header="0.51180555555555596" footer="0.51180555555555596"/>
  <pageSetup paperSize="8" scale="7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Q211"/>
  <sheetViews>
    <sheetView view="pageBreakPreview" zoomScale="80" zoomScaleNormal="60" zoomScaleSheetLayoutView="80" workbookViewId="0">
      <pane ySplit="4" topLeftCell="A5" activePane="bottomLeft" state="frozen"/>
      <selection pane="bottomLeft" activeCell="I169" sqref="I169"/>
    </sheetView>
  </sheetViews>
  <sheetFormatPr defaultRowHeight="15.75" outlineLevelRow="1"/>
  <cols>
    <col min="1" max="1" width="10.85546875" style="430" customWidth="1"/>
    <col min="2" max="2" width="21.42578125" style="429" customWidth="1"/>
    <col min="3" max="3" width="15.28515625" style="429" customWidth="1"/>
    <col min="4" max="4" width="17" style="429" customWidth="1"/>
    <col min="5" max="5" width="53.85546875" style="430" customWidth="1"/>
    <col min="6" max="6" width="19.7109375" style="426" customWidth="1"/>
    <col min="7" max="7" width="18" style="431" customWidth="1"/>
    <col min="8" max="8" width="14.42578125" style="426" hidden="1" customWidth="1"/>
    <col min="9" max="10" width="21.28515625" style="432" bestFit="1" customWidth="1"/>
    <col min="11" max="11" width="9.7109375" style="430" customWidth="1"/>
    <col min="12" max="16384" width="9.140625" style="430"/>
  </cols>
  <sheetData>
    <row r="1" spans="1:11" ht="24" customHeight="1">
      <c r="A1" s="1928" t="s">
        <v>513</v>
      </c>
      <c r="B1" s="1928"/>
      <c r="C1" s="1928"/>
      <c r="D1" s="1928"/>
      <c r="E1" s="1929"/>
      <c r="F1" s="11" t="s">
        <v>123</v>
      </c>
      <c r="G1" s="12" t="s">
        <v>124</v>
      </c>
    </row>
    <row r="2" spans="1:11" ht="24" customHeight="1">
      <c r="A2" s="1928" t="s">
        <v>514</v>
      </c>
      <c r="B2" s="1928"/>
      <c r="C2" s="1928"/>
      <c r="D2" s="1928"/>
      <c r="E2" s="1929"/>
      <c r="F2" s="13"/>
      <c r="G2" s="14"/>
    </row>
    <row r="3" spans="1:11" ht="19.5" customHeight="1" thickBot="1">
      <c r="A3" s="434" t="s">
        <v>515</v>
      </c>
      <c r="B3" s="435">
        <v>43329</v>
      </c>
      <c r="C3" s="433" t="s">
        <v>516</v>
      </c>
      <c r="D3" s="434" t="s">
        <v>517</v>
      </c>
      <c r="E3" s="1369">
        <v>43343</v>
      </c>
      <c r="F3" s="16" t="s">
        <v>20</v>
      </c>
      <c r="G3" s="436">
        <v>5800</v>
      </c>
    </row>
    <row r="4" spans="1:11" ht="16.5" thickBot="1">
      <c r="A4" s="437" t="s">
        <v>518</v>
      </c>
      <c r="B4" s="438" t="s">
        <v>519</v>
      </c>
      <c r="C4" s="439" t="s">
        <v>262</v>
      </c>
      <c r="D4" s="439" t="s">
        <v>520</v>
      </c>
      <c r="E4" s="439" t="s">
        <v>133</v>
      </c>
      <c r="F4" s="440" t="s">
        <v>521</v>
      </c>
      <c r="G4" s="441" t="s">
        <v>522</v>
      </c>
      <c r="I4" s="494" t="s">
        <v>523</v>
      </c>
      <c r="J4" s="495" t="s">
        <v>524</v>
      </c>
      <c r="K4" s="496" t="s">
        <v>525</v>
      </c>
    </row>
    <row r="5" spans="1:11" s="425" customFormat="1" ht="16.5" thickBot="1">
      <c r="A5" s="442" t="s">
        <v>526</v>
      </c>
      <c r="B5" s="443"/>
      <c r="C5" s="443"/>
      <c r="D5" s="443"/>
      <c r="E5" s="444"/>
      <c r="F5" s="445">
        <v>0</v>
      </c>
      <c r="G5" s="446"/>
      <c r="H5" s="447"/>
      <c r="I5" s="497">
        <f>F5*$G$3</f>
        <v>0</v>
      </c>
      <c r="J5" s="447">
        <f>G5*$G$3</f>
        <v>0</v>
      </c>
      <c r="K5" s="498"/>
    </row>
    <row r="6" spans="1:11" s="426" customFormat="1" ht="16.5" hidden="1" outlineLevel="1" thickBot="1">
      <c r="A6" s="448" t="s">
        <v>527</v>
      </c>
      <c r="B6" s="449" t="s">
        <v>528</v>
      </c>
      <c r="C6" s="449" t="s">
        <v>529</v>
      </c>
      <c r="D6" s="449" t="s">
        <v>517</v>
      </c>
      <c r="E6" s="450" t="s">
        <v>530</v>
      </c>
      <c r="F6" s="451">
        <v>17154</v>
      </c>
      <c r="G6" s="452"/>
      <c r="I6" s="432">
        <f t="shared" ref="I6:I15" si="0">F6*$G$3</f>
        <v>99493200</v>
      </c>
      <c r="J6" s="426">
        <f t="shared" ref="J6:J15" si="1">G6*$G$3</f>
        <v>0</v>
      </c>
      <c r="K6" s="499"/>
    </row>
    <row r="7" spans="1:11" s="426" customFormat="1" ht="16.5" hidden="1" outlineLevel="1" thickBot="1">
      <c r="A7" s="453" t="s">
        <v>527</v>
      </c>
      <c r="B7" s="454" t="s">
        <v>531</v>
      </c>
      <c r="C7" s="454" t="s">
        <v>529</v>
      </c>
      <c r="D7" s="454" t="s">
        <v>517</v>
      </c>
      <c r="E7" s="455" t="s">
        <v>532</v>
      </c>
      <c r="F7" s="456">
        <v>19200</v>
      </c>
      <c r="G7" s="457"/>
      <c r="I7" s="432">
        <f t="shared" si="0"/>
        <v>111360000</v>
      </c>
      <c r="J7" s="426">
        <f t="shared" si="1"/>
        <v>0</v>
      </c>
      <c r="K7" s="499"/>
    </row>
    <row r="8" spans="1:11" s="426" customFormat="1" ht="16.5" hidden="1" outlineLevel="1" thickBot="1">
      <c r="A8" s="448" t="s">
        <v>533</v>
      </c>
      <c r="B8" s="449" t="s">
        <v>534</v>
      </c>
      <c r="C8" s="449" t="s">
        <v>529</v>
      </c>
      <c r="D8" s="449" t="s">
        <v>517</v>
      </c>
      <c r="E8" s="450" t="s">
        <v>535</v>
      </c>
      <c r="F8" s="458"/>
      <c r="G8" s="459">
        <v>3601</v>
      </c>
      <c r="I8" s="432">
        <f t="shared" si="0"/>
        <v>0</v>
      </c>
      <c r="J8" s="426">
        <f t="shared" si="1"/>
        <v>20885800</v>
      </c>
      <c r="K8" s="499"/>
    </row>
    <row r="9" spans="1:11" s="426" customFormat="1" ht="16.5" hidden="1" outlineLevel="1" thickBot="1">
      <c r="A9" s="453" t="s">
        <v>533</v>
      </c>
      <c r="B9" s="454" t="s">
        <v>534</v>
      </c>
      <c r="C9" s="454" t="s">
        <v>529</v>
      </c>
      <c r="D9" s="454" t="s">
        <v>517</v>
      </c>
      <c r="E9" s="455" t="s">
        <v>536</v>
      </c>
      <c r="F9" s="460"/>
      <c r="G9" s="461">
        <v>3231</v>
      </c>
      <c r="I9" s="432">
        <f t="shared" si="0"/>
        <v>0</v>
      </c>
      <c r="J9" s="426">
        <f t="shared" si="1"/>
        <v>18739800</v>
      </c>
      <c r="K9" s="499"/>
    </row>
    <row r="10" spans="1:11" s="426" customFormat="1" ht="16.5" hidden="1" outlineLevel="1" thickBot="1">
      <c r="A10" s="453" t="s">
        <v>537</v>
      </c>
      <c r="B10" s="454" t="s">
        <v>534</v>
      </c>
      <c r="C10" s="454" t="s">
        <v>529</v>
      </c>
      <c r="D10" s="454" t="s">
        <v>517</v>
      </c>
      <c r="E10" s="455" t="s">
        <v>538</v>
      </c>
      <c r="F10" s="460"/>
      <c r="G10" s="461">
        <v>3204</v>
      </c>
      <c r="I10" s="432">
        <f t="shared" si="0"/>
        <v>0</v>
      </c>
      <c r="J10" s="426">
        <f t="shared" si="1"/>
        <v>18583200</v>
      </c>
      <c r="K10" s="499"/>
    </row>
    <row r="11" spans="1:11" s="426" customFormat="1" ht="16.5" hidden="1" outlineLevel="1" thickBot="1">
      <c r="A11" s="453" t="s">
        <v>533</v>
      </c>
      <c r="B11" s="454" t="s">
        <v>534</v>
      </c>
      <c r="C11" s="454" t="s">
        <v>529</v>
      </c>
      <c r="D11" s="454" t="s">
        <v>517</v>
      </c>
      <c r="E11" s="455" t="s">
        <v>539</v>
      </c>
      <c r="F11" s="460"/>
      <c r="G11" s="461">
        <v>130</v>
      </c>
      <c r="I11" s="432">
        <f t="shared" si="0"/>
        <v>0</v>
      </c>
      <c r="J11" s="426">
        <f t="shared" si="1"/>
        <v>754000</v>
      </c>
      <c r="K11" s="499"/>
    </row>
    <row r="12" spans="1:11" s="426" customFormat="1" ht="16.5" hidden="1" customHeight="1" outlineLevel="1">
      <c r="A12" s="453" t="s">
        <v>533</v>
      </c>
      <c r="B12" s="454" t="s">
        <v>534</v>
      </c>
      <c r="C12" s="454" t="s">
        <v>529</v>
      </c>
      <c r="D12" s="454" t="s">
        <v>517</v>
      </c>
      <c r="E12" s="455" t="s">
        <v>540</v>
      </c>
      <c r="F12" s="460"/>
      <c r="G12" s="461">
        <v>116.6</v>
      </c>
      <c r="I12" s="432">
        <f t="shared" si="0"/>
        <v>0</v>
      </c>
      <c r="J12" s="426">
        <f t="shared" si="1"/>
        <v>676280</v>
      </c>
      <c r="K12" s="499"/>
    </row>
    <row r="13" spans="1:11" s="426" customFormat="1" ht="16.5" hidden="1" customHeight="1" outlineLevel="1">
      <c r="A13" s="453" t="s">
        <v>533</v>
      </c>
      <c r="B13" s="454" t="s">
        <v>534</v>
      </c>
      <c r="C13" s="454" t="s">
        <v>529</v>
      </c>
      <c r="D13" s="454" t="s">
        <v>517</v>
      </c>
      <c r="E13" s="455" t="s">
        <v>188</v>
      </c>
      <c r="F13" s="460"/>
      <c r="G13" s="461">
        <v>424</v>
      </c>
      <c r="I13" s="432">
        <f t="shared" si="0"/>
        <v>0</v>
      </c>
      <c r="J13" s="426">
        <f t="shared" si="1"/>
        <v>2459200</v>
      </c>
      <c r="K13" s="499"/>
    </row>
    <row r="14" spans="1:11" s="426" customFormat="1" ht="16.5" hidden="1" customHeight="1" outlineLevel="1">
      <c r="A14" s="453" t="s">
        <v>537</v>
      </c>
      <c r="B14" s="454" t="s">
        <v>534</v>
      </c>
      <c r="C14" s="454" t="s">
        <v>529</v>
      </c>
      <c r="D14" s="454" t="s">
        <v>517</v>
      </c>
      <c r="E14" s="455" t="s">
        <v>184</v>
      </c>
      <c r="F14" s="460"/>
      <c r="G14" s="461">
        <v>0.55000000000000004</v>
      </c>
      <c r="I14" s="432">
        <f t="shared" si="0"/>
        <v>0</v>
      </c>
      <c r="J14" s="426">
        <f t="shared" si="1"/>
        <v>3190.0000000000005</v>
      </c>
      <c r="K14" s="499"/>
    </row>
    <row r="15" spans="1:11" s="426" customFormat="1" ht="16.5" hidden="1" outlineLevel="1" thickBot="1">
      <c r="A15" s="448" t="s">
        <v>541</v>
      </c>
      <c r="B15" s="449" t="s">
        <v>534</v>
      </c>
      <c r="C15" s="449" t="s">
        <v>529</v>
      </c>
      <c r="D15" s="449" t="s">
        <v>517</v>
      </c>
      <c r="E15" s="450" t="s">
        <v>542</v>
      </c>
      <c r="F15" s="458"/>
      <c r="G15" s="462">
        <v>28.85</v>
      </c>
      <c r="I15" s="432">
        <f t="shared" si="0"/>
        <v>0</v>
      </c>
      <c r="J15" s="426">
        <f t="shared" si="1"/>
        <v>167330</v>
      </c>
      <c r="K15" s="499"/>
    </row>
    <row r="16" spans="1:11" s="426" customFormat="1" ht="16.5" hidden="1" outlineLevel="1" thickBot="1">
      <c r="A16" s="448" t="s">
        <v>543</v>
      </c>
      <c r="B16" s="449" t="s">
        <v>534</v>
      </c>
      <c r="C16" s="449" t="s">
        <v>529</v>
      </c>
      <c r="D16" s="449" t="s">
        <v>517</v>
      </c>
      <c r="E16" s="450" t="s">
        <v>544</v>
      </c>
      <c r="F16" s="458"/>
      <c r="G16" s="462">
        <v>2800</v>
      </c>
      <c r="I16" s="430"/>
      <c r="K16" s="499"/>
    </row>
    <row r="17" spans="1:11" s="426" customFormat="1" ht="16.5" customHeight="1" collapsed="1" thickBot="1">
      <c r="A17" s="463" t="s">
        <v>70</v>
      </c>
      <c r="B17" s="464"/>
      <c r="C17" s="463" t="s">
        <v>545</v>
      </c>
      <c r="D17" s="463" t="s">
        <v>517</v>
      </c>
      <c r="E17" s="463" t="s">
        <v>201</v>
      </c>
      <c r="F17" s="465">
        <f>SUM(F5:F16)</f>
        <v>36354</v>
      </c>
      <c r="G17" s="465">
        <f>SUM(G8:G16)</f>
        <v>13536</v>
      </c>
      <c r="H17" s="466"/>
      <c r="I17" s="500">
        <f>F17*$G$3</f>
        <v>210853200</v>
      </c>
      <c r="J17" s="501">
        <f>G17*$G$3</f>
        <v>78508800</v>
      </c>
      <c r="K17" s="502"/>
    </row>
    <row r="18" spans="1:11" s="425" customFormat="1" ht="16.5" thickBot="1">
      <c r="A18" s="467" t="s">
        <v>526</v>
      </c>
      <c r="B18" s="468"/>
      <c r="C18" s="468"/>
      <c r="D18" s="468"/>
      <c r="E18" s="469"/>
      <c r="F18" s="470">
        <f>F17-G17</f>
        <v>22818</v>
      </c>
      <c r="G18" s="471"/>
      <c r="H18" s="471"/>
      <c r="I18" s="503">
        <f>F18*$G$3</f>
        <v>132344400</v>
      </c>
      <c r="J18" s="471"/>
      <c r="K18" s="498"/>
    </row>
    <row r="19" spans="1:11" s="426" customFormat="1" ht="16.5" hidden="1" outlineLevel="1" thickBot="1">
      <c r="A19" s="448" t="s">
        <v>546</v>
      </c>
      <c r="B19" s="449" t="s">
        <v>534</v>
      </c>
      <c r="C19" s="449" t="s">
        <v>529</v>
      </c>
      <c r="D19" s="449" t="s">
        <v>547</v>
      </c>
      <c r="E19" s="450" t="s">
        <v>548</v>
      </c>
      <c r="F19" s="458"/>
      <c r="G19" s="462">
        <v>5210.3500000000004</v>
      </c>
      <c r="I19" s="504"/>
      <c r="J19" s="505"/>
      <c r="K19" s="499" t="s">
        <v>228</v>
      </c>
    </row>
    <row r="20" spans="1:11" s="426" customFormat="1" ht="16.5" hidden="1" outlineLevel="1" thickBot="1">
      <c r="A20" s="453" t="s">
        <v>546</v>
      </c>
      <c r="B20" s="454" t="s">
        <v>534</v>
      </c>
      <c r="C20" s="454" t="s">
        <v>529</v>
      </c>
      <c r="D20" s="454" t="s">
        <v>517</v>
      </c>
      <c r="E20" s="455" t="s">
        <v>548</v>
      </c>
      <c r="F20" s="460"/>
      <c r="G20" s="461">
        <v>4710.3500000000004</v>
      </c>
      <c r="I20" s="506"/>
      <c r="J20" s="507"/>
      <c r="K20" s="499" t="s">
        <v>228</v>
      </c>
    </row>
    <row r="21" spans="1:11" s="426" customFormat="1" ht="16.5" hidden="1" outlineLevel="1" thickBot="1">
      <c r="A21" s="453" t="s">
        <v>546</v>
      </c>
      <c r="B21" s="454" t="s">
        <v>534</v>
      </c>
      <c r="C21" s="454" t="s">
        <v>529</v>
      </c>
      <c r="D21" s="454" t="s">
        <v>549</v>
      </c>
      <c r="E21" s="455" t="s">
        <v>550</v>
      </c>
      <c r="F21" s="460"/>
      <c r="G21" s="461">
        <v>400</v>
      </c>
      <c r="I21" s="506"/>
      <c r="J21" s="507"/>
      <c r="K21" s="499" t="s">
        <v>228</v>
      </c>
    </row>
    <row r="22" spans="1:11" s="426" customFormat="1" ht="16.5" hidden="1" outlineLevel="1" thickBot="1">
      <c r="A22" s="448" t="s">
        <v>551</v>
      </c>
      <c r="B22" s="449" t="s">
        <v>534</v>
      </c>
      <c r="C22" s="449" t="s">
        <v>529</v>
      </c>
      <c r="D22" s="449" t="s">
        <v>547</v>
      </c>
      <c r="E22" s="450" t="s">
        <v>552</v>
      </c>
      <c r="F22" s="458"/>
      <c r="G22" s="462">
        <v>30</v>
      </c>
      <c r="I22" s="430"/>
      <c r="J22" s="507"/>
      <c r="K22" s="499" t="s">
        <v>228</v>
      </c>
    </row>
    <row r="23" spans="1:11" s="426" customFormat="1" ht="16.5" hidden="1" outlineLevel="1" thickBot="1">
      <c r="A23" s="453" t="s">
        <v>551</v>
      </c>
      <c r="B23" s="454" t="s">
        <v>534</v>
      </c>
      <c r="C23" s="454" t="s">
        <v>529</v>
      </c>
      <c r="D23" s="454" t="s">
        <v>547</v>
      </c>
      <c r="E23" s="455" t="s">
        <v>553</v>
      </c>
      <c r="F23" s="460"/>
      <c r="G23" s="461">
        <v>0.11</v>
      </c>
      <c r="I23" s="430"/>
      <c r="J23" s="507"/>
      <c r="K23" s="499" t="s">
        <v>228</v>
      </c>
    </row>
    <row r="24" spans="1:11" s="426" customFormat="1" ht="16.5" hidden="1" outlineLevel="1" thickBot="1">
      <c r="A24" s="472" t="s">
        <v>554</v>
      </c>
      <c r="B24" s="473" t="s">
        <v>534</v>
      </c>
      <c r="C24" s="473" t="s">
        <v>529</v>
      </c>
      <c r="D24" s="473" t="s">
        <v>517</v>
      </c>
      <c r="E24" s="474" t="s">
        <v>555</v>
      </c>
      <c r="F24" s="475"/>
      <c r="G24" s="476">
        <v>123</v>
      </c>
      <c r="I24" s="506"/>
      <c r="J24" s="507"/>
      <c r="K24" s="508" t="s">
        <v>556</v>
      </c>
    </row>
    <row r="25" spans="1:11" s="426" customFormat="1" ht="16.5" hidden="1" outlineLevel="1" thickBot="1">
      <c r="A25" s="472" t="s">
        <v>554</v>
      </c>
      <c r="B25" s="473" t="s">
        <v>534</v>
      </c>
      <c r="C25" s="473" t="s">
        <v>529</v>
      </c>
      <c r="D25" s="473" t="s">
        <v>517</v>
      </c>
      <c r="E25" s="474" t="s">
        <v>557</v>
      </c>
      <c r="F25" s="475"/>
      <c r="G25" s="476">
        <v>41.9</v>
      </c>
      <c r="I25" s="506"/>
      <c r="J25" s="507"/>
      <c r="K25" s="508" t="s">
        <v>556</v>
      </c>
    </row>
    <row r="26" spans="1:11" s="426" customFormat="1" ht="16.5" hidden="1" outlineLevel="1" thickBot="1">
      <c r="A26" s="472" t="s">
        <v>554</v>
      </c>
      <c r="B26" s="473" t="s">
        <v>534</v>
      </c>
      <c r="C26" s="473" t="s">
        <v>529</v>
      </c>
      <c r="D26" s="473" t="s">
        <v>558</v>
      </c>
      <c r="E26" s="474" t="s">
        <v>559</v>
      </c>
      <c r="F26" s="475"/>
      <c r="G26" s="476">
        <v>42.75</v>
      </c>
      <c r="I26" s="506"/>
      <c r="J26" s="507"/>
      <c r="K26" s="508" t="s">
        <v>556</v>
      </c>
    </row>
    <row r="27" spans="1:11" s="426" customFormat="1" ht="16.5" hidden="1" outlineLevel="1" thickBot="1">
      <c r="A27" s="472" t="s">
        <v>554</v>
      </c>
      <c r="B27" s="473" t="s">
        <v>534</v>
      </c>
      <c r="C27" s="473" t="s">
        <v>529</v>
      </c>
      <c r="D27" s="473" t="s">
        <v>558</v>
      </c>
      <c r="E27" s="474" t="s">
        <v>560</v>
      </c>
      <c r="F27" s="475"/>
      <c r="G27" s="476">
        <v>60</v>
      </c>
      <c r="I27" s="506"/>
      <c r="J27" s="507"/>
      <c r="K27" s="508" t="s">
        <v>556</v>
      </c>
    </row>
    <row r="28" spans="1:11" s="426" customFormat="1" ht="16.5" hidden="1" outlineLevel="1" thickBot="1">
      <c r="A28" s="448" t="s">
        <v>561</v>
      </c>
      <c r="B28" s="449" t="s">
        <v>534</v>
      </c>
      <c r="C28" s="449" t="s">
        <v>529</v>
      </c>
      <c r="D28" s="449" t="s">
        <v>517</v>
      </c>
      <c r="E28" s="450" t="s">
        <v>562</v>
      </c>
      <c r="F28" s="458"/>
      <c r="G28" s="462">
        <v>3601</v>
      </c>
      <c r="I28" s="430"/>
      <c r="J28" s="507"/>
      <c r="K28" s="499" t="s">
        <v>228</v>
      </c>
    </row>
    <row r="29" spans="1:11" s="426" customFormat="1" ht="16.5" hidden="1" outlineLevel="1" thickBot="1">
      <c r="A29" s="448" t="s">
        <v>561</v>
      </c>
      <c r="B29" s="454" t="s">
        <v>534</v>
      </c>
      <c r="C29" s="454" t="s">
        <v>529</v>
      </c>
      <c r="D29" s="454" t="s">
        <v>517</v>
      </c>
      <c r="E29" s="455" t="s">
        <v>563</v>
      </c>
      <c r="F29" s="460"/>
      <c r="G29" s="461">
        <v>2004</v>
      </c>
      <c r="I29" s="430"/>
      <c r="J29" s="507"/>
      <c r="K29" s="499" t="s">
        <v>228</v>
      </c>
    </row>
    <row r="30" spans="1:11" s="426" customFormat="1" ht="16.5" hidden="1" outlineLevel="1" thickBot="1">
      <c r="A30" s="448" t="s">
        <v>561</v>
      </c>
      <c r="B30" s="449" t="s">
        <v>534</v>
      </c>
      <c r="C30" s="454" t="s">
        <v>529</v>
      </c>
      <c r="D30" s="454" t="s">
        <v>517</v>
      </c>
      <c r="E30" s="455" t="s">
        <v>564</v>
      </c>
      <c r="F30" s="460"/>
      <c r="G30" s="461">
        <v>535.35</v>
      </c>
      <c r="I30" s="430"/>
      <c r="J30" s="507"/>
      <c r="K30" s="499" t="s">
        <v>228</v>
      </c>
    </row>
    <row r="31" spans="1:11" s="426" customFormat="1" ht="16.5" hidden="1" outlineLevel="1" thickBot="1">
      <c r="A31" s="448" t="s">
        <v>561</v>
      </c>
      <c r="B31" s="449" t="s">
        <v>534</v>
      </c>
      <c r="C31" s="454" t="s">
        <v>529</v>
      </c>
      <c r="D31" s="454" t="s">
        <v>517</v>
      </c>
      <c r="E31" s="455" t="s">
        <v>565</v>
      </c>
      <c r="F31" s="460"/>
      <c r="G31" s="461">
        <v>424</v>
      </c>
      <c r="I31" s="430"/>
      <c r="J31" s="507"/>
      <c r="K31" s="499" t="s">
        <v>228</v>
      </c>
    </row>
    <row r="32" spans="1:11" s="426" customFormat="1" ht="16.5" hidden="1" customHeight="1" outlineLevel="1">
      <c r="A32" s="448" t="s">
        <v>561</v>
      </c>
      <c r="B32" s="449" t="s">
        <v>534</v>
      </c>
      <c r="C32" s="454" t="s">
        <v>529</v>
      </c>
      <c r="D32" s="454" t="s">
        <v>517</v>
      </c>
      <c r="E32" s="455" t="s">
        <v>566</v>
      </c>
      <c r="F32" s="460"/>
      <c r="G32" s="461">
        <v>765.69</v>
      </c>
      <c r="I32" s="430"/>
      <c r="J32" s="507"/>
      <c r="K32" s="499" t="s">
        <v>228</v>
      </c>
    </row>
    <row r="33" spans="1:11" s="426" customFormat="1" ht="16.5" hidden="1" customHeight="1" outlineLevel="1">
      <c r="A33" s="448" t="s">
        <v>561</v>
      </c>
      <c r="B33" s="449" t="s">
        <v>534</v>
      </c>
      <c r="C33" s="454" t="s">
        <v>529</v>
      </c>
      <c r="D33" s="454" t="s">
        <v>517</v>
      </c>
      <c r="E33" s="455" t="s">
        <v>567</v>
      </c>
      <c r="F33" s="460"/>
      <c r="G33" s="461">
        <v>130</v>
      </c>
      <c r="I33" s="430"/>
      <c r="J33" s="507"/>
      <c r="K33" s="499" t="s">
        <v>228</v>
      </c>
    </row>
    <row r="34" spans="1:11" s="426" customFormat="1" ht="16.5" hidden="1" customHeight="1" outlineLevel="1">
      <c r="A34" s="448" t="s">
        <v>561</v>
      </c>
      <c r="B34" s="449" t="s">
        <v>534</v>
      </c>
      <c r="C34" s="454" t="s">
        <v>529</v>
      </c>
      <c r="D34" s="454" t="s">
        <v>517</v>
      </c>
      <c r="E34" s="455" t="s">
        <v>568</v>
      </c>
      <c r="F34" s="460"/>
      <c r="G34" s="461">
        <v>279.85000000000002</v>
      </c>
      <c r="I34" s="430"/>
      <c r="J34" s="507"/>
      <c r="K34" s="499" t="s">
        <v>228</v>
      </c>
    </row>
    <row r="35" spans="1:11" s="426" customFormat="1" ht="16.5" hidden="1" customHeight="1" outlineLevel="1">
      <c r="A35" s="448" t="s">
        <v>561</v>
      </c>
      <c r="B35" s="454"/>
      <c r="C35" s="454"/>
      <c r="D35" s="454"/>
      <c r="E35" s="455" t="s">
        <v>553</v>
      </c>
      <c r="F35" s="460"/>
      <c r="G35" s="461">
        <v>0.66</v>
      </c>
      <c r="I35" s="430"/>
      <c r="J35" s="509"/>
      <c r="K35" s="510" t="s">
        <v>228</v>
      </c>
    </row>
    <row r="36" spans="1:11" s="426" customFormat="1" ht="16.5" hidden="1" outlineLevel="1" thickBot="1">
      <c r="A36" s="453" t="s">
        <v>561</v>
      </c>
      <c r="B36" s="454" t="s">
        <v>534</v>
      </c>
      <c r="C36" s="454" t="s">
        <v>529</v>
      </c>
      <c r="D36" s="454" t="s">
        <v>569</v>
      </c>
      <c r="E36" s="455" t="s">
        <v>570</v>
      </c>
      <c r="F36" s="460"/>
      <c r="G36" s="477">
        <v>28.65</v>
      </c>
      <c r="I36" s="506"/>
      <c r="J36" s="507"/>
      <c r="K36" s="511" t="s">
        <v>556</v>
      </c>
    </row>
    <row r="37" spans="1:11" s="426" customFormat="1" ht="16.5" hidden="1" outlineLevel="1" thickBot="1">
      <c r="A37" s="448" t="s">
        <v>571</v>
      </c>
      <c r="B37" s="449" t="s">
        <v>534</v>
      </c>
      <c r="C37" s="449" t="s">
        <v>529</v>
      </c>
      <c r="D37" s="449" t="s">
        <v>572</v>
      </c>
      <c r="E37" s="450" t="s">
        <v>573</v>
      </c>
      <c r="F37" s="458"/>
      <c r="G37" s="462">
        <v>2000</v>
      </c>
      <c r="I37" s="506"/>
      <c r="J37" s="507"/>
      <c r="K37" s="510" t="s">
        <v>228</v>
      </c>
    </row>
    <row r="38" spans="1:11" s="426" customFormat="1" ht="16.5" hidden="1" outlineLevel="1" thickBot="1">
      <c r="A38" s="448" t="s">
        <v>574</v>
      </c>
      <c r="B38" s="449" t="s">
        <v>534</v>
      </c>
      <c r="C38" s="449" t="s">
        <v>529</v>
      </c>
      <c r="D38" s="449" t="s">
        <v>572</v>
      </c>
      <c r="E38" s="450" t="s">
        <v>573</v>
      </c>
      <c r="F38" s="458"/>
      <c r="G38" s="462">
        <v>1000</v>
      </c>
      <c r="I38" s="430"/>
      <c r="K38" s="510" t="s">
        <v>228</v>
      </c>
    </row>
    <row r="39" spans="1:11" s="426" customFormat="1" ht="16.5" hidden="1" outlineLevel="1" thickBot="1">
      <c r="A39" s="478" t="s">
        <v>574</v>
      </c>
      <c r="B39" s="473" t="s">
        <v>534</v>
      </c>
      <c r="C39" s="454" t="s">
        <v>529</v>
      </c>
      <c r="D39" s="454" t="s">
        <v>558</v>
      </c>
      <c r="E39" s="455" t="s">
        <v>570</v>
      </c>
      <c r="F39" s="460"/>
      <c r="G39" s="461">
        <v>28.62</v>
      </c>
      <c r="I39" s="430"/>
      <c r="K39" s="510" t="s">
        <v>228</v>
      </c>
    </row>
    <row r="40" spans="1:11" s="426" customFormat="1" ht="16.5" hidden="1" outlineLevel="1" thickBot="1">
      <c r="A40" s="448" t="s">
        <v>575</v>
      </c>
      <c r="B40" s="449" t="s">
        <v>534</v>
      </c>
      <c r="C40" s="449" t="s">
        <v>529</v>
      </c>
      <c r="D40" s="449" t="s">
        <v>558</v>
      </c>
      <c r="E40" s="450" t="s">
        <v>570</v>
      </c>
      <c r="F40" s="458"/>
      <c r="G40" s="462">
        <v>28.62</v>
      </c>
      <c r="I40" s="430"/>
      <c r="K40" s="510" t="s">
        <v>228</v>
      </c>
    </row>
    <row r="41" spans="1:11" s="426" customFormat="1" ht="16.5" hidden="1" outlineLevel="1" thickBot="1">
      <c r="A41" s="448" t="s">
        <v>575</v>
      </c>
      <c r="B41" s="473"/>
      <c r="C41" s="454"/>
      <c r="D41" s="454"/>
      <c r="E41" s="455" t="s">
        <v>553</v>
      </c>
      <c r="F41" s="460"/>
      <c r="G41" s="461">
        <v>0.11</v>
      </c>
      <c r="I41" s="430"/>
      <c r="K41" s="510" t="s">
        <v>228</v>
      </c>
    </row>
    <row r="42" spans="1:11" s="427" customFormat="1" ht="16.5" hidden="1" outlineLevel="1" thickBot="1">
      <c r="A42" s="479" t="s">
        <v>575</v>
      </c>
      <c r="B42" s="454" t="s">
        <v>534</v>
      </c>
      <c r="C42" s="480"/>
      <c r="D42" s="454" t="s">
        <v>569</v>
      </c>
      <c r="E42" s="455" t="s">
        <v>576</v>
      </c>
      <c r="F42" s="460"/>
      <c r="G42" s="461">
        <v>137.05000000000001</v>
      </c>
      <c r="H42" s="426"/>
      <c r="I42" s="430"/>
      <c r="K42" s="512" t="s">
        <v>556</v>
      </c>
    </row>
    <row r="43" spans="1:11" s="426" customFormat="1" ht="16.5" customHeight="1" collapsed="1" thickBot="1">
      <c r="A43" s="481" t="s">
        <v>101</v>
      </c>
      <c r="B43" s="481"/>
      <c r="C43" s="481" t="s">
        <v>545</v>
      </c>
      <c r="D43" s="481" t="s">
        <v>517</v>
      </c>
      <c r="E43" s="481" t="s">
        <v>490</v>
      </c>
      <c r="F43" s="482">
        <f>SUM(F18:F42)</f>
        <v>22818</v>
      </c>
      <c r="G43" s="482">
        <f>SUM(G19:G42)</f>
        <v>21582.059999999998</v>
      </c>
      <c r="H43" s="466"/>
      <c r="I43" s="513">
        <f>F43*$G$3</f>
        <v>132344400</v>
      </c>
      <c r="J43" s="513">
        <f>G43*$G$3</f>
        <v>125175947.99999999</v>
      </c>
      <c r="K43" s="502"/>
    </row>
    <row r="44" spans="1:11" s="426" customFormat="1" ht="16.5" thickBot="1">
      <c r="A44" s="1930" t="s">
        <v>526</v>
      </c>
      <c r="B44" s="1930"/>
      <c r="C44" s="1930"/>
      <c r="D44" s="1930"/>
      <c r="E44" s="1930"/>
      <c r="F44" s="483">
        <f>F43-G43</f>
        <v>1235.9400000000023</v>
      </c>
      <c r="G44" s="484"/>
      <c r="H44" s="485"/>
      <c r="I44" s="514">
        <f>F44*$G$3</f>
        <v>7168452.000000013</v>
      </c>
      <c r="J44" s="515"/>
      <c r="K44" s="516"/>
    </row>
    <row r="45" spans="1:11" s="427" customFormat="1" hidden="1" outlineLevel="1">
      <c r="A45" s="486" t="s">
        <v>577</v>
      </c>
      <c r="B45" s="487" t="s">
        <v>534</v>
      </c>
      <c r="C45" s="487" t="s">
        <v>529</v>
      </c>
      <c r="D45" s="487" t="s">
        <v>547</v>
      </c>
      <c r="E45" s="488" t="s">
        <v>578</v>
      </c>
      <c r="F45" s="489"/>
      <c r="G45" s="987">
        <v>52.95</v>
      </c>
      <c r="H45" s="982"/>
      <c r="I45" s="995"/>
      <c r="J45" s="999"/>
      <c r="K45" s="999" t="s">
        <v>579</v>
      </c>
    </row>
    <row r="46" spans="1:11" s="427" customFormat="1" hidden="1" outlineLevel="1">
      <c r="A46" s="490" t="s">
        <v>580</v>
      </c>
      <c r="B46" s="491" t="s">
        <v>534</v>
      </c>
      <c r="C46" s="491" t="s">
        <v>529</v>
      </c>
      <c r="D46" s="491" t="s">
        <v>517</v>
      </c>
      <c r="E46" s="492" t="s">
        <v>581</v>
      </c>
      <c r="F46" s="493"/>
      <c r="G46" s="988">
        <v>424</v>
      </c>
      <c r="H46" s="983"/>
      <c r="I46" s="996"/>
      <c r="J46" s="1000"/>
      <c r="K46" s="1000" t="s">
        <v>579</v>
      </c>
    </row>
    <row r="47" spans="1:11" s="427" customFormat="1" hidden="1" outlineLevel="1">
      <c r="A47" s="490" t="s">
        <v>580</v>
      </c>
      <c r="B47" s="491" t="s">
        <v>534</v>
      </c>
      <c r="C47" s="491" t="s">
        <v>529</v>
      </c>
      <c r="D47" s="491" t="s">
        <v>517</v>
      </c>
      <c r="E47" s="492" t="s">
        <v>553</v>
      </c>
      <c r="F47" s="493"/>
      <c r="G47" s="988">
        <v>0.11</v>
      </c>
      <c r="H47" s="983"/>
      <c r="I47" s="996"/>
      <c r="J47" s="1000"/>
      <c r="K47" s="1000" t="s">
        <v>579</v>
      </c>
    </row>
    <row r="48" spans="1:11" s="427" customFormat="1" hidden="1" outlineLevel="1">
      <c r="A48" s="490" t="s">
        <v>582</v>
      </c>
      <c r="B48" s="491" t="s">
        <v>534</v>
      </c>
      <c r="C48" s="491" t="s">
        <v>529</v>
      </c>
      <c r="D48" s="491"/>
      <c r="E48" s="492" t="s">
        <v>583</v>
      </c>
      <c r="F48" s="493">
        <v>27034.2</v>
      </c>
      <c r="G48" s="988"/>
      <c r="H48" s="983"/>
      <c r="I48" s="996"/>
      <c r="J48" s="1000"/>
      <c r="K48" s="1000" t="s">
        <v>579</v>
      </c>
    </row>
    <row r="49" spans="1:11" s="427" customFormat="1" hidden="1" outlineLevel="1">
      <c r="A49" s="490" t="s">
        <v>582</v>
      </c>
      <c r="B49" s="491" t="s">
        <v>534</v>
      </c>
      <c r="C49" s="491" t="s">
        <v>529</v>
      </c>
      <c r="D49" s="491"/>
      <c r="E49" s="492" t="s">
        <v>584</v>
      </c>
      <c r="F49" s="493">
        <v>3859</v>
      </c>
      <c r="G49" s="988"/>
      <c r="H49" s="983"/>
      <c r="I49" s="996"/>
      <c r="J49" s="1000"/>
      <c r="K49" s="1000" t="s">
        <v>579</v>
      </c>
    </row>
    <row r="50" spans="1:11" s="427" customFormat="1" hidden="1" outlineLevel="1">
      <c r="A50" s="490" t="s">
        <v>582</v>
      </c>
      <c r="B50" s="491" t="s">
        <v>534</v>
      </c>
      <c r="C50" s="491" t="s">
        <v>529</v>
      </c>
      <c r="D50" s="491" t="s">
        <v>547</v>
      </c>
      <c r="E50" s="492" t="s">
        <v>585</v>
      </c>
      <c r="F50" s="493"/>
      <c r="G50" s="989">
        <v>5210.3500000000004</v>
      </c>
      <c r="H50" s="983"/>
      <c r="I50" s="996"/>
      <c r="J50" s="1000"/>
      <c r="K50" s="1000" t="s">
        <v>579</v>
      </c>
    </row>
    <row r="51" spans="1:11" s="427" customFormat="1" hidden="1" outlineLevel="1">
      <c r="A51" s="490" t="s">
        <v>582</v>
      </c>
      <c r="B51" s="491" t="s">
        <v>534</v>
      </c>
      <c r="C51" s="491" t="s">
        <v>529</v>
      </c>
      <c r="D51" s="491" t="s">
        <v>517</v>
      </c>
      <c r="E51" s="492" t="s">
        <v>585</v>
      </c>
      <c r="F51" s="493"/>
      <c r="G51" s="989">
        <v>4710.3500000000004</v>
      </c>
      <c r="H51" s="983"/>
      <c r="I51" s="996"/>
      <c r="J51" s="1000"/>
      <c r="K51" s="1000" t="s">
        <v>579</v>
      </c>
    </row>
    <row r="52" spans="1:11" s="427" customFormat="1" hidden="1" outlineLevel="1">
      <c r="A52" s="490" t="s">
        <v>582</v>
      </c>
      <c r="B52" s="491" t="s">
        <v>534</v>
      </c>
      <c r="C52" s="491" t="s">
        <v>529</v>
      </c>
      <c r="D52" s="491" t="s">
        <v>549</v>
      </c>
      <c r="E52" s="492" t="s">
        <v>586</v>
      </c>
      <c r="F52" s="493"/>
      <c r="G52" s="989">
        <v>400</v>
      </c>
      <c r="H52" s="983"/>
      <c r="I52" s="996"/>
      <c r="J52" s="1000"/>
      <c r="K52" s="1000" t="s">
        <v>579</v>
      </c>
    </row>
    <row r="53" spans="1:11" s="427" customFormat="1" hidden="1" outlineLevel="1">
      <c r="A53" s="490" t="s">
        <v>582</v>
      </c>
      <c r="B53" s="491" t="s">
        <v>534</v>
      </c>
      <c r="C53" s="491" t="s">
        <v>529</v>
      </c>
      <c r="D53" s="491" t="s">
        <v>587</v>
      </c>
      <c r="E53" s="492" t="s">
        <v>588</v>
      </c>
      <c r="F53" s="493"/>
      <c r="G53" s="989">
        <v>2800</v>
      </c>
      <c r="H53" s="983"/>
      <c r="I53" s="996"/>
      <c r="J53" s="1000"/>
      <c r="K53" s="1000" t="s">
        <v>579</v>
      </c>
    </row>
    <row r="54" spans="1:11" s="427" customFormat="1" hidden="1" outlineLevel="1">
      <c r="A54" s="490" t="s">
        <v>582</v>
      </c>
      <c r="B54" s="491" t="s">
        <v>534</v>
      </c>
      <c r="C54" s="491" t="s">
        <v>529</v>
      </c>
      <c r="D54" s="491" t="s">
        <v>589</v>
      </c>
      <c r="E54" s="492" t="s">
        <v>538</v>
      </c>
      <c r="F54" s="493"/>
      <c r="G54" s="989">
        <v>2004</v>
      </c>
      <c r="H54" s="983"/>
      <c r="I54" s="996"/>
      <c r="J54" s="1000"/>
      <c r="K54" s="1000" t="s">
        <v>579</v>
      </c>
    </row>
    <row r="55" spans="1:11" s="427" customFormat="1" hidden="1" outlineLevel="1">
      <c r="A55" s="490" t="s">
        <v>582</v>
      </c>
      <c r="B55" s="491" t="s">
        <v>534</v>
      </c>
      <c r="C55" s="491" t="s">
        <v>529</v>
      </c>
      <c r="D55" s="491" t="s">
        <v>589</v>
      </c>
      <c r="E55" s="492" t="s">
        <v>590</v>
      </c>
      <c r="F55" s="493"/>
      <c r="G55" s="988">
        <v>474.26</v>
      </c>
      <c r="H55" s="983"/>
      <c r="I55" s="996"/>
      <c r="J55" s="1000"/>
      <c r="K55" s="1000" t="s">
        <v>579</v>
      </c>
    </row>
    <row r="56" spans="1:11" s="427" customFormat="1" hidden="1" outlineLevel="1">
      <c r="A56" s="490" t="s">
        <v>582</v>
      </c>
      <c r="B56" s="491" t="s">
        <v>534</v>
      </c>
      <c r="C56" s="491" t="s">
        <v>529</v>
      </c>
      <c r="D56" s="491" t="s">
        <v>517</v>
      </c>
      <c r="E56" s="492" t="s">
        <v>553</v>
      </c>
      <c r="F56" s="493"/>
      <c r="G56" s="988">
        <v>0.22</v>
      </c>
      <c r="H56" s="983"/>
      <c r="I56" s="996"/>
      <c r="J56" s="1000"/>
      <c r="K56" s="1000" t="s">
        <v>579</v>
      </c>
    </row>
    <row r="57" spans="1:11" s="427" customFormat="1" hidden="1" outlineLevel="1">
      <c r="A57" s="967" t="s">
        <v>591</v>
      </c>
      <c r="B57" s="491" t="s">
        <v>534</v>
      </c>
      <c r="C57" s="491" t="s">
        <v>529</v>
      </c>
      <c r="D57" s="491" t="s">
        <v>547</v>
      </c>
      <c r="E57" s="492" t="s">
        <v>592</v>
      </c>
      <c r="F57" s="493"/>
      <c r="G57" s="988">
        <v>4000</v>
      </c>
      <c r="H57" s="984"/>
      <c r="I57" s="988"/>
      <c r="J57" s="1001"/>
      <c r="K57" s="1000" t="s">
        <v>579</v>
      </c>
    </row>
    <row r="58" spans="1:11" s="427" customFormat="1" hidden="1" outlineLevel="1">
      <c r="A58" s="967" t="s">
        <v>593</v>
      </c>
      <c r="B58" s="491" t="s">
        <v>534</v>
      </c>
      <c r="C58" s="491" t="s">
        <v>529</v>
      </c>
      <c r="D58" s="491" t="s">
        <v>547</v>
      </c>
      <c r="E58" s="492" t="s">
        <v>594</v>
      </c>
      <c r="F58" s="493"/>
      <c r="G58" s="988">
        <v>2016</v>
      </c>
      <c r="H58" s="984"/>
      <c r="I58" s="988"/>
      <c r="J58" s="1001"/>
      <c r="K58" s="1000" t="s">
        <v>579</v>
      </c>
    </row>
    <row r="59" spans="1:11" s="427" customFormat="1" hidden="1" outlineLevel="1">
      <c r="A59" s="967" t="s">
        <v>593</v>
      </c>
      <c r="B59" s="491" t="s">
        <v>534</v>
      </c>
      <c r="C59" s="491" t="s">
        <v>529</v>
      </c>
      <c r="D59" s="491" t="s">
        <v>547</v>
      </c>
      <c r="E59" s="492" t="s">
        <v>595</v>
      </c>
      <c r="F59" s="493"/>
      <c r="G59" s="988">
        <v>177.6</v>
      </c>
      <c r="H59" s="984"/>
      <c r="I59" s="988"/>
      <c r="J59" s="1001"/>
      <c r="K59" s="1000" t="s">
        <v>579</v>
      </c>
    </row>
    <row r="60" spans="1:11" s="427" customFormat="1" hidden="1" outlineLevel="1">
      <c r="A60" s="967" t="s">
        <v>593</v>
      </c>
      <c r="B60" s="491" t="s">
        <v>534</v>
      </c>
      <c r="C60" s="491" t="s">
        <v>529</v>
      </c>
      <c r="D60" s="491" t="s">
        <v>547</v>
      </c>
      <c r="E60" s="492" t="s">
        <v>596</v>
      </c>
      <c r="F60" s="493"/>
      <c r="G60" s="988">
        <v>31.6</v>
      </c>
      <c r="H60" s="984"/>
      <c r="I60" s="988"/>
      <c r="J60" s="1001"/>
      <c r="K60" s="1000" t="s">
        <v>579</v>
      </c>
    </row>
    <row r="61" spans="1:11" s="427" customFormat="1" hidden="1" outlineLevel="1">
      <c r="A61" s="967" t="s">
        <v>593</v>
      </c>
      <c r="B61" s="491" t="s">
        <v>534</v>
      </c>
      <c r="C61" s="491" t="s">
        <v>529</v>
      </c>
      <c r="D61" s="491" t="s">
        <v>547</v>
      </c>
      <c r="E61" s="492" t="s">
        <v>597</v>
      </c>
      <c r="F61" s="493"/>
      <c r="G61" s="988">
        <v>247.2</v>
      </c>
      <c r="H61" s="984"/>
      <c r="I61" s="988"/>
      <c r="J61" s="1001"/>
      <c r="K61" s="1000" t="s">
        <v>579</v>
      </c>
    </row>
    <row r="62" spans="1:11" s="427" customFormat="1" hidden="1" outlineLevel="1">
      <c r="A62" s="967" t="s">
        <v>593</v>
      </c>
      <c r="B62" s="491" t="s">
        <v>534</v>
      </c>
      <c r="C62" s="491" t="s">
        <v>529</v>
      </c>
      <c r="D62" s="491" t="s">
        <v>517</v>
      </c>
      <c r="E62" s="492" t="s">
        <v>598</v>
      </c>
      <c r="F62" s="493"/>
      <c r="G62" s="988">
        <v>52.8</v>
      </c>
      <c r="H62" s="984"/>
      <c r="I62" s="988"/>
      <c r="J62" s="1001"/>
      <c r="K62" s="1005" t="s">
        <v>556</v>
      </c>
    </row>
    <row r="63" spans="1:11" s="427" customFormat="1" hidden="1" outlineLevel="1">
      <c r="A63" s="967" t="s">
        <v>599</v>
      </c>
      <c r="B63" s="491" t="s">
        <v>534</v>
      </c>
      <c r="C63" s="491" t="s">
        <v>529</v>
      </c>
      <c r="D63" s="491" t="s">
        <v>547</v>
      </c>
      <c r="E63" s="492" t="s">
        <v>600</v>
      </c>
      <c r="F63" s="493"/>
      <c r="G63" s="988">
        <v>2016</v>
      </c>
      <c r="H63" s="984"/>
      <c r="I63" s="988"/>
      <c r="J63" s="1001"/>
      <c r="K63" s="1005" t="s">
        <v>579</v>
      </c>
    </row>
    <row r="64" spans="1:11" s="427" customFormat="1" hidden="1" outlineLevel="1">
      <c r="A64" s="967" t="s">
        <v>599</v>
      </c>
      <c r="B64" s="491" t="s">
        <v>534</v>
      </c>
      <c r="C64" s="491" t="s">
        <v>529</v>
      </c>
      <c r="D64" s="491" t="s">
        <v>547</v>
      </c>
      <c r="E64" s="492" t="s">
        <v>601</v>
      </c>
      <c r="F64" s="493"/>
      <c r="G64" s="988">
        <v>177.6</v>
      </c>
      <c r="H64" s="984"/>
      <c r="I64" s="988"/>
      <c r="J64" s="1001"/>
      <c r="K64" s="1005" t="s">
        <v>579</v>
      </c>
    </row>
    <row r="65" spans="1:12" s="427" customFormat="1" hidden="1" outlineLevel="1">
      <c r="A65" s="967" t="s">
        <v>599</v>
      </c>
      <c r="B65" s="491" t="s">
        <v>534</v>
      </c>
      <c r="C65" s="491" t="s">
        <v>529</v>
      </c>
      <c r="D65" s="491" t="s">
        <v>547</v>
      </c>
      <c r="E65" s="492" t="s">
        <v>602</v>
      </c>
      <c r="F65" s="493"/>
      <c r="G65" s="988">
        <v>31.6</v>
      </c>
      <c r="H65" s="984"/>
      <c r="I65" s="988"/>
      <c r="J65" s="1001"/>
      <c r="K65" s="1005" t="s">
        <v>579</v>
      </c>
    </row>
    <row r="66" spans="1:12" s="427" customFormat="1" hidden="1" outlineLevel="1">
      <c r="A66" s="967" t="s">
        <v>603</v>
      </c>
      <c r="B66" s="491" t="s">
        <v>534</v>
      </c>
      <c r="C66" s="491" t="s">
        <v>529</v>
      </c>
      <c r="D66" s="491" t="s">
        <v>547</v>
      </c>
      <c r="E66" s="492" t="s">
        <v>604</v>
      </c>
      <c r="F66" s="493"/>
      <c r="G66" s="988">
        <v>10.9</v>
      </c>
      <c r="H66" s="984"/>
      <c r="I66" s="988"/>
      <c r="J66" s="1000"/>
      <c r="K66" s="1000" t="s">
        <v>556</v>
      </c>
    </row>
    <row r="67" spans="1:12" s="427" customFormat="1" hidden="1" outlineLevel="1">
      <c r="A67" s="967" t="s">
        <v>605</v>
      </c>
      <c r="B67" s="491" t="s">
        <v>534</v>
      </c>
      <c r="C67" s="491" t="s">
        <v>529</v>
      </c>
      <c r="D67" s="491" t="s">
        <v>547</v>
      </c>
      <c r="E67" s="492" t="s">
        <v>592</v>
      </c>
      <c r="F67" s="493"/>
      <c r="G67" s="988">
        <v>2000</v>
      </c>
      <c r="H67" s="984"/>
      <c r="I67" s="988"/>
      <c r="J67" s="1000"/>
      <c r="K67" s="1000" t="s">
        <v>579</v>
      </c>
    </row>
    <row r="68" spans="1:12" s="427" customFormat="1" hidden="1" outlineLevel="1">
      <c r="A68" s="967" t="s">
        <v>605</v>
      </c>
      <c r="B68" s="491" t="s">
        <v>534</v>
      </c>
      <c r="C68" s="491" t="s">
        <v>529</v>
      </c>
      <c r="D68" s="491" t="s">
        <v>547</v>
      </c>
      <c r="E68" s="492" t="s">
        <v>606</v>
      </c>
      <c r="F68" s="493"/>
      <c r="G68" s="988">
        <v>1827.77</v>
      </c>
      <c r="H68" s="984"/>
      <c r="I68" s="988"/>
      <c r="J68" s="1000"/>
      <c r="K68" s="1000" t="s">
        <v>579</v>
      </c>
    </row>
    <row r="69" spans="1:12" s="428" customFormat="1" hidden="1" outlineLevel="1">
      <c r="A69" s="967" t="s">
        <v>605</v>
      </c>
      <c r="B69" s="491" t="s">
        <v>534</v>
      </c>
      <c r="C69" s="491" t="s">
        <v>529</v>
      </c>
      <c r="D69" s="491" t="s">
        <v>547</v>
      </c>
      <c r="E69" s="492" t="s">
        <v>607</v>
      </c>
      <c r="F69" s="493"/>
      <c r="G69" s="990">
        <v>207.02</v>
      </c>
      <c r="H69" s="985"/>
      <c r="I69" s="997"/>
      <c r="J69" s="1002"/>
      <c r="K69" s="1002" t="s">
        <v>579</v>
      </c>
    </row>
    <row r="70" spans="1:12" s="966" customFormat="1" hidden="1" outlineLevel="1">
      <c r="A70" s="968" t="s">
        <v>1667</v>
      </c>
      <c r="B70" s="969" t="s">
        <v>534</v>
      </c>
      <c r="C70" s="969" t="s">
        <v>529</v>
      </c>
      <c r="D70" s="969" t="s">
        <v>517</v>
      </c>
      <c r="E70" s="980" t="s">
        <v>1668</v>
      </c>
      <c r="F70" s="991"/>
      <c r="G70" s="992">
        <v>939.85</v>
      </c>
      <c r="H70" s="986"/>
      <c r="I70" s="992"/>
      <c r="J70" s="1003"/>
      <c r="K70" s="1003" t="s">
        <v>579</v>
      </c>
    </row>
    <row r="71" spans="1:12" s="966" customFormat="1" hidden="1" outlineLevel="1">
      <c r="A71" s="968" t="s">
        <v>1667</v>
      </c>
      <c r="B71" s="969" t="s">
        <v>534</v>
      </c>
      <c r="C71" s="969" t="s">
        <v>529</v>
      </c>
      <c r="D71" s="969" t="s">
        <v>517</v>
      </c>
      <c r="E71" s="980" t="s">
        <v>1669</v>
      </c>
      <c r="F71" s="991"/>
      <c r="G71" s="992">
        <v>279.85000000000002</v>
      </c>
      <c r="H71" s="986"/>
      <c r="I71" s="992"/>
      <c r="J71" s="1003"/>
      <c r="K71" s="1003" t="s">
        <v>579</v>
      </c>
    </row>
    <row r="72" spans="1:12" s="966" customFormat="1" hidden="1" outlineLevel="1">
      <c r="A72" s="968" t="s">
        <v>1667</v>
      </c>
      <c r="B72" s="969" t="s">
        <v>534</v>
      </c>
      <c r="C72" s="969" t="s">
        <v>529</v>
      </c>
      <c r="D72" s="969" t="s">
        <v>517</v>
      </c>
      <c r="E72" s="980" t="s">
        <v>1670</v>
      </c>
      <c r="F72" s="991"/>
      <c r="G72" s="992">
        <v>130</v>
      </c>
      <c r="H72" s="986"/>
      <c r="I72" s="992"/>
      <c r="J72" s="1003"/>
      <c r="K72" s="1003" t="s">
        <v>579</v>
      </c>
    </row>
    <row r="73" spans="1:12" s="966" customFormat="1" hidden="1" outlineLevel="1">
      <c r="A73" s="968" t="s">
        <v>1667</v>
      </c>
      <c r="B73" s="969" t="s">
        <v>1671</v>
      </c>
      <c r="C73" s="969" t="s">
        <v>529</v>
      </c>
      <c r="D73" s="969" t="s">
        <v>517</v>
      </c>
      <c r="E73" s="980" t="s">
        <v>1672</v>
      </c>
      <c r="F73" s="991">
        <v>1200</v>
      </c>
      <c r="G73" s="992"/>
      <c r="H73" s="986"/>
      <c r="I73" s="992"/>
      <c r="J73" s="1003"/>
      <c r="K73" s="1003" t="s">
        <v>579</v>
      </c>
    </row>
    <row r="74" spans="1:12" s="966" customFormat="1" ht="16.5" hidden="1" outlineLevel="1" thickBot="1">
      <c r="A74" s="970" t="s">
        <v>1667</v>
      </c>
      <c r="B74" s="971" t="s">
        <v>534</v>
      </c>
      <c r="C74" s="971" t="s">
        <v>529</v>
      </c>
      <c r="D74" s="971" t="s">
        <v>517</v>
      </c>
      <c r="E74" s="981" t="s">
        <v>553</v>
      </c>
      <c r="F74" s="993"/>
      <c r="G74" s="994">
        <v>0.22</v>
      </c>
      <c r="H74" s="998"/>
      <c r="I74" s="994"/>
      <c r="J74" s="1004"/>
      <c r="K74" s="1004" t="s">
        <v>579</v>
      </c>
    </row>
    <row r="75" spans="1:12" s="428" customFormat="1" ht="16.5" collapsed="1" thickBot="1">
      <c r="A75" s="978" t="s">
        <v>256</v>
      </c>
      <c r="B75" s="481"/>
      <c r="C75" s="481" t="s">
        <v>545</v>
      </c>
      <c r="D75" s="481"/>
      <c r="E75" s="1375" t="s">
        <v>1598</v>
      </c>
      <c r="F75" s="482">
        <f>SUM(F44:F74)</f>
        <v>33329.14</v>
      </c>
      <c r="G75" s="482">
        <f>SUM(G45:G74)</f>
        <v>30222.249999999996</v>
      </c>
      <c r="H75" s="979"/>
      <c r="I75" s="513">
        <f>F75*$G$3</f>
        <v>193309012</v>
      </c>
      <c r="J75" s="513">
        <f>G75*$G$3</f>
        <v>175289049.99999997</v>
      </c>
      <c r="K75" s="502"/>
    </row>
    <row r="76" spans="1:12" s="426" customFormat="1" ht="16.5" thickBot="1">
      <c r="A76" s="1374" t="s">
        <v>526</v>
      </c>
      <c r="B76" s="972"/>
      <c r="C76" s="972"/>
      <c r="D76" s="972"/>
      <c r="E76" s="973"/>
      <c r="F76" s="974">
        <f>F75-G75</f>
        <v>3106.8900000000031</v>
      </c>
      <c r="G76" s="975"/>
      <c r="H76" s="485"/>
      <c r="I76" s="976">
        <f>F76*G3</f>
        <v>18019962.000000019</v>
      </c>
      <c r="J76" s="977">
        <f>G76*G3</f>
        <v>0</v>
      </c>
      <c r="K76" s="517"/>
    </row>
    <row r="77" spans="1:12" s="966" customFormat="1" hidden="1" outlineLevel="1">
      <c r="A77" s="1349" t="s">
        <v>1905</v>
      </c>
      <c r="B77" s="1348" t="s">
        <v>534</v>
      </c>
      <c r="C77" s="1351" t="s">
        <v>529</v>
      </c>
      <c r="D77" s="1350" t="s">
        <v>547</v>
      </c>
      <c r="E77" s="1352" t="s">
        <v>1906</v>
      </c>
      <c r="F77" s="1353">
        <f>8000*3.953</f>
        <v>31624</v>
      </c>
      <c r="G77" s="1353"/>
      <c r="H77" s="1353"/>
      <c r="I77" s="1353"/>
      <c r="J77" s="1356"/>
      <c r="K77" s="1356" t="s">
        <v>579</v>
      </c>
      <c r="L77" s="1355"/>
    </row>
    <row r="78" spans="1:12" s="966" customFormat="1" hidden="1" outlineLevel="1">
      <c r="A78" s="1349" t="s">
        <v>1905</v>
      </c>
      <c r="B78" s="1357" t="s">
        <v>534</v>
      </c>
      <c r="C78" s="1351" t="s">
        <v>529</v>
      </c>
      <c r="D78" s="1350" t="s">
        <v>1907</v>
      </c>
      <c r="E78" s="1352" t="s">
        <v>1908</v>
      </c>
      <c r="F78" s="1353">
        <v>3953</v>
      </c>
      <c r="G78" s="1353"/>
      <c r="H78" s="1353"/>
      <c r="I78" s="1353"/>
      <c r="J78" s="1356"/>
      <c r="K78" s="1356" t="s">
        <v>579</v>
      </c>
      <c r="L78" s="1355"/>
    </row>
    <row r="79" spans="1:12" s="966" customFormat="1" hidden="1" outlineLevel="1">
      <c r="A79" s="1349" t="s">
        <v>1905</v>
      </c>
      <c r="B79" s="1348" t="s">
        <v>534</v>
      </c>
      <c r="C79" s="1358" t="s">
        <v>529</v>
      </c>
      <c r="D79" s="1348" t="s">
        <v>1909</v>
      </c>
      <c r="E79" s="1352" t="s">
        <v>1908</v>
      </c>
      <c r="F79" s="1359">
        <v>3953</v>
      </c>
      <c r="G79" s="1353"/>
      <c r="H79" s="1353"/>
      <c r="I79" s="1353"/>
      <c r="J79" s="1356"/>
      <c r="K79" s="1356" t="s">
        <v>579</v>
      </c>
      <c r="L79" s="1355"/>
    </row>
    <row r="80" spans="1:12" s="966" customFormat="1" hidden="1" outlineLevel="1">
      <c r="A80" s="1349" t="s">
        <v>1905</v>
      </c>
      <c r="B80" s="1348" t="s">
        <v>534</v>
      </c>
      <c r="C80" s="1358" t="s">
        <v>529</v>
      </c>
      <c r="D80" s="1357" t="s">
        <v>1907</v>
      </c>
      <c r="E80" s="1360" t="s">
        <v>1910</v>
      </c>
      <c r="F80" s="1361"/>
      <c r="G80" s="1353">
        <v>3953</v>
      </c>
      <c r="H80" s="1353"/>
      <c r="I80" s="1353"/>
      <c r="J80" s="1356"/>
      <c r="K80" s="1356" t="s">
        <v>579</v>
      </c>
      <c r="L80" s="1355"/>
    </row>
    <row r="81" spans="1:12" s="966" customFormat="1" hidden="1" outlineLevel="1">
      <c r="A81" s="1349" t="s">
        <v>1905</v>
      </c>
      <c r="B81" s="1348" t="s">
        <v>534</v>
      </c>
      <c r="C81" s="1358" t="s">
        <v>529</v>
      </c>
      <c r="D81" s="1350" t="s">
        <v>1909</v>
      </c>
      <c r="E81" s="1360" t="s">
        <v>592</v>
      </c>
      <c r="F81" s="1353"/>
      <c r="G81" s="1353">
        <v>3953</v>
      </c>
      <c r="H81" s="1353"/>
      <c r="I81" s="1353"/>
      <c r="J81" s="1356"/>
      <c r="K81" s="1356" t="s">
        <v>579</v>
      </c>
      <c r="L81" s="1355"/>
    </row>
    <row r="82" spans="1:12" s="966" customFormat="1" hidden="1" outlineLevel="1">
      <c r="A82" s="1349" t="s">
        <v>1905</v>
      </c>
      <c r="B82" s="1348" t="s">
        <v>534</v>
      </c>
      <c r="C82" s="1358" t="s">
        <v>529</v>
      </c>
      <c r="D82" s="1350" t="s">
        <v>547</v>
      </c>
      <c r="E82" s="1352" t="s">
        <v>1911</v>
      </c>
      <c r="F82" s="1353"/>
      <c r="G82" s="1354">
        <v>5210.3500000000004</v>
      </c>
      <c r="H82" s="1353"/>
      <c r="I82" s="1353"/>
      <c r="J82" s="1356"/>
      <c r="K82" s="1356" t="s">
        <v>579</v>
      </c>
      <c r="L82" s="1355"/>
    </row>
    <row r="83" spans="1:12" s="966" customFormat="1" hidden="1" outlineLevel="1">
      <c r="A83" s="1349" t="s">
        <v>1905</v>
      </c>
      <c r="B83" s="1348" t="s">
        <v>534</v>
      </c>
      <c r="C83" s="1358" t="s">
        <v>529</v>
      </c>
      <c r="D83" s="1350" t="s">
        <v>517</v>
      </c>
      <c r="E83" s="1352" t="s">
        <v>1911</v>
      </c>
      <c r="F83" s="1353"/>
      <c r="G83" s="1354">
        <v>4710.3500000000004</v>
      </c>
      <c r="H83" s="1353"/>
      <c r="I83" s="1353"/>
      <c r="J83" s="1356"/>
      <c r="K83" s="1356" t="s">
        <v>579</v>
      </c>
      <c r="L83" s="1355"/>
    </row>
    <row r="84" spans="1:12" s="966" customFormat="1" hidden="1" outlineLevel="1">
      <c r="A84" s="1349" t="s">
        <v>1905</v>
      </c>
      <c r="B84" s="1348" t="s">
        <v>534</v>
      </c>
      <c r="C84" s="1358" t="s">
        <v>529</v>
      </c>
      <c r="D84" s="1350" t="s">
        <v>549</v>
      </c>
      <c r="E84" s="1352" t="s">
        <v>586</v>
      </c>
      <c r="F84" s="1353"/>
      <c r="G84" s="1354">
        <v>400</v>
      </c>
      <c r="H84" s="1353"/>
      <c r="I84" s="1353"/>
      <c r="J84" s="1356"/>
      <c r="K84" s="1356" t="s">
        <v>579</v>
      </c>
      <c r="L84" s="1355"/>
    </row>
    <row r="85" spans="1:12" s="966" customFormat="1" hidden="1" outlineLevel="1">
      <c r="A85" s="1349" t="s">
        <v>1905</v>
      </c>
      <c r="B85" s="1348" t="s">
        <v>534</v>
      </c>
      <c r="C85" s="1358" t="s">
        <v>529</v>
      </c>
      <c r="D85" s="1350" t="s">
        <v>547</v>
      </c>
      <c r="E85" s="1352" t="s">
        <v>1912</v>
      </c>
      <c r="F85" s="1353"/>
      <c r="G85" s="1354">
        <f>3601*2</f>
        <v>7202</v>
      </c>
      <c r="H85" s="1353"/>
      <c r="I85" s="1353"/>
      <c r="J85" s="1356"/>
      <c r="K85" s="1356" t="s">
        <v>579</v>
      </c>
      <c r="L85" s="1355"/>
    </row>
    <row r="86" spans="1:12" s="966" customFormat="1" hidden="1" outlineLevel="1">
      <c r="A86" s="1362" t="s">
        <v>1905</v>
      </c>
      <c r="B86" s="1348"/>
      <c r="C86" s="1358"/>
      <c r="D86" s="1350"/>
      <c r="E86" s="1352" t="s">
        <v>553</v>
      </c>
      <c r="F86" s="1353"/>
      <c r="G86" s="1354">
        <v>0.1</v>
      </c>
      <c r="H86" s="1361"/>
      <c r="I86" s="1361"/>
      <c r="J86" s="1356"/>
      <c r="K86" s="1356" t="s">
        <v>579</v>
      </c>
      <c r="L86" s="1355"/>
    </row>
    <row r="87" spans="1:12" s="966" customFormat="1" hidden="1" outlineLevel="1">
      <c r="A87" s="1362" t="s">
        <v>1913</v>
      </c>
      <c r="B87" s="1348" t="s">
        <v>534</v>
      </c>
      <c r="C87" s="1358" t="s">
        <v>529</v>
      </c>
      <c r="D87" s="1357" t="s">
        <v>517</v>
      </c>
      <c r="E87" s="1360" t="s">
        <v>188</v>
      </c>
      <c r="F87" s="1361"/>
      <c r="G87" s="1363">
        <v>400</v>
      </c>
      <c r="H87" s="1353"/>
      <c r="I87" s="1353"/>
      <c r="J87" s="1356"/>
      <c r="K87" s="1356" t="s">
        <v>579</v>
      </c>
      <c r="L87" s="1355"/>
    </row>
    <row r="88" spans="1:12" s="966" customFormat="1" hidden="1" outlineLevel="1">
      <c r="A88" s="1362" t="s">
        <v>1913</v>
      </c>
      <c r="B88" s="1348" t="s">
        <v>534</v>
      </c>
      <c r="C88" s="1358" t="s">
        <v>529</v>
      </c>
      <c r="D88" s="1350" t="s">
        <v>1914</v>
      </c>
      <c r="E88" s="1352" t="s">
        <v>1915</v>
      </c>
      <c r="F88" s="1353"/>
      <c r="G88" s="1353">
        <v>2800</v>
      </c>
      <c r="H88" s="1353"/>
      <c r="I88" s="1353"/>
      <c r="J88" s="1356"/>
      <c r="K88" s="1356" t="s">
        <v>579</v>
      </c>
      <c r="L88" s="1355"/>
    </row>
    <row r="89" spans="1:12" s="966" customFormat="1" hidden="1" outlineLevel="1">
      <c r="A89" s="1362" t="s">
        <v>1913</v>
      </c>
      <c r="B89" s="1348"/>
      <c r="C89" s="1358"/>
      <c r="D89" s="1350"/>
      <c r="E89" s="1352" t="s">
        <v>553</v>
      </c>
      <c r="F89" s="1353"/>
      <c r="G89" s="1353">
        <v>0.1</v>
      </c>
      <c r="H89" s="1353"/>
      <c r="I89" s="1353"/>
      <c r="J89" s="1356"/>
      <c r="K89" s="1356" t="s">
        <v>579</v>
      </c>
      <c r="L89" s="1355"/>
    </row>
    <row r="90" spans="1:12" s="966" customFormat="1" hidden="1" outlineLevel="1">
      <c r="A90" s="1362" t="s">
        <v>1916</v>
      </c>
      <c r="B90" s="1348" t="s">
        <v>534</v>
      </c>
      <c r="C90" s="1358" t="s">
        <v>529</v>
      </c>
      <c r="D90" s="1350" t="s">
        <v>1917</v>
      </c>
      <c r="E90" s="1352" t="s">
        <v>1918</v>
      </c>
      <c r="F90" s="1353"/>
      <c r="G90" s="1353">
        <v>3000</v>
      </c>
      <c r="H90" s="1353"/>
      <c r="I90" s="1353"/>
      <c r="J90" s="1356"/>
      <c r="K90" s="1356" t="s">
        <v>579</v>
      </c>
      <c r="L90" s="1355"/>
    </row>
    <row r="91" spans="1:12" s="966" customFormat="1" hidden="1" outlineLevel="1">
      <c r="A91" s="1362" t="s">
        <v>1916</v>
      </c>
      <c r="B91" s="1348" t="s">
        <v>534</v>
      </c>
      <c r="C91" s="1358" t="s">
        <v>529</v>
      </c>
      <c r="D91" s="1350" t="s">
        <v>1917</v>
      </c>
      <c r="E91" s="1352" t="s">
        <v>1919</v>
      </c>
      <c r="F91" s="1353"/>
      <c r="G91" s="1353">
        <v>671.4</v>
      </c>
      <c r="H91" s="1353"/>
      <c r="I91" s="1353"/>
      <c r="J91" s="1356"/>
      <c r="K91" s="1356" t="s">
        <v>579</v>
      </c>
      <c r="L91" s="1355"/>
    </row>
    <row r="92" spans="1:12" s="966" customFormat="1" hidden="1" outlineLevel="1">
      <c r="A92" s="1362" t="s">
        <v>1916</v>
      </c>
      <c r="B92" s="1348" t="s">
        <v>534</v>
      </c>
      <c r="C92" s="1358" t="s">
        <v>529</v>
      </c>
      <c r="D92" s="1350" t="s">
        <v>1920</v>
      </c>
      <c r="E92" s="1352" t="s">
        <v>1670</v>
      </c>
      <c r="F92" s="1353"/>
      <c r="G92" s="1353">
        <v>122.64</v>
      </c>
      <c r="H92" s="1353"/>
      <c r="I92" s="1353"/>
      <c r="J92" s="1356"/>
      <c r="K92" s="1356" t="s">
        <v>579</v>
      </c>
      <c r="L92" s="1355"/>
    </row>
    <row r="93" spans="1:12" s="966" customFormat="1" hidden="1" outlineLevel="1">
      <c r="A93" s="1362" t="s">
        <v>1916</v>
      </c>
      <c r="B93" s="1348" t="s">
        <v>534</v>
      </c>
      <c r="C93" s="1358" t="s">
        <v>529</v>
      </c>
      <c r="D93" s="1350" t="s">
        <v>517</v>
      </c>
      <c r="E93" s="1352" t="s">
        <v>1921</v>
      </c>
      <c r="F93" s="1353"/>
      <c r="G93" s="1353">
        <v>360.15</v>
      </c>
      <c r="H93" s="1353"/>
      <c r="I93" s="1353"/>
      <c r="J93" s="1356"/>
      <c r="K93" s="1356" t="s">
        <v>579</v>
      </c>
      <c r="L93" s="1355"/>
    </row>
    <row r="94" spans="1:12" s="966" customFormat="1" hidden="1" outlineLevel="1">
      <c r="A94" s="1349" t="s">
        <v>1916</v>
      </c>
      <c r="B94" s="1348" t="s">
        <v>534</v>
      </c>
      <c r="C94" s="1358" t="s">
        <v>529</v>
      </c>
      <c r="D94" s="1350"/>
      <c r="E94" s="1352" t="s">
        <v>553</v>
      </c>
      <c r="F94" s="1353"/>
      <c r="G94" s="1353">
        <v>0.3</v>
      </c>
      <c r="H94" s="1353"/>
      <c r="I94" s="1353"/>
      <c r="J94" s="1356"/>
      <c r="K94" s="1356" t="s">
        <v>579</v>
      </c>
      <c r="L94" s="1355"/>
    </row>
    <row r="95" spans="1:12" s="966" customFormat="1" hidden="1" outlineLevel="1">
      <c r="A95" s="1349" t="s">
        <v>1922</v>
      </c>
      <c r="B95" s="1348" t="s">
        <v>534</v>
      </c>
      <c r="C95" s="1358" t="s">
        <v>529</v>
      </c>
      <c r="D95" s="1350" t="s">
        <v>1923</v>
      </c>
      <c r="E95" s="1352" t="s">
        <v>1924</v>
      </c>
      <c r="F95" s="1353"/>
      <c r="G95" s="1353">
        <v>2016</v>
      </c>
      <c r="H95" s="1353"/>
      <c r="I95" s="1353"/>
      <c r="J95" s="1356"/>
      <c r="K95" s="1356" t="s">
        <v>579</v>
      </c>
      <c r="L95" s="1364"/>
    </row>
    <row r="96" spans="1:12" s="966" customFormat="1" hidden="1" outlineLevel="1">
      <c r="A96" s="1349" t="s">
        <v>1922</v>
      </c>
      <c r="B96" s="1348" t="s">
        <v>534</v>
      </c>
      <c r="C96" s="1358" t="s">
        <v>529</v>
      </c>
      <c r="D96" s="1350" t="s">
        <v>1925</v>
      </c>
      <c r="E96" s="1352" t="s">
        <v>1924</v>
      </c>
      <c r="F96" s="1353"/>
      <c r="G96" s="1353">
        <v>177.6</v>
      </c>
      <c r="H96" s="1353"/>
      <c r="I96" s="1353"/>
      <c r="J96" s="1356"/>
      <c r="K96" s="1356" t="s">
        <v>579</v>
      </c>
      <c r="L96" s="1355"/>
    </row>
    <row r="97" spans="1:17" s="966" customFormat="1" hidden="1" outlineLevel="1">
      <c r="A97" s="1349" t="s">
        <v>1922</v>
      </c>
      <c r="B97" s="1348" t="s">
        <v>534</v>
      </c>
      <c r="C97" s="1358" t="s">
        <v>529</v>
      </c>
      <c r="D97" s="1350" t="s">
        <v>1925</v>
      </c>
      <c r="E97" s="1352" t="s">
        <v>1926</v>
      </c>
      <c r="F97" s="1353"/>
      <c r="G97" s="1353">
        <v>31.6</v>
      </c>
      <c r="H97" s="1353"/>
      <c r="I97" s="1353"/>
      <c r="J97" s="1356"/>
      <c r="K97" s="1356" t="s">
        <v>579</v>
      </c>
      <c r="L97" s="1364"/>
    </row>
    <row r="98" spans="1:17" s="966" customFormat="1" hidden="1" outlineLevel="1">
      <c r="A98" s="1349" t="s">
        <v>1922</v>
      </c>
      <c r="B98" s="1348" t="s">
        <v>534</v>
      </c>
      <c r="C98" s="1358" t="s">
        <v>529</v>
      </c>
      <c r="D98" s="1350" t="s">
        <v>1927</v>
      </c>
      <c r="E98" s="1352" t="s">
        <v>1928</v>
      </c>
      <c r="F98" s="1353"/>
      <c r="G98" s="1353">
        <v>993.73</v>
      </c>
      <c r="H98" s="1353"/>
      <c r="I98" s="1353"/>
      <c r="J98" s="1356"/>
      <c r="K98" s="1356" t="s">
        <v>579</v>
      </c>
      <c r="L98" s="1355"/>
    </row>
    <row r="99" spans="1:17" s="966" customFormat="1" hidden="1" outlineLevel="1">
      <c r="A99" s="1349" t="s">
        <v>1922</v>
      </c>
      <c r="B99" s="1348" t="s">
        <v>534</v>
      </c>
      <c r="C99" s="1358" t="s">
        <v>529</v>
      </c>
      <c r="D99" s="1350" t="s">
        <v>1929</v>
      </c>
      <c r="E99" s="1352" t="s">
        <v>1930</v>
      </c>
      <c r="F99" s="1353"/>
      <c r="G99" s="1353">
        <v>157.84</v>
      </c>
      <c r="H99" s="1353"/>
      <c r="I99" s="1353"/>
      <c r="J99" s="1356"/>
      <c r="K99" s="1356" t="s">
        <v>579</v>
      </c>
      <c r="L99" s="1364"/>
    </row>
    <row r="100" spans="1:17" s="966" customFormat="1" hidden="1" outlineLevel="1">
      <c r="A100" s="1349" t="s">
        <v>1922</v>
      </c>
      <c r="B100" s="1350" t="s">
        <v>534</v>
      </c>
      <c r="C100" s="1351" t="s">
        <v>529</v>
      </c>
      <c r="D100" s="1350" t="s">
        <v>547</v>
      </c>
      <c r="E100" s="1352" t="s">
        <v>1902</v>
      </c>
      <c r="F100" s="1353"/>
      <c r="G100" s="1353">
        <v>2150</v>
      </c>
      <c r="H100" s="1353"/>
      <c r="I100" s="1353"/>
      <c r="J100" s="1356"/>
      <c r="K100" s="1356" t="s">
        <v>579</v>
      </c>
      <c r="L100" s="1355"/>
    </row>
    <row r="101" spans="1:17" s="966" customFormat="1" hidden="1" outlineLevel="1">
      <c r="A101" s="1349" t="s">
        <v>1922</v>
      </c>
      <c r="B101" s="1350" t="s">
        <v>534</v>
      </c>
      <c r="C101" s="1351" t="s">
        <v>529</v>
      </c>
      <c r="D101" s="1350" t="s">
        <v>547</v>
      </c>
      <c r="E101" s="1352" t="s">
        <v>1931</v>
      </c>
      <c r="F101" s="1353"/>
      <c r="G101" s="1353">
        <v>4000</v>
      </c>
      <c r="H101" s="1353"/>
      <c r="I101" s="1353"/>
      <c r="J101" s="1356"/>
      <c r="K101" s="1356" t="s">
        <v>579</v>
      </c>
      <c r="L101" s="1355"/>
      <c r="M101" s="1365"/>
      <c r="Q101" s="966" t="s">
        <v>1932</v>
      </c>
    </row>
    <row r="102" spans="1:17" s="966" customFormat="1" hidden="1" outlineLevel="1">
      <c r="A102" s="1349" t="s">
        <v>1933</v>
      </c>
      <c r="B102" s="1350" t="s">
        <v>534</v>
      </c>
      <c r="C102" s="1351" t="s">
        <v>529</v>
      </c>
      <c r="D102" s="1350" t="s">
        <v>1934</v>
      </c>
      <c r="E102" s="1352" t="s">
        <v>1935</v>
      </c>
      <c r="F102" s="1353"/>
      <c r="G102" s="1353">
        <v>279.83999999999997</v>
      </c>
      <c r="H102" s="1353"/>
      <c r="I102" s="1353"/>
      <c r="J102" s="1354"/>
      <c r="K102" s="1354" t="s">
        <v>579</v>
      </c>
      <c r="L102" s="1355"/>
    </row>
    <row r="103" spans="1:17" s="966" customFormat="1" hidden="1" outlineLevel="1">
      <c r="A103" s="1349" t="s">
        <v>1936</v>
      </c>
      <c r="B103" s="1350" t="s">
        <v>534</v>
      </c>
      <c r="C103" s="1351" t="s">
        <v>529</v>
      </c>
      <c r="D103" s="1350" t="s">
        <v>1909</v>
      </c>
      <c r="E103" s="1352" t="s">
        <v>1937</v>
      </c>
      <c r="F103" s="1353">
        <v>6660</v>
      </c>
      <c r="G103" s="1353"/>
      <c r="H103" s="1353"/>
      <c r="I103" s="1353"/>
      <c r="J103" s="1354"/>
      <c r="K103" s="1354" t="s">
        <v>556</v>
      </c>
      <c r="L103" s="1366"/>
      <c r="M103" s="1367"/>
      <c r="N103" s="1367"/>
      <c r="O103" s="1367"/>
    </row>
    <row r="104" spans="1:17" s="966" customFormat="1" hidden="1" outlineLevel="1">
      <c r="A104" s="1368" t="s">
        <v>1936</v>
      </c>
      <c r="B104" s="1350" t="s">
        <v>534</v>
      </c>
      <c r="C104" s="1351" t="s">
        <v>529</v>
      </c>
      <c r="D104" s="1350" t="s">
        <v>1909</v>
      </c>
      <c r="E104" s="1352" t="s">
        <v>1938</v>
      </c>
      <c r="F104" s="1353"/>
      <c r="G104" s="1353">
        <v>6660</v>
      </c>
      <c r="H104" s="1353"/>
      <c r="I104" s="1353"/>
      <c r="J104" s="1354"/>
      <c r="K104" s="1354" t="s">
        <v>556</v>
      </c>
      <c r="L104" s="1366"/>
      <c r="M104" s="1367"/>
      <c r="N104" s="1367"/>
      <c r="O104" s="1367"/>
    </row>
    <row r="105" spans="1:17" s="966" customFormat="1" hidden="1" outlineLevel="1">
      <c r="A105" s="1368" t="s">
        <v>1936</v>
      </c>
      <c r="B105" s="1350" t="s">
        <v>534</v>
      </c>
      <c r="C105" s="1351" t="s">
        <v>529</v>
      </c>
      <c r="D105" s="1350" t="s">
        <v>547</v>
      </c>
      <c r="E105" s="1352" t="s">
        <v>1939</v>
      </c>
      <c r="F105" s="1353">
        <v>6682.85</v>
      </c>
      <c r="G105" s="1353"/>
      <c r="H105" s="1353"/>
      <c r="I105" s="1353"/>
      <c r="J105" s="1354"/>
      <c r="K105" s="1354" t="s">
        <v>579</v>
      </c>
      <c r="L105" s="1366"/>
      <c r="M105" s="1367"/>
      <c r="N105" s="1367"/>
      <c r="O105" s="1367"/>
    </row>
    <row r="106" spans="1:17" s="966" customFormat="1" hidden="1" outlineLevel="1">
      <c r="A106" s="1368" t="s">
        <v>1936</v>
      </c>
      <c r="B106" s="1350" t="s">
        <v>534</v>
      </c>
      <c r="C106" s="1351" t="s">
        <v>529</v>
      </c>
      <c r="D106" s="1350" t="s">
        <v>547</v>
      </c>
      <c r="E106" s="1352" t="s">
        <v>1940</v>
      </c>
      <c r="F106" s="1353">
        <v>317.14999999999998</v>
      </c>
      <c r="G106" s="1353"/>
      <c r="H106" s="1353"/>
      <c r="I106" s="1353"/>
      <c r="J106" s="1354"/>
      <c r="K106" s="1354" t="s">
        <v>556</v>
      </c>
      <c r="L106" s="1366"/>
      <c r="M106" s="1367"/>
      <c r="N106" s="1367"/>
      <c r="O106" s="1367"/>
    </row>
    <row r="107" spans="1:17" s="966" customFormat="1" hidden="1" outlineLevel="1">
      <c r="A107" s="1349" t="s">
        <v>1936</v>
      </c>
      <c r="B107" s="1350" t="s">
        <v>534</v>
      </c>
      <c r="C107" s="1351" t="s">
        <v>529</v>
      </c>
      <c r="D107" s="1350" t="s">
        <v>547</v>
      </c>
      <c r="E107" s="1352" t="s">
        <v>1941</v>
      </c>
      <c r="F107" s="1353"/>
      <c r="G107" s="1353">
        <v>317.14999999999998</v>
      </c>
      <c r="H107" s="1353"/>
      <c r="I107" s="1353"/>
      <c r="J107" s="1354"/>
      <c r="K107" s="1354" t="s">
        <v>556</v>
      </c>
      <c r="L107" s="1355"/>
    </row>
    <row r="108" spans="1:17" s="966" customFormat="1" hidden="1" outlineLevel="1">
      <c r="A108" s="1349" t="s">
        <v>1899</v>
      </c>
      <c r="B108" s="1350" t="s">
        <v>534</v>
      </c>
      <c r="C108" s="1351" t="s">
        <v>529</v>
      </c>
      <c r="D108" s="1350" t="s">
        <v>547</v>
      </c>
      <c r="E108" s="1352" t="s">
        <v>1900</v>
      </c>
      <c r="F108" s="1353"/>
      <c r="G108" s="1353">
        <v>2500</v>
      </c>
      <c r="H108" s="1353"/>
      <c r="I108" s="1353"/>
      <c r="J108" s="1354"/>
      <c r="K108" s="1354" t="s">
        <v>579</v>
      </c>
      <c r="L108" s="1355"/>
    </row>
    <row r="109" spans="1:17" s="966" customFormat="1" hidden="1" outlineLevel="1">
      <c r="A109" s="1349" t="s">
        <v>1901</v>
      </c>
      <c r="B109" s="1350" t="s">
        <v>534</v>
      </c>
      <c r="C109" s="1351" t="s">
        <v>529</v>
      </c>
      <c r="D109" s="1350" t="s">
        <v>547</v>
      </c>
      <c r="E109" s="1352" t="s">
        <v>1902</v>
      </c>
      <c r="F109" s="1353"/>
      <c r="G109" s="1353">
        <v>326</v>
      </c>
      <c r="H109" s="1353"/>
      <c r="I109" s="1353"/>
      <c r="J109" s="1354"/>
      <c r="K109" s="1354" t="s">
        <v>579</v>
      </c>
      <c r="L109" s="1355"/>
    </row>
    <row r="110" spans="1:17" s="966" customFormat="1" hidden="1" outlineLevel="1">
      <c r="A110" s="1349" t="s">
        <v>1903</v>
      </c>
      <c r="B110" s="1350" t="s">
        <v>534</v>
      </c>
      <c r="C110" s="1351" t="s">
        <v>529</v>
      </c>
      <c r="D110" s="1350" t="s">
        <v>517</v>
      </c>
      <c r="E110" s="1352" t="s">
        <v>1904</v>
      </c>
      <c r="F110" s="1353"/>
      <c r="G110" s="1353">
        <v>856</v>
      </c>
      <c r="H110" s="1353"/>
      <c r="I110" s="1353"/>
      <c r="J110" s="1354"/>
      <c r="K110" s="1354" t="s">
        <v>579</v>
      </c>
      <c r="L110" s="1355"/>
    </row>
    <row r="111" spans="1:17" s="966" customFormat="1" hidden="1" outlineLevel="1">
      <c r="A111" s="1349" t="s">
        <v>1903</v>
      </c>
      <c r="B111" s="1350" t="s">
        <v>534</v>
      </c>
      <c r="C111" s="1351" t="s">
        <v>529</v>
      </c>
      <c r="D111" s="1350" t="s">
        <v>517</v>
      </c>
      <c r="E111" s="1352" t="s">
        <v>553</v>
      </c>
      <c r="F111" s="1353"/>
      <c r="G111" s="1353">
        <v>0.1</v>
      </c>
      <c r="H111" s="1353"/>
      <c r="I111" s="1353"/>
      <c r="J111" s="1354"/>
      <c r="K111" s="1354" t="s">
        <v>579</v>
      </c>
      <c r="L111" s="1355"/>
    </row>
    <row r="112" spans="1:17" s="426" customFormat="1" ht="16.5" collapsed="1" thickBot="1">
      <c r="A112" s="1376" t="s">
        <v>1601</v>
      </c>
      <c r="B112" s="1377"/>
      <c r="C112" s="1378" t="s">
        <v>545</v>
      </c>
      <c r="D112" s="1377"/>
      <c r="E112" s="1376" t="s">
        <v>1602</v>
      </c>
      <c r="F112" s="1385">
        <f>SUM(F76:F111)</f>
        <v>56296.89</v>
      </c>
      <c r="G112" s="1384">
        <f>SUM(G77:G111)</f>
        <v>53249.249999999993</v>
      </c>
      <c r="H112" s="1379"/>
      <c r="I112" s="1380"/>
      <c r="J112" s="1379">
        <f>G112*G3</f>
        <v>308845649.99999994</v>
      </c>
      <c r="K112" s="1379"/>
    </row>
    <row r="113" spans="1:17" s="966" customFormat="1" ht="16.5" thickBot="1">
      <c r="A113" s="1931" t="s">
        <v>526</v>
      </c>
      <c r="B113" s="1932"/>
      <c r="C113" s="1932"/>
      <c r="D113" s="1932"/>
      <c r="E113" s="1933"/>
      <c r="F113" s="1381">
        <f>F112-G112</f>
        <v>3047.6400000000067</v>
      </c>
      <c r="G113" s="1381"/>
      <c r="H113" s="1381">
        <f>F113*5800</f>
        <v>17676312.000000037</v>
      </c>
      <c r="I113" s="1381">
        <f>F113*G3</f>
        <v>17676312.000000037</v>
      </c>
      <c r="J113" s="1382">
        <f>G113*G3</f>
        <v>0</v>
      </c>
      <c r="K113" s="1383"/>
      <c r="L113" s="1355"/>
    </row>
    <row r="114" spans="1:17" s="1389" customFormat="1" hidden="1" outlineLevel="1">
      <c r="A114" s="1492" t="s">
        <v>1943</v>
      </c>
      <c r="B114" s="1386" t="s">
        <v>534</v>
      </c>
      <c r="C114" s="1387" t="s">
        <v>529</v>
      </c>
      <c r="D114" s="1386" t="s">
        <v>1914</v>
      </c>
      <c r="E114" s="1493" t="s">
        <v>1915</v>
      </c>
      <c r="F114" s="1494"/>
      <c r="G114" s="1494">
        <v>2800</v>
      </c>
      <c r="H114" s="1494"/>
      <c r="I114" s="1494"/>
      <c r="K114" s="1495" t="s">
        <v>579</v>
      </c>
      <c r="L114" s="1566"/>
    </row>
    <row r="115" spans="1:17" s="966" customFormat="1" hidden="1" outlineLevel="1">
      <c r="A115" s="1362" t="s">
        <v>2008</v>
      </c>
      <c r="B115" s="1357" t="s">
        <v>534</v>
      </c>
      <c r="C115" s="1520" t="s">
        <v>529</v>
      </c>
      <c r="D115" s="1350" t="s">
        <v>517</v>
      </c>
      <c r="E115" s="1352" t="s">
        <v>2009</v>
      </c>
      <c r="F115" s="1514">
        <v>33330</v>
      </c>
      <c r="G115" s="1514"/>
      <c r="H115" s="1514"/>
      <c r="I115" s="1514"/>
      <c r="K115" s="1516" t="s">
        <v>579</v>
      </c>
      <c r="L115" s="1567"/>
    </row>
    <row r="116" spans="1:17" s="966" customFormat="1" hidden="1" outlineLevel="1">
      <c r="A116" s="1362" t="s">
        <v>2008</v>
      </c>
      <c r="B116" s="1357" t="s">
        <v>534</v>
      </c>
      <c r="C116" s="1520" t="s">
        <v>529</v>
      </c>
      <c r="D116" s="1348" t="s">
        <v>1909</v>
      </c>
      <c r="E116" s="1352" t="s">
        <v>2010</v>
      </c>
      <c r="F116" s="1519"/>
      <c r="G116" s="1514">
        <v>4000</v>
      </c>
      <c r="H116" s="1514"/>
      <c r="I116" s="1514"/>
      <c r="K116" s="1516" t="s">
        <v>579</v>
      </c>
      <c r="L116" s="1567"/>
    </row>
    <row r="117" spans="1:17" s="966" customFormat="1" hidden="1" outlineLevel="1">
      <c r="A117" s="1543" t="s">
        <v>2008</v>
      </c>
      <c r="B117" s="1544" t="s">
        <v>534</v>
      </c>
      <c r="C117" s="1545" t="s">
        <v>529</v>
      </c>
      <c r="D117" s="1544" t="s">
        <v>517</v>
      </c>
      <c r="E117" s="1546" t="s">
        <v>2011</v>
      </c>
      <c r="F117" s="1547"/>
      <c r="G117" s="1548">
        <v>200</v>
      </c>
      <c r="H117" s="1548"/>
      <c r="I117" s="1548"/>
      <c r="J117" s="1601"/>
      <c r="K117" s="1549" t="s">
        <v>579</v>
      </c>
      <c r="L117" s="1568" t="s">
        <v>2035</v>
      </c>
    </row>
    <row r="118" spans="1:17" s="966" customFormat="1" hidden="1" outlineLevel="1">
      <c r="A118" s="1362" t="s">
        <v>2008</v>
      </c>
      <c r="B118" s="1357" t="s">
        <v>534</v>
      </c>
      <c r="C118" s="1520" t="s">
        <v>529</v>
      </c>
      <c r="D118" s="1350" t="s">
        <v>1909</v>
      </c>
      <c r="E118" s="1360" t="s">
        <v>2012</v>
      </c>
      <c r="F118" s="1514"/>
      <c r="G118" s="1514">
        <v>200</v>
      </c>
      <c r="H118" s="1514"/>
      <c r="I118" s="1514"/>
      <c r="K118" s="1516" t="s">
        <v>556</v>
      </c>
      <c r="L118" s="1569"/>
    </row>
    <row r="119" spans="1:17" s="966" customFormat="1" hidden="1" outlineLevel="1">
      <c r="A119" s="1362" t="s">
        <v>2008</v>
      </c>
      <c r="B119" s="1357" t="s">
        <v>534</v>
      </c>
      <c r="C119" s="1520" t="s">
        <v>529</v>
      </c>
      <c r="D119" s="1350" t="s">
        <v>547</v>
      </c>
      <c r="E119" s="1352" t="s">
        <v>2013</v>
      </c>
      <c r="F119" s="1514"/>
      <c r="G119" s="1515">
        <v>5202.45</v>
      </c>
      <c r="H119" s="1514"/>
      <c r="I119" s="1514"/>
      <c r="K119" s="1516" t="s">
        <v>579</v>
      </c>
      <c r="L119" s="1567"/>
    </row>
    <row r="120" spans="1:17" s="966" customFormat="1" hidden="1" outlineLevel="1">
      <c r="A120" s="1362" t="s">
        <v>2008</v>
      </c>
      <c r="B120" s="1357" t="s">
        <v>534</v>
      </c>
      <c r="C120" s="1520" t="s">
        <v>529</v>
      </c>
      <c r="D120" s="1350" t="s">
        <v>517</v>
      </c>
      <c r="E120" s="1352" t="s">
        <v>2013</v>
      </c>
      <c r="F120" s="1514"/>
      <c r="G120" s="1515">
        <v>4710.3500000000004</v>
      </c>
      <c r="H120" s="1514"/>
      <c r="I120" s="1514"/>
      <c r="K120" s="1516" t="s">
        <v>579</v>
      </c>
      <c r="L120" s="1567"/>
    </row>
    <row r="121" spans="1:17" s="966" customFormat="1" hidden="1" outlineLevel="1">
      <c r="A121" s="1362" t="s">
        <v>2008</v>
      </c>
      <c r="B121" s="1357" t="s">
        <v>534</v>
      </c>
      <c r="C121" s="1520" t="s">
        <v>529</v>
      </c>
      <c r="D121" s="1350" t="s">
        <v>2014</v>
      </c>
      <c r="E121" s="1352" t="s">
        <v>2015</v>
      </c>
      <c r="F121" s="1514"/>
      <c r="G121" s="1515">
        <v>400</v>
      </c>
      <c r="H121" s="1514"/>
      <c r="I121" s="1514"/>
      <c r="K121" s="1516" t="s">
        <v>579</v>
      </c>
      <c r="L121" s="1567"/>
    </row>
    <row r="122" spans="1:17" s="966" customFormat="1" hidden="1" outlineLevel="1">
      <c r="A122" s="1362" t="s">
        <v>2008</v>
      </c>
      <c r="B122" s="1357" t="s">
        <v>534</v>
      </c>
      <c r="C122" s="1520" t="s">
        <v>529</v>
      </c>
      <c r="D122" s="1350" t="s">
        <v>1917</v>
      </c>
      <c r="E122" s="1352" t="s">
        <v>538</v>
      </c>
      <c r="F122" s="1514"/>
      <c r="G122" s="1515">
        <v>3000</v>
      </c>
      <c r="H122" s="1514"/>
      <c r="I122" s="1514"/>
      <c r="K122" s="1516" t="s">
        <v>579</v>
      </c>
      <c r="L122" s="1567"/>
    </row>
    <row r="123" spans="1:17" s="966" customFormat="1" hidden="1" outlineLevel="1">
      <c r="A123" s="1362" t="s">
        <v>2008</v>
      </c>
      <c r="B123" s="1357" t="s">
        <v>534</v>
      </c>
      <c r="C123" s="1520" t="s">
        <v>529</v>
      </c>
      <c r="D123" s="1350" t="s">
        <v>1917</v>
      </c>
      <c r="E123" s="1352" t="s">
        <v>1919</v>
      </c>
      <c r="F123" s="1514"/>
      <c r="G123" s="1515">
        <v>525.41999999999996</v>
      </c>
      <c r="H123" s="1517"/>
      <c r="I123" s="1517"/>
      <c r="K123" s="1516" t="s">
        <v>579</v>
      </c>
      <c r="L123" s="1567"/>
    </row>
    <row r="124" spans="1:17" s="966" customFormat="1" hidden="1" outlineLevel="1">
      <c r="A124" s="1362" t="s">
        <v>2008</v>
      </c>
      <c r="B124" s="1357" t="s">
        <v>534</v>
      </c>
      <c r="C124" s="1520" t="s">
        <v>529</v>
      </c>
      <c r="D124" s="1350" t="s">
        <v>1917</v>
      </c>
      <c r="E124" s="1360" t="s">
        <v>2016</v>
      </c>
      <c r="F124" s="1517"/>
      <c r="G124" s="1518">
        <v>0.3</v>
      </c>
      <c r="H124" s="1514"/>
      <c r="I124" s="1514"/>
      <c r="K124" s="1516" t="s">
        <v>579</v>
      </c>
      <c r="L124" s="1567"/>
    </row>
    <row r="125" spans="1:17" s="966" customFormat="1" hidden="1" outlineLevel="1">
      <c r="A125" s="1362" t="s">
        <v>2032</v>
      </c>
      <c r="B125" s="1357" t="s">
        <v>534</v>
      </c>
      <c r="C125" s="1520" t="s">
        <v>529</v>
      </c>
      <c r="D125" s="1350" t="s">
        <v>547</v>
      </c>
      <c r="E125" s="1352" t="s">
        <v>2033</v>
      </c>
      <c r="F125" s="1541"/>
      <c r="G125" s="1541">
        <v>4231.87</v>
      </c>
      <c r="H125" s="1541"/>
      <c r="I125" s="1541"/>
      <c r="K125" s="1542" t="s">
        <v>579</v>
      </c>
      <c r="L125" s="1570"/>
    </row>
    <row r="126" spans="1:17" s="966" customFormat="1" hidden="1" outlineLevel="1">
      <c r="A126" s="1362" t="s">
        <v>2032</v>
      </c>
      <c r="B126" s="1357" t="s">
        <v>534</v>
      </c>
      <c r="C126" s="1520" t="s">
        <v>529</v>
      </c>
      <c r="D126" s="1350" t="s">
        <v>517</v>
      </c>
      <c r="E126" s="1352" t="s">
        <v>2034</v>
      </c>
      <c r="F126" s="1541"/>
      <c r="G126" s="1541">
        <v>170.9</v>
      </c>
      <c r="H126" s="1541"/>
      <c r="I126" s="1541"/>
      <c r="K126" s="1542" t="s">
        <v>556</v>
      </c>
      <c r="L126" s="1570"/>
      <c r="M126" s="1365"/>
      <c r="Q126" s="966" t="s">
        <v>1932</v>
      </c>
    </row>
    <row r="127" spans="1:17" s="966" customFormat="1" hidden="1" outlineLevel="1">
      <c r="A127" s="1362" t="s">
        <v>2036</v>
      </c>
      <c r="B127" s="1357" t="s">
        <v>534</v>
      </c>
      <c r="C127" s="1520" t="s">
        <v>529</v>
      </c>
      <c r="D127" s="1350" t="s">
        <v>1923</v>
      </c>
      <c r="E127" s="1352" t="s">
        <v>2037</v>
      </c>
      <c r="F127" s="1541"/>
      <c r="G127" s="1541">
        <v>2016</v>
      </c>
      <c r="H127" s="1541"/>
      <c r="I127" s="1541"/>
      <c r="K127" s="1551" t="s">
        <v>579</v>
      </c>
      <c r="L127" s="1571"/>
    </row>
    <row r="128" spans="1:17" s="966" customFormat="1" hidden="1" outlineLevel="1">
      <c r="A128" s="1362" t="s">
        <v>2036</v>
      </c>
      <c r="B128" s="1357" t="s">
        <v>534</v>
      </c>
      <c r="C128" s="1520" t="s">
        <v>529</v>
      </c>
      <c r="D128" s="1350" t="s">
        <v>1925</v>
      </c>
      <c r="E128" s="1352" t="s">
        <v>2037</v>
      </c>
      <c r="F128" s="1541"/>
      <c r="G128" s="1541">
        <v>177.6</v>
      </c>
      <c r="H128" s="1541"/>
      <c r="I128" s="1541"/>
      <c r="K128" s="1551" t="s">
        <v>579</v>
      </c>
      <c r="L128" s="1572"/>
      <c r="M128" s="1367"/>
      <c r="N128" s="1367"/>
      <c r="O128" s="1367"/>
    </row>
    <row r="129" spans="1:15" s="966" customFormat="1" hidden="1" outlineLevel="1">
      <c r="A129" s="1362" t="s">
        <v>2036</v>
      </c>
      <c r="B129" s="1357" t="s">
        <v>534</v>
      </c>
      <c r="C129" s="1520" t="s">
        <v>529</v>
      </c>
      <c r="D129" s="1350" t="s">
        <v>1925</v>
      </c>
      <c r="E129" s="1352" t="s">
        <v>2038</v>
      </c>
      <c r="F129" s="1541"/>
      <c r="G129" s="1541">
        <v>31.6</v>
      </c>
      <c r="H129" s="1541"/>
      <c r="I129" s="1541"/>
      <c r="K129" s="1551" t="s">
        <v>579</v>
      </c>
      <c r="L129" s="1573"/>
      <c r="M129" s="1367"/>
      <c r="N129" s="1367"/>
      <c r="O129" s="1367"/>
    </row>
    <row r="130" spans="1:15" s="966" customFormat="1" hidden="1" outlineLevel="1">
      <c r="A130" s="1362" t="s">
        <v>2036</v>
      </c>
      <c r="B130" s="1350" t="s">
        <v>534</v>
      </c>
      <c r="C130" s="1351" t="s">
        <v>529</v>
      </c>
      <c r="D130" s="1350" t="s">
        <v>2039</v>
      </c>
      <c r="E130" s="1352" t="s">
        <v>2040</v>
      </c>
      <c r="F130" s="1541"/>
      <c r="G130" s="1541">
        <v>460</v>
      </c>
      <c r="H130" s="1541"/>
      <c r="I130" s="1541"/>
      <c r="K130" s="1551" t="s">
        <v>579</v>
      </c>
      <c r="L130" s="1573"/>
      <c r="M130" s="1367"/>
      <c r="N130" s="1367"/>
      <c r="O130" s="1367"/>
    </row>
    <row r="131" spans="1:15" s="966" customFormat="1" hidden="1" outlineLevel="1">
      <c r="A131" s="1362" t="s">
        <v>2036</v>
      </c>
      <c r="B131" s="1350" t="s">
        <v>534</v>
      </c>
      <c r="C131" s="1351" t="s">
        <v>529</v>
      </c>
      <c r="D131" s="1552" t="s">
        <v>2041</v>
      </c>
      <c r="E131" s="1352" t="s">
        <v>2042</v>
      </c>
      <c r="F131" s="1541"/>
      <c r="G131" s="1541">
        <v>58.3</v>
      </c>
      <c r="H131" s="1541"/>
      <c r="I131" s="1541"/>
      <c r="K131" s="1551" t="s">
        <v>556</v>
      </c>
      <c r="L131" s="1573"/>
      <c r="M131" s="1367"/>
      <c r="N131" s="1367"/>
      <c r="O131" s="1367"/>
    </row>
    <row r="132" spans="1:15" s="966" customFormat="1" hidden="1" outlineLevel="1">
      <c r="A132" s="1362" t="s">
        <v>2054</v>
      </c>
      <c r="B132" s="1350" t="s">
        <v>534</v>
      </c>
      <c r="C132" s="1351" t="s">
        <v>529</v>
      </c>
      <c r="D132" s="1552" t="s">
        <v>2041</v>
      </c>
      <c r="E132" s="1352" t="s">
        <v>2055</v>
      </c>
      <c r="F132" s="1541"/>
      <c r="G132" s="1541">
        <v>56</v>
      </c>
      <c r="H132" s="1541"/>
      <c r="I132" s="1541"/>
      <c r="K132" s="1551" t="s">
        <v>556</v>
      </c>
      <c r="L132" s="1572"/>
    </row>
    <row r="133" spans="1:15" s="966" customFormat="1" hidden="1" outlineLevel="1">
      <c r="A133" s="1349" t="s">
        <v>2054</v>
      </c>
      <c r="B133" s="1350" t="s">
        <v>534</v>
      </c>
      <c r="C133" s="1351" t="s">
        <v>529</v>
      </c>
      <c r="D133" s="1350" t="s">
        <v>2056</v>
      </c>
      <c r="E133" s="1352" t="s">
        <v>2057</v>
      </c>
      <c r="F133" s="1541"/>
      <c r="G133" s="1541">
        <v>100</v>
      </c>
      <c r="H133" s="1541"/>
      <c r="I133" s="1541"/>
      <c r="K133" s="1551" t="s">
        <v>579</v>
      </c>
      <c r="L133" s="1574"/>
    </row>
    <row r="134" spans="1:15" s="966" customFormat="1" hidden="1" outlineLevel="1">
      <c r="A134" s="1362" t="s">
        <v>2073</v>
      </c>
      <c r="B134" s="1350" t="s">
        <v>534</v>
      </c>
      <c r="C134" s="1351" t="s">
        <v>529</v>
      </c>
      <c r="D134" s="1350" t="s">
        <v>2074</v>
      </c>
      <c r="E134" s="1352" t="s">
        <v>1670</v>
      </c>
      <c r="F134" s="1541"/>
      <c r="G134" s="1541">
        <v>122.64</v>
      </c>
      <c r="H134" s="1541"/>
      <c r="I134" s="1541"/>
      <c r="K134" s="1551" t="s">
        <v>579</v>
      </c>
      <c r="L134" s="1599"/>
    </row>
    <row r="135" spans="1:15" s="966" customFormat="1" hidden="1" outlineLevel="1">
      <c r="A135" s="1362" t="s">
        <v>2073</v>
      </c>
      <c r="B135" s="1350" t="s">
        <v>534</v>
      </c>
      <c r="C135" s="1351" t="s">
        <v>529</v>
      </c>
      <c r="D135" s="1350" t="s">
        <v>2075</v>
      </c>
      <c r="E135" s="1352" t="s">
        <v>2076</v>
      </c>
      <c r="F135" s="1541"/>
      <c r="G135" s="1541">
        <v>127.2</v>
      </c>
      <c r="H135" s="1541"/>
      <c r="I135" s="1541"/>
      <c r="K135" s="1551" t="s">
        <v>579</v>
      </c>
      <c r="L135" s="1599"/>
    </row>
    <row r="136" spans="1:15" s="966" customFormat="1" hidden="1" outlineLevel="1">
      <c r="A136" s="1362" t="s">
        <v>2073</v>
      </c>
      <c r="B136" s="1350" t="s">
        <v>534</v>
      </c>
      <c r="C136" s="1351" t="s">
        <v>529</v>
      </c>
      <c r="D136" s="1350" t="s">
        <v>1934</v>
      </c>
      <c r="E136" s="1352" t="s">
        <v>2077</v>
      </c>
      <c r="F136" s="1541"/>
      <c r="G136" s="1541">
        <v>279.85000000000002</v>
      </c>
      <c r="H136" s="1541"/>
      <c r="I136" s="1541"/>
      <c r="K136" s="1551" t="s">
        <v>579</v>
      </c>
      <c r="L136" s="1599"/>
    </row>
    <row r="137" spans="1:15" s="966" customFormat="1" hidden="1" outlineLevel="1">
      <c r="A137" s="1362" t="s">
        <v>2073</v>
      </c>
      <c r="B137" s="1350" t="s">
        <v>534</v>
      </c>
      <c r="C137" s="1351" t="s">
        <v>529</v>
      </c>
      <c r="D137" s="1350" t="s">
        <v>2078</v>
      </c>
      <c r="E137" s="1352" t="s">
        <v>2079</v>
      </c>
      <c r="F137" s="1541"/>
      <c r="G137" s="1541">
        <v>3601</v>
      </c>
      <c r="H137" s="1541"/>
      <c r="I137" s="1541"/>
      <c r="K137" s="1551" t="s">
        <v>579</v>
      </c>
      <c r="L137" s="1600"/>
    </row>
    <row r="138" spans="1:15" s="966" customFormat="1" hidden="1" outlineLevel="1">
      <c r="A138" s="1362" t="s">
        <v>2073</v>
      </c>
      <c r="B138" s="1350" t="s">
        <v>534</v>
      </c>
      <c r="C138" s="1351" t="s">
        <v>529</v>
      </c>
      <c r="D138" s="1350" t="s">
        <v>2080</v>
      </c>
      <c r="E138" s="1352" t="s">
        <v>2081</v>
      </c>
      <c r="F138" s="1541"/>
      <c r="G138" s="1541">
        <v>800</v>
      </c>
      <c r="H138" s="1541"/>
      <c r="I138" s="1541"/>
      <c r="K138" s="1551" t="s">
        <v>579</v>
      </c>
      <c r="L138" s="1599"/>
    </row>
    <row r="139" spans="1:15" s="966" customFormat="1" hidden="1" outlineLevel="1">
      <c r="A139" s="1362" t="s">
        <v>2073</v>
      </c>
      <c r="B139" s="1350" t="s">
        <v>534</v>
      </c>
      <c r="C139" s="1351" t="s">
        <v>529</v>
      </c>
      <c r="D139" s="1350" t="s">
        <v>2082</v>
      </c>
      <c r="E139" s="1352" t="s">
        <v>2083</v>
      </c>
      <c r="F139" s="1541"/>
      <c r="G139" s="1541">
        <v>830.54</v>
      </c>
      <c r="H139" s="1541"/>
      <c r="I139" s="1541"/>
      <c r="K139" s="1551" t="s">
        <v>579</v>
      </c>
      <c r="L139" s="1599"/>
    </row>
    <row r="140" spans="1:15" s="966" customFormat="1" hidden="1" outlineLevel="1">
      <c r="A140" s="1349" t="s">
        <v>2073</v>
      </c>
      <c r="B140" s="1350" t="s">
        <v>534</v>
      </c>
      <c r="C140" s="1351" t="s">
        <v>529</v>
      </c>
      <c r="D140" s="1350"/>
      <c r="E140" s="1352" t="s">
        <v>553</v>
      </c>
      <c r="F140" s="1541"/>
      <c r="G140" s="1541">
        <v>0.5</v>
      </c>
      <c r="H140" s="1541"/>
      <c r="I140" s="1541"/>
      <c r="K140" s="1551" t="s">
        <v>579</v>
      </c>
      <c r="L140" s="1599"/>
    </row>
    <row r="141" spans="1:15" s="966" customFormat="1" hidden="1" outlineLevel="1">
      <c r="A141" s="1349" t="s">
        <v>2084</v>
      </c>
      <c r="B141" s="1350" t="s">
        <v>534</v>
      </c>
      <c r="C141" s="1351" t="s">
        <v>529</v>
      </c>
      <c r="D141" s="1552" t="s">
        <v>2041</v>
      </c>
      <c r="E141" s="1352" t="s">
        <v>2085</v>
      </c>
      <c r="F141" s="1541"/>
      <c r="G141" s="1541">
        <f>37+14.4</f>
        <v>51.4</v>
      </c>
      <c r="H141" s="1541"/>
      <c r="I141" s="1541"/>
      <c r="K141" s="1551" t="s">
        <v>556</v>
      </c>
      <c r="L141" s="1599"/>
    </row>
    <row r="142" spans="1:15" s="966" customFormat="1" hidden="1" outlineLevel="1">
      <c r="A142" s="1349" t="s">
        <v>2100</v>
      </c>
      <c r="B142" s="1350" t="s">
        <v>534</v>
      </c>
      <c r="C142" s="1351" t="s">
        <v>529</v>
      </c>
      <c r="D142" s="1350" t="s">
        <v>547</v>
      </c>
      <c r="E142" s="1352" t="s">
        <v>2101</v>
      </c>
      <c r="F142" s="1541"/>
      <c r="G142" s="1541">
        <v>480</v>
      </c>
      <c r="H142" s="1541"/>
      <c r="I142" s="1541"/>
      <c r="J142" s="1551" t="s">
        <v>579</v>
      </c>
      <c r="K142" s="1599"/>
      <c r="L142" s="1355"/>
    </row>
    <row r="143" spans="1:15" s="966" customFormat="1" hidden="1" outlineLevel="1">
      <c r="A143" s="1349" t="s">
        <v>2118</v>
      </c>
      <c r="B143" s="1350" t="s">
        <v>534</v>
      </c>
      <c r="C143" s="1351" t="s">
        <v>529</v>
      </c>
      <c r="D143" s="1350" t="s">
        <v>517</v>
      </c>
      <c r="E143" s="1352" t="s">
        <v>2119</v>
      </c>
      <c r="F143" s="1541"/>
      <c r="G143" s="1541">
        <v>31.35</v>
      </c>
      <c r="H143" s="1541"/>
      <c r="I143" s="1541"/>
      <c r="J143" s="1551" t="s">
        <v>556</v>
      </c>
      <c r="K143" s="1599"/>
      <c r="L143" s="1355"/>
    </row>
    <row r="144" spans="1:15" s="966" customFormat="1" hidden="1" outlineLevel="1">
      <c r="A144" s="1349" t="s">
        <v>2118</v>
      </c>
      <c r="B144" s="1350" t="s">
        <v>534</v>
      </c>
      <c r="C144" s="1351" t="s">
        <v>2120</v>
      </c>
      <c r="D144" s="1350" t="s">
        <v>2121</v>
      </c>
      <c r="E144" s="1352" t="s">
        <v>2122</v>
      </c>
      <c r="F144" s="1541"/>
      <c r="G144" s="1541">
        <v>600</v>
      </c>
      <c r="H144" s="1541"/>
      <c r="I144" s="1541"/>
      <c r="J144" s="1551" t="s">
        <v>579</v>
      </c>
      <c r="K144" s="1599"/>
      <c r="L144" s="1355"/>
    </row>
    <row r="145" spans="1:12" s="966" customFormat="1" hidden="1" outlineLevel="1">
      <c r="A145" s="1561"/>
      <c r="B145" s="1348"/>
      <c r="C145" s="1358"/>
      <c r="D145" s="1562"/>
      <c r="E145" s="1563" t="s">
        <v>553</v>
      </c>
      <c r="F145" s="1564"/>
      <c r="G145" s="1564">
        <v>0.1</v>
      </c>
      <c r="H145" s="1564"/>
      <c r="I145" s="1564"/>
      <c r="J145" s="1565"/>
      <c r="K145" s="1599"/>
      <c r="L145" s="1355"/>
    </row>
    <row r="146" spans="1:12" s="1389" customFormat="1" collapsed="1">
      <c r="A146" s="1496" t="s">
        <v>1717</v>
      </c>
      <c r="B146" s="1497"/>
      <c r="C146" s="1497" t="s">
        <v>545</v>
      </c>
      <c r="D146" s="1497"/>
      <c r="E146" s="1498" t="s">
        <v>1718</v>
      </c>
      <c r="F146" s="1499">
        <f>SUM(F113:F145)</f>
        <v>36377.640000000007</v>
      </c>
      <c r="G146" s="1499">
        <f>SUM(G114:G145)</f>
        <v>35265.369999999995</v>
      </c>
      <c r="H146" s="1499"/>
      <c r="I146" s="1499">
        <f>F146*G3</f>
        <v>210990312.00000003</v>
      </c>
      <c r="J146" s="1500">
        <f>G146*G3</f>
        <v>204539145.99999997</v>
      </c>
      <c r="K146" s="1501"/>
      <c r="L146" s="1388"/>
    </row>
    <row r="147" spans="1:12" s="1389" customFormat="1">
      <c r="A147" s="1521"/>
      <c r="B147" s="1522"/>
      <c r="C147" s="1522"/>
      <c r="D147" s="1522"/>
      <c r="E147" s="1523"/>
      <c r="F147" s="1524">
        <f>F146-G146</f>
        <v>1112.2700000000114</v>
      </c>
      <c r="G147" s="1524"/>
      <c r="H147" s="1524"/>
      <c r="I147" s="1524">
        <f>F147*G3</f>
        <v>6451166.0000000661</v>
      </c>
      <c r="J147" s="1525">
        <f>G147*G3</f>
        <v>0</v>
      </c>
      <c r="K147" s="1383"/>
      <c r="L147" s="1388"/>
    </row>
    <row r="148" spans="1:12" s="966" customFormat="1" outlineLevel="1">
      <c r="A148" s="1770" t="s">
        <v>2210</v>
      </c>
      <c r="B148" s="1771" t="s">
        <v>534</v>
      </c>
      <c r="C148" s="1772" t="s">
        <v>529</v>
      </c>
      <c r="D148" s="1773" t="s">
        <v>2211</v>
      </c>
      <c r="E148" s="1774" t="s">
        <v>188</v>
      </c>
      <c r="F148" s="1775"/>
      <c r="G148" s="1776">
        <v>400.1</v>
      </c>
      <c r="H148" s="1775"/>
      <c r="I148" s="1775"/>
      <c r="J148" s="1776"/>
      <c r="K148" s="1777"/>
      <c r="L148" s="1355"/>
    </row>
    <row r="149" spans="1:12" s="966" customFormat="1" outlineLevel="1">
      <c r="A149" s="1770" t="s">
        <v>2210</v>
      </c>
      <c r="B149" s="1771" t="s">
        <v>534</v>
      </c>
      <c r="C149" s="1772" t="s">
        <v>529</v>
      </c>
      <c r="D149" s="1773" t="s">
        <v>1909</v>
      </c>
      <c r="E149" s="1778" t="s">
        <v>2012</v>
      </c>
      <c r="F149" s="1775"/>
      <c r="G149" s="1775">
        <v>200</v>
      </c>
      <c r="H149" s="1775"/>
      <c r="I149" s="1775"/>
      <c r="J149" s="1776"/>
      <c r="K149" s="1777"/>
      <c r="L149" s="1355"/>
    </row>
    <row r="150" spans="1:12" s="966" customFormat="1" outlineLevel="1">
      <c r="A150" s="1770" t="s">
        <v>2212</v>
      </c>
      <c r="B150" s="1771" t="s">
        <v>534</v>
      </c>
      <c r="C150" s="1772" t="s">
        <v>2213</v>
      </c>
      <c r="D150" s="1771" t="s">
        <v>517</v>
      </c>
      <c r="E150" s="1778" t="s">
        <v>2214</v>
      </c>
      <c r="F150" s="1779"/>
      <c r="G150" s="1775">
        <v>42.5</v>
      </c>
      <c r="H150" s="1775"/>
      <c r="I150" s="1775"/>
      <c r="J150" s="1776"/>
      <c r="K150" s="1777"/>
      <c r="L150" s="1355"/>
    </row>
    <row r="151" spans="1:12" s="966" customFormat="1" outlineLevel="1">
      <c r="A151" s="1827" t="s">
        <v>2236</v>
      </c>
      <c r="B151" s="1828" t="s">
        <v>534</v>
      </c>
      <c r="C151" s="1829" t="s">
        <v>2213</v>
      </c>
      <c r="D151" s="1830" t="s">
        <v>1934</v>
      </c>
      <c r="E151" s="1834" t="s">
        <v>2237</v>
      </c>
      <c r="F151" s="1832"/>
      <c r="G151" s="1832">
        <v>238.95</v>
      </c>
      <c r="H151" s="1832"/>
      <c r="I151" s="1832"/>
      <c r="K151" s="1833" t="s">
        <v>228</v>
      </c>
      <c r="L151" s="1826"/>
    </row>
    <row r="152" spans="1:12" s="966" customFormat="1" outlineLevel="1">
      <c r="A152" s="1827" t="s">
        <v>2236</v>
      </c>
      <c r="B152" s="1828" t="s">
        <v>534</v>
      </c>
      <c r="C152" s="1829" t="s">
        <v>529</v>
      </c>
      <c r="D152" s="1830" t="s">
        <v>2238</v>
      </c>
      <c r="E152" s="1831" t="s">
        <v>556</v>
      </c>
      <c r="F152" s="1832">
        <v>2800</v>
      </c>
      <c r="G152" s="1833"/>
      <c r="H152" s="1832"/>
      <c r="I152" s="1832"/>
      <c r="K152" s="1833" t="s">
        <v>556</v>
      </c>
      <c r="L152" s="1826"/>
    </row>
    <row r="153" spans="1:12" s="966" customFormat="1" outlineLevel="1">
      <c r="A153" s="1827" t="s">
        <v>2236</v>
      </c>
      <c r="B153" s="1828" t="s">
        <v>534</v>
      </c>
      <c r="C153" s="1829" t="s">
        <v>529</v>
      </c>
      <c r="D153" s="1830" t="s">
        <v>1914</v>
      </c>
      <c r="E153" s="1831" t="s">
        <v>2239</v>
      </c>
      <c r="F153" s="1832"/>
      <c r="G153" s="1833">
        <v>2800</v>
      </c>
      <c r="H153" s="1832"/>
      <c r="I153" s="1832"/>
      <c r="K153" s="1833" t="s">
        <v>556</v>
      </c>
      <c r="L153" s="1826"/>
    </row>
    <row r="154" spans="1:12" s="966" customFormat="1" outlineLevel="1">
      <c r="A154" s="1882" t="s">
        <v>2268</v>
      </c>
      <c r="B154" s="1883" t="s">
        <v>534</v>
      </c>
      <c r="C154" s="1884" t="s">
        <v>529</v>
      </c>
      <c r="D154" s="1885" t="s">
        <v>2269</v>
      </c>
      <c r="E154" s="1886" t="s">
        <v>2270</v>
      </c>
      <c r="F154" s="1887"/>
      <c r="G154" s="1888">
        <v>39.200000000000003</v>
      </c>
      <c r="H154" s="1887"/>
      <c r="I154" s="1887"/>
      <c r="J154" s="1888" t="s">
        <v>556</v>
      </c>
      <c r="K154" s="1889"/>
      <c r="L154" s="1863"/>
    </row>
    <row r="155" spans="1:12" s="966" customFormat="1" outlineLevel="1">
      <c r="A155" s="1874"/>
      <c r="B155" s="1857"/>
      <c r="C155" s="1858"/>
      <c r="D155" s="1857"/>
      <c r="E155" s="1859"/>
      <c r="F155" s="1860"/>
      <c r="G155" s="1861"/>
      <c r="H155" s="1860"/>
      <c r="I155" s="1860"/>
      <c r="K155" s="1862"/>
      <c r="L155" s="1826"/>
    </row>
    <row r="156" spans="1:12" s="966" customFormat="1" outlineLevel="1">
      <c r="A156" s="1874"/>
      <c r="B156" s="1857"/>
      <c r="C156" s="1858"/>
      <c r="D156" s="1857"/>
      <c r="E156" s="1859"/>
      <c r="F156" s="1860"/>
      <c r="G156" s="1861"/>
      <c r="H156" s="1860"/>
      <c r="I156" s="1860"/>
      <c r="K156" s="1862"/>
      <c r="L156" s="1826"/>
    </row>
    <row r="157" spans="1:12" s="966" customFormat="1" outlineLevel="1">
      <c r="A157" s="1874"/>
      <c r="B157" s="1857"/>
      <c r="C157" s="1858"/>
      <c r="D157" s="1857"/>
      <c r="E157" s="1859"/>
      <c r="F157" s="1860"/>
      <c r="G157" s="1861"/>
      <c r="H157" s="1860"/>
      <c r="I157" s="1860"/>
      <c r="K157" s="1862"/>
      <c r="L157" s="1826"/>
    </row>
    <row r="158" spans="1:12" s="966" customFormat="1" outlineLevel="1">
      <c r="A158" s="1874"/>
      <c r="B158" s="1857"/>
      <c r="C158" s="1858"/>
      <c r="D158" s="1857"/>
      <c r="E158" s="1859"/>
      <c r="F158" s="1860"/>
      <c r="G158" s="1861"/>
      <c r="H158" s="1860"/>
      <c r="I158" s="1860"/>
      <c r="K158" s="1862"/>
      <c r="L158" s="1826"/>
    </row>
    <row r="159" spans="1:12" s="966" customFormat="1" outlineLevel="1">
      <c r="A159" s="1874"/>
      <c r="B159" s="1857"/>
      <c r="C159" s="1858"/>
      <c r="D159" s="1857"/>
      <c r="E159" s="1859"/>
      <c r="F159" s="1860"/>
      <c r="G159" s="1861"/>
      <c r="H159" s="1860"/>
      <c r="I159" s="1860"/>
      <c r="K159" s="1862"/>
      <c r="L159" s="1826"/>
    </row>
    <row r="160" spans="1:12" s="966" customFormat="1" outlineLevel="1">
      <c r="A160" s="1874"/>
      <c r="B160" s="1857"/>
      <c r="C160" s="1858"/>
      <c r="D160" s="1857"/>
      <c r="E160" s="1859"/>
      <c r="F160" s="1860"/>
      <c r="G160" s="1861"/>
      <c r="H160" s="1860"/>
      <c r="I160" s="1860"/>
      <c r="K160" s="1862"/>
      <c r="L160" s="1826"/>
    </row>
    <row r="161" spans="1:12" s="966" customFormat="1" outlineLevel="1">
      <c r="A161" s="1874"/>
      <c r="B161" s="1857"/>
      <c r="C161" s="1858"/>
      <c r="D161" s="1857"/>
      <c r="E161" s="1859"/>
      <c r="F161" s="1860"/>
      <c r="G161" s="1861"/>
      <c r="H161" s="1860"/>
      <c r="I161" s="1860"/>
      <c r="K161" s="1862"/>
      <c r="L161" s="1826"/>
    </row>
    <row r="162" spans="1:12" s="966" customFormat="1" outlineLevel="1">
      <c r="A162" s="1874"/>
      <c r="B162" s="1857"/>
      <c r="C162" s="1858"/>
      <c r="D162" s="1857"/>
      <c r="E162" s="1859"/>
      <c r="F162" s="1860"/>
      <c r="G162" s="1861"/>
      <c r="H162" s="1860"/>
      <c r="I162" s="1860"/>
      <c r="K162" s="1862"/>
      <c r="L162" s="1826"/>
    </row>
    <row r="163" spans="1:12" s="966" customFormat="1" outlineLevel="1">
      <c r="A163" s="1874"/>
      <c r="B163" s="1857"/>
      <c r="C163" s="1858"/>
      <c r="D163" s="1857"/>
      <c r="E163" s="1859"/>
      <c r="F163" s="1860"/>
      <c r="G163" s="1861"/>
      <c r="H163" s="1860"/>
      <c r="I163" s="1860"/>
      <c r="K163" s="1862"/>
      <c r="L163" s="1826"/>
    </row>
    <row r="164" spans="1:12" s="966" customFormat="1" outlineLevel="1">
      <c r="A164" s="1874"/>
      <c r="B164" s="1857"/>
      <c r="C164" s="1858"/>
      <c r="D164" s="1857"/>
      <c r="E164" s="1859"/>
      <c r="F164" s="1860"/>
      <c r="G164" s="1861"/>
      <c r="H164" s="1860"/>
      <c r="I164" s="1860"/>
      <c r="K164" s="1862"/>
      <c r="L164" s="1826"/>
    </row>
    <row r="165" spans="1:12" s="966" customFormat="1" outlineLevel="1">
      <c r="A165" s="1820"/>
      <c r="B165" s="1821"/>
      <c r="C165" s="1822"/>
      <c r="D165" s="1821"/>
      <c r="E165" s="1823"/>
      <c r="F165" s="1824"/>
      <c r="G165" s="1824"/>
      <c r="H165" s="1824"/>
      <c r="I165" s="1824"/>
      <c r="J165" s="1825"/>
      <c r="K165" s="1777"/>
      <c r="L165" s="1355"/>
    </row>
    <row r="166" spans="1:12" s="1389" customFormat="1">
      <c r="A166" s="1496" t="s">
        <v>2157</v>
      </c>
      <c r="B166" s="1497"/>
      <c r="C166" s="1497" t="s">
        <v>545</v>
      </c>
      <c r="D166" s="1497"/>
      <c r="E166" s="1498" t="s">
        <v>2158</v>
      </c>
      <c r="F166" s="1499">
        <f>SUM(F147:F165)</f>
        <v>3912.2700000000114</v>
      </c>
      <c r="G166" s="1499">
        <f>SUM(G148:G165)</f>
        <v>3720.75</v>
      </c>
      <c r="H166" s="1499"/>
      <c r="I166" s="1499">
        <f>F166*G3</f>
        <v>22691166.000000067</v>
      </c>
      <c r="J166" s="1500">
        <f>G166*G3</f>
        <v>21580350</v>
      </c>
      <c r="K166" s="1501"/>
      <c r="L166" s="1388"/>
    </row>
    <row r="167" spans="1:12" s="1389" customFormat="1">
      <c r="A167" s="1521"/>
      <c r="B167" s="1522"/>
      <c r="C167" s="1522"/>
      <c r="D167" s="1522"/>
      <c r="E167" s="1523"/>
      <c r="F167" s="1524">
        <f>F166-F147</f>
        <v>2800</v>
      </c>
      <c r="G167" s="1524">
        <f>F166-G166</f>
        <v>191.52000000001135</v>
      </c>
      <c r="H167" s="1524"/>
      <c r="I167" s="1524">
        <f>F167*G3</f>
        <v>16240000</v>
      </c>
      <c r="J167" s="1525">
        <f>G167*G3</f>
        <v>1110816.0000000659</v>
      </c>
      <c r="K167" s="1383"/>
      <c r="L167" s="1388"/>
    </row>
    <row r="168" spans="1:12" s="966" customFormat="1">
      <c r="F168" s="1370" t="s">
        <v>1942</v>
      </c>
      <c r="G168" s="1371">
        <f>G170-G169</f>
        <v>138.22000000001134</v>
      </c>
      <c r="I168" s="1372">
        <f>G168*5800</f>
        <v>801676.00000006577</v>
      </c>
    </row>
    <row r="169" spans="1:12" s="966" customFormat="1">
      <c r="F169" s="1373" t="s">
        <v>556</v>
      </c>
      <c r="G169" s="1371">
        <f>92.5-G154</f>
        <v>53.3</v>
      </c>
      <c r="I169" s="1372">
        <f>G169*5800</f>
        <v>309140</v>
      </c>
    </row>
    <row r="170" spans="1:12" s="966" customFormat="1">
      <c r="F170" s="1370" t="s">
        <v>31</v>
      </c>
      <c r="G170" s="1371">
        <f>G167</f>
        <v>191.52000000001135</v>
      </c>
      <c r="I170" s="1372">
        <f t="shared" ref="I170" si="2">G170*5800</f>
        <v>1110816.0000000659</v>
      </c>
    </row>
    <row r="171" spans="1:12" s="426" customFormat="1">
      <c r="A171" s="430"/>
      <c r="B171" s="429"/>
      <c r="C171" s="429"/>
      <c r="D171" s="429"/>
      <c r="E171" s="430"/>
      <c r="G171" s="431"/>
      <c r="I171" s="432"/>
    </row>
    <row r="172" spans="1:12" s="426" customFormat="1">
      <c r="A172" s="430"/>
      <c r="B172" s="429"/>
      <c r="C172" s="429"/>
      <c r="D172" s="429"/>
      <c r="E172" s="430"/>
      <c r="G172" s="431"/>
      <c r="I172" s="432"/>
    </row>
    <row r="173" spans="1:12" s="426" customFormat="1">
      <c r="A173" s="430"/>
      <c r="B173" s="429"/>
      <c r="C173" s="429"/>
      <c r="D173" s="429"/>
      <c r="E173" s="430"/>
      <c r="G173" s="431"/>
      <c r="I173" s="432"/>
    </row>
    <row r="174" spans="1:12" s="426" customFormat="1">
      <c r="A174" s="430"/>
      <c r="B174" s="429"/>
      <c r="C174" s="429"/>
      <c r="D174" s="429"/>
      <c r="E174" s="430"/>
      <c r="G174" s="431"/>
      <c r="I174" s="432"/>
    </row>
    <row r="175" spans="1:12" s="426" customFormat="1">
      <c r="A175" s="430"/>
      <c r="B175" s="429"/>
      <c r="C175" s="429"/>
      <c r="D175" s="429"/>
      <c r="E175" s="430"/>
      <c r="G175" s="431"/>
      <c r="I175" s="432"/>
    </row>
    <row r="176" spans="1:12" s="426" customFormat="1">
      <c r="A176" s="430"/>
      <c r="B176" s="429"/>
      <c r="C176" s="429"/>
      <c r="D176" s="429"/>
      <c r="E176" s="430"/>
      <c r="G176" s="431"/>
      <c r="I176" s="432"/>
    </row>
    <row r="177" spans="1:9" s="426" customFormat="1">
      <c r="A177" s="430"/>
      <c r="B177" s="429"/>
      <c r="C177" s="429"/>
      <c r="D177" s="429"/>
      <c r="E177" s="430"/>
      <c r="G177" s="431"/>
      <c r="I177" s="432"/>
    </row>
    <row r="178" spans="1:9" s="426" customFormat="1">
      <c r="A178" s="430"/>
      <c r="B178" s="429"/>
      <c r="C178" s="429"/>
      <c r="D178" s="429"/>
      <c r="E178" s="430"/>
      <c r="G178" s="431"/>
      <c r="I178" s="432"/>
    </row>
    <row r="179" spans="1:9" s="426" customFormat="1">
      <c r="A179" s="430"/>
      <c r="B179" s="429"/>
      <c r="C179" s="429"/>
      <c r="D179" s="429"/>
      <c r="E179" s="430"/>
      <c r="G179" s="431"/>
      <c r="I179" s="432"/>
    </row>
    <row r="180" spans="1:9" s="426" customFormat="1" ht="15" customHeight="1">
      <c r="A180" s="430"/>
      <c r="B180" s="429"/>
      <c r="C180" s="429"/>
      <c r="D180" s="429"/>
      <c r="E180" s="430"/>
      <c r="G180" s="431"/>
      <c r="I180" s="432"/>
    </row>
    <row r="181" spans="1:9" s="426" customFormat="1" ht="15" customHeight="1">
      <c r="A181" s="430"/>
      <c r="B181" s="429"/>
      <c r="C181" s="429"/>
      <c r="D181" s="429"/>
      <c r="E181" s="430"/>
      <c r="G181" s="431"/>
      <c r="I181" s="432"/>
    </row>
    <row r="182" spans="1:9" s="426" customFormat="1" ht="15" customHeight="1">
      <c r="A182" s="430"/>
      <c r="B182" s="429"/>
      <c r="C182" s="429"/>
      <c r="D182" s="429"/>
      <c r="E182" s="430"/>
      <c r="G182" s="431"/>
      <c r="I182" s="432"/>
    </row>
    <row r="183" spans="1:9" s="426" customFormat="1" ht="21" customHeight="1">
      <c r="A183" s="430"/>
      <c r="B183" s="429"/>
      <c r="C183" s="429"/>
      <c r="D183" s="429"/>
      <c r="E183" s="430"/>
      <c r="G183" s="431"/>
      <c r="I183" s="432"/>
    </row>
    <row r="184" spans="1:9" ht="21" customHeight="1"/>
    <row r="185" spans="1:9" ht="21" customHeight="1"/>
    <row r="186" spans="1:9" ht="21" customHeight="1"/>
    <row r="187" spans="1:9" ht="21" customHeight="1"/>
    <row r="188" spans="1:9" ht="21" customHeight="1"/>
    <row r="189" spans="1:9" ht="21" customHeight="1"/>
    <row r="190" spans="1:9" ht="18.75" customHeight="1"/>
    <row r="191" spans="1:9" s="429" customFormat="1" ht="18.75" customHeight="1">
      <c r="A191" s="430"/>
      <c r="E191" s="430"/>
      <c r="F191" s="426"/>
      <c r="G191" s="431"/>
      <c r="H191" s="426"/>
      <c r="I191" s="432"/>
    </row>
    <row r="192" spans="1:9" s="429" customFormat="1" ht="18.75" customHeight="1">
      <c r="A192" s="430"/>
      <c r="E192" s="430"/>
      <c r="F192" s="426"/>
      <c r="G192" s="431"/>
      <c r="H192" s="426"/>
      <c r="I192" s="432"/>
    </row>
    <row r="193" spans="1:9" s="429" customFormat="1" ht="18.75" customHeight="1">
      <c r="A193" s="430"/>
      <c r="E193" s="430"/>
      <c r="F193" s="426"/>
      <c r="G193" s="431"/>
      <c r="H193" s="426"/>
      <c r="I193" s="432"/>
    </row>
    <row r="194" spans="1:9" s="429" customFormat="1" ht="18.75" customHeight="1">
      <c r="A194" s="430"/>
      <c r="E194" s="430"/>
      <c r="F194" s="426"/>
      <c r="G194" s="431"/>
      <c r="H194" s="426"/>
      <c r="I194" s="432"/>
    </row>
    <row r="195" spans="1:9" s="429" customFormat="1" ht="18.75" customHeight="1">
      <c r="A195" s="430"/>
      <c r="E195" s="430"/>
      <c r="F195" s="426"/>
      <c r="G195" s="431"/>
      <c r="H195" s="426"/>
      <c r="I195" s="432"/>
    </row>
    <row r="196" spans="1:9" s="429" customFormat="1" ht="18.75" customHeight="1">
      <c r="A196" s="430"/>
      <c r="E196" s="430"/>
      <c r="F196" s="426"/>
      <c r="G196" s="431"/>
      <c r="H196" s="426"/>
      <c r="I196" s="432"/>
    </row>
    <row r="197" spans="1:9" s="429" customFormat="1" ht="18.75" customHeight="1">
      <c r="A197" s="430"/>
      <c r="E197" s="430"/>
      <c r="F197" s="426"/>
      <c r="G197" s="431"/>
      <c r="H197" s="426"/>
      <c r="I197" s="432"/>
    </row>
    <row r="198" spans="1:9" s="429" customFormat="1" ht="18.75" customHeight="1">
      <c r="A198" s="430"/>
      <c r="E198" s="430"/>
      <c r="F198" s="426"/>
      <c r="G198" s="431"/>
      <c r="H198" s="426"/>
      <c r="I198" s="432"/>
    </row>
    <row r="199" spans="1:9" s="429" customFormat="1" ht="18.75" customHeight="1">
      <c r="A199" s="430"/>
      <c r="E199" s="430"/>
      <c r="F199" s="426"/>
      <c r="G199" s="431"/>
      <c r="H199" s="426"/>
      <c r="I199" s="432"/>
    </row>
    <row r="200" spans="1:9" s="429" customFormat="1" ht="18.75" customHeight="1">
      <c r="A200" s="430"/>
      <c r="E200" s="430"/>
      <c r="F200" s="426"/>
      <c r="G200" s="431"/>
      <c r="H200" s="426"/>
      <c r="I200" s="432"/>
    </row>
    <row r="201" spans="1:9" s="429" customFormat="1" ht="18.75" customHeight="1">
      <c r="A201" s="430"/>
      <c r="E201" s="430"/>
      <c r="F201" s="426"/>
      <c r="G201" s="431"/>
      <c r="H201" s="426"/>
      <c r="I201" s="432"/>
    </row>
    <row r="202" spans="1:9" s="429" customFormat="1" ht="18.75" customHeight="1">
      <c r="A202" s="430"/>
      <c r="E202" s="430"/>
      <c r="F202" s="426"/>
      <c r="G202" s="431"/>
      <c r="H202" s="426"/>
      <c r="I202" s="432"/>
    </row>
    <row r="203" spans="1:9" s="429" customFormat="1" ht="18.75" customHeight="1">
      <c r="A203" s="430"/>
      <c r="E203" s="430"/>
      <c r="F203" s="426"/>
      <c r="G203" s="431"/>
      <c r="H203" s="426"/>
      <c r="I203" s="432"/>
    </row>
    <row r="204" spans="1:9" s="429" customFormat="1" ht="18.75" customHeight="1">
      <c r="A204" s="430"/>
      <c r="E204" s="430"/>
      <c r="F204" s="426"/>
      <c r="G204" s="431"/>
      <c r="H204" s="426"/>
      <c r="I204" s="432"/>
    </row>
    <row r="205" spans="1:9" s="429" customFormat="1" ht="18.75" customHeight="1">
      <c r="A205" s="430"/>
      <c r="E205" s="430"/>
      <c r="F205" s="426"/>
      <c r="G205" s="431"/>
      <c r="H205" s="426"/>
      <c r="I205" s="432"/>
    </row>
    <row r="206" spans="1:9" s="429" customFormat="1" ht="18.75" customHeight="1">
      <c r="A206" s="430"/>
      <c r="E206" s="430"/>
      <c r="F206" s="426"/>
      <c r="G206" s="431"/>
      <c r="H206" s="426"/>
      <c r="I206" s="432"/>
    </row>
    <row r="211" spans="2:8" ht="15">
      <c r="B211" s="430"/>
      <c r="C211" s="430"/>
      <c r="D211" s="430"/>
      <c r="F211" s="430"/>
      <c r="G211" s="430"/>
      <c r="H211" s="430"/>
    </row>
  </sheetData>
  <mergeCells count="4">
    <mergeCell ref="A1:E1"/>
    <mergeCell ref="A2:E2"/>
    <mergeCell ref="A44:E44"/>
    <mergeCell ref="A113:E113"/>
  </mergeCells>
  <pageMargins left="0.45" right="0.45" top="1" bottom="0.75" header="0.3" footer="0.3"/>
  <pageSetup paperSize="9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topLeftCell="A198" zoomScale="60" zoomScaleNormal="60" zoomScaleSheetLayoutView="70" zoomScalePageLayoutView="80" workbookViewId="0">
      <selection activeCell="H236" sqref="H236"/>
    </sheetView>
  </sheetViews>
  <sheetFormatPr defaultRowHeight="18" outlineLevelRow="1"/>
  <cols>
    <col min="1" max="1" width="12.140625" style="912" customWidth="1"/>
    <col min="2" max="2" width="30.28515625" style="912" bestFit="1" customWidth="1"/>
    <col min="3" max="3" width="21.140625" style="912" customWidth="1"/>
    <col min="4" max="4" width="20.85546875" style="912" bestFit="1" customWidth="1"/>
    <col min="5" max="5" width="96" style="915" bestFit="1" customWidth="1"/>
    <col min="6" max="6" width="20.42578125" style="912" customWidth="1"/>
    <col min="7" max="7" width="20.42578125" style="912" bestFit="1" customWidth="1"/>
    <col min="8" max="8" width="21.7109375" style="912" customWidth="1"/>
    <col min="9" max="9" width="27" style="916" customWidth="1"/>
    <col min="10" max="10" width="20.85546875" style="912" bestFit="1" customWidth="1"/>
    <col min="11" max="11" width="15.42578125" style="912" bestFit="1" customWidth="1"/>
    <col min="12" max="12" width="17.140625" style="912" bestFit="1" customWidth="1"/>
    <col min="13" max="13" width="18.85546875" style="912" bestFit="1" customWidth="1"/>
    <col min="14" max="256" width="9.140625" style="912"/>
    <col min="257" max="257" width="15.5703125" style="912" customWidth="1"/>
    <col min="258" max="258" width="33.5703125" style="912" customWidth="1"/>
    <col min="259" max="259" width="21.140625" style="912" customWidth="1"/>
    <col min="260" max="260" width="27" style="912" customWidth="1"/>
    <col min="261" max="261" width="85.7109375" style="912" customWidth="1"/>
    <col min="262" max="262" width="20.42578125" style="912" customWidth="1"/>
    <col min="263" max="263" width="20.5703125" style="912" customWidth="1"/>
    <col min="264" max="264" width="21.7109375" style="912" customWidth="1"/>
    <col min="265" max="265" width="27" style="912" customWidth="1"/>
    <col min="266" max="266" width="17.140625" style="912" bestFit="1" customWidth="1"/>
    <col min="267" max="267" width="9.140625" style="912"/>
    <col min="268" max="268" width="17.140625" style="912" bestFit="1" customWidth="1"/>
    <col min="269" max="512" width="9.140625" style="912"/>
    <col min="513" max="513" width="15.5703125" style="912" customWidth="1"/>
    <col min="514" max="514" width="33.5703125" style="912" customWidth="1"/>
    <col min="515" max="515" width="21.140625" style="912" customWidth="1"/>
    <col min="516" max="516" width="27" style="912" customWidth="1"/>
    <col min="517" max="517" width="85.7109375" style="912" customWidth="1"/>
    <col min="518" max="518" width="20.42578125" style="912" customWidth="1"/>
    <col min="519" max="519" width="20.5703125" style="912" customWidth="1"/>
    <col min="520" max="520" width="21.7109375" style="912" customWidth="1"/>
    <col min="521" max="521" width="27" style="912" customWidth="1"/>
    <col min="522" max="522" width="17.140625" style="912" bestFit="1" customWidth="1"/>
    <col min="523" max="523" width="9.140625" style="912"/>
    <col min="524" max="524" width="17.140625" style="912" bestFit="1" customWidth="1"/>
    <col min="525" max="768" width="9.140625" style="912"/>
    <col min="769" max="769" width="15.5703125" style="912" customWidth="1"/>
    <col min="770" max="770" width="33.5703125" style="912" customWidth="1"/>
    <col min="771" max="771" width="21.140625" style="912" customWidth="1"/>
    <col min="772" max="772" width="27" style="912" customWidth="1"/>
    <col min="773" max="773" width="85.7109375" style="912" customWidth="1"/>
    <col min="774" max="774" width="20.42578125" style="912" customWidth="1"/>
    <col min="775" max="775" width="20.5703125" style="912" customWidth="1"/>
    <col min="776" max="776" width="21.7109375" style="912" customWidth="1"/>
    <col min="777" max="777" width="27" style="912" customWidth="1"/>
    <col min="778" max="778" width="17.140625" style="912" bestFit="1" customWidth="1"/>
    <col min="779" max="779" width="9.140625" style="912"/>
    <col min="780" max="780" width="17.140625" style="912" bestFit="1" customWidth="1"/>
    <col min="781" max="1024" width="9.140625" style="912"/>
    <col min="1025" max="1025" width="15.5703125" style="912" customWidth="1"/>
    <col min="1026" max="1026" width="33.5703125" style="912" customWidth="1"/>
    <col min="1027" max="1027" width="21.140625" style="912" customWidth="1"/>
    <col min="1028" max="1028" width="27" style="912" customWidth="1"/>
    <col min="1029" max="1029" width="85.7109375" style="912" customWidth="1"/>
    <col min="1030" max="1030" width="20.42578125" style="912" customWidth="1"/>
    <col min="1031" max="1031" width="20.5703125" style="912" customWidth="1"/>
    <col min="1032" max="1032" width="21.7109375" style="912" customWidth="1"/>
    <col min="1033" max="1033" width="27" style="912" customWidth="1"/>
    <col min="1034" max="1034" width="17.140625" style="912" bestFit="1" customWidth="1"/>
    <col min="1035" max="1035" width="9.140625" style="912"/>
    <col min="1036" max="1036" width="17.140625" style="912" bestFit="1" customWidth="1"/>
    <col min="1037" max="1280" width="9.140625" style="912"/>
    <col min="1281" max="1281" width="15.5703125" style="912" customWidth="1"/>
    <col min="1282" max="1282" width="33.5703125" style="912" customWidth="1"/>
    <col min="1283" max="1283" width="21.140625" style="912" customWidth="1"/>
    <col min="1284" max="1284" width="27" style="912" customWidth="1"/>
    <col min="1285" max="1285" width="85.7109375" style="912" customWidth="1"/>
    <col min="1286" max="1286" width="20.42578125" style="912" customWidth="1"/>
    <col min="1287" max="1287" width="20.5703125" style="912" customWidth="1"/>
    <col min="1288" max="1288" width="21.7109375" style="912" customWidth="1"/>
    <col min="1289" max="1289" width="27" style="912" customWidth="1"/>
    <col min="1290" max="1290" width="17.140625" style="912" bestFit="1" customWidth="1"/>
    <col min="1291" max="1291" width="9.140625" style="912"/>
    <col min="1292" max="1292" width="17.140625" style="912" bestFit="1" customWidth="1"/>
    <col min="1293" max="1536" width="9.140625" style="912"/>
    <col min="1537" max="1537" width="15.5703125" style="912" customWidth="1"/>
    <col min="1538" max="1538" width="33.5703125" style="912" customWidth="1"/>
    <col min="1539" max="1539" width="21.140625" style="912" customWidth="1"/>
    <col min="1540" max="1540" width="27" style="912" customWidth="1"/>
    <col min="1541" max="1541" width="85.7109375" style="912" customWidth="1"/>
    <col min="1542" max="1542" width="20.42578125" style="912" customWidth="1"/>
    <col min="1543" max="1543" width="20.5703125" style="912" customWidth="1"/>
    <col min="1544" max="1544" width="21.7109375" style="912" customWidth="1"/>
    <col min="1545" max="1545" width="27" style="912" customWidth="1"/>
    <col min="1546" max="1546" width="17.140625" style="912" bestFit="1" customWidth="1"/>
    <col min="1547" max="1547" width="9.140625" style="912"/>
    <col min="1548" max="1548" width="17.140625" style="912" bestFit="1" customWidth="1"/>
    <col min="1549" max="1792" width="9.140625" style="912"/>
    <col min="1793" max="1793" width="15.5703125" style="912" customWidth="1"/>
    <col min="1794" max="1794" width="33.5703125" style="912" customWidth="1"/>
    <col min="1795" max="1795" width="21.140625" style="912" customWidth="1"/>
    <col min="1796" max="1796" width="27" style="912" customWidth="1"/>
    <col min="1797" max="1797" width="85.7109375" style="912" customWidth="1"/>
    <col min="1798" max="1798" width="20.42578125" style="912" customWidth="1"/>
    <col min="1799" max="1799" width="20.5703125" style="912" customWidth="1"/>
    <col min="1800" max="1800" width="21.7109375" style="912" customWidth="1"/>
    <col min="1801" max="1801" width="27" style="912" customWidth="1"/>
    <col min="1802" max="1802" width="17.140625" style="912" bestFit="1" customWidth="1"/>
    <col min="1803" max="1803" width="9.140625" style="912"/>
    <col min="1804" max="1804" width="17.140625" style="912" bestFit="1" customWidth="1"/>
    <col min="1805" max="2048" width="9.140625" style="912"/>
    <col min="2049" max="2049" width="15.5703125" style="912" customWidth="1"/>
    <col min="2050" max="2050" width="33.5703125" style="912" customWidth="1"/>
    <col min="2051" max="2051" width="21.140625" style="912" customWidth="1"/>
    <col min="2052" max="2052" width="27" style="912" customWidth="1"/>
    <col min="2053" max="2053" width="85.7109375" style="912" customWidth="1"/>
    <col min="2054" max="2054" width="20.42578125" style="912" customWidth="1"/>
    <col min="2055" max="2055" width="20.5703125" style="912" customWidth="1"/>
    <col min="2056" max="2056" width="21.7109375" style="912" customWidth="1"/>
    <col min="2057" max="2057" width="27" style="912" customWidth="1"/>
    <col min="2058" max="2058" width="17.140625" style="912" bestFit="1" customWidth="1"/>
    <col min="2059" max="2059" width="9.140625" style="912"/>
    <col min="2060" max="2060" width="17.140625" style="912" bestFit="1" customWidth="1"/>
    <col min="2061" max="2304" width="9.140625" style="912"/>
    <col min="2305" max="2305" width="15.5703125" style="912" customWidth="1"/>
    <col min="2306" max="2306" width="33.5703125" style="912" customWidth="1"/>
    <col min="2307" max="2307" width="21.140625" style="912" customWidth="1"/>
    <col min="2308" max="2308" width="27" style="912" customWidth="1"/>
    <col min="2309" max="2309" width="85.7109375" style="912" customWidth="1"/>
    <col min="2310" max="2310" width="20.42578125" style="912" customWidth="1"/>
    <col min="2311" max="2311" width="20.5703125" style="912" customWidth="1"/>
    <col min="2312" max="2312" width="21.7109375" style="912" customWidth="1"/>
    <col min="2313" max="2313" width="27" style="912" customWidth="1"/>
    <col min="2314" max="2314" width="17.140625" style="912" bestFit="1" customWidth="1"/>
    <col min="2315" max="2315" width="9.140625" style="912"/>
    <col min="2316" max="2316" width="17.140625" style="912" bestFit="1" customWidth="1"/>
    <col min="2317" max="2560" width="9.140625" style="912"/>
    <col min="2561" max="2561" width="15.5703125" style="912" customWidth="1"/>
    <col min="2562" max="2562" width="33.5703125" style="912" customWidth="1"/>
    <col min="2563" max="2563" width="21.140625" style="912" customWidth="1"/>
    <col min="2564" max="2564" width="27" style="912" customWidth="1"/>
    <col min="2565" max="2565" width="85.7109375" style="912" customWidth="1"/>
    <col min="2566" max="2566" width="20.42578125" style="912" customWidth="1"/>
    <col min="2567" max="2567" width="20.5703125" style="912" customWidth="1"/>
    <col min="2568" max="2568" width="21.7109375" style="912" customWidth="1"/>
    <col min="2569" max="2569" width="27" style="912" customWidth="1"/>
    <col min="2570" max="2570" width="17.140625" style="912" bestFit="1" customWidth="1"/>
    <col min="2571" max="2571" width="9.140625" style="912"/>
    <col min="2572" max="2572" width="17.140625" style="912" bestFit="1" customWidth="1"/>
    <col min="2573" max="2816" width="9.140625" style="912"/>
    <col min="2817" max="2817" width="15.5703125" style="912" customWidth="1"/>
    <col min="2818" max="2818" width="33.5703125" style="912" customWidth="1"/>
    <col min="2819" max="2819" width="21.140625" style="912" customWidth="1"/>
    <col min="2820" max="2820" width="27" style="912" customWidth="1"/>
    <col min="2821" max="2821" width="85.7109375" style="912" customWidth="1"/>
    <col min="2822" max="2822" width="20.42578125" style="912" customWidth="1"/>
    <col min="2823" max="2823" width="20.5703125" style="912" customWidth="1"/>
    <col min="2824" max="2824" width="21.7109375" style="912" customWidth="1"/>
    <col min="2825" max="2825" width="27" style="912" customWidth="1"/>
    <col min="2826" max="2826" width="17.140625" style="912" bestFit="1" customWidth="1"/>
    <col min="2827" max="2827" width="9.140625" style="912"/>
    <col min="2828" max="2828" width="17.140625" style="912" bestFit="1" customWidth="1"/>
    <col min="2829" max="3072" width="9.140625" style="912"/>
    <col min="3073" max="3073" width="15.5703125" style="912" customWidth="1"/>
    <col min="3074" max="3074" width="33.5703125" style="912" customWidth="1"/>
    <col min="3075" max="3075" width="21.140625" style="912" customWidth="1"/>
    <col min="3076" max="3076" width="27" style="912" customWidth="1"/>
    <col min="3077" max="3077" width="85.7109375" style="912" customWidth="1"/>
    <col min="3078" max="3078" width="20.42578125" style="912" customWidth="1"/>
    <col min="3079" max="3079" width="20.5703125" style="912" customWidth="1"/>
    <col min="3080" max="3080" width="21.7109375" style="912" customWidth="1"/>
    <col min="3081" max="3081" width="27" style="912" customWidth="1"/>
    <col min="3082" max="3082" width="17.140625" style="912" bestFit="1" customWidth="1"/>
    <col min="3083" max="3083" width="9.140625" style="912"/>
    <col min="3084" max="3084" width="17.140625" style="912" bestFit="1" customWidth="1"/>
    <col min="3085" max="3328" width="9.140625" style="912"/>
    <col min="3329" max="3329" width="15.5703125" style="912" customWidth="1"/>
    <col min="3330" max="3330" width="33.5703125" style="912" customWidth="1"/>
    <col min="3331" max="3331" width="21.140625" style="912" customWidth="1"/>
    <col min="3332" max="3332" width="27" style="912" customWidth="1"/>
    <col min="3333" max="3333" width="85.7109375" style="912" customWidth="1"/>
    <col min="3334" max="3334" width="20.42578125" style="912" customWidth="1"/>
    <col min="3335" max="3335" width="20.5703125" style="912" customWidth="1"/>
    <col min="3336" max="3336" width="21.7109375" style="912" customWidth="1"/>
    <col min="3337" max="3337" width="27" style="912" customWidth="1"/>
    <col min="3338" max="3338" width="17.140625" style="912" bestFit="1" customWidth="1"/>
    <col min="3339" max="3339" width="9.140625" style="912"/>
    <col min="3340" max="3340" width="17.140625" style="912" bestFit="1" customWidth="1"/>
    <col min="3341" max="3584" width="9.140625" style="912"/>
    <col min="3585" max="3585" width="15.5703125" style="912" customWidth="1"/>
    <col min="3586" max="3586" width="33.5703125" style="912" customWidth="1"/>
    <col min="3587" max="3587" width="21.140625" style="912" customWidth="1"/>
    <col min="3588" max="3588" width="27" style="912" customWidth="1"/>
    <col min="3589" max="3589" width="85.7109375" style="912" customWidth="1"/>
    <col min="3590" max="3590" width="20.42578125" style="912" customWidth="1"/>
    <col min="3591" max="3591" width="20.5703125" style="912" customWidth="1"/>
    <col min="3592" max="3592" width="21.7109375" style="912" customWidth="1"/>
    <col min="3593" max="3593" width="27" style="912" customWidth="1"/>
    <col min="3594" max="3594" width="17.140625" style="912" bestFit="1" customWidth="1"/>
    <col min="3595" max="3595" width="9.140625" style="912"/>
    <col min="3596" max="3596" width="17.140625" style="912" bestFit="1" customWidth="1"/>
    <col min="3597" max="3840" width="9.140625" style="912"/>
    <col min="3841" max="3841" width="15.5703125" style="912" customWidth="1"/>
    <col min="3842" max="3842" width="33.5703125" style="912" customWidth="1"/>
    <col min="3843" max="3843" width="21.140625" style="912" customWidth="1"/>
    <col min="3844" max="3844" width="27" style="912" customWidth="1"/>
    <col min="3845" max="3845" width="85.7109375" style="912" customWidth="1"/>
    <col min="3846" max="3846" width="20.42578125" style="912" customWidth="1"/>
    <col min="3847" max="3847" width="20.5703125" style="912" customWidth="1"/>
    <col min="3848" max="3848" width="21.7109375" style="912" customWidth="1"/>
    <col min="3849" max="3849" width="27" style="912" customWidth="1"/>
    <col min="3850" max="3850" width="17.140625" style="912" bestFit="1" customWidth="1"/>
    <col min="3851" max="3851" width="9.140625" style="912"/>
    <col min="3852" max="3852" width="17.140625" style="912" bestFit="1" customWidth="1"/>
    <col min="3853" max="4096" width="9.140625" style="912"/>
    <col min="4097" max="4097" width="15.5703125" style="912" customWidth="1"/>
    <col min="4098" max="4098" width="33.5703125" style="912" customWidth="1"/>
    <col min="4099" max="4099" width="21.140625" style="912" customWidth="1"/>
    <col min="4100" max="4100" width="27" style="912" customWidth="1"/>
    <col min="4101" max="4101" width="85.7109375" style="912" customWidth="1"/>
    <col min="4102" max="4102" width="20.42578125" style="912" customWidth="1"/>
    <col min="4103" max="4103" width="20.5703125" style="912" customWidth="1"/>
    <col min="4104" max="4104" width="21.7109375" style="912" customWidth="1"/>
    <col min="4105" max="4105" width="27" style="912" customWidth="1"/>
    <col min="4106" max="4106" width="17.140625" style="912" bestFit="1" customWidth="1"/>
    <col min="4107" max="4107" width="9.140625" style="912"/>
    <col min="4108" max="4108" width="17.140625" style="912" bestFit="1" customWidth="1"/>
    <col min="4109" max="4352" width="9.140625" style="912"/>
    <col min="4353" max="4353" width="15.5703125" style="912" customWidth="1"/>
    <col min="4354" max="4354" width="33.5703125" style="912" customWidth="1"/>
    <col min="4355" max="4355" width="21.140625" style="912" customWidth="1"/>
    <col min="4356" max="4356" width="27" style="912" customWidth="1"/>
    <col min="4357" max="4357" width="85.7109375" style="912" customWidth="1"/>
    <col min="4358" max="4358" width="20.42578125" style="912" customWidth="1"/>
    <col min="4359" max="4359" width="20.5703125" style="912" customWidth="1"/>
    <col min="4360" max="4360" width="21.7109375" style="912" customWidth="1"/>
    <col min="4361" max="4361" width="27" style="912" customWidth="1"/>
    <col min="4362" max="4362" width="17.140625" style="912" bestFit="1" customWidth="1"/>
    <col min="4363" max="4363" width="9.140625" style="912"/>
    <col min="4364" max="4364" width="17.140625" style="912" bestFit="1" customWidth="1"/>
    <col min="4365" max="4608" width="9.140625" style="912"/>
    <col min="4609" max="4609" width="15.5703125" style="912" customWidth="1"/>
    <col min="4610" max="4610" width="33.5703125" style="912" customWidth="1"/>
    <col min="4611" max="4611" width="21.140625" style="912" customWidth="1"/>
    <col min="4612" max="4612" width="27" style="912" customWidth="1"/>
    <col min="4613" max="4613" width="85.7109375" style="912" customWidth="1"/>
    <col min="4614" max="4614" width="20.42578125" style="912" customWidth="1"/>
    <col min="4615" max="4615" width="20.5703125" style="912" customWidth="1"/>
    <col min="4616" max="4616" width="21.7109375" style="912" customWidth="1"/>
    <col min="4617" max="4617" width="27" style="912" customWidth="1"/>
    <col min="4618" max="4618" width="17.140625" style="912" bestFit="1" customWidth="1"/>
    <col min="4619" max="4619" width="9.140625" style="912"/>
    <col min="4620" max="4620" width="17.140625" style="912" bestFit="1" customWidth="1"/>
    <col min="4621" max="4864" width="9.140625" style="912"/>
    <col min="4865" max="4865" width="15.5703125" style="912" customWidth="1"/>
    <col min="4866" max="4866" width="33.5703125" style="912" customWidth="1"/>
    <col min="4867" max="4867" width="21.140625" style="912" customWidth="1"/>
    <col min="4868" max="4868" width="27" style="912" customWidth="1"/>
    <col min="4869" max="4869" width="85.7109375" style="912" customWidth="1"/>
    <col min="4870" max="4870" width="20.42578125" style="912" customWidth="1"/>
    <col min="4871" max="4871" width="20.5703125" style="912" customWidth="1"/>
    <col min="4872" max="4872" width="21.7109375" style="912" customWidth="1"/>
    <col min="4873" max="4873" width="27" style="912" customWidth="1"/>
    <col min="4874" max="4874" width="17.140625" style="912" bestFit="1" customWidth="1"/>
    <col min="4875" max="4875" width="9.140625" style="912"/>
    <col min="4876" max="4876" width="17.140625" style="912" bestFit="1" customWidth="1"/>
    <col min="4877" max="5120" width="9.140625" style="912"/>
    <col min="5121" max="5121" width="15.5703125" style="912" customWidth="1"/>
    <col min="5122" max="5122" width="33.5703125" style="912" customWidth="1"/>
    <col min="5123" max="5123" width="21.140625" style="912" customWidth="1"/>
    <col min="5124" max="5124" width="27" style="912" customWidth="1"/>
    <col min="5125" max="5125" width="85.7109375" style="912" customWidth="1"/>
    <col min="5126" max="5126" width="20.42578125" style="912" customWidth="1"/>
    <col min="5127" max="5127" width="20.5703125" style="912" customWidth="1"/>
    <col min="5128" max="5128" width="21.7109375" style="912" customWidth="1"/>
    <col min="5129" max="5129" width="27" style="912" customWidth="1"/>
    <col min="5130" max="5130" width="17.140625" style="912" bestFit="1" customWidth="1"/>
    <col min="5131" max="5131" width="9.140625" style="912"/>
    <col min="5132" max="5132" width="17.140625" style="912" bestFit="1" customWidth="1"/>
    <col min="5133" max="5376" width="9.140625" style="912"/>
    <col min="5377" max="5377" width="15.5703125" style="912" customWidth="1"/>
    <col min="5378" max="5378" width="33.5703125" style="912" customWidth="1"/>
    <col min="5379" max="5379" width="21.140625" style="912" customWidth="1"/>
    <col min="5380" max="5380" width="27" style="912" customWidth="1"/>
    <col min="5381" max="5381" width="85.7109375" style="912" customWidth="1"/>
    <col min="5382" max="5382" width="20.42578125" style="912" customWidth="1"/>
    <col min="5383" max="5383" width="20.5703125" style="912" customWidth="1"/>
    <col min="5384" max="5384" width="21.7109375" style="912" customWidth="1"/>
    <col min="5385" max="5385" width="27" style="912" customWidth="1"/>
    <col min="5386" max="5386" width="17.140625" style="912" bestFit="1" customWidth="1"/>
    <col min="5387" max="5387" width="9.140625" style="912"/>
    <col min="5388" max="5388" width="17.140625" style="912" bestFit="1" customWidth="1"/>
    <col min="5389" max="5632" width="9.140625" style="912"/>
    <col min="5633" max="5633" width="15.5703125" style="912" customWidth="1"/>
    <col min="5634" max="5634" width="33.5703125" style="912" customWidth="1"/>
    <col min="5635" max="5635" width="21.140625" style="912" customWidth="1"/>
    <col min="5636" max="5636" width="27" style="912" customWidth="1"/>
    <col min="5637" max="5637" width="85.7109375" style="912" customWidth="1"/>
    <col min="5638" max="5638" width="20.42578125" style="912" customWidth="1"/>
    <col min="5639" max="5639" width="20.5703125" style="912" customWidth="1"/>
    <col min="5640" max="5640" width="21.7109375" style="912" customWidth="1"/>
    <col min="5641" max="5641" width="27" style="912" customWidth="1"/>
    <col min="5642" max="5642" width="17.140625" style="912" bestFit="1" customWidth="1"/>
    <col min="5643" max="5643" width="9.140625" style="912"/>
    <col min="5644" max="5644" width="17.140625" style="912" bestFit="1" customWidth="1"/>
    <col min="5645" max="5888" width="9.140625" style="912"/>
    <col min="5889" max="5889" width="15.5703125" style="912" customWidth="1"/>
    <col min="5890" max="5890" width="33.5703125" style="912" customWidth="1"/>
    <col min="5891" max="5891" width="21.140625" style="912" customWidth="1"/>
    <col min="5892" max="5892" width="27" style="912" customWidth="1"/>
    <col min="5893" max="5893" width="85.7109375" style="912" customWidth="1"/>
    <col min="5894" max="5894" width="20.42578125" style="912" customWidth="1"/>
    <col min="5895" max="5895" width="20.5703125" style="912" customWidth="1"/>
    <col min="5896" max="5896" width="21.7109375" style="912" customWidth="1"/>
    <col min="5897" max="5897" width="27" style="912" customWidth="1"/>
    <col min="5898" max="5898" width="17.140625" style="912" bestFit="1" customWidth="1"/>
    <col min="5899" max="5899" width="9.140625" style="912"/>
    <col min="5900" max="5900" width="17.140625" style="912" bestFit="1" customWidth="1"/>
    <col min="5901" max="6144" width="9.140625" style="912"/>
    <col min="6145" max="6145" width="15.5703125" style="912" customWidth="1"/>
    <col min="6146" max="6146" width="33.5703125" style="912" customWidth="1"/>
    <col min="6147" max="6147" width="21.140625" style="912" customWidth="1"/>
    <col min="6148" max="6148" width="27" style="912" customWidth="1"/>
    <col min="6149" max="6149" width="85.7109375" style="912" customWidth="1"/>
    <col min="6150" max="6150" width="20.42578125" style="912" customWidth="1"/>
    <col min="6151" max="6151" width="20.5703125" style="912" customWidth="1"/>
    <col min="6152" max="6152" width="21.7109375" style="912" customWidth="1"/>
    <col min="6153" max="6153" width="27" style="912" customWidth="1"/>
    <col min="6154" max="6154" width="17.140625" style="912" bestFit="1" customWidth="1"/>
    <col min="6155" max="6155" width="9.140625" style="912"/>
    <col min="6156" max="6156" width="17.140625" style="912" bestFit="1" customWidth="1"/>
    <col min="6157" max="6400" width="9.140625" style="912"/>
    <col min="6401" max="6401" width="15.5703125" style="912" customWidth="1"/>
    <col min="6402" max="6402" width="33.5703125" style="912" customWidth="1"/>
    <col min="6403" max="6403" width="21.140625" style="912" customWidth="1"/>
    <col min="6404" max="6404" width="27" style="912" customWidth="1"/>
    <col min="6405" max="6405" width="85.7109375" style="912" customWidth="1"/>
    <col min="6406" max="6406" width="20.42578125" style="912" customWidth="1"/>
    <col min="6407" max="6407" width="20.5703125" style="912" customWidth="1"/>
    <col min="6408" max="6408" width="21.7109375" style="912" customWidth="1"/>
    <col min="6409" max="6409" width="27" style="912" customWidth="1"/>
    <col min="6410" max="6410" width="17.140625" style="912" bestFit="1" customWidth="1"/>
    <col min="6411" max="6411" width="9.140625" style="912"/>
    <col min="6412" max="6412" width="17.140625" style="912" bestFit="1" customWidth="1"/>
    <col min="6413" max="6656" width="9.140625" style="912"/>
    <col min="6657" max="6657" width="15.5703125" style="912" customWidth="1"/>
    <col min="6658" max="6658" width="33.5703125" style="912" customWidth="1"/>
    <col min="6659" max="6659" width="21.140625" style="912" customWidth="1"/>
    <col min="6660" max="6660" width="27" style="912" customWidth="1"/>
    <col min="6661" max="6661" width="85.7109375" style="912" customWidth="1"/>
    <col min="6662" max="6662" width="20.42578125" style="912" customWidth="1"/>
    <col min="6663" max="6663" width="20.5703125" style="912" customWidth="1"/>
    <col min="6664" max="6664" width="21.7109375" style="912" customWidth="1"/>
    <col min="6665" max="6665" width="27" style="912" customWidth="1"/>
    <col min="6666" max="6666" width="17.140625" style="912" bestFit="1" customWidth="1"/>
    <col min="6667" max="6667" width="9.140625" style="912"/>
    <col min="6668" max="6668" width="17.140625" style="912" bestFit="1" customWidth="1"/>
    <col min="6669" max="6912" width="9.140625" style="912"/>
    <col min="6913" max="6913" width="15.5703125" style="912" customWidth="1"/>
    <col min="6914" max="6914" width="33.5703125" style="912" customWidth="1"/>
    <col min="6915" max="6915" width="21.140625" style="912" customWidth="1"/>
    <col min="6916" max="6916" width="27" style="912" customWidth="1"/>
    <col min="6917" max="6917" width="85.7109375" style="912" customWidth="1"/>
    <col min="6918" max="6918" width="20.42578125" style="912" customWidth="1"/>
    <col min="6919" max="6919" width="20.5703125" style="912" customWidth="1"/>
    <col min="6920" max="6920" width="21.7109375" style="912" customWidth="1"/>
    <col min="6921" max="6921" width="27" style="912" customWidth="1"/>
    <col min="6922" max="6922" width="17.140625" style="912" bestFit="1" customWidth="1"/>
    <col min="6923" max="6923" width="9.140625" style="912"/>
    <col min="6924" max="6924" width="17.140625" style="912" bestFit="1" customWidth="1"/>
    <col min="6925" max="7168" width="9.140625" style="912"/>
    <col min="7169" max="7169" width="15.5703125" style="912" customWidth="1"/>
    <col min="7170" max="7170" width="33.5703125" style="912" customWidth="1"/>
    <col min="7171" max="7171" width="21.140625" style="912" customWidth="1"/>
    <col min="7172" max="7172" width="27" style="912" customWidth="1"/>
    <col min="7173" max="7173" width="85.7109375" style="912" customWidth="1"/>
    <col min="7174" max="7174" width="20.42578125" style="912" customWidth="1"/>
    <col min="7175" max="7175" width="20.5703125" style="912" customWidth="1"/>
    <col min="7176" max="7176" width="21.7109375" style="912" customWidth="1"/>
    <col min="7177" max="7177" width="27" style="912" customWidth="1"/>
    <col min="7178" max="7178" width="17.140625" style="912" bestFit="1" customWidth="1"/>
    <col min="7179" max="7179" width="9.140625" style="912"/>
    <col min="7180" max="7180" width="17.140625" style="912" bestFit="1" customWidth="1"/>
    <col min="7181" max="7424" width="9.140625" style="912"/>
    <col min="7425" max="7425" width="15.5703125" style="912" customWidth="1"/>
    <col min="7426" max="7426" width="33.5703125" style="912" customWidth="1"/>
    <col min="7427" max="7427" width="21.140625" style="912" customWidth="1"/>
    <col min="7428" max="7428" width="27" style="912" customWidth="1"/>
    <col min="7429" max="7429" width="85.7109375" style="912" customWidth="1"/>
    <col min="7430" max="7430" width="20.42578125" style="912" customWidth="1"/>
    <col min="7431" max="7431" width="20.5703125" style="912" customWidth="1"/>
    <col min="7432" max="7432" width="21.7109375" style="912" customWidth="1"/>
    <col min="7433" max="7433" width="27" style="912" customWidth="1"/>
    <col min="7434" max="7434" width="17.140625" style="912" bestFit="1" customWidth="1"/>
    <col min="7435" max="7435" width="9.140625" style="912"/>
    <col min="7436" max="7436" width="17.140625" style="912" bestFit="1" customWidth="1"/>
    <col min="7437" max="7680" width="9.140625" style="912"/>
    <col min="7681" max="7681" width="15.5703125" style="912" customWidth="1"/>
    <col min="7682" max="7682" width="33.5703125" style="912" customWidth="1"/>
    <col min="7683" max="7683" width="21.140625" style="912" customWidth="1"/>
    <col min="7684" max="7684" width="27" style="912" customWidth="1"/>
    <col min="7685" max="7685" width="85.7109375" style="912" customWidth="1"/>
    <col min="7686" max="7686" width="20.42578125" style="912" customWidth="1"/>
    <col min="7687" max="7687" width="20.5703125" style="912" customWidth="1"/>
    <col min="7688" max="7688" width="21.7109375" style="912" customWidth="1"/>
    <col min="7689" max="7689" width="27" style="912" customWidth="1"/>
    <col min="7690" max="7690" width="17.140625" style="912" bestFit="1" customWidth="1"/>
    <col min="7691" max="7691" width="9.140625" style="912"/>
    <col min="7692" max="7692" width="17.140625" style="912" bestFit="1" customWidth="1"/>
    <col min="7693" max="7936" width="9.140625" style="912"/>
    <col min="7937" max="7937" width="15.5703125" style="912" customWidth="1"/>
    <col min="7938" max="7938" width="33.5703125" style="912" customWidth="1"/>
    <col min="7939" max="7939" width="21.140625" style="912" customWidth="1"/>
    <col min="7940" max="7940" width="27" style="912" customWidth="1"/>
    <col min="7941" max="7941" width="85.7109375" style="912" customWidth="1"/>
    <col min="7942" max="7942" width="20.42578125" style="912" customWidth="1"/>
    <col min="7943" max="7943" width="20.5703125" style="912" customWidth="1"/>
    <col min="7944" max="7944" width="21.7109375" style="912" customWidth="1"/>
    <col min="7945" max="7945" width="27" style="912" customWidth="1"/>
    <col min="7946" max="7946" width="17.140625" style="912" bestFit="1" customWidth="1"/>
    <col min="7947" max="7947" width="9.140625" style="912"/>
    <col min="7948" max="7948" width="17.140625" style="912" bestFit="1" customWidth="1"/>
    <col min="7949" max="8192" width="9.140625" style="912"/>
    <col min="8193" max="8193" width="15.5703125" style="912" customWidth="1"/>
    <col min="8194" max="8194" width="33.5703125" style="912" customWidth="1"/>
    <col min="8195" max="8195" width="21.140625" style="912" customWidth="1"/>
    <col min="8196" max="8196" width="27" style="912" customWidth="1"/>
    <col min="8197" max="8197" width="85.7109375" style="912" customWidth="1"/>
    <col min="8198" max="8198" width="20.42578125" style="912" customWidth="1"/>
    <col min="8199" max="8199" width="20.5703125" style="912" customWidth="1"/>
    <col min="8200" max="8200" width="21.7109375" style="912" customWidth="1"/>
    <col min="8201" max="8201" width="27" style="912" customWidth="1"/>
    <col min="8202" max="8202" width="17.140625" style="912" bestFit="1" customWidth="1"/>
    <col min="8203" max="8203" width="9.140625" style="912"/>
    <col min="8204" max="8204" width="17.140625" style="912" bestFit="1" customWidth="1"/>
    <col min="8205" max="8448" width="9.140625" style="912"/>
    <col min="8449" max="8449" width="15.5703125" style="912" customWidth="1"/>
    <col min="8450" max="8450" width="33.5703125" style="912" customWidth="1"/>
    <col min="8451" max="8451" width="21.140625" style="912" customWidth="1"/>
    <col min="8452" max="8452" width="27" style="912" customWidth="1"/>
    <col min="8453" max="8453" width="85.7109375" style="912" customWidth="1"/>
    <col min="8454" max="8454" width="20.42578125" style="912" customWidth="1"/>
    <col min="8455" max="8455" width="20.5703125" style="912" customWidth="1"/>
    <col min="8456" max="8456" width="21.7109375" style="912" customWidth="1"/>
    <col min="8457" max="8457" width="27" style="912" customWidth="1"/>
    <col min="8458" max="8458" width="17.140625" style="912" bestFit="1" customWidth="1"/>
    <col min="8459" max="8459" width="9.140625" style="912"/>
    <col min="8460" max="8460" width="17.140625" style="912" bestFit="1" customWidth="1"/>
    <col min="8461" max="8704" width="9.140625" style="912"/>
    <col min="8705" max="8705" width="15.5703125" style="912" customWidth="1"/>
    <col min="8706" max="8706" width="33.5703125" style="912" customWidth="1"/>
    <col min="8707" max="8707" width="21.140625" style="912" customWidth="1"/>
    <col min="8708" max="8708" width="27" style="912" customWidth="1"/>
    <col min="8709" max="8709" width="85.7109375" style="912" customWidth="1"/>
    <col min="8710" max="8710" width="20.42578125" style="912" customWidth="1"/>
    <col min="8711" max="8711" width="20.5703125" style="912" customWidth="1"/>
    <col min="8712" max="8712" width="21.7109375" style="912" customWidth="1"/>
    <col min="8713" max="8713" width="27" style="912" customWidth="1"/>
    <col min="8714" max="8714" width="17.140625" style="912" bestFit="1" customWidth="1"/>
    <col min="8715" max="8715" width="9.140625" style="912"/>
    <col min="8716" max="8716" width="17.140625" style="912" bestFit="1" customWidth="1"/>
    <col min="8717" max="8960" width="9.140625" style="912"/>
    <col min="8961" max="8961" width="15.5703125" style="912" customWidth="1"/>
    <col min="8962" max="8962" width="33.5703125" style="912" customWidth="1"/>
    <col min="8963" max="8963" width="21.140625" style="912" customWidth="1"/>
    <col min="8964" max="8964" width="27" style="912" customWidth="1"/>
    <col min="8965" max="8965" width="85.7109375" style="912" customWidth="1"/>
    <col min="8966" max="8966" width="20.42578125" style="912" customWidth="1"/>
    <col min="8967" max="8967" width="20.5703125" style="912" customWidth="1"/>
    <col min="8968" max="8968" width="21.7109375" style="912" customWidth="1"/>
    <col min="8969" max="8969" width="27" style="912" customWidth="1"/>
    <col min="8970" max="8970" width="17.140625" style="912" bestFit="1" customWidth="1"/>
    <col min="8971" max="8971" width="9.140625" style="912"/>
    <col min="8972" max="8972" width="17.140625" style="912" bestFit="1" customWidth="1"/>
    <col min="8973" max="9216" width="9.140625" style="912"/>
    <col min="9217" max="9217" width="15.5703125" style="912" customWidth="1"/>
    <col min="9218" max="9218" width="33.5703125" style="912" customWidth="1"/>
    <col min="9219" max="9219" width="21.140625" style="912" customWidth="1"/>
    <col min="9220" max="9220" width="27" style="912" customWidth="1"/>
    <col min="9221" max="9221" width="85.7109375" style="912" customWidth="1"/>
    <col min="9222" max="9222" width="20.42578125" style="912" customWidth="1"/>
    <col min="9223" max="9223" width="20.5703125" style="912" customWidth="1"/>
    <col min="9224" max="9224" width="21.7109375" style="912" customWidth="1"/>
    <col min="9225" max="9225" width="27" style="912" customWidth="1"/>
    <col min="9226" max="9226" width="17.140625" style="912" bestFit="1" customWidth="1"/>
    <col min="9227" max="9227" width="9.140625" style="912"/>
    <col min="9228" max="9228" width="17.140625" style="912" bestFit="1" customWidth="1"/>
    <col min="9229" max="9472" width="9.140625" style="912"/>
    <col min="9473" max="9473" width="15.5703125" style="912" customWidth="1"/>
    <col min="9474" max="9474" width="33.5703125" style="912" customWidth="1"/>
    <col min="9475" max="9475" width="21.140625" style="912" customWidth="1"/>
    <col min="9476" max="9476" width="27" style="912" customWidth="1"/>
    <col min="9477" max="9477" width="85.7109375" style="912" customWidth="1"/>
    <col min="9478" max="9478" width="20.42578125" style="912" customWidth="1"/>
    <col min="9479" max="9479" width="20.5703125" style="912" customWidth="1"/>
    <col min="9480" max="9480" width="21.7109375" style="912" customWidth="1"/>
    <col min="9481" max="9481" width="27" style="912" customWidth="1"/>
    <col min="9482" max="9482" width="17.140625" style="912" bestFit="1" customWidth="1"/>
    <col min="9483" max="9483" width="9.140625" style="912"/>
    <col min="9484" max="9484" width="17.140625" style="912" bestFit="1" customWidth="1"/>
    <col min="9485" max="9728" width="9.140625" style="912"/>
    <col min="9729" max="9729" width="15.5703125" style="912" customWidth="1"/>
    <col min="9730" max="9730" width="33.5703125" style="912" customWidth="1"/>
    <col min="9731" max="9731" width="21.140625" style="912" customWidth="1"/>
    <col min="9732" max="9732" width="27" style="912" customWidth="1"/>
    <col min="9733" max="9733" width="85.7109375" style="912" customWidth="1"/>
    <col min="9734" max="9734" width="20.42578125" style="912" customWidth="1"/>
    <col min="9735" max="9735" width="20.5703125" style="912" customWidth="1"/>
    <col min="9736" max="9736" width="21.7109375" style="912" customWidth="1"/>
    <col min="9737" max="9737" width="27" style="912" customWidth="1"/>
    <col min="9738" max="9738" width="17.140625" style="912" bestFit="1" customWidth="1"/>
    <col min="9739" max="9739" width="9.140625" style="912"/>
    <col min="9740" max="9740" width="17.140625" style="912" bestFit="1" customWidth="1"/>
    <col min="9741" max="9984" width="9.140625" style="912"/>
    <col min="9985" max="9985" width="15.5703125" style="912" customWidth="1"/>
    <col min="9986" max="9986" width="33.5703125" style="912" customWidth="1"/>
    <col min="9987" max="9987" width="21.140625" style="912" customWidth="1"/>
    <col min="9988" max="9988" width="27" style="912" customWidth="1"/>
    <col min="9989" max="9989" width="85.7109375" style="912" customWidth="1"/>
    <col min="9990" max="9990" width="20.42578125" style="912" customWidth="1"/>
    <col min="9991" max="9991" width="20.5703125" style="912" customWidth="1"/>
    <col min="9992" max="9992" width="21.7109375" style="912" customWidth="1"/>
    <col min="9993" max="9993" width="27" style="912" customWidth="1"/>
    <col min="9994" max="9994" width="17.140625" style="912" bestFit="1" customWidth="1"/>
    <col min="9995" max="9995" width="9.140625" style="912"/>
    <col min="9996" max="9996" width="17.140625" style="912" bestFit="1" customWidth="1"/>
    <col min="9997" max="10240" width="9.140625" style="912"/>
    <col min="10241" max="10241" width="15.5703125" style="912" customWidth="1"/>
    <col min="10242" max="10242" width="33.5703125" style="912" customWidth="1"/>
    <col min="10243" max="10243" width="21.140625" style="912" customWidth="1"/>
    <col min="10244" max="10244" width="27" style="912" customWidth="1"/>
    <col min="10245" max="10245" width="85.7109375" style="912" customWidth="1"/>
    <col min="10246" max="10246" width="20.42578125" style="912" customWidth="1"/>
    <col min="10247" max="10247" width="20.5703125" style="912" customWidth="1"/>
    <col min="10248" max="10248" width="21.7109375" style="912" customWidth="1"/>
    <col min="10249" max="10249" width="27" style="912" customWidth="1"/>
    <col min="10250" max="10250" width="17.140625" style="912" bestFit="1" customWidth="1"/>
    <col min="10251" max="10251" width="9.140625" style="912"/>
    <col min="10252" max="10252" width="17.140625" style="912" bestFit="1" customWidth="1"/>
    <col min="10253" max="10496" width="9.140625" style="912"/>
    <col min="10497" max="10497" width="15.5703125" style="912" customWidth="1"/>
    <col min="10498" max="10498" width="33.5703125" style="912" customWidth="1"/>
    <col min="10499" max="10499" width="21.140625" style="912" customWidth="1"/>
    <col min="10500" max="10500" width="27" style="912" customWidth="1"/>
    <col min="10501" max="10501" width="85.7109375" style="912" customWidth="1"/>
    <col min="10502" max="10502" width="20.42578125" style="912" customWidth="1"/>
    <col min="10503" max="10503" width="20.5703125" style="912" customWidth="1"/>
    <col min="10504" max="10504" width="21.7109375" style="912" customWidth="1"/>
    <col min="10505" max="10505" width="27" style="912" customWidth="1"/>
    <col min="10506" max="10506" width="17.140625" style="912" bestFit="1" customWidth="1"/>
    <col min="10507" max="10507" width="9.140625" style="912"/>
    <col min="10508" max="10508" width="17.140625" style="912" bestFit="1" customWidth="1"/>
    <col min="10509" max="10752" width="9.140625" style="912"/>
    <col min="10753" max="10753" width="15.5703125" style="912" customWidth="1"/>
    <col min="10754" max="10754" width="33.5703125" style="912" customWidth="1"/>
    <col min="10755" max="10755" width="21.140625" style="912" customWidth="1"/>
    <col min="10756" max="10756" width="27" style="912" customWidth="1"/>
    <col min="10757" max="10757" width="85.7109375" style="912" customWidth="1"/>
    <col min="10758" max="10758" width="20.42578125" style="912" customWidth="1"/>
    <col min="10759" max="10759" width="20.5703125" style="912" customWidth="1"/>
    <col min="10760" max="10760" width="21.7109375" style="912" customWidth="1"/>
    <col min="10761" max="10761" width="27" style="912" customWidth="1"/>
    <col min="10762" max="10762" width="17.140625" style="912" bestFit="1" customWidth="1"/>
    <col min="10763" max="10763" width="9.140625" style="912"/>
    <col min="10764" max="10764" width="17.140625" style="912" bestFit="1" customWidth="1"/>
    <col min="10765" max="11008" width="9.140625" style="912"/>
    <col min="11009" max="11009" width="15.5703125" style="912" customWidth="1"/>
    <col min="11010" max="11010" width="33.5703125" style="912" customWidth="1"/>
    <col min="11011" max="11011" width="21.140625" style="912" customWidth="1"/>
    <col min="11012" max="11012" width="27" style="912" customWidth="1"/>
    <col min="11013" max="11013" width="85.7109375" style="912" customWidth="1"/>
    <col min="11014" max="11014" width="20.42578125" style="912" customWidth="1"/>
    <col min="11015" max="11015" width="20.5703125" style="912" customWidth="1"/>
    <col min="11016" max="11016" width="21.7109375" style="912" customWidth="1"/>
    <col min="11017" max="11017" width="27" style="912" customWidth="1"/>
    <col min="11018" max="11018" width="17.140625" style="912" bestFit="1" customWidth="1"/>
    <col min="11019" max="11019" width="9.140625" style="912"/>
    <col min="11020" max="11020" width="17.140625" style="912" bestFit="1" customWidth="1"/>
    <col min="11021" max="11264" width="9.140625" style="912"/>
    <col min="11265" max="11265" width="15.5703125" style="912" customWidth="1"/>
    <col min="11266" max="11266" width="33.5703125" style="912" customWidth="1"/>
    <col min="11267" max="11267" width="21.140625" style="912" customWidth="1"/>
    <col min="11268" max="11268" width="27" style="912" customWidth="1"/>
    <col min="11269" max="11269" width="85.7109375" style="912" customWidth="1"/>
    <col min="11270" max="11270" width="20.42578125" style="912" customWidth="1"/>
    <col min="11271" max="11271" width="20.5703125" style="912" customWidth="1"/>
    <col min="11272" max="11272" width="21.7109375" style="912" customWidth="1"/>
    <col min="11273" max="11273" width="27" style="912" customWidth="1"/>
    <col min="11274" max="11274" width="17.140625" style="912" bestFit="1" customWidth="1"/>
    <col min="11275" max="11275" width="9.140625" style="912"/>
    <col min="11276" max="11276" width="17.140625" style="912" bestFit="1" customWidth="1"/>
    <col min="11277" max="11520" width="9.140625" style="912"/>
    <col min="11521" max="11521" width="15.5703125" style="912" customWidth="1"/>
    <col min="11522" max="11522" width="33.5703125" style="912" customWidth="1"/>
    <col min="11523" max="11523" width="21.140625" style="912" customWidth="1"/>
    <col min="11524" max="11524" width="27" style="912" customWidth="1"/>
    <col min="11525" max="11525" width="85.7109375" style="912" customWidth="1"/>
    <col min="11526" max="11526" width="20.42578125" style="912" customWidth="1"/>
    <col min="11527" max="11527" width="20.5703125" style="912" customWidth="1"/>
    <col min="11528" max="11528" width="21.7109375" style="912" customWidth="1"/>
    <col min="11529" max="11529" width="27" style="912" customWidth="1"/>
    <col min="11530" max="11530" width="17.140625" style="912" bestFit="1" customWidth="1"/>
    <col min="11531" max="11531" width="9.140625" style="912"/>
    <col min="11532" max="11532" width="17.140625" style="912" bestFit="1" customWidth="1"/>
    <col min="11533" max="11776" width="9.140625" style="912"/>
    <col min="11777" max="11777" width="15.5703125" style="912" customWidth="1"/>
    <col min="11778" max="11778" width="33.5703125" style="912" customWidth="1"/>
    <col min="11779" max="11779" width="21.140625" style="912" customWidth="1"/>
    <col min="11780" max="11780" width="27" style="912" customWidth="1"/>
    <col min="11781" max="11781" width="85.7109375" style="912" customWidth="1"/>
    <col min="11782" max="11782" width="20.42578125" style="912" customWidth="1"/>
    <col min="11783" max="11783" width="20.5703125" style="912" customWidth="1"/>
    <col min="11784" max="11784" width="21.7109375" style="912" customWidth="1"/>
    <col min="11785" max="11785" width="27" style="912" customWidth="1"/>
    <col min="11786" max="11786" width="17.140625" style="912" bestFit="1" customWidth="1"/>
    <col min="11787" max="11787" width="9.140625" style="912"/>
    <col min="11788" max="11788" width="17.140625" style="912" bestFit="1" customWidth="1"/>
    <col min="11789" max="12032" width="9.140625" style="912"/>
    <col min="12033" max="12033" width="15.5703125" style="912" customWidth="1"/>
    <col min="12034" max="12034" width="33.5703125" style="912" customWidth="1"/>
    <col min="12035" max="12035" width="21.140625" style="912" customWidth="1"/>
    <col min="12036" max="12036" width="27" style="912" customWidth="1"/>
    <col min="12037" max="12037" width="85.7109375" style="912" customWidth="1"/>
    <col min="12038" max="12038" width="20.42578125" style="912" customWidth="1"/>
    <col min="12039" max="12039" width="20.5703125" style="912" customWidth="1"/>
    <col min="12040" max="12040" width="21.7109375" style="912" customWidth="1"/>
    <col min="12041" max="12041" width="27" style="912" customWidth="1"/>
    <col min="12042" max="12042" width="17.140625" style="912" bestFit="1" customWidth="1"/>
    <col min="12043" max="12043" width="9.140625" style="912"/>
    <col min="12044" max="12044" width="17.140625" style="912" bestFit="1" customWidth="1"/>
    <col min="12045" max="12288" width="9.140625" style="912"/>
    <col min="12289" max="12289" width="15.5703125" style="912" customWidth="1"/>
    <col min="12290" max="12290" width="33.5703125" style="912" customWidth="1"/>
    <col min="12291" max="12291" width="21.140625" style="912" customWidth="1"/>
    <col min="12292" max="12292" width="27" style="912" customWidth="1"/>
    <col min="12293" max="12293" width="85.7109375" style="912" customWidth="1"/>
    <col min="12294" max="12294" width="20.42578125" style="912" customWidth="1"/>
    <col min="12295" max="12295" width="20.5703125" style="912" customWidth="1"/>
    <col min="12296" max="12296" width="21.7109375" style="912" customWidth="1"/>
    <col min="12297" max="12297" width="27" style="912" customWidth="1"/>
    <col min="12298" max="12298" width="17.140625" style="912" bestFit="1" customWidth="1"/>
    <col min="12299" max="12299" width="9.140625" style="912"/>
    <col min="12300" max="12300" width="17.140625" style="912" bestFit="1" customWidth="1"/>
    <col min="12301" max="12544" width="9.140625" style="912"/>
    <col min="12545" max="12545" width="15.5703125" style="912" customWidth="1"/>
    <col min="12546" max="12546" width="33.5703125" style="912" customWidth="1"/>
    <col min="12547" max="12547" width="21.140625" style="912" customWidth="1"/>
    <col min="12548" max="12548" width="27" style="912" customWidth="1"/>
    <col min="12549" max="12549" width="85.7109375" style="912" customWidth="1"/>
    <col min="12550" max="12550" width="20.42578125" style="912" customWidth="1"/>
    <col min="12551" max="12551" width="20.5703125" style="912" customWidth="1"/>
    <col min="12552" max="12552" width="21.7109375" style="912" customWidth="1"/>
    <col min="12553" max="12553" width="27" style="912" customWidth="1"/>
    <col min="12554" max="12554" width="17.140625" style="912" bestFit="1" customWidth="1"/>
    <col min="12555" max="12555" width="9.140625" style="912"/>
    <col min="12556" max="12556" width="17.140625" style="912" bestFit="1" customWidth="1"/>
    <col min="12557" max="12800" width="9.140625" style="912"/>
    <col min="12801" max="12801" width="15.5703125" style="912" customWidth="1"/>
    <col min="12802" max="12802" width="33.5703125" style="912" customWidth="1"/>
    <col min="12803" max="12803" width="21.140625" style="912" customWidth="1"/>
    <col min="12804" max="12804" width="27" style="912" customWidth="1"/>
    <col min="12805" max="12805" width="85.7109375" style="912" customWidth="1"/>
    <col min="12806" max="12806" width="20.42578125" style="912" customWidth="1"/>
    <col min="12807" max="12807" width="20.5703125" style="912" customWidth="1"/>
    <col min="12808" max="12808" width="21.7109375" style="912" customWidth="1"/>
    <col min="12809" max="12809" width="27" style="912" customWidth="1"/>
    <col min="12810" max="12810" width="17.140625" style="912" bestFit="1" customWidth="1"/>
    <col min="12811" max="12811" width="9.140625" style="912"/>
    <col min="12812" max="12812" width="17.140625" style="912" bestFit="1" customWidth="1"/>
    <col min="12813" max="13056" width="9.140625" style="912"/>
    <col min="13057" max="13057" width="15.5703125" style="912" customWidth="1"/>
    <col min="13058" max="13058" width="33.5703125" style="912" customWidth="1"/>
    <col min="13059" max="13059" width="21.140625" style="912" customWidth="1"/>
    <col min="13060" max="13060" width="27" style="912" customWidth="1"/>
    <col min="13061" max="13061" width="85.7109375" style="912" customWidth="1"/>
    <col min="13062" max="13062" width="20.42578125" style="912" customWidth="1"/>
    <col min="13063" max="13063" width="20.5703125" style="912" customWidth="1"/>
    <col min="13064" max="13064" width="21.7109375" style="912" customWidth="1"/>
    <col min="13065" max="13065" width="27" style="912" customWidth="1"/>
    <col min="13066" max="13066" width="17.140625" style="912" bestFit="1" customWidth="1"/>
    <col min="13067" max="13067" width="9.140625" style="912"/>
    <col min="13068" max="13068" width="17.140625" style="912" bestFit="1" customWidth="1"/>
    <col min="13069" max="13312" width="9.140625" style="912"/>
    <col min="13313" max="13313" width="15.5703125" style="912" customWidth="1"/>
    <col min="13314" max="13314" width="33.5703125" style="912" customWidth="1"/>
    <col min="13315" max="13315" width="21.140625" style="912" customWidth="1"/>
    <col min="13316" max="13316" width="27" style="912" customWidth="1"/>
    <col min="13317" max="13317" width="85.7109375" style="912" customWidth="1"/>
    <col min="13318" max="13318" width="20.42578125" style="912" customWidth="1"/>
    <col min="13319" max="13319" width="20.5703125" style="912" customWidth="1"/>
    <col min="13320" max="13320" width="21.7109375" style="912" customWidth="1"/>
    <col min="13321" max="13321" width="27" style="912" customWidth="1"/>
    <col min="13322" max="13322" width="17.140625" style="912" bestFit="1" customWidth="1"/>
    <col min="13323" max="13323" width="9.140625" style="912"/>
    <col min="13324" max="13324" width="17.140625" style="912" bestFit="1" customWidth="1"/>
    <col min="13325" max="13568" width="9.140625" style="912"/>
    <col min="13569" max="13569" width="15.5703125" style="912" customWidth="1"/>
    <col min="13570" max="13570" width="33.5703125" style="912" customWidth="1"/>
    <col min="13571" max="13571" width="21.140625" style="912" customWidth="1"/>
    <col min="13572" max="13572" width="27" style="912" customWidth="1"/>
    <col min="13573" max="13573" width="85.7109375" style="912" customWidth="1"/>
    <col min="13574" max="13574" width="20.42578125" style="912" customWidth="1"/>
    <col min="13575" max="13575" width="20.5703125" style="912" customWidth="1"/>
    <col min="13576" max="13576" width="21.7109375" style="912" customWidth="1"/>
    <col min="13577" max="13577" width="27" style="912" customWidth="1"/>
    <col min="13578" max="13578" width="17.140625" style="912" bestFit="1" customWidth="1"/>
    <col min="13579" max="13579" width="9.140625" style="912"/>
    <col min="13580" max="13580" width="17.140625" style="912" bestFit="1" customWidth="1"/>
    <col min="13581" max="13824" width="9.140625" style="912"/>
    <col min="13825" max="13825" width="15.5703125" style="912" customWidth="1"/>
    <col min="13826" max="13826" width="33.5703125" style="912" customWidth="1"/>
    <col min="13827" max="13827" width="21.140625" style="912" customWidth="1"/>
    <col min="13828" max="13828" width="27" style="912" customWidth="1"/>
    <col min="13829" max="13829" width="85.7109375" style="912" customWidth="1"/>
    <col min="13830" max="13830" width="20.42578125" style="912" customWidth="1"/>
    <col min="13831" max="13831" width="20.5703125" style="912" customWidth="1"/>
    <col min="13832" max="13832" width="21.7109375" style="912" customWidth="1"/>
    <col min="13833" max="13833" width="27" style="912" customWidth="1"/>
    <col min="13834" max="13834" width="17.140625" style="912" bestFit="1" customWidth="1"/>
    <col min="13835" max="13835" width="9.140625" style="912"/>
    <col min="13836" max="13836" width="17.140625" style="912" bestFit="1" customWidth="1"/>
    <col min="13837" max="14080" width="9.140625" style="912"/>
    <col min="14081" max="14081" width="15.5703125" style="912" customWidth="1"/>
    <col min="14082" max="14082" width="33.5703125" style="912" customWidth="1"/>
    <col min="14083" max="14083" width="21.140625" style="912" customWidth="1"/>
    <col min="14084" max="14084" width="27" style="912" customWidth="1"/>
    <col min="14085" max="14085" width="85.7109375" style="912" customWidth="1"/>
    <col min="14086" max="14086" width="20.42578125" style="912" customWidth="1"/>
    <col min="14087" max="14087" width="20.5703125" style="912" customWidth="1"/>
    <col min="14088" max="14088" width="21.7109375" style="912" customWidth="1"/>
    <col min="14089" max="14089" width="27" style="912" customWidth="1"/>
    <col min="14090" max="14090" width="17.140625" style="912" bestFit="1" customWidth="1"/>
    <col min="14091" max="14091" width="9.140625" style="912"/>
    <col min="14092" max="14092" width="17.140625" style="912" bestFit="1" customWidth="1"/>
    <col min="14093" max="14336" width="9.140625" style="912"/>
    <col min="14337" max="14337" width="15.5703125" style="912" customWidth="1"/>
    <col min="14338" max="14338" width="33.5703125" style="912" customWidth="1"/>
    <col min="14339" max="14339" width="21.140625" style="912" customWidth="1"/>
    <col min="14340" max="14340" width="27" style="912" customWidth="1"/>
    <col min="14341" max="14341" width="85.7109375" style="912" customWidth="1"/>
    <col min="14342" max="14342" width="20.42578125" style="912" customWidth="1"/>
    <col min="14343" max="14343" width="20.5703125" style="912" customWidth="1"/>
    <col min="14344" max="14344" width="21.7109375" style="912" customWidth="1"/>
    <col min="14345" max="14345" width="27" style="912" customWidth="1"/>
    <col min="14346" max="14346" width="17.140625" style="912" bestFit="1" customWidth="1"/>
    <col min="14347" max="14347" width="9.140625" style="912"/>
    <col min="14348" max="14348" width="17.140625" style="912" bestFit="1" customWidth="1"/>
    <col min="14349" max="14592" width="9.140625" style="912"/>
    <col min="14593" max="14593" width="15.5703125" style="912" customWidth="1"/>
    <col min="14594" max="14594" width="33.5703125" style="912" customWidth="1"/>
    <col min="14595" max="14595" width="21.140625" style="912" customWidth="1"/>
    <col min="14596" max="14596" width="27" style="912" customWidth="1"/>
    <col min="14597" max="14597" width="85.7109375" style="912" customWidth="1"/>
    <col min="14598" max="14598" width="20.42578125" style="912" customWidth="1"/>
    <col min="14599" max="14599" width="20.5703125" style="912" customWidth="1"/>
    <col min="14600" max="14600" width="21.7109375" style="912" customWidth="1"/>
    <col min="14601" max="14601" width="27" style="912" customWidth="1"/>
    <col min="14602" max="14602" width="17.140625" style="912" bestFit="1" customWidth="1"/>
    <col min="14603" max="14603" width="9.140625" style="912"/>
    <col min="14604" max="14604" width="17.140625" style="912" bestFit="1" customWidth="1"/>
    <col min="14605" max="14848" width="9.140625" style="912"/>
    <col min="14849" max="14849" width="15.5703125" style="912" customWidth="1"/>
    <col min="14850" max="14850" width="33.5703125" style="912" customWidth="1"/>
    <col min="14851" max="14851" width="21.140625" style="912" customWidth="1"/>
    <col min="14852" max="14852" width="27" style="912" customWidth="1"/>
    <col min="14853" max="14853" width="85.7109375" style="912" customWidth="1"/>
    <col min="14854" max="14854" width="20.42578125" style="912" customWidth="1"/>
    <col min="14855" max="14855" width="20.5703125" style="912" customWidth="1"/>
    <col min="14856" max="14856" width="21.7109375" style="912" customWidth="1"/>
    <col min="14857" max="14857" width="27" style="912" customWidth="1"/>
    <col min="14858" max="14858" width="17.140625" style="912" bestFit="1" customWidth="1"/>
    <col min="14859" max="14859" width="9.140625" style="912"/>
    <col min="14860" max="14860" width="17.140625" style="912" bestFit="1" customWidth="1"/>
    <col min="14861" max="15104" width="9.140625" style="912"/>
    <col min="15105" max="15105" width="15.5703125" style="912" customWidth="1"/>
    <col min="15106" max="15106" width="33.5703125" style="912" customWidth="1"/>
    <col min="15107" max="15107" width="21.140625" style="912" customWidth="1"/>
    <col min="15108" max="15108" width="27" style="912" customWidth="1"/>
    <col min="15109" max="15109" width="85.7109375" style="912" customWidth="1"/>
    <col min="15110" max="15110" width="20.42578125" style="912" customWidth="1"/>
    <col min="15111" max="15111" width="20.5703125" style="912" customWidth="1"/>
    <col min="15112" max="15112" width="21.7109375" style="912" customWidth="1"/>
    <col min="15113" max="15113" width="27" style="912" customWidth="1"/>
    <col min="15114" max="15114" width="17.140625" style="912" bestFit="1" customWidth="1"/>
    <col min="15115" max="15115" width="9.140625" style="912"/>
    <col min="15116" max="15116" width="17.140625" style="912" bestFit="1" customWidth="1"/>
    <col min="15117" max="15360" width="9.140625" style="912"/>
    <col min="15361" max="15361" width="15.5703125" style="912" customWidth="1"/>
    <col min="15362" max="15362" width="33.5703125" style="912" customWidth="1"/>
    <col min="15363" max="15363" width="21.140625" style="912" customWidth="1"/>
    <col min="15364" max="15364" width="27" style="912" customWidth="1"/>
    <col min="15365" max="15365" width="85.7109375" style="912" customWidth="1"/>
    <col min="15366" max="15366" width="20.42578125" style="912" customWidth="1"/>
    <col min="15367" max="15367" width="20.5703125" style="912" customWidth="1"/>
    <col min="15368" max="15368" width="21.7109375" style="912" customWidth="1"/>
    <col min="15369" max="15369" width="27" style="912" customWidth="1"/>
    <col min="15370" max="15370" width="17.140625" style="912" bestFit="1" customWidth="1"/>
    <col min="15371" max="15371" width="9.140625" style="912"/>
    <col min="15372" max="15372" width="17.140625" style="912" bestFit="1" customWidth="1"/>
    <col min="15373" max="15616" width="9.140625" style="912"/>
    <col min="15617" max="15617" width="15.5703125" style="912" customWidth="1"/>
    <col min="15618" max="15618" width="33.5703125" style="912" customWidth="1"/>
    <col min="15619" max="15619" width="21.140625" style="912" customWidth="1"/>
    <col min="15620" max="15620" width="27" style="912" customWidth="1"/>
    <col min="15621" max="15621" width="85.7109375" style="912" customWidth="1"/>
    <col min="15622" max="15622" width="20.42578125" style="912" customWidth="1"/>
    <col min="15623" max="15623" width="20.5703125" style="912" customWidth="1"/>
    <col min="15624" max="15624" width="21.7109375" style="912" customWidth="1"/>
    <col min="15625" max="15625" width="27" style="912" customWidth="1"/>
    <col min="15626" max="15626" width="17.140625" style="912" bestFit="1" customWidth="1"/>
    <col min="15627" max="15627" width="9.140625" style="912"/>
    <col min="15628" max="15628" width="17.140625" style="912" bestFit="1" customWidth="1"/>
    <col min="15629" max="15872" width="9.140625" style="912"/>
    <col min="15873" max="15873" width="15.5703125" style="912" customWidth="1"/>
    <col min="15874" max="15874" width="33.5703125" style="912" customWidth="1"/>
    <col min="15875" max="15875" width="21.140625" style="912" customWidth="1"/>
    <col min="15876" max="15876" width="27" style="912" customWidth="1"/>
    <col min="15877" max="15877" width="85.7109375" style="912" customWidth="1"/>
    <col min="15878" max="15878" width="20.42578125" style="912" customWidth="1"/>
    <col min="15879" max="15879" width="20.5703125" style="912" customWidth="1"/>
    <col min="15880" max="15880" width="21.7109375" style="912" customWidth="1"/>
    <col min="15881" max="15881" width="27" style="912" customWidth="1"/>
    <col min="15882" max="15882" width="17.140625" style="912" bestFit="1" customWidth="1"/>
    <col min="15883" max="15883" width="9.140625" style="912"/>
    <col min="15884" max="15884" width="17.140625" style="912" bestFit="1" customWidth="1"/>
    <col min="15885" max="16128" width="9.140625" style="912"/>
    <col min="16129" max="16129" width="15.5703125" style="912" customWidth="1"/>
    <col min="16130" max="16130" width="33.5703125" style="912" customWidth="1"/>
    <col min="16131" max="16131" width="21.140625" style="912" customWidth="1"/>
    <col min="16132" max="16132" width="27" style="912" customWidth="1"/>
    <col min="16133" max="16133" width="85.7109375" style="912" customWidth="1"/>
    <col min="16134" max="16134" width="20.42578125" style="912" customWidth="1"/>
    <col min="16135" max="16135" width="20.5703125" style="912" customWidth="1"/>
    <col min="16136" max="16136" width="21.7109375" style="912" customWidth="1"/>
    <col min="16137" max="16137" width="27" style="912" customWidth="1"/>
    <col min="16138" max="16138" width="17.140625" style="912" bestFit="1" customWidth="1"/>
    <col min="16139" max="16139" width="9.140625" style="912"/>
    <col min="16140" max="16140" width="17.140625" style="912" bestFit="1" customWidth="1"/>
    <col min="16141" max="16384" width="9.140625" style="912"/>
  </cols>
  <sheetData>
    <row r="1" spans="1:12" s="910" customFormat="1" ht="24.75" customHeight="1">
      <c r="A1" s="1936"/>
      <c r="B1" s="1936"/>
      <c r="C1" s="1936"/>
      <c r="D1" s="1936"/>
      <c r="E1" s="1936"/>
      <c r="F1" s="1937"/>
      <c r="G1" s="1051" t="s">
        <v>123</v>
      </c>
      <c r="H1" s="1051" t="s">
        <v>124</v>
      </c>
      <c r="I1" s="1052"/>
      <c r="J1" s="1053"/>
    </row>
    <row r="2" spans="1:12" s="910" customFormat="1" ht="24" customHeight="1">
      <c r="A2" s="1938" t="s">
        <v>1845</v>
      </c>
      <c r="B2" s="1938"/>
      <c r="C2" s="1938"/>
      <c r="D2" s="1938"/>
      <c r="E2" s="1938"/>
      <c r="F2" s="1939"/>
      <c r="G2" s="1054"/>
      <c r="H2" s="1055"/>
      <c r="I2" s="1052"/>
      <c r="J2" s="1053"/>
    </row>
    <row r="3" spans="1:12" s="910" customFormat="1" ht="24" customHeight="1" thickBot="1">
      <c r="A3" s="1940" t="s">
        <v>1605</v>
      </c>
      <c r="B3" s="1940"/>
      <c r="C3" s="1056"/>
      <c r="D3" s="1057"/>
      <c r="E3" s="1058"/>
      <c r="F3" s="1059"/>
      <c r="G3" s="1054"/>
      <c r="H3" s="1054"/>
      <c r="I3" s="1052"/>
      <c r="J3" s="1053"/>
    </row>
    <row r="4" spans="1:12" s="911" customFormat="1" ht="34.5" customHeight="1" thickBot="1">
      <c r="A4" s="1060" t="s">
        <v>129</v>
      </c>
      <c r="B4" s="1060" t="s">
        <v>261</v>
      </c>
      <c r="C4" s="1061" t="s">
        <v>262</v>
      </c>
      <c r="D4" s="1061" t="s">
        <v>263</v>
      </c>
      <c r="E4" s="1060" t="s">
        <v>133</v>
      </c>
      <c r="F4" s="1062" t="s">
        <v>264</v>
      </c>
      <c r="G4" s="1063" t="s">
        <v>134</v>
      </c>
      <c r="H4" s="1062" t="s">
        <v>135</v>
      </c>
      <c r="I4" s="1064" t="s">
        <v>265</v>
      </c>
      <c r="J4" s="1065"/>
    </row>
    <row r="5" spans="1:12" ht="21.75" customHeight="1" thickBot="1">
      <c r="A5" s="1066" t="s">
        <v>266</v>
      </c>
      <c r="B5" s="1067"/>
      <c r="C5" s="1067"/>
      <c r="D5" s="1067"/>
      <c r="E5" s="1068"/>
      <c r="F5" s="1069"/>
      <c r="G5" s="1070">
        <v>0</v>
      </c>
      <c r="H5" s="1071"/>
      <c r="I5" s="1072"/>
      <c r="J5" s="1073"/>
    </row>
    <row r="6" spans="1:12" ht="33" hidden="1" customHeight="1" outlineLevel="1">
      <c r="A6" s="1074" t="s">
        <v>502</v>
      </c>
      <c r="B6" s="1075" t="s">
        <v>304</v>
      </c>
      <c r="C6" s="1075" t="s">
        <v>1606</v>
      </c>
      <c r="D6" s="1076" t="s">
        <v>1406</v>
      </c>
      <c r="E6" s="1077" t="s">
        <v>1607</v>
      </c>
      <c r="F6" s="1078"/>
      <c r="G6" s="1079">
        <v>30000000</v>
      </c>
      <c r="H6" s="1080"/>
      <c r="I6" s="1081"/>
      <c r="J6" s="1073"/>
    </row>
    <row r="7" spans="1:12" ht="33" hidden="1" customHeight="1" outlineLevel="1">
      <c r="A7" s="1074" t="s">
        <v>1348</v>
      </c>
      <c r="B7" s="1075" t="s">
        <v>1406</v>
      </c>
      <c r="C7" s="1075" t="s">
        <v>1606</v>
      </c>
      <c r="D7" s="1076" t="s">
        <v>1406</v>
      </c>
      <c r="E7" s="1077" t="s">
        <v>1608</v>
      </c>
      <c r="F7" s="1078" t="s">
        <v>1548</v>
      </c>
      <c r="G7" s="1082"/>
      <c r="H7" s="1083">
        <v>2453000</v>
      </c>
      <c r="I7" s="1081"/>
      <c r="J7" s="1073"/>
    </row>
    <row r="8" spans="1:12" ht="33" hidden="1" customHeight="1" outlineLevel="1">
      <c r="A8" s="1074" t="s">
        <v>508</v>
      </c>
      <c r="B8" s="1075" t="s">
        <v>1493</v>
      </c>
      <c r="C8" s="1075" t="s">
        <v>1606</v>
      </c>
      <c r="D8" s="1076" t="s">
        <v>1493</v>
      </c>
      <c r="E8" s="1077" t="s">
        <v>1609</v>
      </c>
      <c r="F8" s="1078" t="s">
        <v>271</v>
      </c>
      <c r="G8" s="1084"/>
      <c r="H8" s="1085">
        <v>3500000</v>
      </c>
      <c r="I8" s="1081"/>
      <c r="J8" s="1073"/>
    </row>
    <row r="9" spans="1:12" ht="39.75" hidden="1" customHeight="1" outlineLevel="1">
      <c r="A9" s="1074" t="s">
        <v>508</v>
      </c>
      <c r="B9" s="1075" t="s">
        <v>1610</v>
      </c>
      <c r="C9" s="1075" t="s">
        <v>1606</v>
      </c>
      <c r="D9" s="1076" t="s">
        <v>1611</v>
      </c>
      <c r="E9" s="1077" t="s">
        <v>1612</v>
      </c>
      <c r="F9" s="1078" t="s">
        <v>271</v>
      </c>
      <c r="G9" s="1082"/>
      <c r="H9" s="1083">
        <v>555000</v>
      </c>
      <c r="I9" s="1081"/>
      <c r="J9" s="1073"/>
    </row>
    <row r="10" spans="1:12" ht="33" hidden="1" customHeight="1" outlineLevel="1">
      <c r="A10" s="1074" t="s">
        <v>1210</v>
      </c>
      <c r="B10" s="1075" t="s">
        <v>1371</v>
      </c>
      <c r="C10" s="1075" t="s">
        <v>1606</v>
      </c>
      <c r="D10" s="1076" t="s">
        <v>1371</v>
      </c>
      <c r="E10" s="1077" t="s">
        <v>1613</v>
      </c>
      <c r="F10" s="1078" t="s">
        <v>271</v>
      </c>
      <c r="G10" s="1082"/>
      <c r="H10" s="1083">
        <v>560000</v>
      </c>
      <c r="I10" s="1081" t="s">
        <v>1614</v>
      </c>
      <c r="J10" s="1073"/>
    </row>
    <row r="11" spans="1:12" ht="39.75" hidden="1" customHeight="1" outlineLevel="1">
      <c r="A11" s="1074" t="s">
        <v>1210</v>
      </c>
      <c r="B11" s="1075" t="s">
        <v>1371</v>
      </c>
      <c r="C11" s="1075" t="s">
        <v>1606</v>
      </c>
      <c r="D11" s="1075" t="s">
        <v>1371</v>
      </c>
      <c r="E11" s="1077" t="s">
        <v>1418</v>
      </c>
      <c r="F11" s="1078" t="s">
        <v>1548</v>
      </c>
      <c r="G11" s="1086"/>
      <c r="H11" s="1083">
        <v>1000000</v>
      </c>
      <c r="I11" s="1081"/>
      <c r="J11" s="1073"/>
      <c r="L11" s="914" t="e">
        <f>#REF!+#REF!+#REF!+#REF!+H6+H7+#REF!+H13+H14+H15+H19+H20+H21+H24</f>
        <v>#REF!</v>
      </c>
    </row>
    <row r="12" spans="1:12" s="940" customFormat="1" ht="39.75" hidden="1" customHeight="1" outlineLevel="1">
      <c r="A12" s="1087" t="s">
        <v>1615</v>
      </c>
      <c r="B12" s="1088" t="s">
        <v>1371</v>
      </c>
      <c r="C12" s="1088" t="s">
        <v>1606</v>
      </c>
      <c r="D12" s="1089" t="s">
        <v>1371</v>
      </c>
      <c r="E12" s="1090" t="s">
        <v>1613</v>
      </c>
      <c r="F12" s="1091" t="s">
        <v>271</v>
      </c>
      <c r="G12" s="1084"/>
      <c r="H12" s="1092">
        <v>260000</v>
      </c>
      <c r="I12" s="1093" t="s">
        <v>1614</v>
      </c>
      <c r="J12" s="1094"/>
    </row>
    <row r="13" spans="1:12" s="940" customFormat="1" ht="39.75" hidden="1" customHeight="1" outlineLevel="1">
      <c r="A13" s="1087" t="s">
        <v>1615</v>
      </c>
      <c r="B13" s="1088" t="s">
        <v>1371</v>
      </c>
      <c r="C13" s="1088" t="s">
        <v>1606</v>
      </c>
      <c r="D13" s="1089" t="s">
        <v>1371</v>
      </c>
      <c r="E13" s="1090" t="s">
        <v>1418</v>
      </c>
      <c r="F13" s="1091" t="s">
        <v>1548</v>
      </c>
      <c r="G13" s="1084"/>
      <c r="H13" s="1092">
        <v>1013000</v>
      </c>
      <c r="I13" s="1093"/>
      <c r="J13" s="1094"/>
    </row>
    <row r="14" spans="1:12" s="940" customFormat="1" ht="33" hidden="1" customHeight="1" outlineLevel="1">
      <c r="A14" s="1087" t="s">
        <v>1615</v>
      </c>
      <c r="B14" s="1088" t="s">
        <v>1616</v>
      </c>
      <c r="C14" s="1088" t="s">
        <v>1606</v>
      </c>
      <c r="D14" s="1089" t="s">
        <v>1374</v>
      </c>
      <c r="E14" s="1090" t="s">
        <v>1617</v>
      </c>
      <c r="F14" s="1091" t="s">
        <v>271</v>
      </c>
      <c r="G14" s="1084"/>
      <c r="H14" s="1092">
        <v>2000000</v>
      </c>
      <c r="I14" s="1093"/>
      <c r="J14" s="1094"/>
    </row>
    <row r="15" spans="1:12" s="940" customFormat="1" ht="26.25" hidden="1" customHeight="1" outlineLevel="1">
      <c r="A15" s="1087" t="s">
        <v>1618</v>
      </c>
      <c r="B15" s="1088" t="s">
        <v>1371</v>
      </c>
      <c r="C15" s="1088" t="s">
        <v>1606</v>
      </c>
      <c r="D15" s="1089" t="s">
        <v>1371</v>
      </c>
      <c r="E15" s="1090" t="s">
        <v>1619</v>
      </c>
      <c r="F15" s="1091" t="s">
        <v>271</v>
      </c>
      <c r="G15" s="1084"/>
      <c r="H15" s="1092">
        <v>330000</v>
      </c>
      <c r="I15" s="1093"/>
      <c r="J15" s="1094"/>
    </row>
    <row r="16" spans="1:12" s="940" customFormat="1" ht="33" hidden="1" customHeight="1" outlineLevel="1">
      <c r="A16" s="1087" t="s">
        <v>1618</v>
      </c>
      <c r="B16" s="1088" t="s">
        <v>1371</v>
      </c>
      <c r="C16" s="1088" t="s">
        <v>1606</v>
      </c>
      <c r="D16" s="1089" t="s">
        <v>1371</v>
      </c>
      <c r="E16" s="1095" t="s">
        <v>1418</v>
      </c>
      <c r="F16" s="1091" t="s">
        <v>1548</v>
      </c>
      <c r="G16" s="1084"/>
      <c r="H16" s="1085">
        <v>1000000</v>
      </c>
      <c r="I16" s="1093"/>
      <c r="J16" s="1094"/>
    </row>
    <row r="17" spans="1:10" s="940" customFormat="1" ht="33" hidden="1" customHeight="1" outlineLevel="1">
      <c r="A17" s="1087" t="s">
        <v>1620</v>
      </c>
      <c r="B17" s="1088" t="s">
        <v>1621</v>
      </c>
      <c r="C17" s="1088" t="s">
        <v>1606</v>
      </c>
      <c r="D17" s="1089" t="s">
        <v>1622</v>
      </c>
      <c r="E17" s="1095" t="s">
        <v>1623</v>
      </c>
      <c r="F17" s="1091" t="s">
        <v>1548</v>
      </c>
      <c r="G17" s="1084"/>
      <c r="H17" s="1096">
        <v>6380000</v>
      </c>
      <c r="I17" s="1093" t="s">
        <v>1624</v>
      </c>
      <c r="J17" s="1094"/>
    </row>
    <row r="18" spans="1:10" s="940" customFormat="1" ht="33" hidden="1" customHeight="1" outlineLevel="1">
      <c r="A18" s="1087" t="s">
        <v>1620</v>
      </c>
      <c r="B18" s="1088" t="s">
        <v>1386</v>
      </c>
      <c r="C18" s="1088" t="s">
        <v>1606</v>
      </c>
      <c r="D18" s="1089" t="s">
        <v>1371</v>
      </c>
      <c r="E18" s="1095" t="s">
        <v>1625</v>
      </c>
      <c r="F18" s="1091" t="s">
        <v>271</v>
      </c>
      <c r="G18" s="1084"/>
      <c r="H18" s="1085">
        <v>3500000</v>
      </c>
      <c r="I18" s="1093"/>
      <c r="J18" s="1094"/>
    </row>
    <row r="19" spans="1:10" s="940" customFormat="1" ht="33" hidden="1" customHeight="1" outlineLevel="1">
      <c r="A19" s="1087" t="s">
        <v>1620</v>
      </c>
      <c r="B19" s="1088" t="s">
        <v>1368</v>
      </c>
      <c r="C19" s="1088" t="s">
        <v>1606</v>
      </c>
      <c r="D19" s="1089" t="s">
        <v>1368</v>
      </c>
      <c r="E19" s="1097" t="s">
        <v>1626</v>
      </c>
      <c r="F19" s="1091" t="s">
        <v>271</v>
      </c>
      <c r="G19" s="1084"/>
      <c r="H19" s="1096">
        <v>315000</v>
      </c>
      <c r="I19" s="1093"/>
      <c r="J19" s="1094"/>
    </row>
    <row r="20" spans="1:10" s="940" customFormat="1" ht="33" hidden="1" customHeight="1" outlineLevel="1">
      <c r="A20" s="1087" t="s">
        <v>1620</v>
      </c>
      <c r="B20" s="1088" t="s">
        <v>1368</v>
      </c>
      <c r="C20" s="1088" t="s">
        <v>1606</v>
      </c>
      <c r="D20" s="1089" t="s">
        <v>1368</v>
      </c>
      <c r="E20" s="1095" t="s">
        <v>1418</v>
      </c>
      <c r="F20" s="1091" t="s">
        <v>1548</v>
      </c>
      <c r="G20" s="1084"/>
      <c r="H20" s="1085">
        <v>1000000</v>
      </c>
      <c r="I20" s="1093"/>
      <c r="J20" s="1094"/>
    </row>
    <row r="21" spans="1:10" s="940" customFormat="1" ht="33" hidden="1" customHeight="1" outlineLevel="1">
      <c r="A21" s="1087" t="s">
        <v>1627</v>
      </c>
      <c r="B21" s="1088" t="s">
        <v>1406</v>
      </c>
      <c r="C21" s="1088" t="s">
        <v>1606</v>
      </c>
      <c r="D21" s="1089" t="s">
        <v>1406</v>
      </c>
      <c r="E21" s="1095" t="s">
        <v>1628</v>
      </c>
      <c r="F21" s="1091" t="s">
        <v>271</v>
      </c>
      <c r="G21" s="1084"/>
      <c r="H21" s="1085">
        <v>393000</v>
      </c>
      <c r="I21" s="1093"/>
      <c r="J21" s="1094"/>
    </row>
    <row r="22" spans="1:10" s="940" customFormat="1" ht="33" hidden="1" customHeight="1" outlineLevel="1">
      <c r="A22" s="1087" t="s">
        <v>1629</v>
      </c>
      <c r="B22" s="1088" t="s">
        <v>1368</v>
      </c>
      <c r="C22" s="1088" t="s">
        <v>1606</v>
      </c>
      <c r="D22" s="1089" t="s">
        <v>1368</v>
      </c>
      <c r="E22" s="1097" t="s">
        <v>1630</v>
      </c>
      <c r="F22" s="1091" t="s">
        <v>271</v>
      </c>
      <c r="G22" s="1084"/>
      <c r="H22" s="1085">
        <v>190000</v>
      </c>
      <c r="I22" s="1093"/>
      <c r="J22" s="1094"/>
    </row>
    <row r="23" spans="1:10" s="940" customFormat="1" ht="33" hidden="1" customHeight="1" outlineLevel="1">
      <c r="A23" s="1087" t="s">
        <v>1629</v>
      </c>
      <c r="B23" s="1088" t="s">
        <v>1631</v>
      </c>
      <c r="C23" s="1088" t="s">
        <v>1606</v>
      </c>
      <c r="D23" s="1089" t="s">
        <v>1632</v>
      </c>
      <c r="E23" s="1095" t="s">
        <v>1633</v>
      </c>
      <c r="F23" s="1091"/>
      <c r="G23" s="1098">
        <v>14896863</v>
      </c>
      <c r="H23" s="1099"/>
      <c r="I23" s="1093"/>
      <c r="J23" s="1094" t="s">
        <v>1513</v>
      </c>
    </row>
    <row r="24" spans="1:10" s="940" customFormat="1" ht="33" hidden="1" customHeight="1" outlineLevel="1">
      <c r="A24" s="1087" t="s">
        <v>1629</v>
      </c>
      <c r="B24" s="1088" t="s">
        <v>1616</v>
      </c>
      <c r="C24" s="1088" t="s">
        <v>1606</v>
      </c>
      <c r="D24" s="1089" t="s">
        <v>1616</v>
      </c>
      <c r="E24" s="1090" t="s">
        <v>1634</v>
      </c>
      <c r="F24" s="1091" t="s">
        <v>271</v>
      </c>
      <c r="G24" s="1084"/>
      <c r="H24" s="1092">
        <v>5000000</v>
      </c>
      <c r="I24" s="1093"/>
      <c r="J24" s="1094" t="s">
        <v>1513</v>
      </c>
    </row>
    <row r="25" spans="1:10" s="940" customFormat="1" ht="33" hidden="1" customHeight="1" outlineLevel="1">
      <c r="A25" s="1087" t="s">
        <v>1629</v>
      </c>
      <c r="B25" s="1088" t="s">
        <v>1616</v>
      </c>
      <c r="C25" s="1088" t="s">
        <v>1606</v>
      </c>
      <c r="D25" s="1089" t="s">
        <v>1616</v>
      </c>
      <c r="E25" s="1090" t="s">
        <v>1635</v>
      </c>
      <c r="F25" s="1091" t="s">
        <v>271</v>
      </c>
      <c r="G25" s="1084"/>
      <c r="H25" s="1085">
        <v>2000000</v>
      </c>
      <c r="I25" s="1093"/>
      <c r="J25" s="1094"/>
    </row>
    <row r="26" spans="1:10" s="940" customFormat="1" ht="33" hidden="1" customHeight="1" outlineLevel="1">
      <c r="A26" s="1087" t="s">
        <v>1636</v>
      </c>
      <c r="B26" s="1088" t="s">
        <v>1371</v>
      </c>
      <c r="C26" s="1088" t="s">
        <v>1606</v>
      </c>
      <c r="D26" s="1089" t="s">
        <v>1371</v>
      </c>
      <c r="E26" s="1095" t="s">
        <v>1637</v>
      </c>
      <c r="F26" s="1091" t="s">
        <v>271</v>
      </c>
      <c r="G26" s="1084"/>
      <c r="H26" s="1085">
        <v>230000</v>
      </c>
      <c r="I26" s="1093"/>
      <c r="J26" s="1094"/>
    </row>
    <row r="27" spans="1:10" s="940" customFormat="1" ht="33" hidden="1" customHeight="1" outlineLevel="1">
      <c r="A27" s="1087" t="s">
        <v>1636</v>
      </c>
      <c r="B27" s="1088" t="s">
        <v>1371</v>
      </c>
      <c r="C27" s="1088" t="s">
        <v>1606</v>
      </c>
      <c r="D27" s="1089" t="s">
        <v>1371</v>
      </c>
      <c r="E27" s="1090" t="s">
        <v>1638</v>
      </c>
      <c r="F27" s="1091" t="s">
        <v>271</v>
      </c>
      <c r="G27" s="1100"/>
      <c r="H27" s="1101">
        <v>80000</v>
      </c>
      <c r="I27" s="1093"/>
      <c r="J27" s="1094"/>
    </row>
    <row r="28" spans="1:10" s="940" customFormat="1" ht="33" hidden="1" customHeight="1" outlineLevel="1">
      <c r="A28" s="1087" t="s">
        <v>1636</v>
      </c>
      <c r="B28" s="1088" t="s">
        <v>1371</v>
      </c>
      <c r="C28" s="1088" t="s">
        <v>1606</v>
      </c>
      <c r="D28" s="1089" t="s">
        <v>1371</v>
      </c>
      <c r="E28" s="1090" t="s">
        <v>1639</v>
      </c>
      <c r="F28" s="1091" t="s">
        <v>1548</v>
      </c>
      <c r="G28" s="1084"/>
      <c r="H28" s="1085">
        <v>1050000</v>
      </c>
      <c r="I28" s="1093"/>
      <c r="J28" s="1094"/>
    </row>
    <row r="29" spans="1:10" s="940" customFormat="1" ht="45" hidden="1" customHeight="1" outlineLevel="1">
      <c r="A29" s="1087" t="s">
        <v>1636</v>
      </c>
      <c r="B29" s="1088" t="s">
        <v>1380</v>
      </c>
      <c r="C29" s="1088" t="s">
        <v>1606</v>
      </c>
      <c r="D29" s="1089" t="s">
        <v>1406</v>
      </c>
      <c r="E29" s="1095" t="s">
        <v>1640</v>
      </c>
      <c r="F29" s="1091" t="s">
        <v>1548</v>
      </c>
      <c r="G29" s="1084"/>
      <c r="H29" s="1085">
        <v>215000</v>
      </c>
      <c r="I29" s="1093"/>
      <c r="J29" s="1094"/>
    </row>
    <row r="30" spans="1:10" s="940" customFormat="1" ht="33" hidden="1" customHeight="1" outlineLevel="1">
      <c r="A30" s="1087" t="s">
        <v>1641</v>
      </c>
      <c r="B30" s="1088" t="s">
        <v>1406</v>
      </c>
      <c r="C30" s="1088" t="s">
        <v>1606</v>
      </c>
      <c r="D30" s="1089" t="s">
        <v>1406</v>
      </c>
      <c r="E30" s="1095" t="s">
        <v>1642</v>
      </c>
      <c r="F30" s="1091" t="s">
        <v>271</v>
      </c>
      <c r="G30" s="1084"/>
      <c r="H30" s="1085">
        <v>192000</v>
      </c>
      <c r="I30" s="1093"/>
      <c r="J30" s="1094"/>
    </row>
    <row r="31" spans="1:10" s="940" customFormat="1" ht="33" hidden="1" customHeight="1" outlineLevel="1">
      <c r="A31" s="1087" t="s">
        <v>1641</v>
      </c>
      <c r="B31" s="1088" t="s">
        <v>1406</v>
      </c>
      <c r="C31" s="1088" t="s">
        <v>1606</v>
      </c>
      <c r="D31" s="1089" t="s">
        <v>1406</v>
      </c>
      <c r="E31" s="1095" t="s">
        <v>1643</v>
      </c>
      <c r="F31" s="1091" t="s">
        <v>271</v>
      </c>
      <c r="G31" s="1084"/>
      <c r="H31" s="1085">
        <v>578000</v>
      </c>
      <c r="I31" s="1093"/>
      <c r="J31" s="1094"/>
    </row>
    <row r="32" spans="1:10" s="940" customFormat="1" ht="33" hidden="1" customHeight="1" outlineLevel="1">
      <c r="A32" s="1087" t="s">
        <v>1644</v>
      </c>
      <c r="B32" s="1088" t="s">
        <v>1371</v>
      </c>
      <c r="C32" s="1088" t="s">
        <v>1606</v>
      </c>
      <c r="D32" s="1089" t="s">
        <v>1371</v>
      </c>
      <c r="E32" s="1095" t="s">
        <v>1645</v>
      </c>
      <c r="F32" s="1091" t="s">
        <v>1548</v>
      </c>
      <c r="G32" s="1084"/>
      <c r="H32" s="1085">
        <v>800000</v>
      </c>
      <c r="I32" s="1093"/>
      <c r="J32" s="1094"/>
    </row>
    <row r="33" spans="1:11" s="940" customFormat="1" ht="33" hidden="1" customHeight="1" outlineLevel="1">
      <c r="A33" s="1087" t="s">
        <v>1644</v>
      </c>
      <c r="B33" s="1088" t="s">
        <v>1371</v>
      </c>
      <c r="C33" s="1088" t="s">
        <v>1606</v>
      </c>
      <c r="D33" s="1089" t="s">
        <v>1371</v>
      </c>
      <c r="E33" s="1095" t="s">
        <v>1646</v>
      </c>
      <c r="F33" s="1091" t="s">
        <v>271</v>
      </c>
      <c r="G33" s="1084"/>
      <c r="H33" s="1085">
        <v>300000</v>
      </c>
      <c r="I33" s="1093"/>
      <c r="J33" s="1094"/>
    </row>
    <row r="34" spans="1:11" s="940" customFormat="1" ht="33" hidden="1" customHeight="1" outlineLevel="1">
      <c r="A34" s="1087" t="s">
        <v>1644</v>
      </c>
      <c r="B34" s="1088" t="s">
        <v>1368</v>
      </c>
      <c r="C34" s="1088" t="s">
        <v>1606</v>
      </c>
      <c r="D34" s="1089" t="s">
        <v>1368</v>
      </c>
      <c r="E34" s="1095" t="s">
        <v>1630</v>
      </c>
      <c r="F34" s="1091" t="s">
        <v>271</v>
      </c>
      <c r="G34" s="1084"/>
      <c r="H34" s="1085">
        <v>220000</v>
      </c>
      <c r="I34" s="1093"/>
      <c r="J34" s="1094"/>
    </row>
    <row r="35" spans="1:11" s="940" customFormat="1" ht="33" hidden="1" customHeight="1" outlineLevel="1">
      <c r="A35" s="1087" t="s">
        <v>1644</v>
      </c>
      <c r="B35" s="1088" t="s">
        <v>1647</v>
      </c>
      <c r="C35" s="1088" t="s">
        <v>1606</v>
      </c>
      <c r="D35" s="1089" t="s">
        <v>1648</v>
      </c>
      <c r="E35" s="1095" t="s">
        <v>1649</v>
      </c>
      <c r="F35" s="1091" t="s">
        <v>271</v>
      </c>
      <c r="G35" s="1084"/>
      <c r="H35" s="1085">
        <v>480000</v>
      </c>
      <c r="I35" s="1093" t="s">
        <v>1650</v>
      </c>
      <c r="J35" s="1094"/>
    </row>
    <row r="36" spans="1:11" s="940" customFormat="1" ht="33" hidden="1" customHeight="1" outlineLevel="1">
      <c r="A36" s="1087" t="s">
        <v>1651</v>
      </c>
      <c r="B36" s="1088" t="s">
        <v>1368</v>
      </c>
      <c r="C36" s="1088" t="s">
        <v>1606</v>
      </c>
      <c r="D36" s="1089" t="s">
        <v>1368</v>
      </c>
      <c r="E36" s="1095" t="s">
        <v>1401</v>
      </c>
      <c r="F36" s="1091" t="s">
        <v>1548</v>
      </c>
      <c r="G36" s="1084"/>
      <c r="H36" s="1085">
        <v>1000000</v>
      </c>
      <c r="I36" s="1093"/>
      <c r="J36" s="1094"/>
    </row>
    <row r="37" spans="1:11" s="940" customFormat="1" ht="33" hidden="1" customHeight="1" outlineLevel="1" thickBot="1">
      <c r="A37" s="1087" t="s">
        <v>1651</v>
      </c>
      <c r="B37" s="1088" t="s">
        <v>1610</v>
      </c>
      <c r="C37" s="1088" t="s">
        <v>1606</v>
      </c>
      <c r="D37" s="1089" t="s">
        <v>1611</v>
      </c>
      <c r="E37" s="1095" t="s">
        <v>1652</v>
      </c>
      <c r="F37" s="1091" t="s">
        <v>271</v>
      </c>
      <c r="G37" s="1084"/>
      <c r="H37" s="1085">
        <v>590000</v>
      </c>
      <c r="I37" s="1093"/>
      <c r="J37" s="1094"/>
    </row>
    <row r="38" spans="1:11" s="940" customFormat="1" ht="33" hidden="1" customHeight="1" outlineLevel="1" thickBot="1">
      <c r="A38" s="1087" t="s">
        <v>1651</v>
      </c>
      <c r="B38" s="1088" t="s">
        <v>1406</v>
      </c>
      <c r="C38" s="1088" t="s">
        <v>1606</v>
      </c>
      <c r="D38" s="1089" t="s">
        <v>1406</v>
      </c>
      <c r="E38" s="1095" t="s">
        <v>1653</v>
      </c>
      <c r="F38" s="1091" t="s">
        <v>271</v>
      </c>
      <c r="G38" s="1084"/>
      <c r="H38" s="1085">
        <v>500000</v>
      </c>
      <c r="I38" s="1093"/>
      <c r="J38" s="945" t="s">
        <v>407</v>
      </c>
      <c r="K38" s="946">
        <f>H41-K39</f>
        <v>0</v>
      </c>
    </row>
    <row r="39" spans="1:11" s="940" customFormat="1" ht="33" hidden="1" customHeight="1" outlineLevel="1" thickBot="1">
      <c r="A39" s="1087" t="s">
        <v>1651</v>
      </c>
      <c r="B39" s="1088" t="s">
        <v>1654</v>
      </c>
      <c r="C39" s="1088" t="s">
        <v>1606</v>
      </c>
      <c r="D39" s="1089" t="s">
        <v>1654</v>
      </c>
      <c r="E39" s="1095" t="s">
        <v>1655</v>
      </c>
      <c r="F39" s="1091" t="s">
        <v>271</v>
      </c>
      <c r="G39" s="1084"/>
      <c r="H39" s="1085">
        <v>95000</v>
      </c>
      <c r="I39" s="1093"/>
      <c r="J39" s="945" t="s">
        <v>411</v>
      </c>
      <c r="K39" s="946">
        <v>0</v>
      </c>
    </row>
    <row r="40" spans="1:11" s="940" customFormat="1" ht="18.75" collapsed="1" thickBot="1">
      <c r="A40" s="1318" t="s">
        <v>256</v>
      </c>
      <c r="B40" s="1319"/>
      <c r="C40" s="1319"/>
      <c r="D40" s="1319"/>
      <c r="E40" s="1320" t="s">
        <v>1597</v>
      </c>
      <c r="F40" s="1321"/>
      <c r="G40" s="1322">
        <f>SUBTOTAL(9,G5:G39)</f>
        <v>44896863</v>
      </c>
      <c r="H40" s="1323">
        <f>SUBTOTAL(9,H6:H39)</f>
        <v>37779000</v>
      </c>
      <c r="I40" s="1093"/>
      <c r="J40" s="945" t="s">
        <v>414</v>
      </c>
      <c r="K40" s="946">
        <f>G41</f>
        <v>7117863</v>
      </c>
    </row>
    <row r="41" spans="1:11" s="940" customFormat="1" ht="19.5" customHeight="1" thickBot="1">
      <c r="A41" s="1102" t="s">
        <v>266</v>
      </c>
      <c r="B41" s="1103"/>
      <c r="C41" s="1103"/>
      <c r="D41" s="1103"/>
      <c r="E41" s="1104"/>
      <c r="F41" s="1105"/>
      <c r="G41" s="1106">
        <f>G40-H40</f>
        <v>7117863</v>
      </c>
      <c r="H41" s="1107"/>
      <c r="I41" s="1108"/>
      <c r="J41" s="1094"/>
    </row>
    <row r="42" spans="1:11" s="940" customFormat="1" ht="19.5" hidden="1" customHeight="1" outlineLevel="1">
      <c r="A42" s="1144" t="s">
        <v>1722</v>
      </c>
      <c r="B42" s="936" t="s">
        <v>304</v>
      </c>
      <c r="C42" s="936" t="s">
        <v>1606</v>
      </c>
      <c r="D42" s="936" t="s">
        <v>1406</v>
      </c>
      <c r="E42" s="1145" t="s">
        <v>1607</v>
      </c>
      <c r="F42" s="1146"/>
      <c r="G42" s="1147">
        <v>20000000</v>
      </c>
      <c r="H42" s="1147"/>
      <c r="I42" s="1148"/>
    </row>
    <row r="43" spans="1:11" s="940" customFormat="1" ht="19.5" hidden="1" customHeight="1" outlineLevel="1">
      <c r="A43" s="1149" t="s">
        <v>1722</v>
      </c>
      <c r="B43" s="936" t="s">
        <v>1368</v>
      </c>
      <c r="C43" s="936" t="s">
        <v>1606</v>
      </c>
      <c r="D43" s="936" t="s">
        <v>1368</v>
      </c>
      <c r="E43" s="941" t="s">
        <v>1723</v>
      </c>
      <c r="F43" s="1146" t="s">
        <v>271</v>
      </c>
      <c r="G43" s="1150"/>
      <c r="H43" s="1151">
        <v>10000000</v>
      </c>
      <c r="I43" s="1148"/>
    </row>
    <row r="44" spans="1:11" s="940" customFormat="1" ht="18.75" hidden="1" customHeight="1" outlineLevel="1">
      <c r="A44" s="1149" t="s">
        <v>1722</v>
      </c>
      <c r="B44" s="936" t="s">
        <v>1724</v>
      </c>
      <c r="C44" s="936" t="s">
        <v>1606</v>
      </c>
      <c r="D44" s="936" t="s">
        <v>1403</v>
      </c>
      <c r="E44" s="941" t="s">
        <v>1725</v>
      </c>
      <c r="F44" s="1146" t="s">
        <v>271</v>
      </c>
      <c r="G44" s="1150"/>
      <c r="H44" s="1151">
        <v>10000000</v>
      </c>
      <c r="I44" s="1148"/>
    </row>
    <row r="45" spans="1:11" s="940" customFormat="1" hidden="1" outlineLevel="1">
      <c r="A45" s="1152" t="s">
        <v>1722</v>
      </c>
      <c r="B45" s="935" t="s">
        <v>1611</v>
      </c>
      <c r="C45" s="935" t="s">
        <v>1606</v>
      </c>
      <c r="D45" s="936" t="s">
        <v>1610</v>
      </c>
      <c r="E45" s="937" t="s">
        <v>1726</v>
      </c>
      <c r="F45" s="938" t="s">
        <v>271</v>
      </c>
      <c r="G45" s="1153"/>
      <c r="H45" s="1154">
        <v>28000</v>
      </c>
      <c r="I45" s="1155"/>
    </row>
    <row r="46" spans="1:11" s="940" customFormat="1" hidden="1" outlineLevel="1">
      <c r="A46" s="1152" t="s">
        <v>1722</v>
      </c>
      <c r="B46" s="935" t="s">
        <v>1724</v>
      </c>
      <c r="C46" s="935" t="s">
        <v>1606</v>
      </c>
      <c r="D46" s="936" t="s">
        <v>1403</v>
      </c>
      <c r="E46" s="937" t="s">
        <v>1727</v>
      </c>
      <c r="F46" s="938" t="s">
        <v>271</v>
      </c>
      <c r="G46" s="913"/>
      <c r="H46" s="1154">
        <v>500000</v>
      </c>
      <c r="I46" s="1155"/>
    </row>
    <row r="47" spans="1:11" s="940" customFormat="1" hidden="1" outlineLevel="1">
      <c r="A47" s="1152" t="s">
        <v>1728</v>
      </c>
      <c r="B47" s="935" t="s">
        <v>1724</v>
      </c>
      <c r="C47" s="935" t="s">
        <v>1606</v>
      </c>
      <c r="D47" s="936" t="s">
        <v>1403</v>
      </c>
      <c r="E47" s="937" t="s">
        <v>1542</v>
      </c>
      <c r="F47" s="938" t="s">
        <v>271</v>
      </c>
      <c r="G47" s="913"/>
      <c r="H47" s="1156">
        <v>170000</v>
      </c>
      <c r="I47" s="1155"/>
    </row>
    <row r="48" spans="1:11" s="940" customFormat="1" ht="18" hidden="1" customHeight="1" outlineLevel="1">
      <c r="A48" s="1152" t="s">
        <v>1729</v>
      </c>
      <c r="B48" s="935" t="s">
        <v>1371</v>
      </c>
      <c r="C48" s="935" t="s">
        <v>1606</v>
      </c>
      <c r="D48" s="936" t="s">
        <v>1371</v>
      </c>
      <c r="E48" s="937" t="s">
        <v>1730</v>
      </c>
      <c r="F48" s="938" t="s">
        <v>271</v>
      </c>
      <c r="G48" s="913"/>
      <c r="H48" s="1154">
        <v>315000</v>
      </c>
      <c r="I48" s="1155"/>
    </row>
    <row r="49" spans="1:12" s="940" customFormat="1" ht="18" hidden="1" customHeight="1" outlineLevel="1">
      <c r="A49" s="1152" t="s">
        <v>1729</v>
      </c>
      <c r="B49" s="935" t="s">
        <v>1371</v>
      </c>
      <c r="C49" s="935" t="s">
        <v>1606</v>
      </c>
      <c r="D49" s="936" t="s">
        <v>1371</v>
      </c>
      <c r="E49" s="937" t="s">
        <v>1731</v>
      </c>
      <c r="F49" s="938" t="s">
        <v>1732</v>
      </c>
      <c r="G49" s="913"/>
      <c r="H49" s="1154">
        <v>1020370</v>
      </c>
      <c r="I49" s="1155"/>
    </row>
    <row r="50" spans="1:12" s="940" customFormat="1" ht="18" hidden="1" customHeight="1" outlineLevel="1">
      <c r="A50" s="1152" t="s">
        <v>1733</v>
      </c>
      <c r="B50" s="935" t="s">
        <v>1611</v>
      </c>
      <c r="C50" s="935" t="s">
        <v>1606</v>
      </c>
      <c r="D50" s="935" t="s">
        <v>1610</v>
      </c>
      <c r="E50" s="937" t="s">
        <v>1734</v>
      </c>
      <c r="F50" s="938" t="s">
        <v>271</v>
      </c>
      <c r="G50" s="1153"/>
      <c r="H50" s="1154">
        <v>930000</v>
      </c>
      <c r="I50" s="1155"/>
      <c r="L50" s="1157" t="e">
        <f>#REF!+#REF!+#REF!+#REF!+H45+H46+#REF!+H52+H53+H54+#REF!+H56+H57+H60</f>
        <v>#REF!</v>
      </c>
    </row>
    <row r="51" spans="1:12" s="940" customFormat="1" ht="18" hidden="1" customHeight="1" outlineLevel="1">
      <c r="A51" s="1152" t="s">
        <v>1733</v>
      </c>
      <c r="B51" s="935" t="s">
        <v>304</v>
      </c>
      <c r="C51" s="935" t="s">
        <v>1606</v>
      </c>
      <c r="D51" s="936" t="s">
        <v>1406</v>
      </c>
      <c r="E51" s="937" t="s">
        <v>1607</v>
      </c>
      <c r="F51" s="938"/>
      <c r="G51" s="1158">
        <v>40000000</v>
      </c>
      <c r="H51" s="1159"/>
      <c r="I51" s="1155"/>
    </row>
    <row r="52" spans="1:12" s="940" customFormat="1" ht="18" hidden="1" customHeight="1" outlineLevel="1">
      <c r="A52" s="1152" t="s">
        <v>1735</v>
      </c>
      <c r="B52" s="935" t="s">
        <v>1368</v>
      </c>
      <c r="C52" s="935" t="s">
        <v>1606</v>
      </c>
      <c r="D52" s="936" t="s">
        <v>1368</v>
      </c>
      <c r="E52" s="937" t="s">
        <v>1474</v>
      </c>
      <c r="F52" s="938" t="s">
        <v>271</v>
      </c>
      <c r="G52" s="913"/>
      <c r="H52" s="1154">
        <v>10000000</v>
      </c>
      <c r="I52" s="1155"/>
    </row>
    <row r="53" spans="1:12" s="940" customFormat="1" ht="18" hidden="1" customHeight="1" outlineLevel="1">
      <c r="A53" s="1152" t="s">
        <v>1735</v>
      </c>
      <c r="B53" s="935" t="s">
        <v>1736</v>
      </c>
      <c r="C53" s="935" t="s">
        <v>1606</v>
      </c>
      <c r="D53" s="936" t="s">
        <v>1736</v>
      </c>
      <c r="E53" s="937" t="s">
        <v>1737</v>
      </c>
      <c r="F53" s="938" t="s">
        <v>271</v>
      </c>
      <c r="G53" s="913"/>
      <c r="H53" s="1154">
        <v>2000000</v>
      </c>
      <c r="I53" s="1155"/>
    </row>
    <row r="54" spans="1:12" s="940" customFormat="1" ht="18" hidden="1" customHeight="1" outlineLevel="1">
      <c r="A54" s="1152" t="s">
        <v>1738</v>
      </c>
      <c r="B54" s="935" t="s">
        <v>1739</v>
      </c>
      <c r="C54" s="935" t="s">
        <v>1606</v>
      </c>
      <c r="D54" s="936" t="s">
        <v>1739</v>
      </c>
      <c r="E54" s="937" t="s">
        <v>1740</v>
      </c>
      <c r="F54" s="938" t="s">
        <v>271</v>
      </c>
      <c r="G54" s="913"/>
      <c r="H54" s="1154">
        <v>80000</v>
      </c>
      <c r="I54" s="1155"/>
    </row>
    <row r="55" spans="1:12" s="940" customFormat="1" ht="18" hidden="1" customHeight="1" outlineLevel="1">
      <c r="A55" s="1152" t="s">
        <v>1738</v>
      </c>
      <c r="B55" s="935" t="s">
        <v>1739</v>
      </c>
      <c r="C55" s="935" t="s">
        <v>1606</v>
      </c>
      <c r="D55" s="936" t="s">
        <v>1739</v>
      </c>
      <c r="E55" s="941" t="s">
        <v>1741</v>
      </c>
      <c r="F55" s="938" t="s">
        <v>1732</v>
      </c>
      <c r="G55" s="913"/>
      <c r="H55" s="1156">
        <v>920000</v>
      </c>
      <c r="I55" s="1155"/>
    </row>
    <row r="56" spans="1:12" s="940" customFormat="1" ht="19.5" hidden="1" customHeight="1" outlineLevel="1">
      <c r="A56" s="1152" t="s">
        <v>1738</v>
      </c>
      <c r="B56" s="935" t="s">
        <v>1368</v>
      </c>
      <c r="C56" s="935" t="s">
        <v>1606</v>
      </c>
      <c r="D56" s="936" t="s">
        <v>1368</v>
      </c>
      <c r="E56" s="941" t="s">
        <v>1742</v>
      </c>
      <c r="F56" s="938" t="s">
        <v>271</v>
      </c>
      <c r="G56" s="913"/>
      <c r="H56" s="1156">
        <v>3633000</v>
      </c>
      <c r="I56" s="1155"/>
    </row>
    <row r="57" spans="1:12" s="940" customFormat="1" ht="21.75" hidden="1" customHeight="1" outlineLevel="1">
      <c r="A57" s="1152" t="s">
        <v>1738</v>
      </c>
      <c r="B57" s="935" t="s">
        <v>1611</v>
      </c>
      <c r="C57" s="935" t="s">
        <v>1606</v>
      </c>
      <c r="D57" s="936" t="s">
        <v>1610</v>
      </c>
      <c r="E57" s="941" t="s">
        <v>1743</v>
      </c>
      <c r="F57" s="938" t="s">
        <v>271</v>
      </c>
      <c r="G57" s="913"/>
      <c r="H57" s="1156">
        <v>850000</v>
      </c>
      <c r="I57" s="1155"/>
    </row>
    <row r="58" spans="1:12" s="940" customFormat="1" hidden="1" outlineLevel="1">
      <c r="A58" s="1152" t="s">
        <v>1744</v>
      </c>
      <c r="B58" s="935" t="s">
        <v>1739</v>
      </c>
      <c r="C58" s="935" t="s">
        <v>1606</v>
      </c>
      <c r="D58" s="936" t="s">
        <v>1739</v>
      </c>
      <c r="E58" s="1160" t="s">
        <v>1740</v>
      </c>
      <c r="F58" s="938" t="s">
        <v>271</v>
      </c>
      <c r="G58" s="913"/>
      <c r="H58" s="1156">
        <v>80000</v>
      </c>
      <c r="I58" s="1155"/>
    </row>
    <row r="59" spans="1:12" s="940" customFormat="1" hidden="1" outlineLevel="1">
      <c r="A59" s="1152" t="s">
        <v>1744</v>
      </c>
      <c r="B59" s="935" t="s">
        <v>1739</v>
      </c>
      <c r="C59" s="935" t="s">
        <v>1606</v>
      </c>
      <c r="D59" s="936" t="s">
        <v>1739</v>
      </c>
      <c r="E59" s="941" t="s">
        <v>1745</v>
      </c>
      <c r="F59" s="938" t="s">
        <v>1732</v>
      </c>
      <c r="G59" s="913"/>
      <c r="H59" s="1156">
        <v>1000000</v>
      </c>
      <c r="I59" s="1155"/>
    </row>
    <row r="60" spans="1:12" s="940" customFormat="1" hidden="1" outlineLevel="1">
      <c r="A60" s="1152" t="s">
        <v>1744</v>
      </c>
      <c r="B60" s="935" t="s">
        <v>1368</v>
      </c>
      <c r="C60" s="935" t="s">
        <v>1606</v>
      </c>
      <c r="D60" s="936" t="s">
        <v>1368</v>
      </c>
      <c r="E60" s="941" t="s">
        <v>1746</v>
      </c>
      <c r="F60" s="938" t="s">
        <v>271</v>
      </c>
      <c r="G60" s="913"/>
      <c r="H60" s="1156">
        <v>5000000</v>
      </c>
      <c r="I60" s="1155" t="s">
        <v>1747</v>
      </c>
    </row>
    <row r="61" spans="1:12" s="940" customFormat="1" hidden="1" outlineLevel="1">
      <c r="A61" s="1152" t="s">
        <v>1744</v>
      </c>
      <c r="B61" s="935" t="s">
        <v>1611</v>
      </c>
      <c r="C61" s="935" t="s">
        <v>1606</v>
      </c>
      <c r="D61" s="936" t="s">
        <v>1610</v>
      </c>
      <c r="E61" s="1160" t="s">
        <v>1748</v>
      </c>
      <c r="F61" s="938" t="s">
        <v>271</v>
      </c>
      <c r="G61" s="913"/>
      <c r="H61" s="1156">
        <v>330000</v>
      </c>
      <c r="I61" s="1155"/>
    </row>
    <row r="62" spans="1:12" s="940" customFormat="1" hidden="1" outlineLevel="1">
      <c r="A62" s="1152" t="s">
        <v>1744</v>
      </c>
      <c r="B62" s="935" t="s">
        <v>1611</v>
      </c>
      <c r="C62" s="935" t="s">
        <v>1749</v>
      </c>
      <c r="D62" s="936" t="s">
        <v>1406</v>
      </c>
      <c r="E62" s="941" t="s">
        <v>1750</v>
      </c>
      <c r="F62" s="938"/>
      <c r="G62" s="1158">
        <v>2001350</v>
      </c>
      <c r="H62" s="1161"/>
      <c r="I62" s="1155"/>
      <c r="J62" s="940" t="s">
        <v>1513</v>
      </c>
    </row>
    <row r="63" spans="1:12" s="940" customFormat="1" hidden="1" outlineLevel="1">
      <c r="A63" s="1152" t="s">
        <v>1751</v>
      </c>
      <c r="B63" s="935" t="s">
        <v>1371</v>
      </c>
      <c r="C63" s="935" t="s">
        <v>1606</v>
      </c>
      <c r="D63" s="936" t="s">
        <v>1739</v>
      </c>
      <c r="E63" s="937" t="s">
        <v>1730</v>
      </c>
      <c r="F63" s="938" t="s">
        <v>271</v>
      </c>
      <c r="G63" s="913"/>
      <c r="H63" s="1154">
        <v>300000</v>
      </c>
      <c r="I63" s="1155"/>
      <c r="J63" s="940" t="s">
        <v>1513</v>
      </c>
    </row>
    <row r="64" spans="1:12" s="940" customFormat="1" hidden="1" outlineLevel="1">
      <c r="A64" s="1152" t="s">
        <v>1751</v>
      </c>
      <c r="B64" s="935" t="s">
        <v>1739</v>
      </c>
      <c r="C64" s="935" t="s">
        <v>1606</v>
      </c>
      <c r="D64" s="936" t="s">
        <v>1739</v>
      </c>
      <c r="E64" s="937" t="s">
        <v>1752</v>
      </c>
      <c r="F64" s="938" t="s">
        <v>271</v>
      </c>
      <c r="G64" s="913"/>
      <c r="H64" s="1156">
        <v>320000</v>
      </c>
      <c r="I64" s="1155"/>
    </row>
    <row r="65" spans="1:9" s="940" customFormat="1" hidden="1" outlineLevel="1">
      <c r="A65" s="1152" t="s">
        <v>1751</v>
      </c>
      <c r="B65" s="935" t="s">
        <v>1739</v>
      </c>
      <c r="C65" s="935" t="s">
        <v>1606</v>
      </c>
      <c r="D65" s="936" t="s">
        <v>1739</v>
      </c>
      <c r="E65" s="941" t="s">
        <v>1753</v>
      </c>
      <c r="F65" s="938" t="s">
        <v>1732</v>
      </c>
      <c r="G65" s="913"/>
      <c r="H65" s="1156">
        <v>1020370</v>
      </c>
      <c r="I65" s="1155"/>
    </row>
    <row r="66" spans="1:9" s="940" customFormat="1" hidden="1" outlineLevel="1">
      <c r="A66" s="1152" t="s">
        <v>1751</v>
      </c>
      <c r="B66" s="935" t="s">
        <v>1493</v>
      </c>
      <c r="C66" s="935" t="s">
        <v>1606</v>
      </c>
      <c r="D66" s="936" t="s">
        <v>1493</v>
      </c>
      <c r="E66" s="937" t="s">
        <v>1754</v>
      </c>
      <c r="F66" s="938" t="s">
        <v>271</v>
      </c>
      <c r="G66" s="1162"/>
      <c r="H66" s="1163">
        <v>200000</v>
      </c>
      <c r="I66" s="1155" t="s">
        <v>1755</v>
      </c>
    </row>
    <row r="67" spans="1:9" s="940" customFormat="1" hidden="1" outlineLevel="1">
      <c r="A67" s="1152" t="s">
        <v>1751</v>
      </c>
      <c r="B67" s="935" t="s">
        <v>1611</v>
      </c>
      <c r="C67" s="935" t="s">
        <v>1606</v>
      </c>
      <c r="D67" s="936" t="s">
        <v>1610</v>
      </c>
      <c r="E67" s="937" t="s">
        <v>1756</v>
      </c>
      <c r="F67" s="938" t="s">
        <v>271</v>
      </c>
      <c r="G67" s="913"/>
      <c r="H67" s="1156">
        <v>45000</v>
      </c>
      <c r="I67" s="1155"/>
    </row>
    <row r="68" spans="1:9" s="940" customFormat="1" hidden="1" outlineLevel="1">
      <c r="A68" s="1152" t="s">
        <v>1751</v>
      </c>
      <c r="B68" s="935" t="s">
        <v>1386</v>
      </c>
      <c r="C68" s="935" t="s">
        <v>1606</v>
      </c>
      <c r="D68" s="936" t="s">
        <v>1386</v>
      </c>
      <c r="E68" s="937" t="s">
        <v>1757</v>
      </c>
      <c r="F68" s="938" t="s">
        <v>271</v>
      </c>
      <c r="G68" s="913"/>
      <c r="H68" s="1156">
        <v>460000</v>
      </c>
      <c r="I68" s="1155"/>
    </row>
    <row r="69" spans="1:9" s="940" customFormat="1" hidden="1" outlineLevel="1">
      <c r="A69" s="1152" t="s">
        <v>1758</v>
      </c>
      <c r="B69" s="935" t="s">
        <v>1414</v>
      </c>
      <c r="C69" s="935" t="s">
        <v>1606</v>
      </c>
      <c r="D69" s="936" t="s">
        <v>1414</v>
      </c>
      <c r="E69" s="937" t="s">
        <v>1759</v>
      </c>
      <c r="F69" s="938" t="s">
        <v>271</v>
      </c>
      <c r="G69" s="913"/>
      <c r="H69" s="1156">
        <v>300000</v>
      </c>
      <c r="I69" s="1155" t="s">
        <v>1760</v>
      </c>
    </row>
    <row r="70" spans="1:9" s="940" customFormat="1" hidden="1" outlineLevel="1">
      <c r="A70" s="1152" t="s">
        <v>1758</v>
      </c>
      <c r="B70" s="935" t="s">
        <v>1368</v>
      </c>
      <c r="C70" s="935" t="s">
        <v>1606</v>
      </c>
      <c r="D70" s="936" t="s">
        <v>1368</v>
      </c>
      <c r="E70" s="937" t="s">
        <v>1761</v>
      </c>
      <c r="F70" s="938" t="s">
        <v>271</v>
      </c>
      <c r="G70" s="913"/>
      <c r="H70" s="1156">
        <v>1820000</v>
      </c>
      <c r="I70" s="1155"/>
    </row>
    <row r="71" spans="1:9" s="940" customFormat="1" hidden="1" outlineLevel="1">
      <c r="A71" s="1152" t="s">
        <v>1758</v>
      </c>
      <c r="B71" s="935" t="s">
        <v>1739</v>
      </c>
      <c r="C71" s="935" t="s">
        <v>1606</v>
      </c>
      <c r="D71" s="936" t="s">
        <v>1739</v>
      </c>
      <c r="E71" s="937" t="s">
        <v>1740</v>
      </c>
      <c r="F71" s="938" t="s">
        <v>271</v>
      </c>
      <c r="G71" s="913"/>
      <c r="H71" s="1156">
        <v>80000</v>
      </c>
      <c r="I71" s="1155"/>
    </row>
    <row r="72" spans="1:9" s="940" customFormat="1" hidden="1" outlineLevel="1">
      <c r="A72" s="1152" t="s">
        <v>1758</v>
      </c>
      <c r="B72" s="935" t="s">
        <v>1739</v>
      </c>
      <c r="C72" s="935" t="s">
        <v>1606</v>
      </c>
      <c r="D72" s="936" t="s">
        <v>1739</v>
      </c>
      <c r="E72" s="937" t="s">
        <v>1762</v>
      </c>
      <c r="F72" s="938" t="s">
        <v>1732</v>
      </c>
      <c r="G72" s="913"/>
      <c r="H72" s="1156">
        <v>1000000</v>
      </c>
      <c r="I72" s="1155"/>
    </row>
    <row r="73" spans="1:9" s="940" customFormat="1" hidden="1" outlineLevel="1">
      <c r="A73" s="1152" t="s">
        <v>1763</v>
      </c>
      <c r="B73" s="935" t="s">
        <v>1386</v>
      </c>
      <c r="C73" s="935" t="s">
        <v>1606</v>
      </c>
      <c r="D73" s="936" t="s">
        <v>1386</v>
      </c>
      <c r="E73" s="937" t="s">
        <v>1764</v>
      </c>
      <c r="F73" s="938" t="s">
        <v>271</v>
      </c>
      <c r="G73" s="913"/>
      <c r="H73" s="1156">
        <v>200000</v>
      </c>
      <c r="I73" s="1155"/>
    </row>
    <row r="74" spans="1:9" s="940" customFormat="1" hidden="1" outlineLevel="1">
      <c r="A74" s="1152" t="s">
        <v>1765</v>
      </c>
      <c r="B74" s="935" t="s">
        <v>1371</v>
      </c>
      <c r="C74" s="935" t="s">
        <v>1606</v>
      </c>
      <c r="D74" s="936" t="s">
        <v>1739</v>
      </c>
      <c r="E74" s="937" t="s">
        <v>1766</v>
      </c>
      <c r="F74" s="938" t="s">
        <v>1732</v>
      </c>
      <c r="G74" s="913"/>
      <c r="H74" s="1156">
        <v>1000000</v>
      </c>
      <c r="I74" s="1155"/>
    </row>
    <row r="75" spans="1:9" s="940" customFormat="1" hidden="1" outlineLevel="1">
      <c r="A75" s="1152" t="s">
        <v>1765</v>
      </c>
      <c r="B75" s="935" t="s">
        <v>1739</v>
      </c>
      <c r="C75" s="935" t="s">
        <v>1606</v>
      </c>
      <c r="D75" s="936" t="s">
        <v>1739</v>
      </c>
      <c r="E75" s="937" t="s">
        <v>1730</v>
      </c>
      <c r="F75" s="938" t="s">
        <v>271</v>
      </c>
      <c r="G75" s="913"/>
      <c r="H75" s="1156">
        <v>315000</v>
      </c>
      <c r="I75" s="1155"/>
    </row>
    <row r="76" spans="1:9" s="940" customFormat="1" hidden="1" outlineLevel="1">
      <c r="A76" s="1152" t="s">
        <v>1765</v>
      </c>
      <c r="B76" s="935" t="s">
        <v>1654</v>
      </c>
      <c r="C76" s="935" t="s">
        <v>1606</v>
      </c>
      <c r="D76" s="936" t="s">
        <v>1654</v>
      </c>
      <c r="E76" s="937" t="s">
        <v>1767</v>
      </c>
      <c r="F76" s="938" t="s">
        <v>271</v>
      </c>
      <c r="G76" s="913"/>
      <c r="H76" s="1156">
        <v>32000</v>
      </c>
      <c r="I76" s="1155"/>
    </row>
    <row r="77" spans="1:9" s="940" customFormat="1" hidden="1" outlineLevel="1">
      <c r="A77" s="1152" t="s">
        <v>1765</v>
      </c>
      <c r="B77" s="935" t="s">
        <v>1768</v>
      </c>
      <c r="C77" s="935" t="s">
        <v>1606</v>
      </c>
      <c r="D77" s="936" t="s">
        <v>1768</v>
      </c>
      <c r="E77" s="937" t="s">
        <v>1769</v>
      </c>
      <c r="F77" s="938" t="s">
        <v>271</v>
      </c>
      <c r="G77" s="913"/>
      <c r="H77" s="1156">
        <v>5000000</v>
      </c>
      <c r="I77" s="1155"/>
    </row>
    <row r="78" spans="1:9" s="940" customFormat="1" hidden="1" outlineLevel="1">
      <c r="A78" s="1152" t="s">
        <v>1765</v>
      </c>
      <c r="B78" s="935" t="s">
        <v>1724</v>
      </c>
      <c r="C78" s="935" t="s">
        <v>1606</v>
      </c>
      <c r="D78" s="936" t="s">
        <v>1403</v>
      </c>
      <c r="E78" s="937" t="s">
        <v>1727</v>
      </c>
      <c r="F78" s="938" t="s">
        <v>271</v>
      </c>
      <c r="G78" s="913"/>
      <c r="H78" s="1156">
        <v>500000</v>
      </c>
      <c r="I78" s="1155"/>
    </row>
    <row r="79" spans="1:9" s="940" customFormat="1" hidden="1" outlineLevel="1">
      <c r="A79" s="1152" t="s">
        <v>1770</v>
      </c>
      <c r="B79" s="935" t="s">
        <v>1406</v>
      </c>
      <c r="C79" s="935" t="s">
        <v>1606</v>
      </c>
      <c r="D79" s="936" t="s">
        <v>1406</v>
      </c>
      <c r="E79" s="941" t="s">
        <v>1771</v>
      </c>
      <c r="F79" s="938" t="s">
        <v>271</v>
      </c>
      <c r="G79" s="913"/>
      <c r="H79" s="1156">
        <v>180000</v>
      </c>
      <c r="I79" s="1155"/>
    </row>
    <row r="80" spans="1:9" s="940" customFormat="1" hidden="1" outlineLevel="1">
      <c r="A80" s="1152" t="s">
        <v>1772</v>
      </c>
      <c r="B80" s="935" t="s">
        <v>1414</v>
      </c>
      <c r="C80" s="935" t="s">
        <v>1606</v>
      </c>
      <c r="D80" s="936" t="s">
        <v>1414</v>
      </c>
      <c r="E80" s="941" t="s">
        <v>1773</v>
      </c>
      <c r="F80" s="938" t="s">
        <v>1732</v>
      </c>
      <c r="G80" s="913"/>
      <c r="H80" s="1156">
        <v>3500000</v>
      </c>
      <c r="I80" s="1155"/>
    </row>
    <row r="81" spans="1:9" s="940" customFormat="1" hidden="1" outlineLevel="1">
      <c r="A81" s="1152" t="s">
        <v>1772</v>
      </c>
      <c r="B81" s="935" t="s">
        <v>1371</v>
      </c>
      <c r="C81" s="935" t="s">
        <v>1606</v>
      </c>
      <c r="D81" s="936" t="s">
        <v>1739</v>
      </c>
      <c r="E81" s="941" t="s">
        <v>1774</v>
      </c>
      <c r="F81" s="938" t="s">
        <v>1732</v>
      </c>
      <c r="G81" s="913"/>
      <c r="H81" s="1156">
        <v>1050000</v>
      </c>
      <c r="I81" s="1155"/>
    </row>
    <row r="82" spans="1:9" s="940" customFormat="1" hidden="1" outlineLevel="1">
      <c r="A82" s="1152" t="s">
        <v>1772</v>
      </c>
      <c r="B82" s="935" t="s">
        <v>1386</v>
      </c>
      <c r="C82" s="935" t="s">
        <v>1606</v>
      </c>
      <c r="D82" s="936" t="s">
        <v>1386</v>
      </c>
      <c r="E82" s="941" t="s">
        <v>1775</v>
      </c>
      <c r="F82" s="938" t="s">
        <v>271</v>
      </c>
      <c r="G82" s="913"/>
      <c r="H82" s="1156">
        <v>200000</v>
      </c>
      <c r="I82" s="1155"/>
    </row>
    <row r="83" spans="1:9" s="940" customFormat="1" hidden="1" outlineLevel="1">
      <c r="A83" s="1152" t="s">
        <v>1772</v>
      </c>
      <c r="B83" s="935" t="s">
        <v>1776</v>
      </c>
      <c r="C83" s="935" t="s">
        <v>1606</v>
      </c>
      <c r="D83" s="936" t="s">
        <v>1776</v>
      </c>
      <c r="E83" s="941" t="s">
        <v>1777</v>
      </c>
      <c r="F83" s="938" t="s">
        <v>271</v>
      </c>
      <c r="G83" s="913"/>
      <c r="H83" s="1156">
        <v>100000</v>
      </c>
      <c r="I83" s="1155"/>
    </row>
    <row r="84" spans="1:9" s="940" customFormat="1" hidden="1" outlineLevel="1">
      <c r="A84" s="1152" t="s">
        <v>1778</v>
      </c>
      <c r="B84" s="935" t="s">
        <v>1368</v>
      </c>
      <c r="C84" s="935" t="s">
        <v>1606</v>
      </c>
      <c r="D84" s="936" t="s">
        <v>1368</v>
      </c>
      <c r="E84" s="941" t="s">
        <v>1779</v>
      </c>
      <c r="F84" s="938"/>
      <c r="G84" s="1158">
        <v>3000000</v>
      </c>
      <c r="H84" s="1161"/>
      <c r="I84" s="1155"/>
    </row>
    <row r="85" spans="1:9" s="940" customFormat="1" hidden="1" outlineLevel="1">
      <c r="A85" s="1152" t="s">
        <v>1778</v>
      </c>
      <c r="B85" s="935" t="s">
        <v>1776</v>
      </c>
      <c r="C85" s="935" t="s">
        <v>1606</v>
      </c>
      <c r="D85" s="936" t="s">
        <v>1776</v>
      </c>
      <c r="E85" s="941" t="s">
        <v>1777</v>
      </c>
      <c r="F85" s="938" t="s">
        <v>271</v>
      </c>
      <c r="G85" s="913"/>
      <c r="H85" s="1156">
        <v>200000</v>
      </c>
      <c r="I85" s="1155"/>
    </row>
    <row r="86" spans="1:9" s="940" customFormat="1" hidden="1" outlineLevel="1">
      <c r="A86" s="1152" t="s">
        <v>1778</v>
      </c>
      <c r="B86" s="935" t="s">
        <v>1386</v>
      </c>
      <c r="C86" s="935" t="s">
        <v>1606</v>
      </c>
      <c r="D86" s="936" t="s">
        <v>1386</v>
      </c>
      <c r="E86" s="941" t="s">
        <v>1780</v>
      </c>
      <c r="F86" s="938" t="s">
        <v>271</v>
      </c>
      <c r="G86" s="913"/>
      <c r="H86" s="1156">
        <v>3460000</v>
      </c>
      <c r="I86" s="1155" t="s">
        <v>1781</v>
      </c>
    </row>
    <row r="87" spans="1:9" s="940" customFormat="1" hidden="1" outlineLevel="1">
      <c r="A87" s="1152" t="s">
        <v>1778</v>
      </c>
      <c r="B87" s="935" t="s">
        <v>1782</v>
      </c>
      <c r="C87" s="935" t="s">
        <v>1606</v>
      </c>
      <c r="D87" s="936" t="s">
        <v>1783</v>
      </c>
      <c r="E87" s="941" t="s">
        <v>1784</v>
      </c>
      <c r="F87" s="938" t="s">
        <v>271</v>
      </c>
      <c r="G87" s="913"/>
      <c r="H87" s="1156">
        <v>2300000</v>
      </c>
      <c r="I87" s="1155"/>
    </row>
    <row r="88" spans="1:9" s="940" customFormat="1" hidden="1" outlineLevel="1">
      <c r="A88" s="1152" t="s">
        <v>1785</v>
      </c>
      <c r="B88" s="935" t="s">
        <v>1776</v>
      </c>
      <c r="C88" s="935" t="s">
        <v>1606</v>
      </c>
      <c r="D88" s="936" t="s">
        <v>1776</v>
      </c>
      <c r="E88" s="941" t="s">
        <v>1777</v>
      </c>
      <c r="F88" s="938" t="s">
        <v>271</v>
      </c>
      <c r="G88" s="913"/>
      <c r="H88" s="1156">
        <v>200000</v>
      </c>
      <c r="I88" s="1155"/>
    </row>
    <row r="89" spans="1:9" s="940" customFormat="1" hidden="1" outlineLevel="1">
      <c r="A89" s="1152" t="s">
        <v>1786</v>
      </c>
      <c r="B89" s="935" t="s">
        <v>1654</v>
      </c>
      <c r="C89" s="935" t="s">
        <v>1606</v>
      </c>
      <c r="D89" s="936" t="s">
        <v>1654</v>
      </c>
      <c r="E89" s="941" t="s">
        <v>1777</v>
      </c>
      <c r="F89" s="938" t="s">
        <v>271</v>
      </c>
      <c r="G89" s="913"/>
      <c r="H89" s="1156">
        <v>200000</v>
      </c>
      <c r="I89" s="1155"/>
    </row>
    <row r="90" spans="1:9" s="940" customFormat="1" hidden="1" outlineLevel="1">
      <c r="A90" s="1152" t="s">
        <v>1786</v>
      </c>
      <c r="B90" s="935" t="s">
        <v>1386</v>
      </c>
      <c r="C90" s="935" t="s">
        <v>1606</v>
      </c>
      <c r="D90" s="936" t="s">
        <v>1386</v>
      </c>
      <c r="E90" s="941" t="s">
        <v>1775</v>
      </c>
      <c r="F90" s="938" t="s">
        <v>271</v>
      </c>
      <c r="G90" s="913"/>
      <c r="H90" s="1156">
        <v>200000</v>
      </c>
      <c r="I90" s="1155"/>
    </row>
    <row r="91" spans="1:9" s="940" customFormat="1" hidden="1" outlineLevel="1">
      <c r="A91" s="1152" t="s">
        <v>1787</v>
      </c>
      <c r="B91" s="935" t="s">
        <v>1654</v>
      </c>
      <c r="C91" s="935" t="s">
        <v>1606</v>
      </c>
      <c r="D91" s="936" t="s">
        <v>1654</v>
      </c>
      <c r="E91" s="941" t="s">
        <v>1777</v>
      </c>
      <c r="F91" s="938" t="s">
        <v>271</v>
      </c>
      <c r="G91" s="913"/>
      <c r="H91" s="1156">
        <v>200000</v>
      </c>
      <c r="I91" s="1155"/>
    </row>
    <row r="92" spans="1:9" s="940" customFormat="1" hidden="1" outlineLevel="1">
      <c r="A92" s="1152" t="s">
        <v>1788</v>
      </c>
      <c r="B92" s="935" t="s">
        <v>304</v>
      </c>
      <c r="C92" s="935" t="s">
        <v>1606</v>
      </c>
      <c r="D92" s="936" t="s">
        <v>1406</v>
      </c>
      <c r="E92" s="941" t="s">
        <v>1607</v>
      </c>
      <c r="F92" s="938"/>
      <c r="G92" s="1158">
        <v>50000000</v>
      </c>
      <c r="H92" s="1159"/>
      <c r="I92" s="1155"/>
    </row>
    <row r="93" spans="1:9" s="940" customFormat="1" hidden="1" outlineLevel="1">
      <c r="A93" s="1152" t="s">
        <v>1788</v>
      </c>
      <c r="B93" s="935" t="s">
        <v>1471</v>
      </c>
      <c r="C93" s="935" t="s">
        <v>1606</v>
      </c>
      <c r="D93" s="936" t="s">
        <v>1471</v>
      </c>
      <c r="E93" s="941" t="s">
        <v>1789</v>
      </c>
      <c r="F93" s="938" t="s">
        <v>271</v>
      </c>
      <c r="G93" s="913"/>
      <c r="H93" s="1156">
        <v>1600000</v>
      </c>
      <c r="I93" s="1155"/>
    </row>
    <row r="94" spans="1:9" s="940" customFormat="1" hidden="1" outlineLevel="1">
      <c r="A94" s="1152" t="s">
        <v>1788</v>
      </c>
      <c r="B94" s="935" t="s">
        <v>1414</v>
      </c>
      <c r="C94" s="935" t="s">
        <v>1606</v>
      </c>
      <c r="D94" s="936" t="s">
        <v>1414</v>
      </c>
      <c r="E94" s="941" t="s">
        <v>1790</v>
      </c>
      <c r="F94" s="938" t="s">
        <v>271</v>
      </c>
      <c r="G94" s="913"/>
      <c r="H94" s="1156">
        <v>1108470</v>
      </c>
      <c r="I94" s="1155"/>
    </row>
    <row r="95" spans="1:9" s="940" customFormat="1" hidden="1" outlineLevel="1">
      <c r="A95" s="1152" t="s">
        <v>1788</v>
      </c>
      <c r="B95" s="935" t="s">
        <v>1371</v>
      </c>
      <c r="C95" s="935" t="s">
        <v>1606</v>
      </c>
      <c r="D95" s="936" t="s">
        <v>1739</v>
      </c>
      <c r="E95" s="941" t="s">
        <v>1791</v>
      </c>
      <c r="F95" s="938" t="s">
        <v>1732</v>
      </c>
      <c r="G95" s="913"/>
      <c r="H95" s="1156">
        <v>1000000</v>
      </c>
      <c r="I95" s="1155"/>
    </row>
    <row r="96" spans="1:9" s="940" customFormat="1" hidden="1" outlineLevel="1">
      <c r="A96" s="1152" t="s">
        <v>1788</v>
      </c>
      <c r="B96" s="935" t="s">
        <v>1739</v>
      </c>
      <c r="C96" s="935" t="s">
        <v>1606</v>
      </c>
      <c r="D96" s="936" t="s">
        <v>1739</v>
      </c>
      <c r="E96" s="941" t="s">
        <v>1752</v>
      </c>
      <c r="F96" s="938" t="s">
        <v>271</v>
      </c>
      <c r="G96" s="913"/>
      <c r="H96" s="1156">
        <v>355000</v>
      </c>
      <c r="I96" s="1155"/>
    </row>
    <row r="97" spans="1:11" s="940" customFormat="1" hidden="1" outlineLevel="1">
      <c r="A97" s="1152" t="s">
        <v>1788</v>
      </c>
      <c r="B97" s="935" t="s">
        <v>1471</v>
      </c>
      <c r="C97" s="935" t="s">
        <v>1606</v>
      </c>
      <c r="D97" s="936" t="s">
        <v>1471</v>
      </c>
      <c r="E97" s="941" t="s">
        <v>1792</v>
      </c>
      <c r="F97" s="938" t="s">
        <v>1732</v>
      </c>
      <c r="G97" s="913"/>
      <c r="H97" s="1156">
        <v>1800000</v>
      </c>
      <c r="I97" s="1155"/>
    </row>
    <row r="98" spans="1:11" s="940" customFormat="1" hidden="1" outlineLevel="1">
      <c r="A98" s="1152" t="s">
        <v>1788</v>
      </c>
      <c r="B98" s="935" t="s">
        <v>1739</v>
      </c>
      <c r="C98" s="935" t="s">
        <v>1606</v>
      </c>
      <c r="D98" s="936" t="s">
        <v>1739</v>
      </c>
      <c r="E98" s="941" t="s">
        <v>1740</v>
      </c>
      <c r="F98" s="938" t="s">
        <v>271</v>
      </c>
      <c r="G98" s="913"/>
      <c r="H98" s="1156">
        <v>80000</v>
      </c>
      <c r="I98" s="1155"/>
    </row>
    <row r="99" spans="1:11" s="940" customFormat="1" hidden="1" outlineLevel="1">
      <c r="A99" s="1152" t="s">
        <v>1788</v>
      </c>
      <c r="B99" s="935" t="s">
        <v>1368</v>
      </c>
      <c r="C99" s="935" t="s">
        <v>1606</v>
      </c>
      <c r="D99" s="936" t="s">
        <v>1368</v>
      </c>
      <c r="E99" s="941" t="s">
        <v>1793</v>
      </c>
      <c r="F99" s="938" t="s">
        <v>271</v>
      </c>
      <c r="G99" s="913"/>
      <c r="H99" s="1156">
        <v>3000000</v>
      </c>
      <c r="I99" s="1155"/>
    </row>
    <row r="100" spans="1:11" s="940" customFormat="1" hidden="1" outlineLevel="1">
      <c r="A100" s="1152" t="s">
        <v>1788</v>
      </c>
      <c r="B100" s="935" t="s">
        <v>285</v>
      </c>
      <c r="C100" s="935" t="s">
        <v>1606</v>
      </c>
      <c r="D100" s="936" t="s">
        <v>285</v>
      </c>
      <c r="E100" s="941" t="s">
        <v>1794</v>
      </c>
      <c r="F100" s="938" t="s">
        <v>271</v>
      </c>
      <c r="G100" s="913"/>
      <c r="H100" s="1156">
        <v>1000000</v>
      </c>
      <c r="I100" s="1155"/>
    </row>
    <row r="101" spans="1:11" s="940" customFormat="1" hidden="1" outlineLevel="1">
      <c r="A101" s="1152" t="s">
        <v>1795</v>
      </c>
      <c r="B101" s="935" t="s">
        <v>285</v>
      </c>
      <c r="C101" s="935" t="s">
        <v>1606</v>
      </c>
      <c r="D101" s="936" t="s">
        <v>285</v>
      </c>
      <c r="E101" s="941" t="s">
        <v>1796</v>
      </c>
      <c r="F101" s="938" t="s">
        <v>271</v>
      </c>
      <c r="G101" s="913"/>
      <c r="H101" s="1156">
        <v>5000000</v>
      </c>
      <c r="I101" s="1164" t="s">
        <v>1797</v>
      </c>
    </row>
    <row r="102" spans="1:11" s="940" customFormat="1" hidden="1" outlineLevel="1">
      <c r="A102" s="1152" t="s">
        <v>1795</v>
      </c>
      <c r="B102" s="935" t="s">
        <v>1368</v>
      </c>
      <c r="C102" s="935" t="s">
        <v>1606</v>
      </c>
      <c r="D102" s="936" t="s">
        <v>1368</v>
      </c>
      <c r="E102" s="941" t="s">
        <v>1798</v>
      </c>
      <c r="F102" s="938" t="s">
        <v>271</v>
      </c>
      <c r="G102" s="913"/>
      <c r="H102" s="1156">
        <v>10000000</v>
      </c>
      <c r="I102" s="1164" t="s">
        <v>1797</v>
      </c>
    </row>
    <row r="103" spans="1:11" s="940" customFormat="1" hidden="1" outlineLevel="1">
      <c r="A103" s="1152" t="s">
        <v>1799</v>
      </c>
      <c r="B103" s="935" t="s">
        <v>1739</v>
      </c>
      <c r="C103" s="935" t="s">
        <v>1606</v>
      </c>
      <c r="D103" s="936" t="s">
        <v>1739</v>
      </c>
      <c r="E103" s="941" t="s">
        <v>1800</v>
      </c>
      <c r="F103" s="938" t="s">
        <v>271</v>
      </c>
      <c r="G103" s="913"/>
      <c r="H103" s="1156">
        <v>80000</v>
      </c>
      <c r="I103" s="1155"/>
    </row>
    <row r="104" spans="1:11" s="940" customFormat="1" hidden="1" outlineLevel="1">
      <c r="A104" s="1152" t="s">
        <v>1799</v>
      </c>
      <c r="B104" s="935" t="s">
        <v>1739</v>
      </c>
      <c r="C104" s="935" t="s">
        <v>1606</v>
      </c>
      <c r="D104" s="936" t="s">
        <v>1739</v>
      </c>
      <c r="E104" s="941" t="s">
        <v>1801</v>
      </c>
      <c r="F104" s="938" t="s">
        <v>271</v>
      </c>
      <c r="G104" s="913"/>
      <c r="H104" s="1156">
        <v>80000</v>
      </c>
      <c r="I104" s="1155"/>
    </row>
    <row r="105" spans="1:11" s="940" customFormat="1" hidden="1" outlineLevel="1">
      <c r="A105" s="1152" t="s">
        <v>1799</v>
      </c>
      <c r="B105" s="935" t="s">
        <v>1739</v>
      </c>
      <c r="C105" s="935" t="s">
        <v>1606</v>
      </c>
      <c r="D105" s="936" t="s">
        <v>1739</v>
      </c>
      <c r="E105" s="941" t="s">
        <v>1802</v>
      </c>
      <c r="F105" s="938" t="s">
        <v>271</v>
      </c>
      <c r="G105" s="913"/>
      <c r="H105" s="1156">
        <v>80000</v>
      </c>
      <c r="I105" s="1155"/>
    </row>
    <row r="106" spans="1:11" s="940" customFormat="1" hidden="1" outlineLevel="1">
      <c r="A106" s="1152" t="s">
        <v>1799</v>
      </c>
      <c r="B106" s="935" t="s">
        <v>1739</v>
      </c>
      <c r="C106" s="935" t="s">
        <v>1606</v>
      </c>
      <c r="D106" s="936" t="s">
        <v>1739</v>
      </c>
      <c r="E106" s="941" t="s">
        <v>1803</v>
      </c>
      <c r="F106" s="938" t="s">
        <v>1732</v>
      </c>
      <c r="G106" s="913"/>
      <c r="H106" s="1156">
        <v>1000000</v>
      </c>
      <c r="I106" s="1155"/>
    </row>
    <row r="107" spans="1:11" s="940" customFormat="1" hidden="1" outlineLevel="1">
      <c r="A107" s="1152" t="s">
        <v>1799</v>
      </c>
      <c r="B107" s="935" t="s">
        <v>1739</v>
      </c>
      <c r="C107" s="935" t="s">
        <v>1606</v>
      </c>
      <c r="D107" s="936" t="s">
        <v>1739</v>
      </c>
      <c r="E107" s="941" t="s">
        <v>1804</v>
      </c>
      <c r="F107" s="938" t="s">
        <v>1732</v>
      </c>
      <c r="G107" s="913"/>
      <c r="H107" s="1156">
        <v>1000000</v>
      </c>
      <c r="I107" s="1155"/>
    </row>
    <row r="108" spans="1:11" s="940" customFormat="1" hidden="1" outlineLevel="1">
      <c r="A108" s="1152" t="s">
        <v>1799</v>
      </c>
      <c r="B108" s="935" t="s">
        <v>1406</v>
      </c>
      <c r="C108" s="935" t="s">
        <v>1606</v>
      </c>
      <c r="D108" s="936" t="s">
        <v>1406</v>
      </c>
      <c r="E108" s="941" t="s">
        <v>1777</v>
      </c>
      <c r="F108" s="938" t="s">
        <v>271</v>
      </c>
      <c r="G108" s="913"/>
      <c r="H108" s="1156">
        <v>200000</v>
      </c>
      <c r="I108" s="1155"/>
    </row>
    <row r="109" spans="1:11" s="940" customFormat="1" ht="18.75" hidden="1" outlineLevel="1" thickBot="1">
      <c r="A109" s="1152" t="s">
        <v>1805</v>
      </c>
      <c r="B109" s="935" t="s">
        <v>1611</v>
      </c>
      <c r="C109" s="935" t="s">
        <v>1606</v>
      </c>
      <c r="D109" s="936" t="s">
        <v>1610</v>
      </c>
      <c r="E109" s="941" t="s">
        <v>1806</v>
      </c>
      <c r="F109" s="938" t="s">
        <v>271</v>
      </c>
      <c r="G109" s="913"/>
      <c r="H109" s="1156">
        <v>400000</v>
      </c>
      <c r="I109" s="1155"/>
    </row>
    <row r="110" spans="1:11" s="940" customFormat="1" ht="18.75" hidden="1" outlineLevel="1" thickBot="1">
      <c r="A110" s="1152" t="s">
        <v>1805</v>
      </c>
      <c r="B110" s="935" t="s">
        <v>1739</v>
      </c>
      <c r="C110" s="935" t="s">
        <v>1606</v>
      </c>
      <c r="D110" s="936" t="s">
        <v>1739</v>
      </c>
      <c r="E110" s="941" t="s">
        <v>1807</v>
      </c>
      <c r="F110" s="938" t="s">
        <v>1732</v>
      </c>
      <c r="G110" s="913"/>
      <c r="H110" s="1156">
        <v>1000000</v>
      </c>
      <c r="I110" s="1155"/>
      <c r="J110" s="945" t="s">
        <v>407</v>
      </c>
      <c r="K110" s="946">
        <f>H113-K111</f>
        <v>0</v>
      </c>
    </row>
    <row r="111" spans="1:11" s="940" customFormat="1" ht="18.75" hidden="1" outlineLevel="1" thickBot="1">
      <c r="A111" s="1152" t="s">
        <v>1805</v>
      </c>
      <c r="B111" s="935" t="s">
        <v>1739</v>
      </c>
      <c r="C111" s="935" t="s">
        <v>1606</v>
      </c>
      <c r="D111" s="936" t="s">
        <v>1739</v>
      </c>
      <c r="E111" s="941" t="s">
        <v>1626</v>
      </c>
      <c r="F111" s="938" t="s">
        <v>271</v>
      </c>
      <c r="G111" s="913"/>
      <c r="H111" s="1156">
        <v>315000</v>
      </c>
      <c r="I111" s="1155"/>
      <c r="J111" s="945" t="s">
        <v>411</v>
      </c>
      <c r="K111" s="946">
        <v>0</v>
      </c>
    </row>
    <row r="112" spans="1:11" s="940" customFormat="1" ht="18.75" collapsed="1" thickBot="1">
      <c r="A112" s="1941" t="s">
        <v>1601</v>
      </c>
      <c r="B112" s="1942"/>
      <c r="C112" s="1942"/>
      <c r="D112" s="1942"/>
      <c r="E112" s="1324" t="s">
        <v>1808</v>
      </c>
      <c r="F112" s="1325"/>
      <c r="G112" s="1292">
        <f>SUBTOTAL(9,G41:G111)</f>
        <v>122119213</v>
      </c>
      <c r="H112" s="1292">
        <f>SUBTOTAL(9,H42:H111)</f>
        <v>100337210</v>
      </c>
      <c r="I112" s="1155"/>
      <c r="J112" s="945" t="s">
        <v>414</v>
      </c>
      <c r="K112" s="946">
        <f>G113</f>
        <v>21782003</v>
      </c>
    </row>
    <row r="113" spans="1:12" s="940" customFormat="1" ht="18.75" thickBot="1">
      <c r="A113" s="1934" t="s">
        <v>266</v>
      </c>
      <c r="B113" s="1935"/>
      <c r="C113" s="1935"/>
      <c r="D113" s="1935"/>
      <c r="E113" s="1166"/>
      <c r="F113" s="1167"/>
      <c r="G113" s="1168">
        <f>G112-H112</f>
        <v>21782003</v>
      </c>
      <c r="H113" s="1168"/>
      <c r="I113" s="1169"/>
    </row>
    <row r="114" spans="1:12" s="940" customFormat="1" hidden="1" outlineLevel="1">
      <c r="A114" s="1152" t="s">
        <v>1846</v>
      </c>
      <c r="B114" s="936" t="s">
        <v>1406</v>
      </c>
      <c r="C114" s="936" t="s">
        <v>1606</v>
      </c>
      <c r="D114" s="936" t="s">
        <v>1406</v>
      </c>
      <c r="E114" s="1145" t="s">
        <v>1847</v>
      </c>
      <c r="F114" s="1146" t="s">
        <v>271</v>
      </c>
      <c r="G114" s="1150"/>
      <c r="H114" s="1151">
        <v>200000</v>
      </c>
      <c r="I114" s="1148"/>
      <c r="J114" s="1602"/>
    </row>
    <row r="115" spans="1:12" s="940" customFormat="1" hidden="1" outlineLevel="1">
      <c r="A115" s="1149" t="s">
        <v>1837</v>
      </c>
      <c r="B115" s="936" t="s">
        <v>1654</v>
      </c>
      <c r="C115" s="936" t="s">
        <v>1606</v>
      </c>
      <c r="D115" s="936" t="s">
        <v>1654</v>
      </c>
      <c r="E115" s="941" t="s">
        <v>1848</v>
      </c>
      <c r="F115" s="1146" t="s">
        <v>1548</v>
      </c>
      <c r="G115" s="1150"/>
      <c r="H115" s="1151">
        <v>3509460</v>
      </c>
      <c r="I115" s="1148"/>
      <c r="J115" s="1602"/>
    </row>
    <row r="116" spans="1:12" s="940" customFormat="1" hidden="1" outlineLevel="1">
      <c r="A116" s="1329" t="s">
        <v>1849</v>
      </c>
      <c r="B116" s="936" t="s">
        <v>1406</v>
      </c>
      <c r="C116" s="936" t="s">
        <v>1606</v>
      </c>
      <c r="D116" s="936" t="s">
        <v>1406</v>
      </c>
      <c r="E116" s="941" t="s">
        <v>1850</v>
      </c>
      <c r="F116" s="1146" t="s">
        <v>271</v>
      </c>
      <c r="G116" s="1150"/>
      <c r="H116" s="1151">
        <v>1200000</v>
      </c>
      <c r="I116" s="1148" t="s">
        <v>1851</v>
      </c>
      <c r="J116" s="1602"/>
    </row>
    <row r="117" spans="1:12" s="940" customFormat="1" hidden="1" outlineLevel="1">
      <c r="A117" s="1152" t="s">
        <v>1968</v>
      </c>
      <c r="B117" s="935" t="s">
        <v>1406</v>
      </c>
      <c r="C117" s="935" t="s">
        <v>1606</v>
      </c>
      <c r="D117" s="936" t="s">
        <v>1406</v>
      </c>
      <c r="E117" s="937" t="s">
        <v>1969</v>
      </c>
      <c r="F117" s="938" t="s">
        <v>271</v>
      </c>
      <c r="G117" s="1153"/>
      <c r="H117" s="1154">
        <v>690000</v>
      </c>
      <c r="I117" s="1155"/>
      <c r="J117" s="1602"/>
    </row>
    <row r="118" spans="1:12" s="940" customFormat="1" hidden="1" outlineLevel="1">
      <c r="A118" s="1152" t="s">
        <v>1968</v>
      </c>
      <c r="B118" s="935" t="s">
        <v>1654</v>
      </c>
      <c r="C118" s="935" t="s">
        <v>1606</v>
      </c>
      <c r="D118" s="936" t="s">
        <v>1654</v>
      </c>
      <c r="E118" s="937" t="s">
        <v>1847</v>
      </c>
      <c r="F118" s="938" t="s">
        <v>271</v>
      </c>
      <c r="G118" s="913"/>
      <c r="H118" s="1154">
        <v>210000</v>
      </c>
      <c r="I118" s="1155"/>
      <c r="J118" s="1602"/>
    </row>
    <row r="119" spans="1:12" s="940" customFormat="1" hidden="1" outlineLevel="1">
      <c r="A119" s="1152" t="s">
        <v>1968</v>
      </c>
      <c r="B119" s="935" t="s">
        <v>1739</v>
      </c>
      <c r="C119" s="935" t="s">
        <v>1606</v>
      </c>
      <c r="D119" s="936" t="s">
        <v>1739</v>
      </c>
      <c r="E119" s="937" t="s">
        <v>1970</v>
      </c>
      <c r="F119" s="938" t="s">
        <v>271</v>
      </c>
      <c r="G119" s="913"/>
      <c r="H119" s="1156">
        <v>10000</v>
      </c>
      <c r="I119" s="1155"/>
      <c r="J119" s="1602"/>
    </row>
    <row r="120" spans="1:12" s="940" customFormat="1" hidden="1" outlineLevel="1">
      <c r="A120" s="1152" t="s">
        <v>1968</v>
      </c>
      <c r="B120" s="935" t="s">
        <v>1739</v>
      </c>
      <c r="C120" s="935" t="s">
        <v>1606</v>
      </c>
      <c r="D120" s="936" t="s">
        <v>1739</v>
      </c>
      <c r="E120" s="937" t="s">
        <v>1971</v>
      </c>
      <c r="F120" s="938" t="s">
        <v>1548</v>
      </c>
      <c r="G120" s="913"/>
      <c r="H120" s="1154">
        <v>1000000</v>
      </c>
      <c r="I120" s="1155"/>
      <c r="J120" s="1602"/>
    </row>
    <row r="121" spans="1:12" s="940" customFormat="1" hidden="1" outlineLevel="1">
      <c r="A121" s="1152" t="s">
        <v>1968</v>
      </c>
      <c r="B121" s="935" t="s">
        <v>1403</v>
      </c>
      <c r="C121" s="935" t="s">
        <v>1606</v>
      </c>
      <c r="D121" s="936" t="s">
        <v>1403</v>
      </c>
      <c r="E121" s="937" t="s">
        <v>1727</v>
      </c>
      <c r="F121" s="938" t="s">
        <v>271</v>
      </c>
      <c r="G121" s="913"/>
      <c r="H121" s="1154">
        <v>500000</v>
      </c>
      <c r="I121" s="1155"/>
      <c r="J121" s="1602"/>
    </row>
    <row r="122" spans="1:12" s="940" customFormat="1" hidden="1" outlineLevel="1">
      <c r="A122" s="1152" t="s">
        <v>1963</v>
      </c>
      <c r="B122" s="935" t="s">
        <v>1414</v>
      </c>
      <c r="C122" s="935" t="s">
        <v>1606</v>
      </c>
      <c r="D122" s="935" t="s">
        <v>1414</v>
      </c>
      <c r="E122" s="937" t="s">
        <v>1972</v>
      </c>
      <c r="F122" s="938" t="s">
        <v>1548</v>
      </c>
      <c r="G122" s="1153"/>
      <c r="H122" s="1154">
        <v>3500000</v>
      </c>
      <c r="I122" s="1155"/>
      <c r="J122" s="1602"/>
      <c r="L122" s="1157" t="e">
        <f>#REF!+#REF!+#REF!+#REF!+H117+H118+#REF!+H151+H186+H187+#REF!+K184+K185+H239</f>
        <v>#REF!</v>
      </c>
    </row>
    <row r="123" spans="1:12" s="940" customFormat="1" hidden="1" outlineLevel="1">
      <c r="A123" s="1152" t="s">
        <v>1963</v>
      </c>
      <c r="B123" s="935" t="s">
        <v>1648</v>
      </c>
      <c r="C123" s="935" t="s">
        <v>1606</v>
      </c>
      <c r="D123" s="936" t="s">
        <v>1648</v>
      </c>
      <c r="E123" s="937" t="s">
        <v>1973</v>
      </c>
      <c r="F123" s="938" t="s">
        <v>1548</v>
      </c>
      <c r="G123" s="913"/>
      <c r="H123" s="1154">
        <v>3100000</v>
      </c>
      <c r="I123" s="1155"/>
      <c r="J123" s="1602"/>
    </row>
    <row r="124" spans="1:12" s="940" customFormat="1" hidden="1" outlineLevel="1">
      <c r="A124" s="1152" t="s">
        <v>1963</v>
      </c>
      <c r="B124" s="935" t="s">
        <v>1654</v>
      </c>
      <c r="C124" s="935" t="s">
        <v>1606</v>
      </c>
      <c r="D124" s="936" t="s">
        <v>1654</v>
      </c>
      <c r="E124" s="937" t="s">
        <v>1777</v>
      </c>
      <c r="F124" s="938" t="s">
        <v>271</v>
      </c>
      <c r="G124" s="913"/>
      <c r="H124" s="1154">
        <v>210000</v>
      </c>
      <c r="I124" s="1155"/>
      <c r="J124" s="1602"/>
    </row>
    <row r="125" spans="1:12" s="940" customFormat="1" hidden="1" outlineLevel="1">
      <c r="A125" s="1152" t="s">
        <v>1974</v>
      </c>
      <c r="B125" s="935" t="s">
        <v>304</v>
      </c>
      <c r="C125" s="935" t="s">
        <v>1606</v>
      </c>
      <c r="D125" s="936" t="s">
        <v>1406</v>
      </c>
      <c r="E125" s="937" t="s">
        <v>1607</v>
      </c>
      <c r="F125" s="938"/>
      <c r="G125" s="1158">
        <v>50000000</v>
      </c>
      <c r="H125" s="1159"/>
      <c r="I125" s="1155"/>
      <c r="J125" s="1602"/>
    </row>
    <row r="126" spans="1:12" s="940" customFormat="1" hidden="1" outlineLevel="1">
      <c r="A126" s="1152" t="s">
        <v>1974</v>
      </c>
      <c r="B126" s="935" t="s">
        <v>1368</v>
      </c>
      <c r="C126" s="935" t="s">
        <v>1606</v>
      </c>
      <c r="D126" s="936" t="s">
        <v>1368</v>
      </c>
      <c r="E126" s="941" t="s">
        <v>1975</v>
      </c>
      <c r="F126" s="938"/>
      <c r="G126" s="913"/>
      <c r="H126" s="1156">
        <v>10000000</v>
      </c>
      <c r="I126" s="1155"/>
      <c r="J126" s="1602"/>
    </row>
    <row r="127" spans="1:12" s="940" customFormat="1" hidden="1" outlineLevel="1">
      <c r="A127" s="1152" t="s">
        <v>1974</v>
      </c>
      <c r="B127" s="935" t="s">
        <v>1403</v>
      </c>
      <c r="C127" s="935" t="s">
        <v>1606</v>
      </c>
      <c r="D127" s="936" t="s">
        <v>1403</v>
      </c>
      <c r="E127" s="941" t="s">
        <v>1976</v>
      </c>
      <c r="F127" s="938"/>
      <c r="G127" s="913"/>
      <c r="H127" s="1156">
        <v>10000000</v>
      </c>
      <c r="I127" s="1155"/>
      <c r="J127" s="1602"/>
    </row>
    <row r="128" spans="1:12" s="940" customFormat="1" hidden="1" outlineLevel="1">
      <c r="A128" s="1152" t="s">
        <v>1974</v>
      </c>
      <c r="B128" s="935" t="s">
        <v>285</v>
      </c>
      <c r="C128" s="935" t="s">
        <v>1606</v>
      </c>
      <c r="D128" s="936" t="s">
        <v>285</v>
      </c>
      <c r="E128" s="941" t="s">
        <v>1977</v>
      </c>
      <c r="F128" s="938"/>
      <c r="G128" s="913"/>
      <c r="H128" s="1156">
        <v>10000000</v>
      </c>
      <c r="I128" s="1155"/>
      <c r="J128" s="1602"/>
    </row>
    <row r="129" spans="1:10" s="940" customFormat="1" hidden="1" outlineLevel="1">
      <c r="A129" s="1152" t="s">
        <v>1974</v>
      </c>
      <c r="B129" s="935" t="s">
        <v>1471</v>
      </c>
      <c r="C129" s="935" t="s">
        <v>1606</v>
      </c>
      <c r="D129" s="936" t="s">
        <v>1471</v>
      </c>
      <c r="E129" s="941" t="s">
        <v>2007</v>
      </c>
      <c r="F129" s="938" t="s">
        <v>271</v>
      </c>
      <c r="G129" s="913"/>
      <c r="H129" s="1156">
        <v>10000000</v>
      </c>
      <c r="I129" s="1155"/>
      <c r="J129" s="1602"/>
    </row>
    <row r="130" spans="1:10" s="940" customFormat="1" hidden="1" outlineLevel="1">
      <c r="A130" s="1152" t="s">
        <v>1974</v>
      </c>
      <c r="B130" s="935" t="s">
        <v>1654</v>
      </c>
      <c r="C130" s="935" t="s">
        <v>1606</v>
      </c>
      <c r="D130" s="936" t="s">
        <v>1654</v>
      </c>
      <c r="E130" s="1160" t="s">
        <v>1978</v>
      </c>
      <c r="F130" s="938"/>
      <c r="G130" s="913"/>
      <c r="H130" s="1156">
        <v>215000</v>
      </c>
      <c r="I130" s="1155"/>
      <c r="J130" s="1602"/>
    </row>
    <row r="131" spans="1:10" s="940" customFormat="1" hidden="1" outlineLevel="1">
      <c r="A131" s="1152" t="s">
        <v>1974</v>
      </c>
      <c r="B131" s="935" t="s">
        <v>1654</v>
      </c>
      <c r="C131" s="935" t="s">
        <v>1606</v>
      </c>
      <c r="D131" s="936" t="s">
        <v>1654</v>
      </c>
      <c r="E131" s="941" t="s">
        <v>1777</v>
      </c>
      <c r="F131" s="938"/>
      <c r="G131" s="913"/>
      <c r="H131" s="1156">
        <v>200000</v>
      </c>
      <c r="I131" s="1155"/>
      <c r="J131" s="1602"/>
    </row>
    <row r="132" spans="1:10" s="940" customFormat="1" hidden="1" outlineLevel="1">
      <c r="A132" s="1152" t="s">
        <v>1992</v>
      </c>
      <c r="B132" s="935" t="s">
        <v>1471</v>
      </c>
      <c r="C132" s="935" t="s">
        <v>1606</v>
      </c>
      <c r="D132" s="936" t="s">
        <v>1471</v>
      </c>
      <c r="E132" s="941" t="s">
        <v>1993</v>
      </c>
      <c r="F132" s="938" t="s">
        <v>271</v>
      </c>
      <c r="G132" s="913"/>
      <c r="H132" s="1156">
        <v>1200000</v>
      </c>
      <c r="I132" s="1155"/>
      <c r="J132" s="1602"/>
    </row>
    <row r="133" spans="1:10" s="940" customFormat="1" hidden="1" outlineLevel="1">
      <c r="A133" s="1152" t="s">
        <v>1992</v>
      </c>
      <c r="B133" s="935" t="s">
        <v>1471</v>
      </c>
      <c r="C133" s="935" t="s">
        <v>1606</v>
      </c>
      <c r="D133" s="936" t="s">
        <v>1471</v>
      </c>
      <c r="E133" s="1160" t="s">
        <v>1994</v>
      </c>
      <c r="F133" s="938" t="s">
        <v>271</v>
      </c>
      <c r="G133" s="913"/>
      <c r="H133" s="1156">
        <v>500000</v>
      </c>
      <c r="I133" s="1155"/>
      <c r="J133" s="1602"/>
    </row>
    <row r="134" spans="1:10" s="940" customFormat="1" hidden="1" outlineLevel="1">
      <c r="A134" s="1152" t="s">
        <v>1992</v>
      </c>
      <c r="B134" s="935" t="s">
        <v>1739</v>
      </c>
      <c r="C134" s="935" t="s">
        <v>1606</v>
      </c>
      <c r="D134" s="936" t="s">
        <v>1739</v>
      </c>
      <c r="E134" s="937" t="s">
        <v>1995</v>
      </c>
      <c r="F134" s="938" t="s">
        <v>271</v>
      </c>
      <c r="G134" s="913"/>
      <c r="H134" s="1154">
        <v>160000</v>
      </c>
      <c r="I134" s="1155"/>
      <c r="J134" s="1602"/>
    </row>
    <row r="135" spans="1:10" s="940" customFormat="1" hidden="1" outlineLevel="1">
      <c r="A135" s="1152" t="s">
        <v>1992</v>
      </c>
      <c r="B135" s="935" t="s">
        <v>1406</v>
      </c>
      <c r="C135" s="935" t="s">
        <v>1606</v>
      </c>
      <c r="D135" s="936" t="s">
        <v>1406</v>
      </c>
      <c r="E135" s="937" t="s">
        <v>1996</v>
      </c>
      <c r="F135" s="938" t="s">
        <v>1548</v>
      </c>
      <c r="G135" s="913"/>
      <c r="H135" s="1156">
        <v>250000</v>
      </c>
      <c r="I135" s="1155"/>
      <c r="J135" s="1602"/>
    </row>
    <row r="136" spans="1:10" s="940" customFormat="1" hidden="1" outlineLevel="1">
      <c r="A136" s="1152" t="s">
        <v>1992</v>
      </c>
      <c r="B136" s="935" t="s">
        <v>1739</v>
      </c>
      <c r="C136" s="935" t="s">
        <v>1606</v>
      </c>
      <c r="D136" s="936" t="s">
        <v>1739</v>
      </c>
      <c r="E136" s="941" t="s">
        <v>1997</v>
      </c>
      <c r="F136" s="938" t="s">
        <v>1548</v>
      </c>
      <c r="G136" s="913"/>
      <c r="H136" s="1156">
        <v>1000000</v>
      </c>
      <c r="I136" s="1155"/>
      <c r="J136" s="1602"/>
    </row>
    <row r="137" spans="1:10" s="940" customFormat="1" hidden="1" outlineLevel="1">
      <c r="A137" s="1152" t="s">
        <v>1998</v>
      </c>
      <c r="B137" s="935" t="s">
        <v>1739</v>
      </c>
      <c r="C137" s="935" t="s">
        <v>1606</v>
      </c>
      <c r="D137" s="936" t="s">
        <v>1739</v>
      </c>
      <c r="E137" s="937" t="s">
        <v>1999</v>
      </c>
      <c r="F137" s="938" t="s">
        <v>271</v>
      </c>
      <c r="G137" s="913"/>
      <c r="H137" s="1156">
        <v>270000</v>
      </c>
      <c r="I137" s="1155"/>
      <c r="J137" s="1602"/>
    </row>
    <row r="138" spans="1:10" s="940" customFormat="1" hidden="1" outlineLevel="1">
      <c r="A138" s="1152" t="s">
        <v>1998</v>
      </c>
      <c r="B138" s="935" t="s">
        <v>1739</v>
      </c>
      <c r="C138" s="935" t="s">
        <v>1606</v>
      </c>
      <c r="D138" s="936" t="s">
        <v>1739</v>
      </c>
      <c r="E138" s="937" t="s">
        <v>2000</v>
      </c>
      <c r="F138" s="938" t="s">
        <v>1548</v>
      </c>
      <c r="G138" s="913"/>
      <c r="H138" s="1156">
        <v>900000</v>
      </c>
      <c r="I138" s="1155"/>
      <c r="J138" s="1602"/>
    </row>
    <row r="139" spans="1:10" s="940" customFormat="1" hidden="1" outlineLevel="1">
      <c r="A139" s="1152" t="s">
        <v>2001</v>
      </c>
      <c r="B139" s="935" t="s">
        <v>1654</v>
      </c>
      <c r="C139" s="935" t="s">
        <v>1606</v>
      </c>
      <c r="D139" s="936" t="s">
        <v>1654</v>
      </c>
      <c r="E139" s="937" t="s">
        <v>2002</v>
      </c>
      <c r="F139" s="938" t="s">
        <v>271</v>
      </c>
      <c r="G139" s="913"/>
      <c r="H139" s="1156">
        <v>700000</v>
      </c>
      <c r="I139" s="1155" t="s">
        <v>2003</v>
      </c>
      <c r="J139" s="1602"/>
    </row>
    <row r="140" spans="1:10" s="940" customFormat="1" hidden="1" outlineLevel="1">
      <c r="A140" s="1152" t="s">
        <v>2001</v>
      </c>
      <c r="B140" s="935" t="s">
        <v>1654</v>
      </c>
      <c r="C140" s="935" t="s">
        <v>1606</v>
      </c>
      <c r="D140" s="936" t="s">
        <v>1654</v>
      </c>
      <c r="E140" s="937" t="s">
        <v>2004</v>
      </c>
      <c r="F140" s="938" t="s">
        <v>1548</v>
      </c>
      <c r="G140" s="1162"/>
      <c r="H140" s="1163">
        <v>3507450</v>
      </c>
      <c r="I140" s="1155"/>
      <c r="J140" s="1602"/>
    </row>
    <row r="141" spans="1:10" s="940" customFormat="1" hidden="1" outlineLevel="1">
      <c r="A141" s="1152" t="s">
        <v>2001</v>
      </c>
      <c r="B141" s="935" t="s">
        <v>1654</v>
      </c>
      <c r="C141" s="935" t="s">
        <v>1606</v>
      </c>
      <c r="D141" s="936" t="s">
        <v>1654</v>
      </c>
      <c r="E141" s="937" t="s">
        <v>2005</v>
      </c>
      <c r="F141" s="938" t="s">
        <v>271</v>
      </c>
      <c r="G141" s="913"/>
      <c r="H141" s="1156">
        <v>1300000</v>
      </c>
      <c r="I141" s="1155"/>
      <c r="J141" s="1602"/>
    </row>
    <row r="142" spans="1:10" s="940" customFormat="1" hidden="1" outlineLevel="1">
      <c r="A142" s="1152" t="s">
        <v>2001</v>
      </c>
      <c r="B142" s="935" t="s">
        <v>1406</v>
      </c>
      <c r="C142" s="935" t="s">
        <v>1606</v>
      </c>
      <c r="D142" s="936" t="s">
        <v>1406</v>
      </c>
      <c r="E142" s="937" t="s">
        <v>2006</v>
      </c>
      <c r="F142" s="938" t="s">
        <v>271</v>
      </c>
      <c r="G142" s="913"/>
      <c r="H142" s="1156">
        <v>30000</v>
      </c>
      <c r="I142" s="1155"/>
      <c r="J142" s="1602"/>
    </row>
    <row r="143" spans="1:10" s="940" customFormat="1" hidden="1" outlineLevel="1">
      <c r="A143" s="1553" t="s">
        <v>2001</v>
      </c>
      <c r="B143" s="1554" t="s">
        <v>1654</v>
      </c>
      <c r="C143" s="1554" t="s">
        <v>1606</v>
      </c>
      <c r="D143" s="1555" t="s">
        <v>1654</v>
      </c>
      <c r="E143" s="1556" t="s">
        <v>1777</v>
      </c>
      <c r="F143" s="1557" t="s">
        <v>271</v>
      </c>
      <c r="G143" s="1558"/>
      <c r="H143" s="1559">
        <v>210000</v>
      </c>
      <c r="I143" s="1560" t="s">
        <v>2051</v>
      </c>
      <c r="J143" s="1602"/>
    </row>
    <row r="144" spans="1:10" s="940" customFormat="1" hidden="1" outlineLevel="1">
      <c r="A144" s="1152" t="s">
        <v>2001</v>
      </c>
      <c r="B144" s="935" t="s">
        <v>304</v>
      </c>
      <c r="C144" s="935" t="s">
        <v>1606</v>
      </c>
      <c r="D144" s="936" t="s">
        <v>1406</v>
      </c>
      <c r="E144" s="937" t="s">
        <v>1607</v>
      </c>
      <c r="F144" s="938"/>
      <c r="G144" s="1158">
        <v>50000000</v>
      </c>
      <c r="H144" s="1159"/>
      <c r="I144" s="1155"/>
      <c r="J144" s="1602"/>
    </row>
    <row r="145" spans="1:10" s="940" customFormat="1" hidden="1" outlineLevel="1">
      <c r="A145" s="1152" t="s">
        <v>2026</v>
      </c>
      <c r="B145" s="935" t="s">
        <v>1739</v>
      </c>
      <c r="C145" s="935" t="s">
        <v>1606</v>
      </c>
      <c r="D145" s="936" t="s">
        <v>1739</v>
      </c>
      <c r="E145" s="937" t="s">
        <v>2027</v>
      </c>
      <c r="F145" s="938" t="s">
        <v>271</v>
      </c>
      <c r="G145" s="913"/>
      <c r="H145" s="1156">
        <v>380000</v>
      </c>
      <c r="I145" s="1155"/>
      <c r="J145" s="1602"/>
    </row>
    <row r="146" spans="1:10" s="940" customFormat="1" hidden="1" outlineLevel="1">
      <c r="A146" s="1152" t="s">
        <v>2026</v>
      </c>
      <c r="B146" s="935" t="s">
        <v>1739</v>
      </c>
      <c r="C146" s="935" t="s">
        <v>1606</v>
      </c>
      <c r="D146" s="936" t="s">
        <v>1739</v>
      </c>
      <c r="E146" s="937" t="s">
        <v>2028</v>
      </c>
      <c r="F146" s="938" t="s">
        <v>271</v>
      </c>
      <c r="G146" s="913"/>
      <c r="H146" s="1156">
        <v>634600</v>
      </c>
      <c r="I146" s="1155"/>
      <c r="J146" s="1602"/>
    </row>
    <row r="147" spans="1:10" s="940" customFormat="1" hidden="1" outlineLevel="1">
      <c r="A147" s="1553" t="s">
        <v>2026</v>
      </c>
      <c r="B147" s="1554" t="s">
        <v>1654</v>
      </c>
      <c r="C147" s="1554" t="s">
        <v>1606</v>
      </c>
      <c r="D147" s="1555" t="s">
        <v>1654</v>
      </c>
      <c r="E147" s="1556" t="s">
        <v>1777</v>
      </c>
      <c r="F147" s="1557" t="s">
        <v>271</v>
      </c>
      <c r="G147" s="1558"/>
      <c r="H147" s="1559">
        <v>120000</v>
      </c>
      <c r="I147" s="1560" t="s">
        <v>2052</v>
      </c>
      <c r="J147" s="1602"/>
    </row>
    <row r="148" spans="1:10" s="940" customFormat="1" hidden="1" outlineLevel="1">
      <c r="A148" s="1152" t="s">
        <v>2026</v>
      </c>
      <c r="B148" s="935" t="s">
        <v>1739</v>
      </c>
      <c r="C148" s="935" t="s">
        <v>1606</v>
      </c>
      <c r="D148" s="936" t="s">
        <v>1739</v>
      </c>
      <c r="E148" s="937" t="s">
        <v>2029</v>
      </c>
      <c r="F148" s="938" t="s">
        <v>1548</v>
      </c>
      <c r="G148" s="913"/>
      <c r="H148" s="1156">
        <v>1000000</v>
      </c>
      <c r="I148" s="1155"/>
      <c r="J148" s="1602"/>
    </row>
    <row r="149" spans="1:10" s="940" customFormat="1" hidden="1" outlineLevel="1">
      <c r="A149" s="1152" t="s">
        <v>2026</v>
      </c>
      <c r="B149" s="935" t="s">
        <v>1386</v>
      </c>
      <c r="C149" s="935" t="s">
        <v>1606</v>
      </c>
      <c r="D149" s="936" t="s">
        <v>1386</v>
      </c>
      <c r="E149" s="937" t="s">
        <v>2030</v>
      </c>
      <c r="F149" s="938" t="s">
        <v>271</v>
      </c>
      <c r="G149" s="913"/>
      <c r="H149" s="1156">
        <v>3400000</v>
      </c>
      <c r="I149" s="1164" t="s">
        <v>2031</v>
      </c>
      <c r="J149" s="1602"/>
    </row>
    <row r="150" spans="1:10" s="940" customFormat="1" hidden="1" outlineLevel="1">
      <c r="A150" s="1152" t="s">
        <v>2026</v>
      </c>
      <c r="B150" s="935" t="s">
        <v>1739</v>
      </c>
      <c r="C150" s="935" t="s">
        <v>1606</v>
      </c>
      <c r="D150" s="936" t="s">
        <v>1739</v>
      </c>
      <c r="E150" s="937" t="s">
        <v>1995</v>
      </c>
      <c r="F150" s="938" t="s">
        <v>271</v>
      </c>
      <c r="G150" s="913"/>
      <c r="H150" s="1156">
        <v>80000</v>
      </c>
      <c r="I150" s="1155"/>
      <c r="J150" s="1602"/>
    </row>
    <row r="151" spans="1:10" s="940" customFormat="1" hidden="1" outlineLevel="1">
      <c r="A151" s="1152" t="s">
        <v>2044</v>
      </c>
      <c r="B151" s="935" t="s">
        <v>1654</v>
      </c>
      <c r="C151" s="935" t="s">
        <v>1606</v>
      </c>
      <c r="D151" s="936" t="s">
        <v>1654</v>
      </c>
      <c r="E151" s="941" t="s">
        <v>2045</v>
      </c>
      <c r="F151" s="938" t="s">
        <v>271</v>
      </c>
      <c r="G151" s="913"/>
      <c r="H151" s="1156">
        <v>300000</v>
      </c>
      <c r="I151" s="1155"/>
      <c r="J151" s="1602"/>
    </row>
    <row r="152" spans="1:10" s="940" customFormat="1" hidden="1" outlineLevel="1">
      <c r="A152" s="1152" t="s">
        <v>2044</v>
      </c>
      <c r="B152" s="935" t="s">
        <v>1654</v>
      </c>
      <c r="C152" s="935" t="s">
        <v>1606</v>
      </c>
      <c r="D152" s="936" t="s">
        <v>1654</v>
      </c>
      <c r="E152" s="941" t="s">
        <v>2049</v>
      </c>
      <c r="F152" s="938" t="s">
        <v>1548</v>
      </c>
      <c r="G152" s="913"/>
      <c r="H152" s="1156">
        <v>7014900</v>
      </c>
      <c r="I152" s="1155"/>
      <c r="J152" s="1602"/>
    </row>
    <row r="153" spans="1:10" s="940" customFormat="1" hidden="1" outlineLevel="1">
      <c r="A153" s="1152" t="s">
        <v>2044</v>
      </c>
      <c r="B153" s="935" t="s">
        <v>1739</v>
      </c>
      <c r="C153" s="935" t="s">
        <v>1606</v>
      </c>
      <c r="D153" s="936" t="s">
        <v>1739</v>
      </c>
      <c r="E153" s="941" t="s">
        <v>2050</v>
      </c>
      <c r="F153" s="938" t="s">
        <v>1548</v>
      </c>
      <c r="G153" s="913"/>
      <c r="H153" s="1156">
        <v>5800000</v>
      </c>
      <c r="I153" s="1155"/>
      <c r="J153" s="1602"/>
    </row>
    <row r="154" spans="1:10" s="940" customFormat="1" hidden="1" outlineLevel="1">
      <c r="A154" s="1152" t="s">
        <v>2061</v>
      </c>
      <c r="B154" s="935" t="s">
        <v>1403</v>
      </c>
      <c r="C154" s="935" t="s">
        <v>1606</v>
      </c>
      <c r="D154" s="936" t="s">
        <v>1403</v>
      </c>
      <c r="E154" s="941" t="s">
        <v>1727</v>
      </c>
      <c r="F154" s="938" t="s">
        <v>271</v>
      </c>
      <c r="G154" s="913"/>
      <c r="H154" s="1156">
        <v>500000</v>
      </c>
      <c r="I154" s="1155"/>
      <c r="J154" s="1602"/>
    </row>
    <row r="155" spans="1:10" s="940" customFormat="1" hidden="1" outlineLevel="1">
      <c r="A155" s="1152" t="s">
        <v>2060</v>
      </c>
      <c r="B155" s="935" t="s">
        <v>1739</v>
      </c>
      <c r="C155" s="935" t="s">
        <v>1606</v>
      </c>
      <c r="D155" s="936" t="s">
        <v>1739</v>
      </c>
      <c r="E155" s="941" t="s">
        <v>1999</v>
      </c>
      <c r="F155" s="938" t="s">
        <v>271</v>
      </c>
      <c r="G155" s="913"/>
      <c r="H155" s="1156">
        <v>265000</v>
      </c>
      <c r="I155" s="1155"/>
      <c r="J155" s="1602"/>
    </row>
    <row r="156" spans="1:10" s="940" customFormat="1" ht="20.25" hidden="1" customHeight="1" outlineLevel="1">
      <c r="A156" s="1152" t="s">
        <v>2060</v>
      </c>
      <c r="B156" s="935" t="s">
        <v>1739</v>
      </c>
      <c r="C156" s="935" t="s">
        <v>1606</v>
      </c>
      <c r="D156" s="936" t="s">
        <v>1739</v>
      </c>
      <c r="E156" s="941" t="s">
        <v>2062</v>
      </c>
      <c r="F156" s="938" t="s">
        <v>1548</v>
      </c>
      <c r="G156" s="913"/>
      <c r="H156" s="1156">
        <v>1000000</v>
      </c>
      <c r="I156" s="1155"/>
      <c r="J156" s="1602"/>
    </row>
    <row r="157" spans="1:10" s="940" customFormat="1" hidden="1" outlineLevel="1">
      <c r="A157" s="1152" t="s">
        <v>2086</v>
      </c>
      <c r="B157" s="935" t="s">
        <v>1654</v>
      </c>
      <c r="C157" s="935" t="s">
        <v>1606</v>
      </c>
      <c r="D157" s="936" t="s">
        <v>1654</v>
      </c>
      <c r="E157" s="941" t="s">
        <v>2087</v>
      </c>
      <c r="F157" s="938" t="s">
        <v>1548</v>
      </c>
      <c r="G157" s="913"/>
      <c r="H157" s="1156">
        <v>7014900</v>
      </c>
      <c r="I157" s="1155"/>
      <c r="J157" s="1602"/>
    </row>
    <row r="158" spans="1:10" s="940" customFormat="1" hidden="1" outlineLevel="1">
      <c r="A158" s="1152" t="s">
        <v>2086</v>
      </c>
      <c r="B158" s="935" t="s">
        <v>1654</v>
      </c>
      <c r="C158" s="935" t="s">
        <v>1606</v>
      </c>
      <c r="D158" s="936" t="s">
        <v>1654</v>
      </c>
      <c r="E158" s="941" t="s">
        <v>2088</v>
      </c>
      <c r="F158" s="938" t="s">
        <v>271</v>
      </c>
      <c r="G158" s="913"/>
      <c r="H158" s="1156">
        <v>50000</v>
      </c>
      <c r="I158" s="1155" t="s">
        <v>2089</v>
      </c>
      <c r="J158" s="1602"/>
    </row>
    <row r="159" spans="1:10" s="940" customFormat="1" hidden="1" outlineLevel="1">
      <c r="A159" s="1553" t="s">
        <v>2086</v>
      </c>
      <c r="B159" s="1554" t="s">
        <v>1739</v>
      </c>
      <c r="C159" s="1554" t="s">
        <v>1606</v>
      </c>
      <c r="D159" s="1555" t="s">
        <v>1739</v>
      </c>
      <c r="E159" s="1603" t="s">
        <v>2102</v>
      </c>
      <c r="F159" s="1557" t="s">
        <v>271</v>
      </c>
      <c r="G159" s="1558"/>
      <c r="H159" s="1559">
        <v>60000</v>
      </c>
      <c r="I159" s="1560" t="s">
        <v>2104</v>
      </c>
    </row>
    <row r="160" spans="1:10" s="940" customFormat="1" hidden="1" outlineLevel="1">
      <c r="A160" s="1553" t="s">
        <v>2086</v>
      </c>
      <c r="B160" s="1554" t="s">
        <v>1739</v>
      </c>
      <c r="C160" s="1554" t="s">
        <v>1606</v>
      </c>
      <c r="D160" s="1555" t="s">
        <v>1739</v>
      </c>
      <c r="E160" s="1603" t="s">
        <v>2103</v>
      </c>
      <c r="F160" s="1557" t="s">
        <v>1548</v>
      </c>
      <c r="G160" s="1558"/>
      <c r="H160" s="1559">
        <v>1050000</v>
      </c>
      <c r="I160" s="1560" t="s">
        <v>2104</v>
      </c>
    </row>
    <row r="161" spans="1:10" s="940" customFormat="1" hidden="1" outlineLevel="1">
      <c r="A161" s="1152" t="s">
        <v>2094</v>
      </c>
      <c r="B161" s="935" t="s">
        <v>285</v>
      </c>
      <c r="C161" s="935" t="s">
        <v>1606</v>
      </c>
      <c r="D161" s="936" t="s">
        <v>285</v>
      </c>
      <c r="E161" s="941" t="s">
        <v>2095</v>
      </c>
      <c r="F161" s="938" t="s">
        <v>1548</v>
      </c>
      <c r="G161" s="913"/>
      <c r="H161" s="1156">
        <v>3180000</v>
      </c>
      <c r="I161" s="1155" t="s">
        <v>2096</v>
      </c>
      <c r="J161" s="1602"/>
    </row>
    <row r="162" spans="1:10" s="940" customFormat="1" hidden="1" outlineLevel="1">
      <c r="A162" s="1152" t="s">
        <v>2094</v>
      </c>
      <c r="B162" s="935" t="s">
        <v>1406</v>
      </c>
      <c r="C162" s="935" t="s">
        <v>1606</v>
      </c>
      <c r="D162" s="936" t="s">
        <v>1406</v>
      </c>
      <c r="E162" s="941" t="s">
        <v>1550</v>
      </c>
      <c r="F162" s="938" t="s">
        <v>271</v>
      </c>
      <c r="G162" s="913"/>
      <c r="H162" s="1156">
        <v>450000</v>
      </c>
      <c r="I162" s="1155"/>
      <c r="J162" s="1602"/>
    </row>
    <row r="163" spans="1:10" s="940" customFormat="1" hidden="1" outlineLevel="1">
      <c r="A163" s="1152" t="s">
        <v>2094</v>
      </c>
      <c r="B163" s="935" t="s">
        <v>1414</v>
      </c>
      <c r="C163" s="935" t="s">
        <v>1606</v>
      </c>
      <c r="D163" s="936" t="s">
        <v>1414</v>
      </c>
      <c r="E163" s="941" t="s">
        <v>2097</v>
      </c>
      <c r="F163" s="938" t="s">
        <v>271</v>
      </c>
      <c r="G163" s="913"/>
      <c r="H163" s="1156">
        <v>1182873</v>
      </c>
      <c r="I163" s="1155" t="s">
        <v>2064</v>
      </c>
      <c r="J163" s="1602"/>
    </row>
    <row r="164" spans="1:10" s="940" customFormat="1" hidden="1" outlineLevel="1">
      <c r="A164" s="1152" t="s">
        <v>2094</v>
      </c>
      <c r="B164" s="935" t="s">
        <v>1386</v>
      </c>
      <c r="C164" s="935" t="s">
        <v>1606</v>
      </c>
      <c r="D164" s="936" t="s">
        <v>1386</v>
      </c>
      <c r="E164" s="941" t="s">
        <v>2098</v>
      </c>
      <c r="F164" s="938" t="s">
        <v>271</v>
      </c>
      <c r="G164" s="913"/>
      <c r="H164" s="1156">
        <v>1880000</v>
      </c>
      <c r="I164" s="1155" t="s">
        <v>2099</v>
      </c>
      <c r="J164" s="1602"/>
    </row>
    <row r="165" spans="1:10" s="940" customFormat="1" hidden="1" outlineLevel="1">
      <c r="A165" s="1152" t="s">
        <v>2108</v>
      </c>
      <c r="B165" s="935" t="s">
        <v>1386</v>
      </c>
      <c r="C165" s="935" t="s">
        <v>1606</v>
      </c>
      <c r="D165" s="936" t="s">
        <v>1386</v>
      </c>
      <c r="E165" s="941" t="s">
        <v>2109</v>
      </c>
      <c r="F165" s="938" t="s">
        <v>271</v>
      </c>
      <c r="G165" s="913"/>
      <c r="H165" s="1156">
        <v>500000</v>
      </c>
      <c r="I165" s="1155"/>
    </row>
    <row r="166" spans="1:10" s="940" customFormat="1" hidden="1" outlineLevel="1">
      <c r="A166" s="1152" t="s">
        <v>2108</v>
      </c>
      <c r="B166" s="935" t="s">
        <v>1654</v>
      </c>
      <c r="C166" s="935" t="s">
        <v>1606</v>
      </c>
      <c r="D166" s="936" t="s">
        <v>1654</v>
      </c>
      <c r="E166" s="941" t="s">
        <v>2110</v>
      </c>
      <c r="F166" s="938" t="s">
        <v>271</v>
      </c>
      <c r="G166" s="913"/>
      <c r="H166" s="1156">
        <v>1300000</v>
      </c>
      <c r="I166" s="1155"/>
    </row>
    <row r="167" spans="1:10" s="940" customFormat="1" hidden="1" outlineLevel="1">
      <c r="A167" s="1152" t="s">
        <v>2108</v>
      </c>
      <c r="B167" s="935" t="s">
        <v>2111</v>
      </c>
      <c r="C167" s="935" t="s">
        <v>1606</v>
      </c>
      <c r="D167" s="936" t="s">
        <v>2111</v>
      </c>
      <c r="E167" s="941" t="s">
        <v>2112</v>
      </c>
      <c r="F167" s="938" t="s">
        <v>271</v>
      </c>
      <c r="G167" s="913"/>
      <c r="H167" s="1156">
        <v>10000000</v>
      </c>
      <c r="I167" s="1155"/>
    </row>
    <row r="168" spans="1:10" s="940" customFormat="1" hidden="1" outlineLevel="1">
      <c r="A168" s="1152" t="s">
        <v>2129</v>
      </c>
      <c r="B168" s="935" t="s">
        <v>1739</v>
      </c>
      <c r="C168" s="935" t="s">
        <v>1606</v>
      </c>
      <c r="D168" s="936" t="s">
        <v>1739</v>
      </c>
      <c r="E168" s="941" t="s">
        <v>2130</v>
      </c>
      <c r="F168" s="938" t="s">
        <v>1548</v>
      </c>
      <c r="G168" s="913"/>
      <c r="H168" s="1156">
        <v>1000000</v>
      </c>
      <c r="I168" s="1155"/>
    </row>
    <row r="169" spans="1:10" s="940" customFormat="1" hidden="1" outlineLevel="1">
      <c r="A169" s="1152" t="s">
        <v>2129</v>
      </c>
      <c r="B169" s="935" t="s">
        <v>1739</v>
      </c>
      <c r="C169" s="935" t="s">
        <v>1606</v>
      </c>
      <c r="D169" s="936" t="s">
        <v>1739</v>
      </c>
      <c r="E169" s="941" t="s">
        <v>2131</v>
      </c>
      <c r="F169" s="938" t="s">
        <v>271</v>
      </c>
      <c r="G169" s="913"/>
      <c r="H169" s="1156">
        <v>315000</v>
      </c>
      <c r="I169" s="1155"/>
    </row>
    <row r="170" spans="1:10" s="940" customFormat="1" hidden="1" outlineLevel="1">
      <c r="A170" s="1152" t="s">
        <v>2132</v>
      </c>
      <c r="B170" s="935" t="s">
        <v>2133</v>
      </c>
      <c r="C170" s="935" t="s">
        <v>1606</v>
      </c>
      <c r="D170" s="936" t="s">
        <v>2134</v>
      </c>
      <c r="E170" s="941" t="s">
        <v>2135</v>
      </c>
      <c r="F170" s="938" t="s">
        <v>271</v>
      </c>
      <c r="G170" s="913"/>
      <c r="H170" s="1156">
        <v>1471800</v>
      </c>
      <c r="I170" s="1155"/>
    </row>
    <row r="171" spans="1:10" s="940" customFormat="1" hidden="1" outlineLevel="1">
      <c r="A171" s="1152" t="s">
        <v>2132</v>
      </c>
      <c r="B171" s="935" t="s">
        <v>1739</v>
      </c>
      <c r="C171" s="935" t="s">
        <v>1606</v>
      </c>
      <c r="D171" s="936" t="s">
        <v>1739</v>
      </c>
      <c r="E171" s="941" t="s">
        <v>2136</v>
      </c>
      <c r="F171" s="938" t="s">
        <v>1548</v>
      </c>
      <c r="G171" s="913"/>
      <c r="H171" s="1156">
        <v>1200000</v>
      </c>
      <c r="I171" s="1155"/>
    </row>
    <row r="172" spans="1:10" s="940" customFormat="1" hidden="1" outlineLevel="1">
      <c r="A172" s="1152" t="s">
        <v>2137</v>
      </c>
      <c r="B172" s="935" t="s">
        <v>304</v>
      </c>
      <c r="C172" s="935" t="s">
        <v>1606</v>
      </c>
      <c r="D172" s="936" t="s">
        <v>1406</v>
      </c>
      <c r="E172" s="941" t="s">
        <v>1607</v>
      </c>
      <c r="F172" s="938"/>
      <c r="G172" s="1158">
        <v>50000000</v>
      </c>
      <c r="H172" s="1161"/>
      <c r="I172" s="1155"/>
    </row>
    <row r="173" spans="1:10" s="940" customFormat="1" hidden="1" outlineLevel="1">
      <c r="A173" s="1152" t="s">
        <v>2137</v>
      </c>
      <c r="B173" s="935" t="s">
        <v>1403</v>
      </c>
      <c r="C173" s="935" t="s">
        <v>1606</v>
      </c>
      <c r="D173" s="936" t="s">
        <v>1403</v>
      </c>
      <c r="E173" s="941" t="s">
        <v>1727</v>
      </c>
      <c r="F173" s="938" t="s">
        <v>271</v>
      </c>
      <c r="G173" s="913"/>
      <c r="H173" s="1156">
        <v>500000</v>
      </c>
      <c r="I173" s="1155"/>
    </row>
    <row r="174" spans="1:10" s="940" customFormat="1" hidden="1" outlineLevel="1">
      <c r="A174" s="1152" t="s">
        <v>2138</v>
      </c>
      <c r="B174" s="935" t="s">
        <v>1368</v>
      </c>
      <c r="C174" s="935" t="s">
        <v>1606</v>
      </c>
      <c r="D174" s="936" t="s">
        <v>1368</v>
      </c>
      <c r="E174" s="941" t="s">
        <v>2139</v>
      </c>
      <c r="F174" s="938" t="s">
        <v>271</v>
      </c>
      <c r="G174" s="913"/>
      <c r="H174" s="1156">
        <v>5391000</v>
      </c>
      <c r="I174" s="1164"/>
    </row>
    <row r="175" spans="1:10" s="940" customFormat="1" hidden="1" outlineLevel="1">
      <c r="A175" s="1152" t="s">
        <v>2128</v>
      </c>
      <c r="B175" s="935" t="s">
        <v>1386</v>
      </c>
      <c r="C175" s="935" t="s">
        <v>1606</v>
      </c>
      <c r="D175" s="936" t="s">
        <v>1386</v>
      </c>
      <c r="E175" s="941" t="s">
        <v>2140</v>
      </c>
      <c r="F175" s="938" t="s">
        <v>271</v>
      </c>
      <c r="G175" s="913"/>
      <c r="H175" s="1156">
        <v>200000</v>
      </c>
      <c r="I175" s="1164"/>
    </row>
    <row r="176" spans="1:10" s="940" customFormat="1" hidden="1" outlineLevel="1">
      <c r="A176" s="1152" t="s">
        <v>2128</v>
      </c>
      <c r="B176" s="935" t="s">
        <v>1654</v>
      </c>
      <c r="C176" s="935" t="s">
        <v>1606</v>
      </c>
      <c r="D176" s="936" t="s">
        <v>1654</v>
      </c>
      <c r="E176" s="941" t="s">
        <v>2141</v>
      </c>
      <c r="F176" s="938" t="s">
        <v>1548</v>
      </c>
      <c r="G176" s="913"/>
      <c r="H176" s="1156">
        <v>7016680</v>
      </c>
      <c r="I176" s="1155"/>
    </row>
    <row r="177" spans="1:256" s="940" customFormat="1" hidden="1" outlineLevel="1">
      <c r="A177" s="1152" t="s">
        <v>2128</v>
      </c>
      <c r="B177" s="935" t="s">
        <v>2142</v>
      </c>
      <c r="C177" s="935" t="s">
        <v>1606</v>
      </c>
      <c r="D177" s="936" t="s">
        <v>1621</v>
      </c>
      <c r="E177" s="941" t="s">
        <v>2143</v>
      </c>
      <c r="F177" s="938" t="s">
        <v>1548</v>
      </c>
      <c r="G177" s="913"/>
      <c r="H177" s="1156">
        <v>2750000</v>
      </c>
      <c r="I177" s="1155" t="s">
        <v>2144</v>
      </c>
    </row>
    <row r="178" spans="1:256" s="940" customFormat="1" hidden="1" outlineLevel="1">
      <c r="A178" s="1152" t="s">
        <v>2151</v>
      </c>
      <c r="B178" s="935" t="s">
        <v>1739</v>
      </c>
      <c r="C178" s="935" t="s">
        <v>1606</v>
      </c>
      <c r="D178" s="936" t="s">
        <v>1739</v>
      </c>
      <c r="E178" s="941" t="s">
        <v>2152</v>
      </c>
      <c r="F178" s="938" t="s">
        <v>1548</v>
      </c>
      <c r="G178" s="913"/>
      <c r="H178" s="1156">
        <v>1000000</v>
      </c>
      <c r="I178" s="1155"/>
    </row>
    <row r="179" spans="1:256" s="940" customFormat="1" ht="19.5" hidden="1" customHeight="1" outlineLevel="1">
      <c r="A179" s="1152" t="s">
        <v>2202</v>
      </c>
      <c r="B179" s="935" t="s">
        <v>1739</v>
      </c>
      <c r="C179" s="935" t="s">
        <v>1606</v>
      </c>
      <c r="D179" s="936" t="s">
        <v>1739</v>
      </c>
      <c r="E179" s="941" t="s">
        <v>2203</v>
      </c>
      <c r="F179" s="938" t="s">
        <v>1548</v>
      </c>
      <c r="G179" s="913"/>
      <c r="H179" s="1156">
        <v>1000000</v>
      </c>
      <c r="I179" s="1155"/>
    </row>
    <row r="180" spans="1:256" s="940" customFormat="1" ht="19.5" hidden="1" customHeight="1" outlineLevel="1">
      <c r="A180" s="1152" t="s">
        <v>2202</v>
      </c>
      <c r="B180" s="935" t="s">
        <v>1406</v>
      </c>
      <c r="C180" s="935" t="s">
        <v>1606</v>
      </c>
      <c r="D180" s="936" t="s">
        <v>1406</v>
      </c>
      <c r="E180" s="941" t="s">
        <v>2204</v>
      </c>
      <c r="F180" s="938" t="s">
        <v>271</v>
      </c>
      <c r="G180" s="913"/>
      <c r="H180" s="1156">
        <v>400000</v>
      </c>
      <c r="I180" s="1155"/>
    </row>
    <row r="181" spans="1:256" s="940" customFormat="1" ht="19.5" hidden="1" customHeight="1" outlineLevel="1">
      <c r="A181" s="1152" t="s">
        <v>2202</v>
      </c>
      <c r="B181" s="935" t="s">
        <v>1403</v>
      </c>
      <c r="C181" s="935" t="s">
        <v>1606</v>
      </c>
      <c r="D181" s="936" t="s">
        <v>1403</v>
      </c>
      <c r="E181" s="941" t="s">
        <v>1727</v>
      </c>
      <c r="F181" s="938" t="s">
        <v>271</v>
      </c>
      <c r="G181" s="913"/>
      <c r="H181" s="1156">
        <v>500000</v>
      </c>
      <c r="I181" s="1155"/>
    </row>
    <row r="182" spans="1:256" s="940" customFormat="1" ht="19.5" hidden="1" customHeight="1" outlineLevel="1">
      <c r="A182" s="1152" t="s">
        <v>2205</v>
      </c>
      <c r="B182" s="935" t="s">
        <v>1386</v>
      </c>
      <c r="C182" s="935" t="s">
        <v>1606</v>
      </c>
      <c r="D182" s="936" t="s">
        <v>1386</v>
      </c>
      <c r="E182" s="1761" t="s">
        <v>2206</v>
      </c>
      <c r="F182" s="938" t="s">
        <v>271</v>
      </c>
      <c r="G182" s="913"/>
      <c r="H182" s="1156">
        <v>3800000</v>
      </c>
      <c r="I182" s="1164" t="s">
        <v>2031</v>
      </c>
    </row>
    <row r="183" spans="1:256" s="940" customFormat="1" ht="34.5" hidden="1" customHeight="1" outlineLevel="1" thickBot="1">
      <c r="A183" s="1152" t="s">
        <v>2205</v>
      </c>
      <c r="B183" s="935" t="s">
        <v>1739</v>
      </c>
      <c r="C183" s="935" t="s">
        <v>1606</v>
      </c>
      <c r="D183" s="936" t="s">
        <v>1739</v>
      </c>
      <c r="E183" s="1160" t="s">
        <v>2207</v>
      </c>
      <c r="F183" s="938" t="s">
        <v>271</v>
      </c>
      <c r="G183" s="913"/>
      <c r="H183" s="1156">
        <v>200000</v>
      </c>
      <c r="I183" s="1155" t="s">
        <v>2208</v>
      </c>
    </row>
    <row r="184" spans="1:256" s="940" customFormat="1" ht="19.5" hidden="1" customHeight="1" outlineLevel="1" thickBot="1">
      <c r="A184" s="1152" t="s">
        <v>2205</v>
      </c>
      <c r="B184" s="935" t="s">
        <v>1406</v>
      </c>
      <c r="C184" s="935" t="s">
        <v>1606</v>
      </c>
      <c r="D184" s="936" t="s">
        <v>1406</v>
      </c>
      <c r="E184" s="941" t="s">
        <v>2209</v>
      </c>
      <c r="F184" s="938" t="s">
        <v>271</v>
      </c>
      <c r="G184" s="913"/>
      <c r="H184" s="1156">
        <v>277700</v>
      </c>
      <c r="I184" s="1155"/>
      <c r="J184" s="945" t="s">
        <v>407</v>
      </c>
      <c r="K184" s="946">
        <f>H187-K185</f>
        <v>0</v>
      </c>
    </row>
    <row r="185" spans="1:256" s="940" customFormat="1" ht="18.75" hidden="1" outlineLevel="1" thickBot="1">
      <c r="A185" s="1152"/>
      <c r="B185" s="935"/>
      <c r="C185" s="935"/>
      <c r="D185" s="936"/>
      <c r="E185" s="941"/>
      <c r="F185" s="938"/>
      <c r="G185" s="913"/>
      <c r="H185" s="1156"/>
      <c r="I185" s="1155"/>
      <c r="J185" s="945" t="s">
        <v>411</v>
      </c>
      <c r="K185" s="946">
        <v>0</v>
      </c>
    </row>
    <row r="186" spans="1:256" ht="18.75" collapsed="1" thickBot="1">
      <c r="A186" s="1326" t="s">
        <v>1717</v>
      </c>
      <c r="B186" s="1326"/>
      <c r="C186" s="1326"/>
      <c r="D186" s="1326"/>
      <c r="E186" s="1327" t="s">
        <v>1809</v>
      </c>
      <c r="F186" s="1328"/>
      <c r="G186" s="1292">
        <f>SUM(G113:G185)</f>
        <v>171782003</v>
      </c>
      <c r="H186" s="1292">
        <f>SUM(H114:H185)</f>
        <v>138756363</v>
      </c>
      <c r="I186" s="1174"/>
      <c r="J186" s="945" t="s">
        <v>414</v>
      </c>
      <c r="K186" s="946">
        <f>G187</f>
        <v>33025640</v>
      </c>
      <c r="L186" s="1175"/>
      <c r="M186" s="1769">
        <f>G186-G113</f>
        <v>150000000</v>
      </c>
      <c r="N186" s="1175"/>
      <c r="O186" s="1175"/>
      <c r="P186" s="1175"/>
      <c r="Q186" s="1175"/>
      <c r="R186" s="1175"/>
      <c r="S186" s="1175"/>
      <c r="T186" s="1175"/>
      <c r="U186" s="1175"/>
      <c r="V186" s="1175"/>
      <c r="W186" s="1175"/>
      <c r="X186" s="1175"/>
      <c r="Y186" s="1175"/>
      <c r="Z186" s="1175"/>
      <c r="AA186" s="1175"/>
      <c r="AB186" s="1175"/>
      <c r="AC186" s="1175"/>
      <c r="AD186" s="1175"/>
      <c r="AE186" s="1175"/>
      <c r="AF186" s="1175"/>
      <c r="AG186" s="1175"/>
      <c r="AH186" s="1175"/>
      <c r="AI186" s="1175"/>
      <c r="AJ186" s="1175"/>
      <c r="AK186" s="1175"/>
      <c r="AL186" s="1175"/>
      <c r="AM186" s="1175"/>
      <c r="AN186" s="1175"/>
      <c r="AO186" s="1175"/>
      <c r="AP186" s="1175"/>
      <c r="AQ186" s="1175"/>
      <c r="AR186" s="1175"/>
      <c r="AS186" s="1175"/>
      <c r="AT186" s="1175"/>
      <c r="AU186" s="1175"/>
      <c r="AV186" s="1175"/>
      <c r="AW186" s="1175"/>
      <c r="AX186" s="1175"/>
      <c r="AY186" s="1175"/>
      <c r="AZ186" s="1175"/>
      <c r="BA186" s="1175"/>
      <c r="BB186" s="1175"/>
      <c r="BC186" s="1175"/>
      <c r="BD186" s="1175"/>
      <c r="BE186" s="1175"/>
      <c r="BF186" s="1175"/>
      <c r="BG186" s="1175"/>
      <c r="BH186" s="1175"/>
      <c r="BI186" s="1175"/>
      <c r="BJ186" s="1175"/>
      <c r="BK186" s="1175"/>
      <c r="BL186" s="1175"/>
      <c r="BM186" s="1175"/>
      <c r="BN186" s="1175"/>
      <c r="BO186" s="1175"/>
      <c r="BP186" s="1175"/>
      <c r="BQ186" s="1175"/>
      <c r="BR186" s="1175"/>
      <c r="BS186" s="1175"/>
      <c r="BT186" s="1175"/>
      <c r="BU186" s="1175"/>
      <c r="BV186" s="1175"/>
      <c r="BW186" s="1175"/>
      <c r="BX186" s="1175"/>
      <c r="BY186" s="1175"/>
      <c r="BZ186" s="1175"/>
      <c r="CA186" s="1175"/>
      <c r="CB186" s="1175"/>
      <c r="CC186" s="1175"/>
      <c r="CD186" s="1175"/>
      <c r="CE186" s="1175"/>
      <c r="CF186" s="1175"/>
      <c r="CG186" s="1175"/>
      <c r="CH186" s="1175"/>
      <c r="CI186" s="1175"/>
      <c r="CJ186" s="1175"/>
      <c r="CK186" s="1175"/>
      <c r="CL186" s="1175"/>
      <c r="CM186" s="1175"/>
      <c r="CN186" s="1175"/>
      <c r="CO186" s="1175"/>
      <c r="CP186" s="1175"/>
      <c r="CQ186" s="1175"/>
      <c r="CR186" s="1175"/>
      <c r="CS186" s="1175"/>
      <c r="CT186" s="1175"/>
      <c r="CU186" s="1175"/>
      <c r="CV186" s="1175"/>
      <c r="CW186" s="1175"/>
      <c r="CX186" s="1175"/>
      <c r="CY186" s="1175"/>
      <c r="CZ186" s="1175"/>
      <c r="DA186" s="1175"/>
      <c r="DB186" s="1175"/>
      <c r="DC186" s="1175"/>
      <c r="DD186" s="1175"/>
      <c r="DE186" s="1175"/>
      <c r="DF186" s="1175"/>
      <c r="DG186" s="1175"/>
      <c r="DH186" s="1175"/>
      <c r="DI186" s="1175"/>
      <c r="DJ186" s="1175"/>
      <c r="DK186" s="1175"/>
      <c r="DL186" s="1175"/>
      <c r="DM186" s="1175"/>
      <c r="DN186" s="1175"/>
      <c r="DO186" s="1175"/>
      <c r="DP186" s="1175"/>
      <c r="DQ186" s="1175"/>
      <c r="DR186" s="1175"/>
      <c r="DS186" s="1175"/>
      <c r="DT186" s="1175"/>
      <c r="DU186" s="1175"/>
      <c r="DV186" s="1175"/>
      <c r="DW186" s="1175"/>
      <c r="DX186" s="1175"/>
      <c r="DY186" s="1175"/>
      <c r="DZ186" s="1175"/>
      <c r="EA186" s="1175"/>
      <c r="EB186" s="1175"/>
      <c r="EC186" s="1175"/>
      <c r="ED186" s="1175"/>
      <c r="EE186" s="1175"/>
      <c r="EF186" s="1175"/>
      <c r="EG186" s="1175"/>
      <c r="EH186" s="1175"/>
      <c r="EI186" s="1175"/>
      <c r="EJ186" s="1175"/>
      <c r="EK186" s="1175"/>
      <c r="EL186" s="1175"/>
      <c r="EM186" s="1175"/>
      <c r="EN186" s="1175"/>
      <c r="EO186" s="1175"/>
      <c r="EP186" s="1175"/>
      <c r="EQ186" s="1175"/>
      <c r="ER186" s="1175"/>
      <c r="ES186" s="1175"/>
      <c r="ET186" s="1175"/>
      <c r="EU186" s="1175"/>
      <c r="EV186" s="1175"/>
      <c r="EW186" s="1175"/>
      <c r="EX186" s="1175"/>
      <c r="EY186" s="1175"/>
      <c r="EZ186" s="1175"/>
      <c r="FA186" s="1175"/>
      <c r="FB186" s="1175"/>
      <c r="FC186" s="1175"/>
      <c r="FD186" s="1175"/>
      <c r="FE186" s="1175"/>
      <c r="FF186" s="1175"/>
      <c r="FG186" s="1175"/>
      <c r="FH186" s="1175"/>
      <c r="FI186" s="1175"/>
      <c r="FJ186" s="1175"/>
      <c r="FK186" s="1175"/>
      <c r="FL186" s="1175"/>
      <c r="FM186" s="1175"/>
      <c r="FN186" s="1175"/>
      <c r="FO186" s="1175"/>
      <c r="FP186" s="1175"/>
      <c r="FQ186" s="1175"/>
      <c r="FR186" s="1175"/>
      <c r="FS186" s="1175"/>
      <c r="FT186" s="1175"/>
      <c r="FU186" s="1175"/>
      <c r="FV186" s="1175"/>
      <c r="FW186" s="1175"/>
      <c r="FX186" s="1175"/>
      <c r="FY186" s="1175"/>
      <c r="FZ186" s="1175"/>
      <c r="GA186" s="1175"/>
      <c r="GB186" s="1175"/>
      <c r="GC186" s="1175"/>
      <c r="GD186" s="1175"/>
      <c r="GE186" s="1175"/>
      <c r="GF186" s="1175"/>
      <c r="GG186" s="1175"/>
      <c r="GH186" s="1175"/>
      <c r="GI186" s="1175"/>
      <c r="GJ186" s="1175"/>
      <c r="GK186" s="1175"/>
      <c r="GL186" s="1175"/>
      <c r="GM186" s="1175"/>
      <c r="GN186" s="1175"/>
      <c r="GO186" s="1175"/>
      <c r="GP186" s="1175"/>
      <c r="GQ186" s="1175"/>
      <c r="GR186" s="1175"/>
      <c r="GS186" s="1175"/>
      <c r="GT186" s="1175"/>
      <c r="GU186" s="1175"/>
      <c r="GV186" s="1175"/>
      <c r="GW186" s="1175"/>
      <c r="GX186" s="1175"/>
      <c r="GY186" s="1175"/>
      <c r="GZ186" s="1175"/>
      <c r="HA186" s="1175"/>
      <c r="HB186" s="1175"/>
      <c r="HC186" s="1175"/>
      <c r="HD186" s="1175"/>
      <c r="HE186" s="1175"/>
      <c r="HF186" s="1175"/>
      <c r="HG186" s="1175"/>
      <c r="HH186" s="1175"/>
      <c r="HI186" s="1175"/>
      <c r="HJ186" s="1175"/>
      <c r="HK186" s="1175"/>
      <c r="HL186" s="1175"/>
      <c r="HM186" s="1175"/>
      <c r="HN186" s="1175"/>
      <c r="HO186" s="1175"/>
      <c r="HP186" s="1175"/>
      <c r="HQ186" s="1175"/>
      <c r="HR186" s="1175"/>
      <c r="HS186" s="1175"/>
      <c r="HT186" s="1175"/>
      <c r="HU186" s="1175"/>
      <c r="HV186" s="1175"/>
      <c r="HW186" s="1175"/>
      <c r="HX186" s="1175"/>
      <c r="HY186" s="1175"/>
      <c r="HZ186" s="1175"/>
      <c r="IA186" s="1175"/>
      <c r="IB186" s="1175"/>
      <c r="IC186" s="1175"/>
      <c r="ID186" s="1175"/>
      <c r="IE186" s="1175"/>
      <c r="IF186" s="1175"/>
      <c r="IG186" s="1175"/>
      <c r="IH186" s="1175"/>
      <c r="II186" s="1175"/>
      <c r="IJ186" s="1175"/>
      <c r="IK186" s="1175"/>
      <c r="IL186" s="1175"/>
      <c r="IM186" s="1175"/>
      <c r="IN186" s="1175"/>
      <c r="IO186" s="1175"/>
      <c r="IP186" s="1175"/>
      <c r="IQ186" s="1175"/>
      <c r="IR186" s="1175"/>
      <c r="IS186" s="1175"/>
      <c r="IT186" s="1175"/>
      <c r="IU186" s="1175"/>
      <c r="IV186" s="1175"/>
    </row>
    <row r="187" spans="1:256">
      <c r="A187" s="1760" t="s">
        <v>266</v>
      </c>
      <c r="B187" s="1176"/>
      <c r="C187" s="1176"/>
      <c r="D187" s="1176"/>
      <c r="E187" s="1177"/>
      <c r="F187" s="1178"/>
      <c r="G187" s="1179">
        <f>G186-H186</f>
        <v>33025640</v>
      </c>
      <c r="H187" s="1179"/>
      <c r="I187" s="1174"/>
      <c r="J187" s="1743"/>
      <c r="K187" s="1744"/>
      <c r="L187" s="1175"/>
      <c r="M187" s="1175"/>
      <c r="N187" s="1175"/>
      <c r="O187" s="1175"/>
      <c r="P187" s="1175"/>
      <c r="Q187" s="1175"/>
      <c r="R187" s="1175"/>
      <c r="S187" s="1175"/>
      <c r="T187" s="1175"/>
      <c r="U187" s="1175"/>
      <c r="V187" s="1175"/>
      <c r="W187" s="1175"/>
      <c r="X187" s="1175"/>
      <c r="Y187" s="1175"/>
      <c r="Z187" s="1175"/>
      <c r="AA187" s="1175"/>
      <c r="AB187" s="1175"/>
      <c r="AC187" s="1175"/>
      <c r="AD187" s="1175"/>
      <c r="AE187" s="1175"/>
      <c r="AF187" s="1175"/>
      <c r="AG187" s="1175"/>
      <c r="AH187" s="1175"/>
      <c r="AI187" s="1175"/>
      <c r="AJ187" s="1175"/>
      <c r="AK187" s="1175"/>
      <c r="AL187" s="1175"/>
      <c r="AM187" s="1175"/>
      <c r="AN187" s="1175"/>
      <c r="AO187" s="1175"/>
      <c r="AP187" s="1175"/>
      <c r="AQ187" s="1175"/>
      <c r="AR187" s="1175"/>
      <c r="AS187" s="1175"/>
      <c r="AT187" s="1175"/>
      <c r="AU187" s="1175"/>
      <c r="AV187" s="1175"/>
      <c r="AW187" s="1175"/>
      <c r="AX187" s="1175"/>
      <c r="AY187" s="1175"/>
      <c r="AZ187" s="1175"/>
      <c r="BA187" s="1175"/>
      <c r="BB187" s="1175"/>
      <c r="BC187" s="1175"/>
      <c r="BD187" s="1175"/>
      <c r="BE187" s="1175"/>
      <c r="BF187" s="1175"/>
      <c r="BG187" s="1175"/>
      <c r="BH187" s="1175"/>
      <c r="BI187" s="1175"/>
      <c r="BJ187" s="1175"/>
      <c r="BK187" s="1175"/>
      <c r="BL187" s="1175"/>
      <c r="BM187" s="1175"/>
      <c r="BN187" s="1175"/>
      <c r="BO187" s="1175"/>
      <c r="BP187" s="1175"/>
      <c r="BQ187" s="1175"/>
      <c r="BR187" s="1175"/>
      <c r="BS187" s="1175"/>
      <c r="BT187" s="1175"/>
      <c r="BU187" s="1175"/>
      <c r="BV187" s="1175"/>
      <c r="BW187" s="1175"/>
      <c r="BX187" s="1175"/>
      <c r="BY187" s="1175"/>
      <c r="BZ187" s="1175"/>
      <c r="CA187" s="1175"/>
      <c r="CB187" s="1175"/>
      <c r="CC187" s="1175"/>
      <c r="CD187" s="1175"/>
      <c r="CE187" s="1175"/>
      <c r="CF187" s="1175"/>
      <c r="CG187" s="1175"/>
      <c r="CH187" s="1175"/>
      <c r="CI187" s="1175"/>
      <c r="CJ187" s="1175"/>
      <c r="CK187" s="1175"/>
      <c r="CL187" s="1175"/>
      <c r="CM187" s="1175"/>
      <c r="CN187" s="1175"/>
      <c r="CO187" s="1175"/>
      <c r="CP187" s="1175"/>
      <c r="CQ187" s="1175"/>
      <c r="CR187" s="1175"/>
      <c r="CS187" s="1175"/>
      <c r="CT187" s="1175"/>
      <c r="CU187" s="1175"/>
      <c r="CV187" s="1175"/>
      <c r="CW187" s="1175"/>
      <c r="CX187" s="1175"/>
      <c r="CY187" s="1175"/>
      <c r="CZ187" s="1175"/>
      <c r="DA187" s="1175"/>
      <c r="DB187" s="1175"/>
      <c r="DC187" s="1175"/>
      <c r="DD187" s="1175"/>
      <c r="DE187" s="1175"/>
      <c r="DF187" s="1175"/>
      <c r="DG187" s="1175"/>
      <c r="DH187" s="1175"/>
      <c r="DI187" s="1175"/>
      <c r="DJ187" s="1175"/>
      <c r="DK187" s="1175"/>
      <c r="DL187" s="1175"/>
      <c r="DM187" s="1175"/>
      <c r="DN187" s="1175"/>
      <c r="DO187" s="1175"/>
      <c r="DP187" s="1175"/>
      <c r="DQ187" s="1175"/>
      <c r="DR187" s="1175"/>
      <c r="DS187" s="1175"/>
      <c r="DT187" s="1175"/>
      <c r="DU187" s="1175"/>
      <c r="DV187" s="1175"/>
      <c r="DW187" s="1175"/>
      <c r="DX187" s="1175"/>
      <c r="DY187" s="1175"/>
      <c r="DZ187" s="1175"/>
      <c r="EA187" s="1175"/>
      <c r="EB187" s="1175"/>
      <c r="EC187" s="1175"/>
      <c r="ED187" s="1175"/>
      <c r="EE187" s="1175"/>
      <c r="EF187" s="1175"/>
      <c r="EG187" s="1175"/>
      <c r="EH187" s="1175"/>
      <c r="EI187" s="1175"/>
      <c r="EJ187" s="1175"/>
      <c r="EK187" s="1175"/>
      <c r="EL187" s="1175"/>
      <c r="EM187" s="1175"/>
      <c r="EN187" s="1175"/>
      <c r="EO187" s="1175"/>
      <c r="EP187" s="1175"/>
      <c r="EQ187" s="1175"/>
      <c r="ER187" s="1175"/>
      <c r="ES187" s="1175"/>
      <c r="ET187" s="1175"/>
      <c r="EU187" s="1175"/>
      <c r="EV187" s="1175"/>
      <c r="EW187" s="1175"/>
      <c r="EX187" s="1175"/>
      <c r="EY187" s="1175"/>
      <c r="EZ187" s="1175"/>
      <c r="FA187" s="1175"/>
      <c r="FB187" s="1175"/>
      <c r="FC187" s="1175"/>
      <c r="FD187" s="1175"/>
      <c r="FE187" s="1175"/>
      <c r="FF187" s="1175"/>
      <c r="FG187" s="1175"/>
      <c r="FH187" s="1175"/>
      <c r="FI187" s="1175"/>
      <c r="FJ187" s="1175"/>
      <c r="FK187" s="1175"/>
      <c r="FL187" s="1175"/>
      <c r="FM187" s="1175"/>
      <c r="FN187" s="1175"/>
      <c r="FO187" s="1175"/>
      <c r="FP187" s="1175"/>
      <c r="FQ187" s="1175"/>
      <c r="FR187" s="1175"/>
      <c r="FS187" s="1175"/>
      <c r="FT187" s="1175"/>
      <c r="FU187" s="1175"/>
      <c r="FV187" s="1175"/>
      <c r="FW187" s="1175"/>
      <c r="FX187" s="1175"/>
      <c r="FY187" s="1175"/>
      <c r="FZ187" s="1175"/>
      <c r="GA187" s="1175"/>
      <c r="GB187" s="1175"/>
      <c r="GC187" s="1175"/>
      <c r="GD187" s="1175"/>
      <c r="GE187" s="1175"/>
      <c r="GF187" s="1175"/>
      <c r="GG187" s="1175"/>
      <c r="GH187" s="1175"/>
      <c r="GI187" s="1175"/>
      <c r="GJ187" s="1175"/>
      <c r="GK187" s="1175"/>
      <c r="GL187" s="1175"/>
      <c r="GM187" s="1175"/>
      <c r="GN187" s="1175"/>
      <c r="GO187" s="1175"/>
      <c r="GP187" s="1175"/>
      <c r="GQ187" s="1175"/>
      <c r="GR187" s="1175"/>
      <c r="GS187" s="1175"/>
      <c r="GT187" s="1175"/>
      <c r="GU187" s="1175"/>
      <c r="GV187" s="1175"/>
      <c r="GW187" s="1175"/>
      <c r="GX187" s="1175"/>
      <c r="GY187" s="1175"/>
      <c r="GZ187" s="1175"/>
      <c r="HA187" s="1175"/>
      <c r="HB187" s="1175"/>
      <c r="HC187" s="1175"/>
      <c r="HD187" s="1175"/>
      <c r="HE187" s="1175"/>
      <c r="HF187" s="1175"/>
      <c r="HG187" s="1175"/>
      <c r="HH187" s="1175"/>
      <c r="HI187" s="1175"/>
      <c r="HJ187" s="1175"/>
      <c r="HK187" s="1175"/>
      <c r="HL187" s="1175"/>
      <c r="HM187" s="1175"/>
      <c r="HN187" s="1175"/>
      <c r="HO187" s="1175"/>
      <c r="HP187" s="1175"/>
      <c r="HQ187" s="1175"/>
      <c r="HR187" s="1175"/>
      <c r="HS187" s="1175"/>
      <c r="HT187" s="1175"/>
      <c r="HU187" s="1175"/>
      <c r="HV187" s="1175"/>
      <c r="HW187" s="1175"/>
      <c r="HX187" s="1175"/>
      <c r="HY187" s="1175"/>
      <c r="HZ187" s="1175"/>
      <c r="IA187" s="1175"/>
      <c r="IB187" s="1175"/>
      <c r="IC187" s="1175"/>
      <c r="ID187" s="1175"/>
      <c r="IE187" s="1175"/>
      <c r="IF187" s="1175"/>
      <c r="IG187" s="1175"/>
      <c r="IH187" s="1175"/>
      <c r="II187" s="1175"/>
      <c r="IJ187" s="1175"/>
      <c r="IK187" s="1175"/>
      <c r="IL187" s="1175"/>
      <c r="IM187" s="1175"/>
      <c r="IN187" s="1175"/>
      <c r="IO187" s="1175"/>
      <c r="IP187" s="1175"/>
      <c r="IQ187" s="1175"/>
      <c r="IR187" s="1175"/>
      <c r="IS187" s="1175"/>
      <c r="IT187" s="1175"/>
      <c r="IU187" s="1175"/>
      <c r="IV187" s="1175"/>
    </row>
    <row r="188" spans="1:256" s="940" customFormat="1" outlineLevel="1">
      <c r="A188" s="1152" t="s">
        <v>2175</v>
      </c>
      <c r="B188" s="936" t="s">
        <v>1654</v>
      </c>
      <c r="C188" s="936" t="s">
        <v>1606</v>
      </c>
      <c r="D188" s="936" t="s">
        <v>1654</v>
      </c>
      <c r="E188" s="1145" t="s">
        <v>2176</v>
      </c>
      <c r="F188" s="1146" t="s">
        <v>271</v>
      </c>
      <c r="G188" s="1150"/>
      <c r="H188" s="1151">
        <v>1300000</v>
      </c>
      <c r="I188" s="1148"/>
    </row>
    <row r="189" spans="1:256" s="940" customFormat="1" outlineLevel="1">
      <c r="A189" s="1149" t="s">
        <v>2177</v>
      </c>
      <c r="B189" s="936" t="s">
        <v>1386</v>
      </c>
      <c r="C189" s="936" t="s">
        <v>1606</v>
      </c>
      <c r="D189" s="936" t="s">
        <v>1386</v>
      </c>
      <c r="E189" s="1761" t="s">
        <v>2178</v>
      </c>
      <c r="F189" s="1146" t="s">
        <v>271</v>
      </c>
      <c r="G189" s="1150"/>
      <c r="H189" s="1151">
        <v>4100000</v>
      </c>
      <c r="I189" s="1762" t="s">
        <v>2031</v>
      </c>
    </row>
    <row r="190" spans="1:256" s="940" customFormat="1" outlineLevel="1">
      <c r="A190" s="1329" t="s">
        <v>2177</v>
      </c>
      <c r="B190" s="936" t="s">
        <v>1371</v>
      </c>
      <c r="C190" s="936" t="s">
        <v>1606</v>
      </c>
      <c r="D190" s="936" t="s">
        <v>1371</v>
      </c>
      <c r="E190" s="941" t="s">
        <v>2179</v>
      </c>
      <c r="F190" s="1146" t="s">
        <v>1732</v>
      </c>
      <c r="G190" s="1150"/>
      <c r="H190" s="1151">
        <v>1000000</v>
      </c>
      <c r="I190" s="1148"/>
    </row>
    <row r="191" spans="1:256" s="940" customFormat="1" outlineLevel="1">
      <c r="A191" s="1152" t="s">
        <v>2177</v>
      </c>
      <c r="B191" s="935" t="s">
        <v>1371</v>
      </c>
      <c r="C191" s="935" t="s">
        <v>1606</v>
      </c>
      <c r="D191" s="936" t="s">
        <v>1371</v>
      </c>
      <c r="E191" s="937" t="s">
        <v>2180</v>
      </c>
      <c r="F191" s="938" t="s">
        <v>271</v>
      </c>
      <c r="G191" s="1153"/>
      <c r="H191" s="1154">
        <v>1450000</v>
      </c>
      <c r="I191" s="1155"/>
    </row>
    <row r="192" spans="1:256" s="940" customFormat="1" outlineLevel="1">
      <c r="A192" s="1152" t="s">
        <v>2177</v>
      </c>
      <c r="B192" s="935" t="s">
        <v>2181</v>
      </c>
      <c r="C192" s="935" t="s">
        <v>1606</v>
      </c>
      <c r="D192" s="936" t="s">
        <v>2181</v>
      </c>
      <c r="E192" s="937" t="s">
        <v>2182</v>
      </c>
      <c r="F192" s="938" t="s">
        <v>271</v>
      </c>
      <c r="G192" s="913"/>
      <c r="H192" s="1154">
        <v>2000000</v>
      </c>
      <c r="I192" s="1155"/>
    </row>
    <row r="193" spans="1:12" s="940" customFormat="1" outlineLevel="1">
      <c r="A193" s="1152" t="s">
        <v>1842</v>
      </c>
      <c r="B193" s="935" t="s">
        <v>304</v>
      </c>
      <c r="C193" s="935" t="s">
        <v>1606</v>
      </c>
      <c r="D193" s="936" t="s">
        <v>1406</v>
      </c>
      <c r="E193" s="937" t="s">
        <v>1607</v>
      </c>
      <c r="F193" s="938"/>
      <c r="G193" s="1158">
        <v>30000000</v>
      </c>
      <c r="H193" s="1161"/>
      <c r="I193" s="1155"/>
    </row>
    <row r="194" spans="1:12" s="940" customFormat="1" outlineLevel="1">
      <c r="A194" s="1152" t="s">
        <v>1842</v>
      </c>
      <c r="B194" s="935" t="s">
        <v>1368</v>
      </c>
      <c r="C194" s="935" t="s">
        <v>1606</v>
      </c>
      <c r="D194" s="936" t="s">
        <v>1368</v>
      </c>
      <c r="E194" s="937" t="s">
        <v>2183</v>
      </c>
      <c r="F194" s="938" t="s">
        <v>271</v>
      </c>
      <c r="G194" s="913"/>
      <c r="H194" s="1154">
        <v>10000000</v>
      </c>
      <c r="I194" s="1155"/>
    </row>
    <row r="195" spans="1:12" s="940" customFormat="1" outlineLevel="1">
      <c r="A195" s="1152" t="s">
        <v>1842</v>
      </c>
      <c r="B195" s="935" t="s">
        <v>1403</v>
      </c>
      <c r="C195" s="935" t="s">
        <v>1606</v>
      </c>
      <c r="D195" s="936" t="s">
        <v>1403</v>
      </c>
      <c r="E195" s="937" t="s">
        <v>2184</v>
      </c>
      <c r="F195" s="938" t="s">
        <v>271</v>
      </c>
      <c r="G195" s="913"/>
      <c r="H195" s="1154">
        <v>10000000</v>
      </c>
      <c r="I195" s="1155"/>
    </row>
    <row r="196" spans="1:12" s="940" customFormat="1" outlineLevel="1">
      <c r="A196" s="1152" t="s">
        <v>1842</v>
      </c>
      <c r="B196" s="935" t="s">
        <v>395</v>
      </c>
      <c r="C196" s="935" t="s">
        <v>1606</v>
      </c>
      <c r="D196" s="935" t="s">
        <v>395</v>
      </c>
      <c r="E196" s="937" t="s">
        <v>2185</v>
      </c>
      <c r="F196" s="938" t="s">
        <v>271</v>
      </c>
      <c r="G196" s="1153"/>
      <c r="H196" s="1154">
        <v>10000000</v>
      </c>
      <c r="I196" s="1155"/>
      <c r="L196" s="1157" t="e">
        <f>#REF!+#REF!+#REF!+#REF!+H191+H192+#REF!+H197+H198+#REF!+#REF!+H200+H201+H205</f>
        <v>#REF!</v>
      </c>
    </row>
    <row r="197" spans="1:12" s="940" customFormat="1" outlineLevel="1">
      <c r="A197" s="1152" t="s">
        <v>1842</v>
      </c>
      <c r="B197" s="935" t="s">
        <v>1406</v>
      </c>
      <c r="C197" s="935" t="s">
        <v>1606</v>
      </c>
      <c r="D197" s="936" t="s">
        <v>1406</v>
      </c>
      <c r="E197" s="937" t="s">
        <v>2186</v>
      </c>
      <c r="F197" s="938" t="s">
        <v>271</v>
      </c>
      <c r="G197" s="913"/>
      <c r="H197" s="1154">
        <v>150000</v>
      </c>
      <c r="I197" s="1155"/>
    </row>
    <row r="198" spans="1:12" s="940" customFormat="1" outlineLevel="1">
      <c r="A198" s="1152" t="s">
        <v>1842</v>
      </c>
      <c r="B198" s="935" t="s">
        <v>1386</v>
      </c>
      <c r="C198" s="935" t="s">
        <v>1606</v>
      </c>
      <c r="D198" s="936" t="s">
        <v>1386</v>
      </c>
      <c r="E198" s="937" t="s">
        <v>2187</v>
      </c>
      <c r="F198" s="938" t="s">
        <v>271</v>
      </c>
      <c r="G198" s="913"/>
      <c r="H198" s="1154">
        <v>300000</v>
      </c>
      <c r="I198" s="1155"/>
    </row>
    <row r="199" spans="1:12" s="940" customFormat="1" outlineLevel="1">
      <c r="A199" s="1152" t="s">
        <v>1842</v>
      </c>
      <c r="B199" s="935" t="s">
        <v>1654</v>
      </c>
      <c r="C199" s="935" t="s">
        <v>1606</v>
      </c>
      <c r="D199" s="936" t="s">
        <v>1654</v>
      </c>
      <c r="E199" s="941" t="s">
        <v>2188</v>
      </c>
      <c r="F199" s="938" t="s">
        <v>1732</v>
      </c>
      <c r="G199" s="913"/>
      <c r="H199" s="1156">
        <v>7016680</v>
      </c>
      <c r="I199" s="1155"/>
    </row>
    <row r="200" spans="1:12" s="940" customFormat="1" outlineLevel="1">
      <c r="A200" s="1152" t="s">
        <v>2189</v>
      </c>
      <c r="B200" s="935" t="s">
        <v>1371</v>
      </c>
      <c r="C200" s="935" t="s">
        <v>1606</v>
      </c>
      <c r="D200" s="936" t="s">
        <v>1371</v>
      </c>
      <c r="E200" s="941" t="s">
        <v>2190</v>
      </c>
      <c r="F200" s="938" t="s">
        <v>271</v>
      </c>
      <c r="G200" s="913"/>
      <c r="H200" s="1156">
        <v>3600000</v>
      </c>
      <c r="I200" s="1155"/>
    </row>
    <row r="201" spans="1:12" s="940" customFormat="1" outlineLevel="1">
      <c r="A201" s="1152" t="s">
        <v>2191</v>
      </c>
      <c r="B201" s="935" t="s">
        <v>1648</v>
      </c>
      <c r="C201" s="935" t="s">
        <v>1606</v>
      </c>
      <c r="D201" s="936" t="s">
        <v>1648</v>
      </c>
      <c r="E201" s="941" t="s">
        <v>2192</v>
      </c>
      <c r="F201" s="938" t="s">
        <v>1732</v>
      </c>
      <c r="G201" s="913"/>
      <c r="H201" s="1156">
        <v>3117598</v>
      </c>
      <c r="I201" s="1155"/>
    </row>
    <row r="202" spans="1:12" s="940" customFormat="1" ht="36" outlineLevel="1">
      <c r="A202" s="1152" t="s">
        <v>2191</v>
      </c>
      <c r="B202" s="935" t="s">
        <v>1654</v>
      </c>
      <c r="C202" s="935" t="s">
        <v>1606</v>
      </c>
      <c r="D202" s="936" t="s">
        <v>1654</v>
      </c>
      <c r="E202" s="1160" t="s">
        <v>2193</v>
      </c>
      <c r="F202" s="938" t="s">
        <v>271</v>
      </c>
      <c r="G202" s="913"/>
      <c r="H202" s="1156">
        <v>200000</v>
      </c>
      <c r="I202" s="1155"/>
    </row>
    <row r="203" spans="1:12" s="940" customFormat="1" outlineLevel="1">
      <c r="A203" s="1152" t="s">
        <v>2194</v>
      </c>
      <c r="B203" s="935" t="s">
        <v>1371</v>
      </c>
      <c r="C203" s="935" t="s">
        <v>1606</v>
      </c>
      <c r="D203" s="936" t="s">
        <v>1371</v>
      </c>
      <c r="E203" s="1160" t="s">
        <v>2195</v>
      </c>
      <c r="F203" s="938" t="s">
        <v>271</v>
      </c>
      <c r="G203" s="913"/>
      <c r="H203" s="1156">
        <v>250000</v>
      </c>
      <c r="I203" s="1155"/>
    </row>
    <row r="204" spans="1:12" s="940" customFormat="1" outlineLevel="1">
      <c r="A204" s="1152" t="s">
        <v>2194</v>
      </c>
      <c r="B204" s="935" t="s">
        <v>1371</v>
      </c>
      <c r="C204" s="935" t="s">
        <v>1606</v>
      </c>
      <c r="D204" s="936" t="s">
        <v>1371</v>
      </c>
      <c r="E204" s="941" t="s">
        <v>2196</v>
      </c>
      <c r="F204" s="938" t="s">
        <v>1732</v>
      </c>
      <c r="G204" s="913"/>
      <c r="H204" s="1156">
        <v>830000</v>
      </c>
      <c r="I204" s="1155"/>
    </row>
    <row r="205" spans="1:12" s="940" customFormat="1" outlineLevel="1">
      <c r="A205" s="1152" t="s">
        <v>2194</v>
      </c>
      <c r="B205" s="935" t="s">
        <v>1386</v>
      </c>
      <c r="C205" s="935" t="s">
        <v>1606</v>
      </c>
      <c r="D205" s="936" t="s">
        <v>1386</v>
      </c>
      <c r="E205" s="941" t="s">
        <v>2197</v>
      </c>
      <c r="F205" s="938" t="s">
        <v>271</v>
      </c>
      <c r="G205" s="913"/>
      <c r="H205" s="1156">
        <v>900000</v>
      </c>
      <c r="I205" s="1155"/>
    </row>
    <row r="206" spans="1:12" s="940" customFormat="1" outlineLevel="1">
      <c r="A206" s="1152" t="s">
        <v>450</v>
      </c>
      <c r="B206" s="935" t="s">
        <v>1386</v>
      </c>
      <c r="C206" s="935" t="s">
        <v>1606</v>
      </c>
      <c r="D206" s="936" t="s">
        <v>1386</v>
      </c>
      <c r="E206" s="1160" t="s">
        <v>2198</v>
      </c>
      <c r="F206" s="938" t="s">
        <v>271</v>
      </c>
      <c r="G206" s="913"/>
      <c r="H206" s="1156">
        <v>700000</v>
      </c>
      <c r="I206" s="1155"/>
    </row>
    <row r="207" spans="1:12" s="940" customFormat="1" outlineLevel="1">
      <c r="A207" s="1152" t="s">
        <v>2199</v>
      </c>
      <c r="B207" s="935" t="s">
        <v>1368</v>
      </c>
      <c r="C207" s="935" t="s">
        <v>1606</v>
      </c>
      <c r="D207" s="936" t="s">
        <v>1368</v>
      </c>
      <c r="E207" s="937" t="s">
        <v>1779</v>
      </c>
      <c r="F207" s="938"/>
      <c r="G207" s="1763">
        <v>10000000</v>
      </c>
      <c r="H207" s="1764"/>
      <c r="I207" s="1155"/>
      <c r="J207" s="940" t="s">
        <v>1513</v>
      </c>
    </row>
    <row r="208" spans="1:12" s="940" customFormat="1" outlineLevel="1">
      <c r="A208" s="1152" t="s">
        <v>2199</v>
      </c>
      <c r="B208" s="935" t="s">
        <v>1654</v>
      </c>
      <c r="C208" s="935" t="s">
        <v>1606</v>
      </c>
      <c r="D208" s="936" t="s">
        <v>1654</v>
      </c>
      <c r="E208" s="937" t="s">
        <v>2176</v>
      </c>
      <c r="F208" s="938" t="s">
        <v>271</v>
      </c>
      <c r="G208" s="913"/>
      <c r="H208" s="1156">
        <v>1300000</v>
      </c>
      <c r="I208" s="1155"/>
    </row>
    <row r="209" spans="1:256" s="940" customFormat="1" outlineLevel="1">
      <c r="A209" s="1152" t="s">
        <v>2199</v>
      </c>
      <c r="B209" s="935" t="s">
        <v>1386</v>
      </c>
      <c r="C209" s="935" t="s">
        <v>1606</v>
      </c>
      <c r="D209" s="936" t="s">
        <v>1386</v>
      </c>
      <c r="E209" s="941" t="s">
        <v>2200</v>
      </c>
      <c r="F209" s="938" t="s">
        <v>271</v>
      </c>
      <c r="G209" s="913"/>
      <c r="H209" s="1156">
        <v>5500000</v>
      </c>
      <c r="I209" s="1164" t="s">
        <v>2201</v>
      </c>
    </row>
    <row r="210" spans="1:256" s="1759" customFormat="1" outlineLevel="1">
      <c r="A210" s="1799" t="s">
        <v>2222</v>
      </c>
      <c r="B210" s="1796" t="s">
        <v>1406</v>
      </c>
      <c r="C210" s="1796" t="s">
        <v>1606</v>
      </c>
      <c r="D210" s="1797" t="s">
        <v>1406</v>
      </c>
      <c r="E210" s="1798" t="s">
        <v>2223</v>
      </c>
      <c r="F210" s="1794" t="s">
        <v>271</v>
      </c>
      <c r="G210" s="1795"/>
      <c r="H210" s="1801">
        <v>475000</v>
      </c>
      <c r="I210" s="1800"/>
      <c r="J210" s="1793"/>
      <c r="K210" s="1758"/>
      <c r="L210" s="1175"/>
      <c r="M210" s="1175"/>
      <c r="N210" s="1175"/>
      <c r="O210" s="1175"/>
      <c r="P210" s="1175"/>
      <c r="Q210" s="1175"/>
      <c r="R210" s="1175"/>
      <c r="S210" s="1175"/>
      <c r="T210" s="1175"/>
      <c r="U210" s="1175"/>
      <c r="V210" s="1175"/>
      <c r="W210" s="1175"/>
      <c r="X210" s="1175"/>
      <c r="Y210" s="1175"/>
      <c r="Z210" s="1175"/>
      <c r="AA210" s="1175"/>
      <c r="AB210" s="1175"/>
      <c r="AC210" s="1175"/>
      <c r="AD210" s="1175"/>
      <c r="AE210" s="1175"/>
      <c r="AF210" s="1175"/>
      <c r="AG210" s="1175"/>
      <c r="AH210" s="1175"/>
      <c r="AI210" s="1175"/>
      <c r="AJ210" s="1175"/>
      <c r="AK210" s="1175"/>
      <c r="AL210" s="1175"/>
      <c r="AM210" s="1175"/>
      <c r="AN210" s="1175"/>
      <c r="AO210" s="1175"/>
      <c r="AP210" s="1175"/>
      <c r="AQ210" s="1175"/>
      <c r="AR210" s="1175"/>
      <c r="AS210" s="1175"/>
      <c r="AT210" s="1175"/>
      <c r="AU210" s="1175"/>
      <c r="AV210" s="1175"/>
      <c r="AW210" s="1175"/>
      <c r="AX210" s="1175"/>
      <c r="AY210" s="1175"/>
      <c r="AZ210" s="1175"/>
      <c r="BA210" s="1175"/>
      <c r="BB210" s="1175"/>
      <c r="BC210" s="1175"/>
      <c r="BD210" s="1175"/>
      <c r="BE210" s="1175"/>
      <c r="BF210" s="1175"/>
      <c r="BG210" s="1175"/>
      <c r="BH210" s="1175"/>
      <c r="BI210" s="1175"/>
      <c r="BJ210" s="1175"/>
      <c r="BK210" s="1175"/>
      <c r="BL210" s="1175"/>
      <c r="BM210" s="1175"/>
      <c r="BN210" s="1175"/>
      <c r="BO210" s="1175"/>
      <c r="BP210" s="1175"/>
      <c r="BQ210" s="1175"/>
      <c r="BR210" s="1175"/>
      <c r="BS210" s="1175"/>
      <c r="BT210" s="1175"/>
      <c r="BU210" s="1175"/>
      <c r="BV210" s="1175"/>
      <c r="BW210" s="1175"/>
      <c r="BX210" s="1175"/>
      <c r="BY210" s="1175"/>
      <c r="BZ210" s="1175"/>
      <c r="CA210" s="1175"/>
      <c r="CB210" s="1175"/>
      <c r="CC210" s="1175"/>
      <c r="CD210" s="1175"/>
      <c r="CE210" s="1175"/>
      <c r="CF210" s="1175"/>
      <c r="CG210" s="1175"/>
      <c r="CH210" s="1175"/>
      <c r="CI210" s="1175"/>
      <c r="CJ210" s="1175"/>
      <c r="CK210" s="1175"/>
      <c r="CL210" s="1175"/>
      <c r="CM210" s="1175"/>
      <c r="CN210" s="1175"/>
      <c r="CO210" s="1175"/>
      <c r="CP210" s="1175"/>
      <c r="CQ210" s="1175"/>
      <c r="CR210" s="1175"/>
      <c r="CS210" s="1175"/>
      <c r="CT210" s="1175"/>
      <c r="CU210" s="1175"/>
      <c r="CV210" s="1175"/>
      <c r="CW210" s="1175"/>
      <c r="CX210" s="1175"/>
      <c r="CY210" s="1175"/>
      <c r="CZ210" s="1175"/>
      <c r="DA210" s="1175"/>
      <c r="DB210" s="1175"/>
      <c r="DC210" s="1175"/>
      <c r="DD210" s="1175"/>
      <c r="DE210" s="1175"/>
      <c r="DF210" s="1175"/>
      <c r="DG210" s="1175"/>
      <c r="DH210" s="1175"/>
      <c r="DI210" s="1175"/>
      <c r="DJ210" s="1175"/>
      <c r="DK210" s="1175"/>
      <c r="DL210" s="1175"/>
      <c r="DM210" s="1175"/>
      <c r="DN210" s="1175"/>
      <c r="DO210" s="1175"/>
      <c r="DP210" s="1175"/>
      <c r="DQ210" s="1175"/>
      <c r="DR210" s="1175"/>
      <c r="DS210" s="1175"/>
      <c r="DT210" s="1175"/>
      <c r="DU210" s="1175"/>
      <c r="DV210" s="1175"/>
      <c r="DW210" s="1175"/>
      <c r="DX210" s="1175"/>
      <c r="DY210" s="1175"/>
      <c r="DZ210" s="1175"/>
      <c r="EA210" s="1175"/>
      <c r="EB210" s="1175"/>
      <c r="EC210" s="1175"/>
      <c r="ED210" s="1175"/>
      <c r="EE210" s="1175"/>
      <c r="EF210" s="1175"/>
      <c r="EG210" s="1175"/>
      <c r="EH210" s="1175"/>
      <c r="EI210" s="1175"/>
      <c r="EJ210" s="1175"/>
      <c r="EK210" s="1175"/>
      <c r="EL210" s="1175"/>
      <c r="EM210" s="1175"/>
      <c r="EN210" s="1175"/>
      <c r="EO210" s="1175"/>
      <c r="EP210" s="1175"/>
      <c r="EQ210" s="1175"/>
      <c r="ER210" s="1175"/>
      <c r="ES210" s="1175"/>
      <c r="ET210" s="1175"/>
      <c r="EU210" s="1175"/>
      <c r="EV210" s="1175"/>
      <c r="EW210" s="1175"/>
      <c r="EX210" s="1175"/>
      <c r="EY210" s="1175"/>
      <c r="EZ210" s="1175"/>
      <c r="FA210" s="1175"/>
      <c r="FB210" s="1175"/>
      <c r="FC210" s="1175"/>
      <c r="FD210" s="1175"/>
      <c r="FE210" s="1175"/>
      <c r="FF210" s="1175"/>
      <c r="FG210" s="1175"/>
      <c r="FH210" s="1175"/>
      <c r="FI210" s="1175"/>
      <c r="FJ210" s="1175"/>
      <c r="FK210" s="1175"/>
      <c r="FL210" s="1175"/>
      <c r="FM210" s="1175"/>
      <c r="FN210" s="1175"/>
      <c r="FO210" s="1175"/>
      <c r="FP210" s="1175"/>
      <c r="FQ210" s="1175"/>
      <c r="FR210" s="1175"/>
      <c r="FS210" s="1175"/>
      <c r="FT210" s="1175"/>
      <c r="FU210" s="1175"/>
      <c r="FV210" s="1175"/>
      <c r="FW210" s="1175"/>
      <c r="FX210" s="1175"/>
      <c r="FY210" s="1175"/>
      <c r="FZ210" s="1175"/>
      <c r="GA210" s="1175"/>
      <c r="GB210" s="1175"/>
      <c r="GC210" s="1175"/>
      <c r="GD210" s="1175"/>
      <c r="GE210" s="1175"/>
      <c r="GF210" s="1175"/>
      <c r="GG210" s="1175"/>
      <c r="GH210" s="1175"/>
      <c r="GI210" s="1175"/>
      <c r="GJ210" s="1175"/>
      <c r="GK210" s="1175"/>
      <c r="GL210" s="1175"/>
      <c r="GM210" s="1175"/>
      <c r="GN210" s="1175"/>
      <c r="GO210" s="1175"/>
      <c r="GP210" s="1175"/>
      <c r="GQ210" s="1175"/>
      <c r="GR210" s="1175"/>
      <c r="GS210" s="1175"/>
      <c r="GT210" s="1175"/>
      <c r="GU210" s="1175"/>
      <c r="GV210" s="1175"/>
      <c r="GW210" s="1175"/>
      <c r="GX210" s="1175"/>
      <c r="GY210" s="1175"/>
      <c r="GZ210" s="1175"/>
      <c r="HA210" s="1175"/>
      <c r="HB210" s="1175"/>
      <c r="HC210" s="1175"/>
      <c r="HD210" s="1175"/>
      <c r="HE210" s="1175"/>
      <c r="HF210" s="1175"/>
      <c r="HG210" s="1175"/>
      <c r="HH210" s="1175"/>
      <c r="HI210" s="1175"/>
      <c r="HJ210" s="1175"/>
      <c r="HK210" s="1175"/>
      <c r="HL210" s="1175"/>
      <c r="HM210" s="1175"/>
      <c r="HN210" s="1175"/>
      <c r="HO210" s="1175"/>
      <c r="HP210" s="1175"/>
      <c r="HQ210" s="1175"/>
      <c r="HR210" s="1175"/>
      <c r="HS210" s="1175"/>
      <c r="HT210" s="1175"/>
      <c r="HU210" s="1175"/>
      <c r="HV210" s="1175"/>
      <c r="HW210" s="1175"/>
      <c r="HX210" s="1175"/>
      <c r="HY210" s="1175"/>
      <c r="HZ210" s="1175"/>
      <c r="IA210" s="1175"/>
      <c r="IB210" s="1175"/>
      <c r="IC210" s="1175"/>
      <c r="ID210" s="1175"/>
      <c r="IE210" s="1175"/>
      <c r="IF210" s="1175"/>
      <c r="IG210" s="1175"/>
      <c r="IH210" s="1175"/>
      <c r="II210" s="1175"/>
      <c r="IJ210" s="1175"/>
      <c r="IK210" s="1175"/>
      <c r="IL210" s="1175"/>
      <c r="IM210" s="1175"/>
      <c r="IN210" s="1175"/>
      <c r="IO210" s="1175"/>
      <c r="IP210" s="1175"/>
      <c r="IQ210" s="1175"/>
      <c r="IR210" s="1175"/>
      <c r="IS210" s="1175"/>
      <c r="IT210" s="1175"/>
      <c r="IU210" s="1175"/>
      <c r="IV210" s="1175"/>
    </row>
    <row r="211" spans="1:256" s="1759" customFormat="1" outlineLevel="1">
      <c r="A211" s="1799" t="s">
        <v>2222</v>
      </c>
      <c r="B211" s="1796" t="s">
        <v>1654</v>
      </c>
      <c r="C211" s="1796" t="s">
        <v>1606</v>
      </c>
      <c r="D211" s="1797" t="s">
        <v>1654</v>
      </c>
      <c r="E211" s="1798" t="s">
        <v>2224</v>
      </c>
      <c r="F211" s="1794" t="s">
        <v>1732</v>
      </c>
      <c r="G211" s="1795"/>
      <c r="H211" s="1801">
        <v>7012000</v>
      </c>
      <c r="I211" s="1800"/>
      <c r="J211" s="1793"/>
      <c r="K211" s="1758"/>
      <c r="L211" s="1175"/>
      <c r="M211" s="1175"/>
      <c r="N211" s="1175"/>
      <c r="O211" s="1175"/>
      <c r="P211" s="1175"/>
      <c r="Q211" s="1175"/>
      <c r="R211" s="1175"/>
      <c r="S211" s="1175"/>
      <c r="T211" s="1175"/>
      <c r="U211" s="1175"/>
      <c r="V211" s="1175"/>
      <c r="W211" s="1175"/>
      <c r="X211" s="1175"/>
      <c r="Y211" s="1175"/>
      <c r="Z211" s="1175"/>
      <c r="AA211" s="1175"/>
      <c r="AB211" s="1175"/>
      <c r="AC211" s="1175"/>
      <c r="AD211" s="1175"/>
      <c r="AE211" s="1175"/>
      <c r="AF211" s="1175"/>
      <c r="AG211" s="1175"/>
      <c r="AH211" s="1175"/>
      <c r="AI211" s="1175"/>
      <c r="AJ211" s="1175"/>
      <c r="AK211" s="1175"/>
      <c r="AL211" s="1175"/>
      <c r="AM211" s="1175"/>
      <c r="AN211" s="1175"/>
      <c r="AO211" s="1175"/>
      <c r="AP211" s="1175"/>
      <c r="AQ211" s="1175"/>
      <c r="AR211" s="1175"/>
      <c r="AS211" s="1175"/>
      <c r="AT211" s="1175"/>
      <c r="AU211" s="1175"/>
      <c r="AV211" s="1175"/>
      <c r="AW211" s="1175"/>
      <c r="AX211" s="1175"/>
      <c r="AY211" s="1175"/>
      <c r="AZ211" s="1175"/>
      <c r="BA211" s="1175"/>
      <c r="BB211" s="1175"/>
      <c r="BC211" s="1175"/>
      <c r="BD211" s="1175"/>
      <c r="BE211" s="1175"/>
      <c r="BF211" s="1175"/>
      <c r="BG211" s="1175"/>
      <c r="BH211" s="1175"/>
      <c r="BI211" s="1175"/>
      <c r="BJ211" s="1175"/>
      <c r="BK211" s="1175"/>
      <c r="BL211" s="1175"/>
      <c r="BM211" s="1175"/>
      <c r="BN211" s="1175"/>
      <c r="BO211" s="1175"/>
      <c r="BP211" s="1175"/>
      <c r="BQ211" s="1175"/>
      <c r="BR211" s="1175"/>
      <c r="BS211" s="1175"/>
      <c r="BT211" s="1175"/>
      <c r="BU211" s="1175"/>
      <c r="BV211" s="1175"/>
      <c r="BW211" s="1175"/>
      <c r="BX211" s="1175"/>
      <c r="BY211" s="1175"/>
      <c r="BZ211" s="1175"/>
      <c r="CA211" s="1175"/>
      <c r="CB211" s="1175"/>
      <c r="CC211" s="1175"/>
      <c r="CD211" s="1175"/>
      <c r="CE211" s="1175"/>
      <c r="CF211" s="1175"/>
      <c r="CG211" s="1175"/>
      <c r="CH211" s="1175"/>
      <c r="CI211" s="1175"/>
      <c r="CJ211" s="1175"/>
      <c r="CK211" s="1175"/>
      <c r="CL211" s="1175"/>
      <c r="CM211" s="1175"/>
      <c r="CN211" s="1175"/>
      <c r="CO211" s="1175"/>
      <c r="CP211" s="1175"/>
      <c r="CQ211" s="1175"/>
      <c r="CR211" s="1175"/>
      <c r="CS211" s="1175"/>
      <c r="CT211" s="1175"/>
      <c r="CU211" s="1175"/>
      <c r="CV211" s="1175"/>
      <c r="CW211" s="1175"/>
      <c r="CX211" s="1175"/>
      <c r="CY211" s="1175"/>
      <c r="CZ211" s="1175"/>
      <c r="DA211" s="1175"/>
      <c r="DB211" s="1175"/>
      <c r="DC211" s="1175"/>
      <c r="DD211" s="1175"/>
      <c r="DE211" s="1175"/>
      <c r="DF211" s="1175"/>
      <c r="DG211" s="1175"/>
      <c r="DH211" s="1175"/>
      <c r="DI211" s="1175"/>
      <c r="DJ211" s="1175"/>
      <c r="DK211" s="1175"/>
      <c r="DL211" s="1175"/>
      <c r="DM211" s="1175"/>
      <c r="DN211" s="1175"/>
      <c r="DO211" s="1175"/>
      <c r="DP211" s="1175"/>
      <c r="DQ211" s="1175"/>
      <c r="DR211" s="1175"/>
      <c r="DS211" s="1175"/>
      <c r="DT211" s="1175"/>
      <c r="DU211" s="1175"/>
      <c r="DV211" s="1175"/>
      <c r="DW211" s="1175"/>
      <c r="DX211" s="1175"/>
      <c r="DY211" s="1175"/>
      <c r="DZ211" s="1175"/>
      <c r="EA211" s="1175"/>
      <c r="EB211" s="1175"/>
      <c r="EC211" s="1175"/>
      <c r="ED211" s="1175"/>
      <c r="EE211" s="1175"/>
      <c r="EF211" s="1175"/>
      <c r="EG211" s="1175"/>
      <c r="EH211" s="1175"/>
      <c r="EI211" s="1175"/>
      <c r="EJ211" s="1175"/>
      <c r="EK211" s="1175"/>
      <c r="EL211" s="1175"/>
      <c r="EM211" s="1175"/>
      <c r="EN211" s="1175"/>
      <c r="EO211" s="1175"/>
      <c r="EP211" s="1175"/>
      <c r="EQ211" s="1175"/>
      <c r="ER211" s="1175"/>
      <c r="ES211" s="1175"/>
      <c r="ET211" s="1175"/>
      <c r="EU211" s="1175"/>
      <c r="EV211" s="1175"/>
      <c r="EW211" s="1175"/>
      <c r="EX211" s="1175"/>
      <c r="EY211" s="1175"/>
      <c r="EZ211" s="1175"/>
      <c r="FA211" s="1175"/>
      <c r="FB211" s="1175"/>
      <c r="FC211" s="1175"/>
      <c r="FD211" s="1175"/>
      <c r="FE211" s="1175"/>
      <c r="FF211" s="1175"/>
      <c r="FG211" s="1175"/>
      <c r="FH211" s="1175"/>
      <c r="FI211" s="1175"/>
      <c r="FJ211" s="1175"/>
      <c r="FK211" s="1175"/>
      <c r="FL211" s="1175"/>
      <c r="FM211" s="1175"/>
      <c r="FN211" s="1175"/>
      <c r="FO211" s="1175"/>
      <c r="FP211" s="1175"/>
      <c r="FQ211" s="1175"/>
      <c r="FR211" s="1175"/>
      <c r="FS211" s="1175"/>
      <c r="FT211" s="1175"/>
      <c r="FU211" s="1175"/>
      <c r="FV211" s="1175"/>
      <c r="FW211" s="1175"/>
      <c r="FX211" s="1175"/>
      <c r="FY211" s="1175"/>
      <c r="FZ211" s="1175"/>
      <c r="GA211" s="1175"/>
      <c r="GB211" s="1175"/>
      <c r="GC211" s="1175"/>
      <c r="GD211" s="1175"/>
      <c r="GE211" s="1175"/>
      <c r="GF211" s="1175"/>
      <c r="GG211" s="1175"/>
      <c r="GH211" s="1175"/>
      <c r="GI211" s="1175"/>
      <c r="GJ211" s="1175"/>
      <c r="GK211" s="1175"/>
      <c r="GL211" s="1175"/>
      <c r="GM211" s="1175"/>
      <c r="GN211" s="1175"/>
      <c r="GO211" s="1175"/>
      <c r="GP211" s="1175"/>
      <c r="GQ211" s="1175"/>
      <c r="GR211" s="1175"/>
      <c r="GS211" s="1175"/>
      <c r="GT211" s="1175"/>
      <c r="GU211" s="1175"/>
      <c r="GV211" s="1175"/>
      <c r="GW211" s="1175"/>
      <c r="GX211" s="1175"/>
      <c r="GY211" s="1175"/>
      <c r="GZ211" s="1175"/>
      <c r="HA211" s="1175"/>
      <c r="HB211" s="1175"/>
      <c r="HC211" s="1175"/>
      <c r="HD211" s="1175"/>
      <c r="HE211" s="1175"/>
      <c r="HF211" s="1175"/>
      <c r="HG211" s="1175"/>
      <c r="HH211" s="1175"/>
      <c r="HI211" s="1175"/>
      <c r="HJ211" s="1175"/>
      <c r="HK211" s="1175"/>
      <c r="HL211" s="1175"/>
      <c r="HM211" s="1175"/>
      <c r="HN211" s="1175"/>
      <c r="HO211" s="1175"/>
      <c r="HP211" s="1175"/>
      <c r="HQ211" s="1175"/>
      <c r="HR211" s="1175"/>
      <c r="HS211" s="1175"/>
      <c r="HT211" s="1175"/>
      <c r="HU211" s="1175"/>
      <c r="HV211" s="1175"/>
      <c r="HW211" s="1175"/>
      <c r="HX211" s="1175"/>
      <c r="HY211" s="1175"/>
      <c r="HZ211" s="1175"/>
      <c r="IA211" s="1175"/>
      <c r="IB211" s="1175"/>
      <c r="IC211" s="1175"/>
      <c r="ID211" s="1175"/>
      <c r="IE211" s="1175"/>
      <c r="IF211" s="1175"/>
      <c r="IG211" s="1175"/>
      <c r="IH211" s="1175"/>
      <c r="II211" s="1175"/>
      <c r="IJ211" s="1175"/>
      <c r="IK211" s="1175"/>
      <c r="IL211" s="1175"/>
      <c r="IM211" s="1175"/>
      <c r="IN211" s="1175"/>
      <c r="IO211" s="1175"/>
      <c r="IP211" s="1175"/>
      <c r="IQ211" s="1175"/>
      <c r="IR211" s="1175"/>
      <c r="IS211" s="1175"/>
      <c r="IT211" s="1175"/>
      <c r="IU211" s="1175"/>
      <c r="IV211" s="1175"/>
    </row>
    <row r="212" spans="1:256" s="1759" customFormat="1" outlineLevel="1">
      <c r="A212" s="1799" t="s">
        <v>2222</v>
      </c>
      <c r="B212" s="1796" t="s">
        <v>1371</v>
      </c>
      <c r="C212" s="1796" t="s">
        <v>1606</v>
      </c>
      <c r="D212" s="1797" t="s">
        <v>1371</v>
      </c>
      <c r="E212" s="1798" t="s">
        <v>2225</v>
      </c>
      <c r="F212" s="1794" t="s">
        <v>1732</v>
      </c>
      <c r="G212" s="1795"/>
      <c r="H212" s="1801">
        <v>1050000</v>
      </c>
      <c r="I212" s="1800"/>
      <c r="J212" s="1793"/>
      <c r="K212" s="1758"/>
      <c r="L212" s="1175"/>
      <c r="M212" s="1175"/>
      <c r="N212" s="1175"/>
      <c r="O212" s="1175"/>
      <c r="P212" s="1175"/>
      <c r="Q212" s="1175"/>
      <c r="R212" s="1175"/>
      <c r="S212" s="1175"/>
      <c r="T212" s="1175"/>
      <c r="U212" s="1175"/>
      <c r="V212" s="1175"/>
      <c r="W212" s="1175"/>
      <c r="X212" s="1175"/>
      <c r="Y212" s="1175"/>
      <c r="Z212" s="1175"/>
      <c r="AA212" s="1175"/>
      <c r="AB212" s="1175"/>
      <c r="AC212" s="1175"/>
      <c r="AD212" s="1175"/>
      <c r="AE212" s="1175"/>
      <c r="AF212" s="1175"/>
      <c r="AG212" s="1175"/>
      <c r="AH212" s="1175"/>
      <c r="AI212" s="1175"/>
      <c r="AJ212" s="1175"/>
      <c r="AK212" s="1175"/>
      <c r="AL212" s="1175"/>
      <c r="AM212" s="1175"/>
      <c r="AN212" s="1175"/>
      <c r="AO212" s="1175"/>
      <c r="AP212" s="1175"/>
      <c r="AQ212" s="1175"/>
      <c r="AR212" s="1175"/>
      <c r="AS212" s="1175"/>
      <c r="AT212" s="1175"/>
      <c r="AU212" s="1175"/>
      <c r="AV212" s="1175"/>
      <c r="AW212" s="1175"/>
      <c r="AX212" s="1175"/>
      <c r="AY212" s="1175"/>
      <c r="AZ212" s="1175"/>
      <c r="BA212" s="1175"/>
      <c r="BB212" s="1175"/>
      <c r="BC212" s="1175"/>
      <c r="BD212" s="1175"/>
      <c r="BE212" s="1175"/>
      <c r="BF212" s="1175"/>
      <c r="BG212" s="1175"/>
      <c r="BH212" s="1175"/>
      <c r="BI212" s="1175"/>
      <c r="BJ212" s="1175"/>
      <c r="BK212" s="1175"/>
      <c r="BL212" s="1175"/>
      <c r="BM212" s="1175"/>
      <c r="BN212" s="1175"/>
      <c r="BO212" s="1175"/>
      <c r="BP212" s="1175"/>
      <c r="BQ212" s="1175"/>
      <c r="BR212" s="1175"/>
      <c r="BS212" s="1175"/>
      <c r="BT212" s="1175"/>
      <c r="BU212" s="1175"/>
      <c r="BV212" s="1175"/>
      <c r="BW212" s="1175"/>
      <c r="BX212" s="1175"/>
      <c r="BY212" s="1175"/>
      <c r="BZ212" s="1175"/>
      <c r="CA212" s="1175"/>
      <c r="CB212" s="1175"/>
      <c r="CC212" s="1175"/>
      <c r="CD212" s="1175"/>
      <c r="CE212" s="1175"/>
      <c r="CF212" s="1175"/>
      <c r="CG212" s="1175"/>
      <c r="CH212" s="1175"/>
      <c r="CI212" s="1175"/>
      <c r="CJ212" s="1175"/>
      <c r="CK212" s="1175"/>
      <c r="CL212" s="1175"/>
      <c r="CM212" s="1175"/>
      <c r="CN212" s="1175"/>
      <c r="CO212" s="1175"/>
      <c r="CP212" s="1175"/>
      <c r="CQ212" s="1175"/>
      <c r="CR212" s="1175"/>
      <c r="CS212" s="1175"/>
      <c r="CT212" s="1175"/>
      <c r="CU212" s="1175"/>
      <c r="CV212" s="1175"/>
      <c r="CW212" s="1175"/>
      <c r="CX212" s="1175"/>
      <c r="CY212" s="1175"/>
      <c r="CZ212" s="1175"/>
      <c r="DA212" s="1175"/>
      <c r="DB212" s="1175"/>
      <c r="DC212" s="1175"/>
      <c r="DD212" s="1175"/>
      <c r="DE212" s="1175"/>
      <c r="DF212" s="1175"/>
      <c r="DG212" s="1175"/>
      <c r="DH212" s="1175"/>
      <c r="DI212" s="1175"/>
      <c r="DJ212" s="1175"/>
      <c r="DK212" s="1175"/>
      <c r="DL212" s="1175"/>
      <c r="DM212" s="1175"/>
      <c r="DN212" s="1175"/>
      <c r="DO212" s="1175"/>
      <c r="DP212" s="1175"/>
      <c r="DQ212" s="1175"/>
      <c r="DR212" s="1175"/>
      <c r="DS212" s="1175"/>
      <c r="DT212" s="1175"/>
      <c r="DU212" s="1175"/>
      <c r="DV212" s="1175"/>
      <c r="DW212" s="1175"/>
      <c r="DX212" s="1175"/>
      <c r="DY212" s="1175"/>
      <c r="DZ212" s="1175"/>
      <c r="EA212" s="1175"/>
      <c r="EB212" s="1175"/>
      <c r="EC212" s="1175"/>
      <c r="ED212" s="1175"/>
      <c r="EE212" s="1175"/>
      <c r="EF212" s="1175"/>
      <c r="EG212" s="1175"/>
      <c r="EH212" s="1175"/>
      <c r="EI212" s="1175"/>
      <c r="EJ212" s="1175"/>
      <c r="EK212" s="1175"/>
      <c r="EL212" s="1175"/>
      <c r="EM212" s="1175"/>
      <c r="EN212" s="1175"/>
      <c r="EO212" s="1175"/>
      <c r="EP212" s="1175"/>
      <c r="EQ212" s="1175"/>
      <c r="ER212" s="1175"/>
      <c r="ES212" s="1175"/>
      <c r="ET212" s="1175"/>
      <c r="EU212" s="1175"/>
      <c r="EV212" s="1175"/>
      <c r="EW212" s="1175"/>
      <c r="EX212" s="1175"/>
      <c r="EY212" s="1175"/>
      <c r="EZ212" s="1175"/>
      <c r="FA212" s="1175"/>
      <c r="FB212" s="1175"/>
      <c r="FC212" s="1175"/>
      <c r="FD212" s="1175"/>
      <c r="FE212" s="1175"/>
      <c r="FF212" s="1175"/>
      <c r="FG212" s="1175"/>
      <c r="FH212" s="1175"/>
      <c r="FI212" s="1175"/>
      <c r="FJ212" s="1175"/>
      <c r="FK212" s="1175"/>
      <c r="FL212" s="1175"/>
      <c r="FM212" s="1175"/>
      <c r="FN212" s="1175"/>
      <c r="FO212" s="1175"/>
      <c r="FP212" s="1175"/>
      <c r="FQ212" s="1175"/>
      <c r="FR212" s="1175"/>
      <c r="FS212" s="1175"/>
      <c r="FT212" s="1175"/>
      <c r="FU212" s="1175"/>
      <c r="FV212" s="1175"/>
      <c r="FW212" s="1175"/>
      <c r="FX212" s="1175"/>
      <c r="FY212" s="1175"/>
      <c r="FZ212" s="1175"/>
      <c r="GA212" s="1175"/>
      <c r="GB212" s="1175"/>
      <c r="GC212" s="1175"/>
      <c r="GD212" s="1175"/>
      <c r="GE212" s="1175"/>
      <c r="GF212" s="1175"/>
      <c r="GG212" s="1175"/>
      <c r="GH212" s="1175"/>
      <c r="GI212" s="1175"/>
      <c r="GJ212" s="1175"/>
      <c r="GK212" s="1175"/>
      <c r="GL212" s="1175"/>
      <c r="GM212" s="1175"/>
      <c r="GN212" s="1175"/>
      <c r="GO212" s="1175"/>
      <c r="GP212" s="1175"/>
      <c r="GQ212" s="1175"/>
      <c r="GR212" s="1175"/>
      <c r="GS212" s="1175"/>
      <c r="GT212" s="1175"/>
      <c r="GU212" s="1175"/>
      <c r="GV212" s="1175"/>
      <c r="GW212" s="1175"/>
      <c r="GX212" s="1175"/>
      <c r="GY212" s="1175"/>
      <c r="GZ212" s="1175"/>
      <c r="HA212" s="1175"/>
      <c r="HB212" s="1175"/>
      <c r="HC212" s="1175"/>
      <c r="HD212" s="1175"/>
      <c r="HE212" s="1175"/>
      <c r="HF212" s="1175"/>
      <c r="HG212" s="1175"/>
      <c r="HH212" s="1175"/>
      <c r="HI212" s="1175"/>
      <c r="HJ212" s="1175"/>
      <c r="HK212" s="1175"/>
      <c r="HL212" s="1175"/>
      <c r="HM212" s="1175"/>
      <c r="HN212" s="1175"/>
      <c r="HO212" s="1175"/>
      <c r="HP212" s="1175"/>
      <c r="HQ212" s="1175"/>
      <c r="HR212" s="1175"/>
      <c r="HS212" s="1175"/>
      <c r="HT212" s="1175"/>
      <c r="HU212" s="1175"/>
      <c r="HV212" s="1175"/>
      <c r="HW212" s="1175"/>
      <c r="HX212" s="1175"/>
      <c r="HY212" s="1175"/>
      <c r="HZ212" s="1175"/>
      <c r="IA212" s="1175"/>
      <c r="IB212" s="1175"/>
      <c r="IC212" s="1175"/>
      <c r="ID212" s="1175"/>
      <c r="IE212" s="1175"/>
      <c r="IF212" s="1175"/>
      <c r="IG212" s="1175"/>
      <c r="IH212" s="1175"/>
      <c r="II212" s="1175"/>
      <c r="IJ212" s="1175"/>
      <c r="IK212" s="1175"/>
      <c r="IL212" s="1175"/>
      <c r="IM212" s="1175"/>
      <c r="IN212" s="1175"/>
      <c r="IO212" s="1175"/>
      <c r="IP212" s="1175"/>
      <c r="IQ212" s="1175"/>
      <c r="IR212" s="1175"/>
      <c r="IS212" s="1175"/>
      <c r="IT212" s="1175"/>
      <c r="IU212" s="1175"/>
      <c r="IV212" s="1175"/>
    </row>
    <row r="213" spans="1:256" s="1759" customFormat="1" outlineLevel="1">
      <c r="A213" s="1852" t="s">
        <v>2222</v>
      </c>
      <c r="B213" s="1849" t="s">
        <v>304</v>
      </c>
      <c r="C213" s="1849" t="s">
        <v>1606</v>
      </c>
      <c r="D213" s="1850" t="s">
        <v>1406</v>
      </c>
      <c r="E213" s="1851" t="s">
        <v>1607</v>
      </c>
      <c r="F213" s="1848"/>
      <c r="G213" s="1853">
        <v>50000000</v>
      </c>
      <c r="H213" s="1855"/>
      <c r="I213" s="1854"/>
      <c r="J213" s="1847"/>
      <c r="K213" s="1758"/>
      <c r="L213" s="1175"/>
      <c r="M213" s="1175"/>
      <c r="N213" s="1175"/>
      <c r="O213" s="1175"/>
      <c r="P213" s="1175"/>
      <c r="Q213" s="1175"/>
      <c r="R213" s="1175"/>
      <c r="S213" s="1175"/>
      <c r="T213" s="1175"/>
      <c r="U213" s="1175"/>
      <c r="V213" s="1175"/>
      <c r="W213" s="1175"/>
      <c r="X213" s="1175"/>
      <c r="Y213" s="1175"/>
      <c r="Z213" s="1175"/>
      <c r="AA213" s="1175"/>
      <c r="AB213" s="1175"/>
      <c r="AC213" s="1175"/>
      <c r="AD213" s="1175"/>
      <c r="AE213" s="1175"/>
      <c r="AF213" s="1175"/>
      <c r="AG213" s="1175"/>
      <c r="AH213" s="1175"/>
      <c r="AI213" s="1175"/>
      <c r="AJ213" s="1175"/>
      <c r="AK213" s="1175"/>
      <c r="AL213" s="1175"/>
      <c r="AM213" s="1175"/>
      <c r="AN213" s="1175"/>
      <c r="AO213" s="1175"/>
      <c r="AP213" s="1175"/>
      <c r="AQ213" s="1175"/>
      <c r="AR213" s="1175"/>
      <c r="AS213" s="1175"/>
      <c r="AT213" s="1175"/>
      <c r="AU213" s="1175"/>
      <c r="AV213" s="1175"/>
      <c r="AW213" s="1175"/>
      <c r="AX213" s="1175"/>
      <c r="AY213" s="1175"/>
      <c r="AZ213" s="1175"/>
      <c r="BA213" s="1175"/>
      <c r="BB213" s="1175"/>
      <c r="BC213" s="1175"/>
      <c r="BD213" s="1175"/>
      <c r="BE213" s="1175"/>
      <c r="BF213" s="1175"/>
      <c r="BG213" s="1175"/>
      <c r="BH213" s="1175"/>
      <c r="BI213" s="1175"/>
      <c r="BJ213" s="1175"/>
      <c r="BK213" s="1175"/>
      <c r="BL213" s="1175"/>
      <c r="BM213" s="1175"/>
      <c r="BN213" s="1175"/>
      <c r="BO213" s="1175"/>
      <c r="BP213" s="1175"/>
      <c r="BQ213" s="1175"/>
      <c r="BR213" s="1175"/>
      <c r="BS213" s="1175"/>
      <c r="BT213" s="1175"/>
      <c r="BU213" s="1175"/>
      <c r="BV213" s="1175"/>
      <c r="BW213" s="1175"/>
      <c r="BX213" s="1175"/>
      <c r="BY213" s="1175"/>
      <c r="BZ213" s="1175"/>
      <c r="CA213" s="1175"/>
      <c r="CB213" s="1175"/>
      <c r="CC213" s="1175"/>
      <c r="CD213" s="1175"/>
      <c r="CE213" s="1175"/>
      <c r="CF213" s="1175"/>
      <c r="CG213" s="1175"/>
      <c r="CH213" s="1175"/>
      <c r="CI213" s="1175"/>
      <c r="CJ213" s="1175"/>
      <c r="CK213" s="1175"/>
      <c r="CL213" s="1175"/>
      <c r="CM213" s="1175"/>
      <c r="CN213" s="1175"/>
      <c r="CO213" s="1175"/>
      <c r="CP213" s="1175"/>
      <c r="CQ213" s="1175"/>
      <c r="CR213" s="1175"/>
      <c r="CS213" s="1175"/>
      <c r="CT213" s="1175"/>
      <c r="CU213" s="1175"/>
      <c r="CV213" s="1175"/>
      <c r="CW213" s="1175"/>
      <c r="CX213" s="1175"/>
      <c r="CY213" s="1175"/>
      <c r="CZ213" s="1175"/>
      <c r="DA213" s="1175"/>
      <c r="DB213" s="1175"/>
      <c r="DC213" s="1175"/>
      <c r="DD213" s="1175"/>
      <c r="DE213" s="1175"/>
      <c r="DF213" s="1175"/>
      <c r="DG213" s="1175"/>
      <c r="DH213" s="1175"/>
      <c r="DI213" s="1175"/>
      <c r="DJ213" s="1175"/>
      <c r="DK213" s="1175"/>
      <c r="DL213" s="1175"/>
      <c r="DM213" s="1175"/>
      <c r="DN213" s="1175"/>
      <c r="DO213" s="1175"/>
      <c r="DP213" s="1175"/>
      <c r="DQ213" s="1175"/>
      <c r="DR213" s="1175"/>
      <c r="DS213" s="1175"/>
      <c r="DT213" s="1175"/>
      <c r="DU213" s="1175"/>
      <c r="DV213" s="1175"/>
      <c r="DW213" s="1175"/>
      <c r="DX213" s="1175"/>
      <c r="DY213" s="1175"/>
      <c r="DZ213" s="1175"/>
      <c r="EA213" s="1175"/>
      <c r="EB213" s="1175"/>
      <c r="EC213" s="1175"/>
      <c r="ED213" s="1175"/>
      <c r="EE213" s="1175"/>
      <c r="EF213" s="1175"/>
      <c r="EG213" s="1175"/>
      <c r="EH213" s="1175"/>
      <c r="EI213" s="1175"/>
      <c r="EJ213" s="1175"/>
      <c r="EK213" s="1175"/>
      <c r="EL213" s="1175"/>
      <c r="EM213" s="1175"/>
      <c r="EN213" s="1175"/>
      <c r="EO213" s="1175"/>
      <c r="EP213" s="1175"/>
      <c r="EQ213" s="1175"/>
      <c r="ER213" s="1175"/>
      <c r="ES213" s="1175"/>
      <c r="ET213" s="1175"/>
      <c r="EU213" s="1175"/>
      <c r="EV213" s="1175"/>
      <c r="EW213" s="1175"/>
      <c r="EX213" s="1175"/>
      <c r="EY213" s="1175"/>
      <c r="EZ213" s="1175"/>
      <c r="FA213" s="1175"/>
      <c r="FB213" s="1175"/>
      <c r="FC213" s="1175"/>
      <c r="FD213" s="1175"/>
      <c r="FE213" s="1175"/>
      <c r="FF213" s="1175"/>
      <c r="FG213" s="1175"/>
      <c r="FH213" s="1175"/>
      <c r="FI213" s="1175"/>
      <c r="FJ213" s="1175"/>
      <c r="FK213" s="1175"/>
      <c r="FL213" s="1175"/>
      <c r="FM213" s="1175"/>
      <c r="FN213" s="1175"/>
      <c r="FO213" s="1175"/>
      <c r="FP213" s="1175"/>
      <c r="FQ213" s="1175"/>
      <c r="FR213" s="1175"/>
      <c r="FS213" s="1175"/>
      <c r="FT213" s="1175"/>
      <c r="FU213" s="1175"/>
      <c r="FV213" s="1175"/>
      <c r="FW213" s="1175"/>
      <c r="FX213" s="1175"/>
      <c r="FY213" s="1175"/>
      <c r="FZ213" s="1175"/>
      <c r="GA213" s="1175"/>
      <c r="GB213" s="1175"/>
      <c r="GC213" s="1175"/>
      <c r="GD213" s="1175"/>
      <c r="GE213" s="1175"/>
      <c r="GF213" s="1175"/>
      <c r="GG213" s="1175"/>
      <c r="GH213" s="1175"/>
      <c r="GI213" s="1175"/>
      <c r="GJ213" s="1175"/>
      <c r="GK213" s="1175"/>
      <c r="GL213" s="1175"/>
      <c r="GM213" s="1175"/>
      <c r="GN213" s="1175"/>
      <c r="GO213" s="1175"/>
      <c r="GP213" s="1175"/>
      <c r="GQ213" s="1175"/>
      <c r="GR213" s="1175"/>
      <c r="GS213" s="1175"/>
      <c r="GT213" s="1175"/>
      <c r="GU213" s="1175"/>
      <c r="GV213" s="1175"/>
      <c r="GW213" s="1175"/>
      <c r="GX213" s="1175"/>
      <c r="GY213" s="1175"/>
      <c r="GZ213" s="1175"/>
      <c r="HA213" s="1175"/>
      <c r="HB213" s="1175"/>
      <c r="HC213" s="1175"/>
      <c r="HD213" s="1175"/>
      <c r="HE213" s="1175"/>
      <c r="HF213" s="1175"/>
      <c r="HG213" s="1175"/>
      <c r="HH213" s="1175"/>
      <c r="HI213" s="1175"/>
      <c r="HJ213" s="1175"/>
      <c r="HK213" s="1175"/>
      <c r="HL213" s="1175"/>
      <c r="HM213" s="1175"/>
      <c r="HN213" s="1175"/>
      <c r="HO213" s="1175"/>
      <c r="HP213" s="1175"/>
      <c r="HQ213" s="1175"/>
      <c r="HR213" s="1175"/>
      <c r="HS213" s="1175"/>
      <c r="HT213" s="1175"/>
      <c r="HU213" s="1175"/>
      <c r="HV213" s="1175"/>
      <c r="HW213" s="1175"/>
      <c r="HX213" s="1175"/>
      <c r="HY213" s="1175"/>
      <c r="HZ213" s="1175"/>
      <c r="IA213" s="1175"/>
      <c r="IB213" s="1175"/>
      <c r="IC213" s="1175"/>
      <c r="ID213" s="1175"/>
      <c r="IE213" s="1175"/>
      <c r="IF213" s="1175"/>
      <c r="IG213" s="1175"/>
      <c r="IH213" s="1175"/>
      <c r="II213" s="1175"/>
      <c r="IJ213" s="1175"/>
      <c r="IK213" s="1175"/>
      <c r="IL213" s="1175"/>
      <c r="IM213" s="1175"/>
      <c r="IN213" s="1175"/>
      <c r="IO213" s="1175"/>
      <c r="IP213" s="1175"/>
      <c r="IQ213" s="1175"/>
      <c r="IR213" s="1175"/>
      <c r="IS213" s="1175"/>
      <c r="IT213" s="1175"/>
      <c r="IU213" s="1175"/>
      <c r="IV213" s="1175"/>
    </row>
    <row r="214" spans="1:256" s="1759" customFormat="1" outlineLevel="1">
      <c r="A214" s="1841" t="s">
        <v>2241</v>
      </c>
      <c r="B214" s="1838" t="s">
        <v>1368</v>
      </c>
      <c r="C214" s="1838" t="s">
        <v>1606</v>
      </c>
      <c r="D214" s="1839" t="s">
        <v>1368</v>
      </c>
      <c r="E214" s="1840" t="s">
        <v>2242</v>
      </c>
      <c r="F214" s="1836" t="s">
        <v>271</v>
      </c>
      <c r="G214" s="1842"/>
      <c r="H214" s="1837">
        <v>10000000</v>
      </c>
      <c r="I214" s="1843"/>
      <c r="J214" s="1835"/>
      <c r="K214" s="1758"/>
      <c r="L214" s="1175"/>
      <c r="M214" s="1175"/>
      <c r="N214" s="1175"/>
      <c r="O214" s="1175"/>
      <c r="P214" s="1175"/>
      <c r="Q214" s="1175"/>
      <c r="R214" s="1175"/>
      <c r="S214" s="1175"/>
      <c r="T214" s="1175"/>
      <c r="U214" s="1175"/>
      <c r="V214" s="1175"/>
      <c r="W214" s="1175"/>
      <c r="X214" s="1175"/>
      <c r="Y214" s="1175"/>
      <c r="Z214" s="1175"/>
      <c r="AA214" s="1175"/>
      <c r="AB214" s="1175"/>
      <c r="AC214" s="1175"/>
      <c r="AD214" s="1175"/>
      <c r="AE214" s="1175"/>
      <c r="AF214" s="1175"/>
      <c r="AG214" s="1175"/>
      <c r="AH214" s="1175"/>
      <c r="AI214" s="1175"/>
      <c r="AJ214" s="1175"/>
      <c r="AK214" s="1175"/>
      <c r="AL214" s="1175"/>
      <c r="AM214" s="1175"/>
      <c r="AN214" s="1175"/>
      <c r="AO214" s="1175"/>
      <c r="AP214" s="1175"/>
      <c r="AQ214" s="1175"/>
      <c r="AR214" s="1175"/>
      <c r="AS214" s="1175"/>
      <c r="AT214" s="1175"/>
      <c r="AU214" s="1175"/>
      <c r="AV214" s="1175"/>
      <c r="AW214" s="1175"/>
      <c r="AX214" s="1175"/>
      <c r="AY214" s="1175"/>
      <c r="AZ214" s="1175"/>
      <c r="BA214" s="1175"/>
      <c r="BB214" s="1175"/>
      <c r="BC214" s="1175"/>
      <c r="BD214" s="1175"/>
      <c r="BE214" s="1175"/>
      <c r="BF214" s="1175"/>
      <c r="BG214" s="1175"/>
      <c r="BH214" s="1175"/>
      <c r="BI214" s="1175"/>
      <c r="BJ214" s="1175"/>
      <c r="BK214" s="1175"/>
      <c r="BL214" s="1175"/>
      <c r="BM214" s="1175"/>
      <c r="BN214" s="1175"/>
      <c r="BO214" s="1175"/>
      <c r="BP214" s="1175"/>
      <c r="BQ214" s="1175"/>
      <c r="BR214" s="1175"/>
      <c r="BS214" s="1175"/>
      <c r="BT214" s="1175"/>
      <c r="BU214" s="1175"/>
      <c r="BV214" s="1175"/>
      <c r="BW214" s="1175"/>
      <c r="BX214" s="1175"/>
      <c r="BY214" s="1175"/>
      <c r="BZ214" s="1175"/>
      <c r="CA214" s="1175"/>
      <c r="CB214" s="1175"/>
      <c r="CC214" s="1175"/>
      <c r="CD214" s="1175"/>
      <c r="CE214" s="1175"/>
      <c r="CF214" s="1175"/>
      <c r="CG214" s="1175"/>
      <c r="CH214" s="1175"/>
      <c r="CI214" s="1175"/>
      <c r="CJ214" s="1175"/>
      <c r="CK214" s="1175"/>
      <c r="CL214" s="1175"/>
      <c r="CM214" s="1175"/>
      <c r="CN214" s="1175"/>
      <c r="CO214" s="1175"/>
      <c r="CP214" s="1175"/>
      <c r="CQ214" s="1175"/>
      <c r="CR214" s="1175"/>
      <c r="CS214" s="1175"/>
      <c r="CT214" s="1175"/>
      <c r="CU214" s="1175"/>
      <c r="CV214" s="1175"/>
      <c r="CW214" s="1175"/>
      <c r="CX214" s="1175"/>
      <c r="CY214" s="1175"/>
      <c r="CZ214" s="1175"/>
      <c r="DA214" s="1175"/>
      <c r="DB214" s="1175"/>
      <c r="DC214" s="1175"/>
      <c r="DD214" s="1175"/>
      <c r="DE214" s="1175"/>
      <c r="DF214" s="1175"/>
      <c r="DG214" s="1175"/>
      <c r="DH214" s="1175"/>
      <c r="DI214" s="1175"/>
      <c r="DJ214" s="1175"/>
      <c r="DK214" s="1175"/>
      <c r="DL214" s="1175"/>
      <c r="DM214" s="1175"/>
      <c r="DN214" s="1175"/>
      <c r="DO214" s="1175"/>
      <c r="DP214" s="1175"/>
      <c r="DQ214" s="1175"/>
      <c r="DR214" s="1175"/>
      <c r="DS214" s="1175"/>
      <c r="DT214" s="1175"/>
      <c r="DU214" s="1175"/>
      <c r="DV214" s="1175"/>
      <c r="DW214" s="1175"/>
      <c r="DX214" s="1175"/>
      <c r="DY214" s="1175"/>
      <c r="DZ214" s="1175"/>
      <c r="EA214" s="1175"/>
      <c r="EB214" s="1175"/>
      <c r="EC214" s="1175"/>
      <c r="ED214" s="1175"/>
      <c r="EE214" s="1175"/>
      <c r="EF214" s="1175"/>
      <c r="EG214" s="1175"/>
      <c r="EH214" s="1175"/>
      <c r="EI214" s="1175"/>
      <c r="EJ214" s="1175"/>
      <c r="EK214" s="1175"/>
      <c r="EL214" s="1175"/>
      <c r="EM214" s="1175"/>
      <c r="EN214" s="1175"/>
      <c r="EO214" s="1175"/>
      <c r="EP214" s="1175"/>
      <c r="EQ214" s="1175"/>
      <c r="ER214" s="1175"/>
      <c r="ES214" s="1175"/>
      <c r="ET214" s="1175"/>
      <c r="EU214" s="1175"/>
      <c r="EV214" s="1175"/>
      <c r="EW214" s="1175"/>
      <c r="EX214" s="1175"/>
      <c r="EY214" s="1175"/>
      <c r="EZ214" s="1175"/>
      <c r="FA214" s="1175"/>
      <c r="FB214" s="1175"/>
      <c r="FC214" s="1175"/>
      <c r="FD214" s="1175"/>
      <c r="FE214" s="1175"/>
      <c r="FF214" s="1175"/>
      <c r="FG214" s="1175"/>
      <c r="FH214" s="1175"/>
      <c r="FI214" s="1175"/>
      <c r="FJ214" s="1175"/>
      <c r="FK214" s="1175"/>
      <c r="FL214" s="1175"/>
      <c r="FM214" s="1175"/>
      <c r="FN214" s="1175"/>
      <c r="FO214" s="1175"/>
      <c r="FP214" s="1175"/>
      <c r="FQ214" s="1175"/>
      <c r="FR214" s="1175"/>
      <c r="FS214" s="1175"/>
      <c r="FT214" s="1175"/>
      <c r="FU214" s="1175"/>
      <c r="FV214" s="1175"/>
      <c r="FW214" s="1175"/>
      <c r="FX214" s="1175"/>
      <c r="FY214" s="1175"/>
      <c r="FZ214" s="1175"/>
      <c r="GA214" s="1175"/>
      <c r="GB214" s="1175"/>
      <c r="GC214" s="1175"/>
      <c r="GD214" s="1175"/>
      <c r="GE214" s="1175"/>
      <c r="GF214" s="1175"/>
      <c r="GG214" s="1175"/>
      <c r="GH214" s="1175"/>
      <c r="GI214" s="1175"/>
      <c r="GJ214" s="1175"/>
      <c r="GK214" s="1175"/>
      <c r="GL214" s="1175"/>
      <c r="GM214" s="1175"/>
      <c r="GN214" s="1175"/>
      <c r="GO214" s="1175"/>
      <c r="GP214" s="1175"/>
      <c r="GQ214" s="1175"/>
      <c r="GR214" s="1175"/>
      <c r="GS214" s="1175"/>
      <c r="GT214" s="1175"/>
      <c r="GU214" s="1175"/>
      <c r="GV214" s="1175"/>
      <c r="GW214" s="1175"/>
      <c r="GX214" s="1175"/>
      <c r="GY214" s="1175"/>
      <c r="GZ214" s="1175"/>
      <c r="HA214" s="1175"/>
      <c r="HB214" s="1175"/>
      <c r="HC214" s="1175"/>
      <c r="HD214" s="1175"/>
      <c r="HE214" s="1175"/>
      <c r="HF214" s="1175"/>
      <c r="HG214" s="1175"/>
      <c r="HH214" s="1175"/>
      <c r="HI214" s="1175"/>
      <c r="HJ214" s="1175"/>
      <c r="HK214" s="1175"/>
      <c r="HL214" s="1175"/>
      <c r="HM214" s="1175"/>
      <c r="HN214" s="1175"/>
      <c r="HO214" s="1175"/>
      <c r="HP214" s="1175"/>
      <c r="HQ214" s="1175"/>
      <c r="HR214" s="1175"/>
      <c r="HS214" s="1175"/>
      <c r="HT214" s="1175"/>
      <c r="HU214" s="1175"/>
      <c r="HV214" s="1175"/>
      <c r="HW214" s="1175"/>
      <c r="HX214" s="1175"/>
      <c r="HY214" s="1175"/>
      <c r="HZ214" s="1175"/>
      <c r="IA214" s="1175"/>
      <c r="IB214" s="1175"/>
      <c r="IC214" s="1175"/>
      <c r="ID214" s="1175"/>
      <c r="IE214" s="1175"/>
      <c r="IF214" s="1175"/>
      <c r="IG214" s="1175"/>
      <c r="IH214" s="1175"/>
      <c r="II214" s="1175"/>
      <c r="IJ214" s="1175"/>
      <c r="IK214" s="1175"/>
      <c r="IL214" s="1175"/>
      <c r="IM214" s="1175"/>
      <c r="IN214" s="1175"/>
      <c r="IO214" s="1175"/>
      <c r="IP214" s="1175"/>
      <c r="IQ214" s="1175"/>
      <c r="IR214" s="1175"/>
      <c r="IS214" s="1175"/>
      <c r="IT214" s="1175"/>
      <c r="IU214" s="1175"/>
      <c r="IV214" s="1175"/>
    </row>
    <row r="215" spans="1:256" s="1759" customFormat="1" outlineLevel="1">
      <c r="A215" s="1841" t="s">
        <v>2241</v>
      </c>
      <c r="B215" s="1838" t="s">
        <v>1386</v>
      </c>
      <c r="C215" s="1838" t="s">
        <v>1606</v>
      </c>
      <c r="D215" s="1839" t="s">
        <v>1386</v>
      </c>
      <c r="E215" s="1840" t="s">
        <v>2243</v>
      </c>
      <c r="F215" s="1836" t="s">
        <v>271</v>
      </c>
      <c r="G215" s="1837"/>
      <c r="H215" s="1844">
        <v>600000</v>
      </c>
      <c r="I215" s="1843"/>
      <c r="J215" s="1793"/>
      <c r="K215" s="1758"/>
      <c r="L215" s="1175"/>
      <c r="M215" s="1175"/>
      <c r="N215" s="1175"/>
      <c r="O215" s="1175"/>
      <c r="P215" s="1175"/>
      <c r="Q215" s="1175"/>
      <c r="R215" s="1175"/>
      <c r="S215" s="1175"/>
      <c r="T215" s="1175"/>
      <c r="U215" s="1175"/>
      <c r="V215" s="1175"/>
      <c r="W215" s="1175"/>
      <c r="X215" s="1175"/>
      <c r="Y215" s="1175"/>
      <c r="Z215" s="1175"/>
      <c r="AA215" s="1175"/>
      <c r="AB215" s="1175"/>
      <c r="AC215" s="1175"/>
      <c r="AD215" s="1175"/>
      <c r="AE215" s="1175"/>
      <c r="AF215" s="1175"/>
      <c r="AG215" s="1175"/>
      <c r="AH215" s="1175"/>
      <c r="AI215" s="1175"/>
      <c r="AJ215" s="1175"/>
      <c r="AK215" s="1175"/>
      <c r="AL215" s="1175"/>
      <c r="AM215" s="1175"/>
      <c r="AN215" s="1175"/>
      <c r="AO215" s="1175"/>
      <c r="AP215" s="1175"/>
      <c r="AQ215" s="1175"/>
      <c r="AR215" s="1175"/>
      <c r="AS215" s="1175"/>
      <c r="AT215" s="1175"/>
      <c r="AU215" s="1175"/>
      <c r="AV215" s="1175"/>
      <c r="AW215" s="1175"/>
      <c r="AX215" s="1175"/>
      <c r="AY215" s="1175"/>
      <c r="AZ215" s="1175"/>
      <c r="BA215" s="1175"/>
      <c r="BB215" s="1175"/>
      <c r="BC215" s="1175"/>
      <c r="BD215" s="1175"/>
      <c r="BE215" s="1175"/>
      <c r="BF215" s="1175"/>
      <c r="BG215" s="1175"/>
      <c r="BH215" s="1175"/>
      <c r="BI215" s="1175"/>
      <c r="BJ215" s="1175"/>
      <c r="BK215" s="1175"/>
      <c r="BL215" s="1175"/>
      <c r="BM215" s="1175"/>
      <c r="BN215" s="1175"/>
      <c r="BO215" s="1175"/>
      <c r="BP215" s="1175"/>
      <c r="BQ215" s="1175"/>
      <c r="BR215" s="1175"/>
      <c r="BS215" s="1175"/>
      <c r="BT215" s="1175"/>
      <c r="BU215" s="1175"/>
      <c r="BV215" s="1175"/>
      <c r="BW215" s="1175"/>
      <c r="BX215" s="1175"/>
      <c r="BY215" s="1175"/>
      <c r="BZ215" s="1175"/>
      <c r="CA215" s="1175"/>
      <c r="CB215" s="1175"/>
      <c r="CC215" s="1175"/>
      <c r="CD215" s="1175"/>
      <c r="CE215" s="1175"/>
      <c r="CF215" s="1175"/>
      <c r="CG215" s="1175"/>
      <c r="CH215" s="1175"/>
      <c r="CI215" s="1175"/>
      <c r="CJ215" s="1175"/>
      <c r="CK215" s="1175"/>
      <c r="CL215" s="1175"/>
      <c r="CM215" s="1175"/>
      <c r="CN215" s="1175"/>
      <c r="CO215" s="1175"/>
      <c r="CP215" s="1175"/>
      <c r="CQ215" s="1175"/>
      <c r="CR215" s="1175"/>
      <c r="CS215" s="1175"/>
      <c r="CT215" s="1175"/>
      <c r="CU215" s="1175"/>
      <c r="CV215" s="1175"/>
      <c r="CW215" s="1175"/>
      <c r="CX215" s="1175"/>
      <c r="CY215" s="1175"/>
      <c r="CZ215" s="1175"/>
      <c r="DA215" s="1175"/>
      <c r="DB215" s="1175"/>
      <c r="DC215" s="1175"/>
      <c r="DD215" s="1175"/>
      <c r="DE215" s="1175"/>
      <c r="DF215" s="1175"/>
      <c r="DG215" s="1175"/>
      <c r="DH215" s="1175"/>
      <c r="DI215" s="1175"/>
      <c r="DJ215" s="1175"/>
      <c r="DK215" s="1175"/>
      <c r="DL215" s="1175"/>
      <c r="DM215" s="1175"/>
      <c r="DN215" s="1175"/>
      <c r="DO215" s="1175"/>
      <c r="DP215" s="1175"/>
      <c r="DQ215" s="1175"/>
      <c r="DR215" s="1175"/>
      <c r="DS215" s="1175"/>
      <c r="DT215" s="1175"/>
      <c r="DU215" s="1175"/>
      <c r="DV215" s="1175"/>
      <c r="DW215" s="1175"/>
      <c r="DX215" s="1175"/>
      <c r="DY215" s="1175"/>
      <c r="DZ215" s="1175"/>
      <c r="EA215" s="1175"/>
      <c r="EB215" s="1175"/>
      <c r="EC215" s="1175"/>
      <c r="ED215" s="1175"/>
      <c r="EE215" s="1175"/>
      <c r="EF215" s="1175"/>
      <c r="EG215" s="1175"/>
      <c r="EH215" s="1175"/>
      <c r="EI215" s="1175"/>
      <c r="EJ215" s="1175"/>
      <c r="EK215" s="1175"/>
      <c r="EL215" s="1175"/>
      <c r="EM215" s="1175"/>
      <c r="EN215" s="1175"/>
      <c r="EO215" s="1175"/>
      <c r="EP215" s="1175"/>
      <c r="EQ215" s="1175"/>
      <c r="ER215" s="1175"/>
      <c r="ES215" s="1175"/>
      <c r="ET215" s="1175"/>
      <c r="EU215" s="1175"/>
      <c r="EV215" s="1175"/>
      <c r="EW215" s="1175"/>
      <c r="EX215" s="1175"/>
      <c r="EY215" s="1175"/>
      <c r="EZ215" s="1175"/>
      <c r="FA215" s="1175"/>
      <c r="FB215" s="1175"/>
      <c r="FC215" s="1175"/>
      <c r="FD215" s="1175"/>
      <c r="FE215" s="1175"/>
      <c r="FF215" s="1175"/>
      <c r="FG215" s="1175"/>
      <c r="FH215" s="1175"/>
      <c r="FI215" s="1175"/>
      <c r="FJ215" s="1175"/>
      <c r="FK215" s="1175"/>
      <c r="FL215" s="1175"/>
      <c r="FM215" s="1175"/>
      <c r="FN215" s="1175"/>
      <c r="FO215" s="1175"/>
      <c r="FP215" s="1175"/>
      <c r="FQ215" s="1175"/>
      <c r="FR215" s="1175"/>
      <c r="FS215" s="1175"/>
      <c r="FT215" s="1175"/>
      <c r="FU215" s="1175"/>
      <c r="FV215" s="1175"/>
      <c r="FW215" s="1175"/>
      <c r="FX215" s="1175"/>
      <c r="FY215" s="1175"/>
      <c r="FZ215" s="1175"/>
      <c r="GA215" s="1175"/>
      <c r="GB215" s="1175"/>
      <c r="GC215" s="1175"/>
      <c r="GD215" s="1175"/>
      <c r="GE215" s="1175"/>
      <c r="GF215" s="1175"/>
      <c r="GG215" s="1175"/>
      <c r="GH215" s="1175"/>
      <c r="GI215" s="1175"/>
      <c r="GJ215" s="1175"/>
      <c r="GK215" s="1175"/>
      <c r="GL215" s="1175"/>
      <c r="GM215" s="1175"/>
      <c r="GN215" s="1175"/>
      <c r="GO215" s="1175"/>
      <c r="GP215" s="1175"/>
      <c r="GQ215" s="1175"/>
      <c r="GR215" s="1175"/>
      <c r="GS215" s="1175"/>
      <c r="GT215" s="1175"/>
      <c r="GU215" s="1175"/>
      <c r="GV215" s="1175"/>
      <c r="GW215" s="1175"/>
      <c r="GX215" s="1175"/>
      <c r="GY215" s="1175"/>
      <c r="GZ215" s="1175"/>
      <c r="HA215" s="1175"/>
      <c r="HB215" s="1175"/>
      <c r="HC215" s="1175"/>
      <c r="HD215" s="1175"/>
      <c r="HE215" s="1175"/>
      <c r="HF215" s="1175"/>
      <c r="HG215" s="1175"/>
      <c r="HH215" s="1175"/>
      <c r="HI215" s="1175"/>
      <c r="HJ215" s="1175"/>
      <c r="HK215" s="1175"/>
      <c r="HL215" s="1175"/>
      <c r="HM215" s="1175"/>
      <c r="HN215" s="1175"/>
      <c r="HO215" s="1175"/>
      <c r="HP215" s="1175"/>
      <c r="HQ215" s="1175"/>
      <c r="HR215" s="1175"/>
      <c r="HS215" s="1175"/>
      <c r="HT215" s="1175"/>
      <c r="HU215" s="1175"/>
      <c r="HV215" s="1175"/>
      <c r="HW215" s="1175"/>
      <c r="HX215" s="1175"/>
      <c r="HY215" s="1175"/>
      <c r="HZ215" s="1175"/>
      <c r="IA215" s="1175"/>
      <c r="IB215" s="1175"/>
      <c r="IC215" s="1175"/>
      <c r="ID215" s="1175"/>
      <c r="IE215" s="1175"/>
      <c r="IF215" s="1175"/>
      <c r="IG215" s="1175"/>
      <c r="IH215" s="1175"/>
      <c r="II215" s="1175"/>
      <c r="IJ215" s="1175"/>
      <c r="IK215" s="1175"/>
      <c r="IL215" s="1175"/>
      <c r="IM215" s="1175"/>
      <c r="IN215" s="1175"/>
      <c r="IO215" s="1175"/>
      <c r="IP215" s="1175"/>
      <c r="IQ215" s="1175"/>
      <c r="IR215" s="1175"/>
      <c r="IS215" s="1175"/>
      <c r="IT215" s="1175"/>
      <c r="IU215" s="1175"/>
      <c r="IV215" s="1175"/>
    </row>
    <row r="216" spans="1:256" s="1759" customFormat="1" outlineLevel="1">
      <c r="A216" s="1841" t="s">
        <v>2244</v>
      </c>
      <c r="B216" s="1838" t="s">
        <v>1403</v>
      </c>
      <c r="C216" s="1838" t="s">
        <v>1606</v>
      </c>
      <c r="D216" s="1839" t="s">
        <v>1403</v>
      </c>
      <c r="E216" s="1840" t="s">
        <v>1727</v>
      </c>
      <c r="F216" s="1836" t="s">
        <v>271</v>
      </c>
      <c r="G216" s="1837"/>
      <c r="H216" s="1844">
        <v>500000</v>
      </c>
      <c r="I216" s="1843"/>
      <c r="J216" s="1793"/>
      <c r="K216" s="1758"/>
      <c r="L216" s="1175"/>
      <c r="M216" s="1175"/>
      <c r="N216" s="1175"/>
      <c r="O216" s="1175"/>
      <c r="P216" s="1175"/>
      <c r="Q216" s="1175"/>
      <c r="R216" s="1175"/>
      <c r="S216" s="1175"/>
      <c r="T216" s="1175"/>
      <c r="U216" s="1175"/>
      <c r="V216" s="1175"/>
      <c r="W216" s="1175"/>
      <c r="X216" s="1175"/>
      <c r="Y216" s="1175"/>
      <c r="Z216" s="1175"/>
      <c r="AA216" s="1175"/>
      <c r="AB216" s="1175"/>
      <c r="AC216" s="1175"/>
      <c r="AD216" s="1175"/>
      <c r="AE216" s="1175"/>
      <c r="AF216" s="1175"/>
      <c r="AG216" s="1175"/>
      <c r="AH216" s="1175"/>
      <c r="AI216" s="1175"/>
      <c r="AJ216" s="1175"/>
      <c r="AK216" s="1175"/>
      <c r="AL216" s="1175"/>
      <c r="AM216" s="1175"/>
      <c r="AN216" s="1175"/>
      <c r="AO216" s="1175"/>
      <c r="AP216" s="1175"/>
      <c r="AQ216" s="1175"/>
      <c r="AR216" s="1175"/>
      <c r="AS216" s="1175"/>
      <c r="AT216" s="1175"/>
      <c r="AU216" s="1175"/>
      <c r="AV216" s="1175"/>
      <c r="AW216" s="1175"/>
      <c r="AX216" s="1175"/>
      <c r="AY216" s="1175"/>
      <c r="AZ216" s="1175"/>
      <c r="BA216" s="1175"/>
      <c r="BB216" s="1175"/>
      <c r="BC216" s="1175"/>
      <c r="BD216" s="1175"/>
      <c r="BE216" s="1175"/>
      <c r="BF216" s="1175"/>
      <c r="BG216" s="1175"/>
      <c r="BH216" s="1175"/>
      <c r="BI216" s="1175"/>
      <c r="BJ216" s="1175"/>
      <c r="BK216" s="1175"/>
      <c r="BL216" s="1175"/>
      <c r="BM216" s="1175"/>
      <c r="BN216" s="1175"/>
      <c r="BO216" s="1175"/>
      <c r="BP216" s="1175"/>
      <c r="BQ216" s="1175"/>
      <c r="BR216" s="1175"/>
      <c r="BS216" s="1175"/>
      <c r="BT216" s="1175"/>
      <c r="BU216" s="1175"/>
      <c r="BV216" s="1175"/>
      <c r="BW216" s="1175"/>
      <c r="BX216" s="1175"/>
      <c r="BY216" s="1175"/>
      <c r="BZ216" s="1175"/>
      <c r="CA216" s="1175"/>
      <c r="CB216" s="1175"/>
      <c r="CC216" s="1175"/>
      <c r="CD216" s="1175"/>
      <c r="CE216" s="1175"/>
      <c r="CF216" s="1175"/>
      <c r="CG216" s="1175"/>
      <c r="CH216" s="1175"/>
      <c r="CI216" s="1175"/>
      <c r="CJ216" s="1175"/>
      <c r="CK216" s="1175"/>
      <c r="CL216" s="1175"/>
      <c r="CM216" s="1175"/>
      <c r="CN216" s="1175"/>
      <c r="CO216" s="1175"/>
      <c r="CP216" s="1175"/>
      <c r="CQ216" s="1175"/>
      <c r="CR216" s="1175"/>
      <c r="CS216" s="1175"/>
      <c r="CT216" s="1175"/>
      <c r="CU216" s="1175"/>
      <c r="CV216" s="1175"/>
      <c r="CW216" s="1175"/>
      <c r="CX216" s="1175"/>
      <c r="CY216" s="1175"/>
      <c r="CZ216" s="1175"/>
      <c r="DA216" s="1175"/>
      <c r="DB216" s="1175"/>
      <c r="DC216" s="1175"/>
      <c r="DD216" s="1175"/>
      <c r="DE216" s="1175"/>
      <c r="DF216" s="1175"/>
      <c r="DG216" s="1175"/>
      <c r="DH216" s="1175"/>
      <c r="DI216" s="1175"/>
      <c r="DJ216" s="1175"/>
      <c r="DK216" s="1175"/>
      <c r="DL216" s="1175"/>
      <c r="DM216" s="1175"/>
      <c r="DN216" s="1175"/>
      <c r="DO216" s="1175"/>
      <c r="DP216" s="1175"/>
      <c r="DQ216" s="1175"/>
      <c r="DR216" s="1175"/>
      <c r="DS216" s="1175"/>
      <c r="DT216" s="1175"/>
      <c r="DU216" s="1175"/>
      <c r="DV216" s="1175"/>
      <c r="DW216" s="1175"/>
      <c r="DX216" s="1175"/>
      <c r="DY216" s="1175"/>
      <c r="DZ216" s="1175"/>
      <c r="EA216" s="1175"/>
      <c r="EB216" s="1175"/>
      <c r="EC216" s="1175"/>
      <c r="ED216" s="1175"/>
      <c r="EE216" s="1175"/>
      <c r="EF216" s="1175"/>
      <c r="EG216" s="1175"/>
      <c r="EH216" s="1175"/>
      <c r="EI216" s="1175"/>
      <c r="EJ216" s="1175"/>
      <c r="EK216" s="1175"/>
      <c r="EL216" s="1175"/>
      <c r="EM216" s="1175"/>
      <c r="EN216" s="1175"/>
      <c r="EO216" s="1175"/>
      <c r="EP216" s="1175"/>
      <c r="EQ216" s="1175"/>
      <c r="ER216" s="1175"/>
      <c r="ES216" s="1175"/>
      <c r="ET216" s="1175"/>
      <c r="EU216" s="1175"/>
      <c r="EV216" s="1175"/>
      <c r="EW216" s="1175"/>
      <c r="EX216" s="1175"/>
      <c r="EY216" s="1175"/>
      <c r="EZ216" s="1175"/>
      <c r="FA216" s="1175"/>
      <c r="FB216" s="1175"/>
      <c r="FC216" s="1175"/>
      <c r="FD216" s="1175"/>
      <c r="FE216" s="1175"/>
      <c r="FF216" s="1175"/>
      <c r="FG216" s="1175"/>
      <c r="FH216" s="1175"/>
      <c r="FI216" s="1175"/>
      <c r="FJ216" s="1175"/>
      <c r="FK216" s="1175"/>
      <c r="FL216" s="1175"/>
      <c r="FM216" s="1175"/>
      <c r="FN216" s="1175"/>
      <c r="FO216" s="1175"/>
      <c r="FP216" s="1175"/>
      <c r="FQ216" s="1175"/>
      <c r="FR216" s="1175"/>
      <c r="FS216" s="1175"/>
      <c r="FT216" s="1175"/>
      <c r="FU216" s="1175"/>
      <c r="FV216" s="1175"/>
      <c r="FW216" s="1175"/>
      <c r="FX216" s="1175"/>
      <c r="FY216" s="1175"/>
      <c r="FZ216" s="1175"/>
      <c r="GA216" s="1175"/>
      <c r="GB216" s="1175"/>
      <c r="GC216" s="1175"/>
      <c r="GD216" s="1175"/>
      <c r="GE216" s="1175"/>
      <c r="GF216" s="1175"/>
      <c r="GG216" s="1175"/>
      <c r="GH216" s="1175"/>
      <c r="GI216" s="1175"/>
      <c r="GJ216" s="1175"/>
      <c r="GK216" s="1175"/>
      <c r="GL216" s="1175"/>
      <c r="GM216" s="1175"/>
      <c r="GN216" s="1175"/>
      <c r="GO216" s="1175"/>
      <c r="GP216" s="1175"/>
      <c r="GQ216" s="1175"/>
      <c r="GR216" s="1175"/>
      <c r="GS216" s="1175"/>
      <c r="GT216" s="1175"/>
      <c r="GU216" s="1175"/>
      <c r="GV216" s="1175"/>
      <c r="GW216" s="1175"/>
      <c r="GX216" s="1175"/>
      <c r="GY216" s="1175"/>
      <c r="GZ216" s="1175"/>
      <c r="HA216" s="1175"/>
      <c r="HB216" s="1175"/>
      <c r="HC216" s="1175"/>
      <c r="HD216" s="1175"/>
      <c r="HE216" s="1175"/>
      <c r="HF216" s="1175"/>
      <c r="HG216" s="1175"/>
      <c r="HH216" s="1175"/>
      <c r="HI216" s="1175"/>
      <c r="HJ216" s="1175"/>
      <c r="HK216" s="1175"/>
      <c r="HL216" s="1175"/>
      <c r="HM216" s="1175"/>
      <c r="HN216" s="1175"/>
      <c r="HO216" s="1175"/>
      <c r="HP216" s="1175"/>
      <c r="HQ216" s="1175"/>
      <c r="HR216" s="1175"/>
      <c r="HS216" s="1175"/>
      <c r="HT216" s="1175"/>
      <c r="HU216" s="1175"/>
      <c r="HV216" s="1175"/>
      <c r="HW216" s="1175"/>
      <c r="HX216" s="1175"/>
      <c r="HY216" s="1175"/>
      <c r="HZ216" s="1175"/>
      <c r="IA216" s="1175"/>
      <c r="IB216" s="1175"/>
      <c r="IC216" s="1175"/>
      <c r="ID216" s="1175"/>
      <c r="IE216" s="1175"/>
      <c r="IF216" s="1175"/>
      <c r="IG216" s="1175"/>
      <c r="IH216" s="1175"/>
      <c r="II216" s="1175"/>
      <c r="IJ216" s="1175"/>
      <c r="IK216" s="1175"/>
      <c r="IL216" s="1175"/>
      <c r="IM216" s="1175"/>
      <c r="IN216" s="1175"/>
      <c r="IO216" s="1175"/>
      <c r="IP216" s="1175"/>
      <c r="IQ216" s="1175"/>
      <c r="IR216" s="1175"/>
      <c r="IS216" s="1175"/>
      <c r="IT216" s="1175"/>
      <c r="IU216" s="1175"/>
      <c r="IV216" s="1175"/>
    </row>
    <row r="217" spans="1:256" s="1759" customFormat="1" outlineLevel="1">
      <c r="A217" s="1841" t="s">
        <v>2245</v>
      </c>
      <c r="B217" s="1838" t="s">
        <v>1371</v>
      </c>
      <c r="C217" s="1838" t="s">
        <v>1606</v>
      </c>
      <c r="D217" s="1839" t="s">
        <v>1371</v>
      </c>
      <c r="E217" s="1840" t="s">
        <v>2246</v>
      </c>
      <c r="F217" s="1836" t="s">
        <v>271</v>
      </c>
      <c r="G217" s="1837"/>
      <c r="H217" s="1844">
        <v>180000</v>
      </c>
      <c r="I217" s="1843"/>
      <c r="J217" s="1793"/>
      <c r="K217" s="1758"/>
      <c r="L217" s="1175"/>
      <c r="M217" s="1175"/>
      <c r="N217" s="1175"/>
      <c r="O217" s="1175"/>
      <c r="P217" s="1175"/>
      <c r="Q217" s="1175"/>
      <c r="R217" s="1175"/>
      <c r="S217" s="1175"/>
      <c r="T217" s="1175"/>
      <c r="U217" s="1175"/>
      <c r="V217" s="1175"/>
      <c r="W217" s="1175"/>
      <c r="X217" s="1175"/>
      <c r="Y217" s="1175"/>
      <c r="Z217" s="1175"/>
      <c r="AA217" s="1175"/>
      <c r="AB217" s="1175"/>
      <c r="AC217" s="1175"/>
      <c r="AD217" s="1175"/>
      <c r="AE217" s="1175"/>
      <c r="AF217" s="1175"/>
      <c r="AG217" s="1175"/>
      <c r="AH217" s="1175"/>
      <c r="AI217" s="1175"/>
      <c r="AJ217" s="1175"/>
      <c r="AK217" s="1175"/>
      <c r="AL217" s="1175"/>
      <c r="AM217" s="1175"/>
      <c r="AN217" s="1175"/>
      <c r="AO217" s="1175"/>
      <c r="AP217" s="1175"/>
      <c r="AQ217" s="1175"/>
      <c r="AR217" s="1175"/>
      <c r="AS217" s="1175"/>
      <c r="AT217" s="1175"/>
      <c r="AU217" s="1175"/>
      <c r="AV217" s="1175"/>
      <c r="AW217" s="1175"/>
      <c r="AX217" s="1175"/>
      <c r="AY217" s="1175"/>
      <c r="AZ217" s="1175"/>
      <c r="BA217" s="1175"/>
      <c r="BB217" s="1175"/>
      <c r="BC217" s="1175"/>
      <c r="BD217" s="1175"/>
      <c r="BE217" s="1175"/>
      <c r="BF217" s="1175"/>
      <c r="BG217" s="1175"/>
      <c r="BH217" s="1175"/>
      <c r="BI217" s="1175"/>
      <c r="BJ217" s="1175"/>
      <c r="BK217" s="1175"/>
      <c r="BL217" s="1175"/>
      <c r="BM217" s="1175"/>
      <c r="BN217" s="1175"/>
      <c r="BO217" s="1175"/>
      <c r="BP217" s="1175"/>
      <c r="BQ217" s="1175"/>
      <c r="BR217" s="1175"/>
      <c r="BS217" s="1175"/>
      <c r="BT217" s="1175"/>
      <c r="BU217" s="1175"/>
      <c r="BV217" s="1175"/>
      <c r="BW217" s="1175"/>
      <c r="BX217" s="1175"/>
      <c r="BY217" s="1175"/>
      <c r="BZ217" s="1175"/>
      <c r="CA217" s="1175"/>
      <c r="CB217" s="1175"/>
      <c r="CC217" s="1175"/>
      <c r="CD217" s="1175"/>
      <c r="CE217" s="1175"/>
      <c r="CF217" s="1175"/>
      <c r="CG217" s="1175"/>
      <c r="CH217" s="1175"/>
      <c r="CI217" s="1175"/>
      <c r="CJ217" s="1175"/>
      <c r="CK217" s="1175"/>
      <c r="CL217" s="1175"/>
      <c r="CM217" s="1175"/>
      <c r="CN217" s="1175"/>
      <c r="CO217" s="1175"/>
      <c r="CP217" s="1175"/>
      <c r="CQ217" s="1175"/>
      <c r="CR217" s="1175"/>
      <c r="CS217" s="1175"/>
      <c r="CT217" s="1175"/>
      <c r="CU217" s="1175"/>
      <c r="CV217" s="1175"/>
      <c r="CW217" s="1175"/>
      <c r="CX217" s="1175"/>
      <c r="CY217" s="1175"/>
      <c r="CZ217" s="1175"/>
      <c r="DA217" s="1175"/>
      <c r="DB217" s="1175"/>
      <c r="DC217" s="1175"/>
      <c r="DD217" s="1175"/>
      <c r="DE217" s="1175"/>
      <c r="DF217" s="1175"/>
      <c r="DG217" s="1175"/>
      <c r="DH217" s="1175"/>
      <c r="DI217" s="1175"/>
      <c r="DJ217" s="1175"/>
      <c r="DK217" s="1175"/>
      <c r="DL217" s="1175"/>
      <c r="DM217" s="1175"/>
      <c r="DN217" s="1175"/>
      <c r="DO217" s="1175"/>
      <c r="DP217" s="1175"/>
      <c r="DQ217" s="1175"/>
      <c r="DR217" s="1175"/>
      <c r="DS217" s="1175"/>
      <c r="DT217" s="1175"/>
      <c r="DU217" s="1175"/>
      <c r="DV217" s="1175"/>
      <c r="DW217" s="1175"/>
      <c r="DX217" s="1175"/>
      <c r="DY217" s="1175"/>
      <c r="DZ217" s="1175"/>
      <c r="EA217" s="1175"/>
      <c r="EB217" s="1175"/>
      <c r="EC217" s="1175"/>
      <c r="ED217" s="1175"/>
      <c r="EE217" s="1175"/>
      <c r="EF217" s="1175"/>
      <c r="EG217" s="1175"/>
      <c r="EH217" s="1175"/>
      <c r="EI217" s="1175"/>
      <c r="EJ217" s="1175"/>
      <c r="EK217" s="1175"/>
      <c r="EL217" s="1175"/>
      <c r="EM217" s="1175"/>
      <c r="EN217" s="1175"/>
      <c r="EO217" s="1175"/>
      <c r="EP217" s="1175"/>
      <c r="EQ217" s="1175"/>
      <c r="ER217" s="1175"/>
      <c r="ES217" s="1175"/>
      <c r="ET217" s="1175"/>
      <c r="EU217" s="1175"/>
      <c r="EV217" s="1175"/>
      <c r="EW217" s="1175"/>
      <c r="EX217" s="1175"/>
      <c r="EY217" s="1175"/>
      <c r="EZ217" s="1175"/>
      <c r="FA217" s="1175"/>
      <c r="FB217" s="1175"/>
      <c r="FC217" s="1175"/>
      <c r="FD217" s="1175"/>
      <c r="FE217" s="1175"/>
      <c r="FF217" s="1175"/>
      <c r="FG217" s="1175"/>
      <c r="FH217" s="1175"/>
      <c r="FI217" s="1175"/>
      <c r="FJ217" s="1175"/>
      <c r="FK217" s="1175"/>
      <c r="FL217" s="1175"/>
      <c r="FM217" s="1175"/>
      <c r="FN217" s="1175"/>
      <c r="FO217" s="1175"/>
      <c r="FP217" s="1175"/>
      <c r="FQ217" s="1175"/>
      <c r="FR217" s="1175"/>
      <c r="FS217" s="1175"/>
      <c r="FT217" s="1175"/>
      <c r="FU217" s="1175"/>
      <c r="FV217" s="1175"/>
      <c r="FW217" s="1175"/>
      <c r="FX217" s="1175"/>
      <c r="FY217" s="1175"/>
      <c r="FZ217" s="1175"/>
      <c r="GA217" s="1175"/>
      <c r="GB217" s="1175"/>
      <c r="GC217" s="1175"/>
      <c r="GD217" s="1175"/>
      <c r="GE217" s="1175"/>
      <c r="GF217" s="1175"/>
      <c r="GG217" s="1175"/>
      <c r="GH217" s="1175"/>
      <c r="GI217" s="1175"/>
      <c r="GJ217" s="1175"/>
      <c r="GK217" s="1175"/>
      <c r="GL217" s="1175"/>
      <c r="GM217" s="1175"/>
      <c r="GN217" s="1175"/>
      <c r="GO217" s="1175"/>
      <c r="GP217" s="1175"/>
      <c r="GQ217" s="1175"/>
      <c r="GR217" s="1175"/>
      <c r="GS217" s="1175"/>
      <c r="GT217" s="1175"/>
      <c r="GU217" s="1175"/>
      <c r="GV217" s="1175"/>
      <c r="GW217" s="1175"/>
      <c r="GX217" s="1175"/>
      <c r="GY217" s="1175"/>
      <c r="GZ217" s="1175"/>
      <c r="HA217" s="1175"/>
      <c r="HB217" s="1175"/>
      <c r="HC217" s="1175"/>
      <c r="HD217" s="1175"/>
      <c r="HE217" s="1175"/>
      <c r="HF217" s="1175"/>
      <c r="HG217" s="1175"/>
      <c r="HH217" s="1175"/>
      <c r="HI217" s="1175"/>
      <c r="HJ217" s="1175"/>
      <c r="HK217" s="1175"/>
      <c r="HL217" s="1175"/>
      <c r="HM217" s="1175"/>
      <c r="HN217" s="1175"/>
      <c r="HO217" s="1175"/>
      <c r="HP217" s="1175"/>
      <c r="HQ217" s="1175"/>
      <c r="HR217" s="1175"/>
      <c r="HS217" s="1175"/>
      <c r="HT217" s="1175"/>
      <c r="HU217" s="1175"/>
      <c r="HV217" s="1175"/>
      <c r="HW217" s="1175"/>
      <c r="HX217" s="1175"/>
      <c r="HY217" s="1175"/>
      <c r="HZ217" s="1175"/>
      <c r="IA217" s="1175"/>
      <c r="IB217" s="1175"/>
      <c r="IC217" s="1175"/>
      <c r="ID217" s="1175"/>
      <c r="IE217" s="1175"/>
      <c r="IF217" s="1175"/>
      <c r="IG217" s="1175"/>
      <c r="IH217" s="1175"/>
      <c r="II217" s="1175"/>
      <c r="IJ217" s="1175"/>
      <c r="IK217" s="1175"/>
      <c r="IL217" s="1175"/>
      <c r="IM217" s="1175"/>
      <c r="IN217" s="1175"/>
      <c r="IO217" s="1175"/>
      <c r="IP217" s="1175"/>
      <c r="IQ217" s="1175"/>
      <c r="IR217" s="1175"/>
      <c r="IS217" s="1175"/>
      <c r="IT217" s="1175"/>
      <c r="IU217" s="1175"/>
      <c r="IV217" s="1175"/>
    </row>
    <row r="218" spans="1:256" s="1759" customFormat="1" outlineLevel="1">
      <c r="A218" s="1841" t="s">
        <v>2245</v>
      </c>
      <c r="B218" s="1838" t="s">
        <v>1371</v>
      </c>
      <c r="C218" s="1838" t="s">
        <v>1606</v>
      </c>
      <c r="D218" s="1839" t="s">
        <v>1371</v>
      </c>
      <c r="E218" s="1840" t="s">
        <v>2247</v>
      </c>
      <c r="F218" s="1836" t="s">
        <v>1732</v>
      </c>
      <c r="G218" s="1837"/>
      <c r="H218" s="1844">
        <v>1100000</v>
      </c>
      <c r="I218" s="1843"/>
      <c r="J218" s="1793"/>
      <c r="K218" s="1758"/>
      <c r="L218" s="1175"/>
      <c r="M218" s="1175"/>
      <c r="N218" s="1175"/>
      <c r="O218" s="1175"/>
      <c r="P218" s="1175"/>
      <c r="Q218" s="1175"/>
      <c r="R218" s="1175"/>
      <c r="S218" s="1175"/>
      <c r="T218" s="1175"/>
      <c r="U218" s="1175"/>
      <c r="V218" s="1175"/>
      <c r="W218" s="1175"/>
      <c r="X218" s="1175"/>
      <c r="Y218" s="1175"/>
      <c r="Z218" s="1175"/>
      <c r="AA218" s="1175"/>
      <c r="AB218" s="1175"/>
      <c r="AC218" s="1175"/>
      <c r="AD218" s="1175"/>
      <c r="AE218" s="1175"/>
      <c r="AF218" s="1175"/>
      <c r="AG218" s="1175"/>
      <c r="AH218" s="1175"/>
      <c r="AI218" s="1175"/>
      <c r="AJ218" s="1175"/>
      <c r="AK218" s="1175"/>
      <c r="AL218" s="1175"/>
      <c r="AM218" s="1175"/>
      <c r="AN218" s="1175"/>
      <c r="AO218" s="1175"/>
      <c r="AP218" s="1175"/>
      <c r="AQ218" s="1175"/>
      <c r="AR218" s="1175"/>
      <c r="AS218" s="1175"/>
      <c r="AT218" s="1175"/>
      <c r="AU218" s="1175"/>
      <c r="AV218" s="1175"/>
      <c r="AW218" s="1175"/>
      <c r="AX218" s="1175"/>
      <c r="AY218" s="1175"/>
      <c r="AZ218" s="1175"/>
      <c r="BA218" s="1175"/>
      <c r="BB218" s="1175"/>
      <c r="BC218" s="1175"/>
      <c r="BD218" s="1175"/>
      <c r="BE218" s="1175"/>
      <c r="BF218" s="1175"/>
      <c r="BG218" s="1175"/>
      <c r="BH218" s="1175"/>
      <c r="BI218" s="1175"/>
      <c r="BJ218" s="1175"/>
      <c r="BK218" s="1175"/>
      <c r="BL218" s="1175"/>
      <c r="BM218" s="1175"/>
      <c r="BN218" s="1175"/>
      <c r="BO218" s="1175"/>
      <c r="BP218" s="1175"/>
      <c r="BQ218" s="1175"/>
      <c r="BR218" s="1175"/>
      <c r="BS218" s="1175"/>
      <c r="BT218" s="1175"/>
      <c r="BU218" s="1175"/>
      <c r="BV218" s="1175"/>
      <c r="BW218" s="1175"/>
      <c r="BX218" s="1175"/>
      <c r="BY218" s="1175"/>
      <c r="BZ218" s="1175"/>
      <c r="CA218" s="1175"/>
      <c r="CB218" s="1175"/>
      <c r="CC218" s="1175"/>
      <c r="CD218" s="1175"/>
      <c r="CE218" s="1175"/>
      <c r="CF218" s="1175"/>
      <c r="CG218" s="1175"/>
      <c r="CH218" s="1175"/>
      <c r="CI218" s="1175"/>
      <c r="CJ218" s="1175"/>
      <c r="CK218" s="1175"/>
      <c r="CL218" s="1175"/>
      <c r="CM218" s="1175"/>
      <c r="CN218" s="1175"/>
      <c r="CO218" s="1175"/>
      <c r="CP218" s="1175"/>
      <c r="CQ218" s="1175"/>
      <c r="CR218" s="1175"/>
      <c r="CS218" s="1175"/>
      <c r="CT218" s="1175"/>
      <c r="CU218" s="1175"/>
      <c r="CV218" s="1175"/>
      <c r="CW218" s="1175"/>
      <c r="CX218" s="1175"/>
      <c r="CY218" s="1175"/>
      <c r="CZ218" s="1175"/>
      <c r="DA218" s="1175"/>
      <c r="DB218" s="1175"/>
      <c r="DC218" s="1175"/>
      <c r="DD218" s="1175"/>
      <c r="DE218" s="1175"/>
      <c r="DF218" s="1175"/>
      <c r="DG218" s="1175"/>
      <c r="DH218" s="1175"/>
      <c r="DI218" s="1175"/>
      <c r="DJ218" s="1175"/>
      <c r="DK218" s="1175"/>
      <c r="DL218" s="1175"/>
      <c r="DM218" s="1175"/>
      <c r="DN218" s="1175"/>
      <c r="DO218" s="1175"/>
      <c r="DP218" s="1175"/>
      <c r="DQ218" s="1175"/>
      <c r="DR218" s="1175"/>
      <c r="DS218" s="1175"/>
      <c r="DT218" s="1175"/>
      <c r="DU218" s="1175"/>
      <c r="DV218" s="1175"/>
      <c r="DW218" s="1175"/>
      <c r="DX218" s="1175"/>
      <c r="DY218" s="1175"/>
      <c r="DZ218" s="1175"/>
      <c r="EA218" s="1175"/>
      <c r="EB218" s="1175"/>
      <c r="EC218" s="1175"/>
      <c r="ED218" s="1175"/>
      <c r="EE218" s="1175"/>
      <c r="EF218" s="1175"/>
      <c r="EG218" s="1175"/>
      <c r="EH218" s="1175"/>
      <c r="EI218" s="1175"/>
      <c r="EJ218" s="1175"/>
      <c r="EK218" s="1175"/>
      <c r="EL218" s="1175"/>
      <c r="EM218" s="1175"/>
      <c r="EN218" s="1175"/>
      <c r="EO218" s="1175"/>
      <c r="EP218" s="1175"/>
      <c r="EQ218" s="1175"/>
      <c r="ER218" s="1175"/>
      <c r="ES218" s="1175"/>
      <c r="ET218" s="1175"/>
      <c r="EU218" s="1175"/>
      <c r="EV218" s="1175"/>
      <c r="EW218" s="1175"/>
      <c r="EX218" s="1175"/>
      <c r="EY218" s="1175"/>
      <c r="EZ218" s="1175"/>
      <c r="FA218" s="1175"/>
      <c r="FB218" s="1175"/>
      <c r="FC218" s="1175"/>
      <c r="FD218" s="1175"/>
      <c r="FE218" s="1175"/>
      <c r="FF218" s="1175"/>
      <c r="FG218" s="1175"/>
      <c r="FH218" s="1175"/>
      <c r="FI218" s="1175"/>
      <c r="FJ218" s="1175"/>
      <c r="FK218" s="1175"/>
      <c r="FL218" s="1175"/>
      <c r="FM218" s="1175"/>
      <c r="FN218" s="1175"/>
      <c r="FO218" s="1175"/>
      <c r="FP218" s="1175"/>
      <c r="FQ218" s="1175"/>
      <c r="FR218" s="1175"/>
      <c r="FS218" s="1175"/>
      <c r="FT218" s="1175"/>
      <c r="FU218" s="1175"/>
      <c r="FV218" s="1175"/>
      <c r="FW218" s="1175"/>
      <c r="FX218" s="1175"/>
      <c r="FY218" s="1175"/>
      <c r="FZ218" s="1175"/>
      <c r="GA218" s="1175"/>
      <c r="GB218" s="1175"/>
      <c r="GC218" s="1175"/>
      <c r="GD218" s="1175"/>
      <c r="GE218" s="1175"/>
      <c r="GF218" s="1175"/>
      <c r="GG218" s="1175"/>
      <c r="GH218" s="1175"/>
      <c r="GI218" s="1175"/>
      <c r="GJ218" s="1175"/>
      <c r="GK218" s="1175"/>
      <c r="GL218" s="1175"/>
      <c r="GM218" s="1175"/>
      <c r="GN218" s="1175"/>
      <c r="GO218" s="1175"/>
      <c r="GP218" s="1175"/>
      <c r="GQ218" s="1175"/>
      <c r="GR218" s="1175"/>
      <c r="GS218" s="1175"/>
      <c r="GT218" s="1175"/>
      <c r="GU218" s="1175"/>
      <c r="GV218" s="1175"/>
      <c r="GW218" s="1175"/>
      <c r="GX218" s="1175"/>
      <c r="GY218" s="1175"/>
      <c r="GZ218" s="1175"/>
      <c r="HA218" s="1175"/>
      <c r="HB218" s="1175"/>
      <c r="HC218" s="1175"/>
      <c r="HD218" s="1175"/>
      <c r="HE218" s="1175"/>
      <c r="HF218" s="1175"/>
      <c r="HG218" s="1175"/>
      <c r="HH218" s="1175"/>
      <c r="HI218" s="1175"/>
      <c r="HJ218" s="1175"/>
      <c r="HK218" s="1175"/>
      <c r="HL218" s="1175"/>
      <c r="HM218" s="1175"/>
      <c r="HN218" s="1175"/>
      <c r="HO218" s="1175"/>
      <c r="HP218" s="1175"/>
      <c r="HQ218" s="1175"/>
      <c r="HR218" s="1175"/>
      <c r="HS218" s="1175"/>
      <c r="HT218" s="1175"/>
      <c r="HU218" s="1175"/>
      <c r="HV218" s="1175"/>
      <c r="HW218" s="1175"/>
      <c r="HX218" s="1175"/>
      <c r="HY218" s="1175"/>
      <c r="HZ218" s="1175"/>
      <c r="IA218" s="1175"/>
      <c r="IB218" s="1175"/>
      <c r="IC218" s="1175"/>
      <c r="ID218" s="1175"/>
      <c r="IE218" s="1175"/>
      <c r="IF218" s="1175"/>
      <c r="IG218" s="1175"/>
      <c r="IH218" s="1175"/>
      <c r="II218" s="1175"/>
      <c r="IJ218" s="1175"/>
      <c r="IK218" s="1175"/>
      <c r="IL218" s="1175"/>
      <c r="IM218" s="1175"/>
      <c r="IN218" s="1175"/>
      <c r="IO218" s="1175"/>
      <c r="IP218" s="1175"/>
      <c r="IQ218" s="1175"/>
      <c r="IR218" s="1175"/>
      <c r="IS218" s="1175"/>
      <c r="IT218" s="1175"/>
      <c r="IU218" s="1175"/>
      <c r="IV218" s="1175"/>
    </row>
    <row r="219" spans="1:256" s="1759" customFormat="1" outlineLevel="1">
      <c r="A219" s="1841" t="s">
        <v>2245</v>
      </c>
      <c r="B219" s="1838" t="s">
        <v>1386</v>
      </c>
      <c r="C219" s="1838" t="s">
        <v>1606</v>
      </c>
      <c r="D219" s="1839" t="s">
        <v>1386</v>
      </c>
      <c r="E219" s="1840" t="s">
        <v>2248</v>
      </c>
      <c r="F219" s="1836" t="s">
        <v>271</v>
      </c>
      <c r="G219" s="1837"/>
      <c r="H219" s="1844">
        <v>500000</v>
      </c>
      <c r="I219" s="1843"/>
      <c r="J219" s="1793"/>
      <c r="K219" s="1758"/>
      <c r="L219" s="1175"/>
      <c r="M219" s="1175"/>
      <c r="N219" s="1175"/>
      <c r="O219" s="1175"/>
      <c r="P219" s="1175"/>
      <c r="Q219" s="1175"/>
      <c r="R219" s="1175"/>
      <c r="S219" s="1175"/>
      <c r="T219" s="1175"/>
      <c r="U219" s="1175"/>
      <c r="V219" s="1175"/>
      <c r="W219" s="1175"/>
      <c r="X219" s="1175"/>
      <c r="Y219" s="1175"/>
      <c r="Z219" s="1175"/>
      <c r="AA219" s="1175"/>
      <c r="AB219" s="1175"/>
      <c r="AC219" s="1175"/>
      <c r="AD219" s="1175"/>
      <c r="AE219" s="1175"/>
      <c r="AF219" s="1175"/>
      <c r="AG219" s="1175"/>
      <c r="AH219" s="1175"/>
      <c r="AI219" s="1175"/>
      <c r="AJ219" s="1175"/>
      <c r="AK219" s="1175"/>
      <c r="AL219" s="1175"/>
      <c r="AM219" s="1175"/>
      <c r="AN219" s="1175"/>
      <c r="AO219" s="1175"/>
      <c r="AP219" s="1175"/>
      <c r="AQ219" s="1175"/>
      <c r="AR219" s="1175"/>
      <c r="AS219" s="1175"/>
      <c r="AT219" s="1175"/>
      <c r="AU219" s="1175"/>
      <c r="AV219" s="1175"/>
      <c r="AW219" s="1175"/>
      <c r="AX219" s="1175"/>
      <c r="AY219" s="1175"/>
      <c r="AZ219" s="1175"/>
      <c r="BA219" s="1175"/>
      <c r="BB219" s="1175"/>
      <c r="BC219" s="1175"/>
      <c r="BD219" s="1175"/>
      <c r="BE219" s="1175"/>
      <c r="BF219" s="1175"/>
      <c r="BG219" s="1175"/>
      <c r="BH219" s="1175"/>
      <c r="BI219" s="1175"/>
      <c r="BJ219" s="1175"/>
      <c r="BK219" s="1175"/>
      <c r="BL219" s="1175"/>
      <c r="BM219" s="1175"/>
      <c r="BN219" s="1175"/>
      <c r="BO219" s="1175"/>
      <c r="BP219" s="1175"/>
      <c r="BQ219" s="1175"/>
      <c r="BR219" s="1175"/>
      <c r="BS219" s="1175"/>
      <c r="BT219" s="1175"/>
      <c r="BU219" s="1175"/>
      <c r="BV219" s="1175"/>
      <c r="BW219" s="1175"/>
      <c r="BX219" s="1175"/>
      <c r="BY219" s="1175"/>
      <c r="BZ219" s="1175"/>
      <c r="CA219" s="1175"/>
      <c r="CB219" s="1175"/>
      <c r="CC219" s="1175"/>
      <c r="CD219" s="1175"/>
      <c r="CE219" s="1175"/>
      <c r="CF219" s="1175"/>
      <c r="CG219" s="1175"/>
      <c r="CH219" s="1175"/>
      <c r="CI219" s="1175"/>
      <c r="CJ219" s="1175"/>
      <c r="CK219" s="1175"/>
      <c r="CL219" s="1175"/>
      <c r="CM219" s="1175"/>
      <c r="CN219" s="1175"/>
      <c r="CO219" s="1175"/>
      <c r="CP219" s="1175"/>
      <c r="CQ219" s="1175"/>
      <c r="CR219" s="1175"/>
      <c r="CS219" s="1175"/>
      <c r="CT219" s="1175"/>
      <c r="CU219" s="1175"/>
      <c r="CV219" s="1175"/>
      <c r="CW219" s="1175"/>
      <c r="CX219" s="1175"/>
      <c r="CY219" s="1175"/>
      <c r="CZ219" s="1175"/>
      <c r="DA219" s="1175"/>
      <c r="DB219" s="1175"/>
      <c r="DC219" s="1175"/>
      <c r="DD219" s="1175"/>
      <c r="DE219" s="1175"/>
      <c r="DF219" s="1175"/>
      <c r="DG219" s="1175"/>
      <c r="DH219" s="1175"/>
      <c r="DI219" s="1175"/>
      <c r="DJ219" s="1175"/>
      <c r="DK219" s="1175"/>
      <c r="DL219" s="1175"/>
      <c r="DM219" s="1175"/>
      <c r="DN219" s="1175"/>
      <c r="DO219" s="1175"/>
      <c r="DP219" s="1175"/>
      <c r="DQ219" s="1175"/>
      <c r="DR219" s="1175"/>
      <c r="DS219" s="1175"/>
      <c r="DT219" s="1175"/>
      <c r="DU219" s="1175"/>
      <c r="DV219" s="1175"/>
      <c r="DW219" s="1175"/>
      <c r="DX219" s="1175"/>
      <c r="DY219" s="1175"/>
      <c r="DZ219" s="1175"/>
      <c r="EA219" s="1175"/>
      <c r="EB219" s="1175"/>
      <c r="EC219" s="1175"/>
      <c r="ED219" s="1175"/>
      <c r="EE219" s="1175"/>
      <c r="EF219" s="1175"/>
      <c r="EG219" s="1175"/>
      <c r="EH219" s="1175"/>
      <c r="EI219" s="1175"/>
      <c r="EJ219" s="1175"/>
      <c r="EK219" s="1175"/>
      <c r="EL219" s="1175"/>
      <c r="EM219" s="1175"/>
      <c r="EN219" s="1175"/>
      <c r="EO219" s="1175"/>
      <c r="EP219" s="1175"/>
      <c r="EQ219" s="1175"/>
      <c r="ER219" s="1175"/>
      <c r="ES219" s="1175"/>
      <c r="ET219" s="1175"/>
      <c r="EU219" s="1175"/>
      <c r="EV219" s="1175"/>
      <c r="EW219" s="1175"/>
      <c r="EX219" s="1175"/>
      <c r="EY219" s="1175"/>
      <c r="EZ219" s="1175"/>
      <c r="FA219" s="1175"/>
      <c r="FB219" s="1175"/>
      <c r="FC219" s="1175"/>
      <c r="FD219" s="1175"/>
      <c r="FE219" s="1175"/>
      <c r="FF219" s="1175"/>
      <c r="FG219" s="1175"/>
      <c r="FH219" s="1175"/>
      <c r="FI219" s="1175"/>
      <c r="FJ219" s="1175"/>
      <c r="FK219" s="1175"/>
      <c r="FL219" s="1175"/>
      <c r="FM219" s="1175"/>
      <c r="FN219" s="1175"/>
      <c r="FO219" s="1175"/>
      <c r="FP219" s="1175"/>
      <c r="FQ219" s="1175"/>
      <c r="FR219" s="1175"/>
      <c r="FS219" s="1175"/>
      <c r="FT219" s="1175"/>
      <c r="FU219" s="1175"/>
      <c r="FV219" s="1175"/>
      <c r="FW219" s="1175"/>
      <c r="FX219" s="1175"/>
      <c r="FY219" s="1175"/>
      <c r="FZ219" s="1175"/>
      <c r="GA219" s="1175"/>
      <c r="GB219" s="1175"/>
      <c r="GC219" s="1175"/>
      <c r="GD219" s="1175"/>
      <c r="GE219" s="1175"/>
      <c r="GF219" s="1175"/>
      <c r="GG219" s="1175"/>
      <c r="GH219" s="1175"/>
      <c r="GI219" s="1175"/>
      <c r="GJ219" s="1175"/>
      <c r="GK219" s="1175"/>
      <c r="GL219" s="1175"/>
      <c r="GM219" s="1175"/>
      <c r="GN219" s="1175"/>
      <c r="GO219" s="1175"/>
      <c r="GP219" s="1175"/>
      <c r="GQ219" s="1175"/>
      <c r="GR219" s="1175"/>
      <c r="GS219" s="1175"/>
      <c r="GT219" s="1175"/>
      <c r="GU219" s="1175"/>
      <c r="GV219" s="1175"/>
      <c r="GW219" s="1175"/>
      <c r="GX219" s="1175"/>
      <c r="GY219" s="1175"/>
      <c r="GZ219" s="1175"/>
      <c r="HA219" s="1175"/>
      <c r="HB219" s="1175"/>
      <c r="HC219" s="1175"/>
      <c r="HD219" s="1175"/>
      <c r="HE219" s="1175"/>
      <c r="HF219" s="1175"/>
      <c r="HG219" s="1175"/>
      <c r="HH219" s="1175"/>
      <c r="HI219" s="1175"/>
      <c r="HJ219" s="1175"/>
      <c r="HK219" s="1175"/>
      <c r="HL219" s="1175"/>
      <c r="HM219" s="1175"/>
      <c r="HN219" s="1175"/>
      <c r="HO219" s="1175"/>
      <c r="HP219" s="1175"/>
      <c r="HQ219" s="1175"/>
      <c r="HR219" s="1175"/>
      <c r="HS219" s="1175"/>
      <c r="HT219" s="1175"/>
      <c r="HU219" s="1175"/>
      <c r="HV219" s="1175"/>
      <c r="HW219" s="1175"/>
      <c r="HX219" s="1175"/>
      <c r="HY219" s="1175"/>
      <c r="HZ219" s="1175"/>
      <c r="IA219" s="1175"/>
      <c r="IB219" s="1175"/>
      <c r="IC219" s="1175"/>
      <c r="ID219" s="1175"/>
      <c r="IE219" s="1175"/>
      <c r="IF219" s="1175"/>
      <c r="IG219" s="1175"/>
      <c r="IH219" s="1175"/>
      <c r="II219" s="1175"/>
      <c r="IJ219" s="1175"/>
      <c r="IK219" s="1175"/>
      <c r="IL219" s="1175"/>
      <c r="IM219" s="1175"/>
      <c r="IN219" s="1175"/>
      <c r="IO219" s="1175"/>
      <c r="IP219" s="1175"/>
      <c r="IQ219" s="1175"/>
      <c r="IR219" s="1175"/>
      <c r="IS219" s="1175"/>
      <c r="IT219" s="1175"/>
      <c r="IU219" s="1175"/>
      <c r="IV219" s="1175"/>
    </row>
    <row r="220" spans="1:256" s="1759" customFormat="1" outlineLevel="1">
      <c r="A220" s="1841" t="s">
        <v>2249</v>
      </c>
      <c r="B220" s="1838" t="s">
        <v>1368</v>
      </c>
      <c r="C220" s="1838" t="s">
        <v>1606</v>
      </c>
      <c r="D220" s="1839" t="s">
        <v>1368</v>
      </c>
      <c r="E220" s="1840" t="s">
        <v>1798</v>
      </c>
      <c r="F220" s="1836" t="s">
        <v>271</v>
      </c>
      <c r="G220" s="1837"/>
      <c r="H220" s="1844">
        <v>10000000</v>
      </c>
      <c r="I220" s="1843"/>
      <c r="J220" s="1793"/>
      <c r="K220" s="1758"/>
      <c r="L220" s="1175"/>
      <c r="M220" s="1175"/>
      <c r="N220" s="1175"/>
      <c r="O220" s="1175"/>
      <c r="P220" s="1175"/>
      <c r="Q220" s="1175"/>
      <c r="R220" s="1175"/>
      <c r="S220" s="1175"/>
      <c r="T220" s="1175"/>
      <c r="U220" s="1175"/>
      <c r="V220" s="1175"/>
      <c r="W220" s="1175"/>
      <c r="X220" s="1175"/>
      <c r="Y220" s="1175"/>
      <c r="Z220" s="1175"/>
      <c r="AA220" s="1175"/>
      <c r="AB220" s="1175"/>
      <c r="AC220" s="1175"/>
      <c r="AD220" s="1175"/>
      <c r="AE220" s="1175"/>
      <c r="AF220" s="1175"/>
      <c r="AG220" s="1175"/>
      <c r="AH220" s="1175"/>
      <c r="AI220" s="1175"/>
      <c r="AJ220" s="1175"/>
      <c r="AK220" s="1175"/>
      <c r="AL220" s="1175"/>
      <c r="AM220" s="1175"/>
      <c r="AN220" s="1175"/>
      <c r="AO220" s="1175"/>
      <c r="AP220" s="1175"/>
      <c r="AQ220" s="1175"/>
      <c r="AR220" s="1175"/>
      <c r="AS220" s="1175"/>
      <c r="AT220" s="1175"/>
      <c r="AU220" s="1175"/>
      <c r="AV220" s="1175"/>
      <c r="AW220" s="1175"/>
      <c r="AX220" s="1175"/>
      <c r="AY220" s="1175"/>
      <c r="AZ220" s="1175"/>
      <c r="BA220" s="1175"/>
      <c r="BB220" s="1175"/>
      <c r="BC220" s="1175"/>
      <c r="BD220" s="1175"/>
      <c r="BE220" s="1175"/>
      <c r="BF220" s="1175"/>
      <c r="BG220" s="1175"/>
      <c r="BH220" s="1175"/>
      <c r="BI220" s="1175"/>
      <c r="BJ220" s="1175"/>
      <c r="BK220" s="1175"/>
      <c r="BL220" s="1175"/>
      <c r="BM220" s="1175"/>
      <c r="BN220" s="1175"/>
      <c r="BO220" s="1175"/>
      <c r="BP220" s="1175"/>
      <c r="BQ220" s="1175"/>
      <c r="BR220" s="1175"/>
      <c r="BS220" s="1175"/>
      <c r="BT220" s="1175"/>
      <c r="BU220" s="1175"/>
      <c r="BV220" s="1175"/>
      <c r="BW220" s="1175"/>
      <c r="BX220" s="1175"/>
      <c r="BY220" s="1175"/>
      <c r="BZ220" s="1175"/>
      <c r="CA220" s="1175"/>
      <c r="CB220" s="1175"/>
      <c r="CC220" s="1175"/>
      <c r="CD220" s="1175"/>
      <c r="CE220" s="1175"/>
      <c r="CF220" s="1175"/>
      <c r="CG220" s="1175"/>
      <c r="CH220" s="1175"/>
      <c r="CI220" s="1175"/>
      <c r="CJ220" s="1175"/>
      <c r="CK220" s="1175"/>
      <c r="CL220" s="1175"/>
      <c r="CM220" s="1175"/>
      <c r="CN220" s="1175"/>
      <c r="CO220" s="1175"/>
      <c r="CP220" s="1175"/>
      <c r="CQ220" s="1175"/>
      <c r="CR220" s="1175"/>
      <c r="CS220" s="1175"/>
      <c r="CT220" s="1175"/>
      <c r="CU220" s="1175"/>
      <c r="CV220" s="1175"/>
      <c r="CW220" s="1175"/>
      <c r="CX220" s="1175"/>
      <c r="CY220" s="1175"/>
      <c r="CZ220" s="1175"/>
      <c r="DA220" s="1175"/>
      <c r="DB220" s="1175"/>
      <c r="DC220" s="1175"/>
      <c r="DD220" s="1175"/>
      <c r="DE220" s="1175"/>
      <c r="DF220" s="1175"/>
      <c r="DG220" s="1175"/>
      <c r="DH220" s="1175"/>
      <c r="DI220" s="1175"/>
      <c r="DJ220" s="1175"/>
      <c r="DK220" s="1175"/>
      <c r="DL220" s="1175"/>
      <c r="DM220" s="1175"/>
      <c r="DN220" s="1175"/>
      <c r="DO220" s="1175"/>
      <c r="DP220" s="1175"/>
      <c r="DQ220" s="1175"/>
      <c r="DR220" s="1175"/>
      <c r="DS220" s="1175"/>
      <c r="DT220" s="1175"/>
      <c r="DU220" s="1175"/>
      <c r="DV220" s="1175"/>
      <c r="DW220" s="1175"/>
      <c r="DX220" s="1175"/>
      <c r="DY220" s="1175"/>
      <c r="DZ220" s="1175"/>
      <c r="EA220" s="1175"/>
      <c r="EB220" s="1175"/>
      <c r="EC220" s="1175"/>
      <c r="ED220" s="1175"/>
      <c r="EE220" s="1175"/>
      <c r="EF220" s="1175"/>
      <c r="EG220" s="1175"/>
      <c r="EH220" s="1175"/>
      <c r="EI220" s="1175"/>
      <c r="EJ220" s="1175"/>
      <c r="EK220" s="1175"/>
      <c r="EL220" s="1175"/>
      <c r="EM220" s="1175"/>
      <c r="EN220" s="1175"/>
      <c r="EO220" s="1175"/>
      <c r="EP220" s="1175"/>
      <c r="EQ220" s="1175"/>
      <c r="ER220" s="1175"/>
      <c r="ES220" s="1175"/>
      <c r="ET220" s="1175"/>
      <c r="EU220" s="1175"/>
      <c r="EV220" s="1175"/>
      <c r="EW220" s="1175"/>
      <c r="EX220" s="1175"/>
      <c r="EY220" s="1175"/>
      <c r="EZ220" s="1175"/>
      <c r="FA220" s="1175"/>
      <c r="FB220" s="1175"/>
      <c r="FC220" s="1175"/>
      <c r="FD220" s="1175"/>
      <c r="FE220" s="1175"/>
      <c r="FF220" s="1175"/>
      <c r="FG220" s="1175"/>
      <c r="FH220" s="1175"/>
      <c r="FI220" s="1175"/>
      <c r="FJ220" s="1175"/>
      <c r="FK220" s="1175"/>
      <c r="FL220" s="1175"/>
      <c r="FM220" s="1175"/>
      <c r="FN220" s="1175"/>
      <c r="FO220" s="1175"/>
      <c r="FP220" s="1175"/>
      <c r="FQ220" s="1175"/>
      <c r="FR220" s="1175"/>
      <c r="FS220" s="1175"/>
      <c r="FT220" s="1175"/>
      <c r="FU220" s="1175"/>
      <c r="FV220" s="1175"/>
      <c r="FW220" s="1175"/>
      <c r="FX220" s="1175"/>
      <c r="FY220" s="1175"/>
      <c r="FZ220" s="1175"/>
      <c r="GA220" s="1175"/>
      <c r="GB220" s="1175"/>
      <c r="GC220" s="1175"/>
      <c r="GD220" s="1175"/>
      <c r="GE220" s="1175"/>
      <c r="GF220" s="1175"/>
      <c r="GG220" s="1175"/>
      <c r="GH220" s="1175"/>
      <c r="GI220" s="1175"/>
      <c r="GJ220" s="1175"/>
      <c r="GK220" s="1175"/>
      <c r="GL220" s="1175"/>
      <c r="GM220" s="1175"/>
      <c r="GN220" s="1175"/>
      <c r="GO220" s="1175"/>
      <c r="GP220" s="1175"/>
      <c r="GQ220" s="1175"/>
      <c r="GR220" s="1175"/>
      <c r="GS220" s="1175"/>
      <c r="GT220" s="1175"/>
      <c r="GU220" s="1175"/>
      <c r="GV220" s="1175"/>
      <c r="GW220" s="1175"/>
      <c r="GX220" s="1175"/>
      <c r="GY220" s="1175"/>
      <c r="GZ220" s="1175"/>
      <c r="HA220" s="1175"/>
      <c r="HB220" s="1175"/>
      <c r="HC220" s="1175"/>
      <c r="HD220" s="1175"/>
      <c r="HE220" s="1175"/>
      <c r="HF220" s="1175"/>
      <c r="HG220" s="1175"/>
      <c r="HH220" s="1175"/>
      <c r="HI220" s="1175"/>
      <c r="HJ220" s="1175"/>
      <c r="HK220" s="1175"/>
      <c r="HL220" s="1175"/>
      <c r="HM220" s="1175"/>
      <c r="HN220" s="1175"/>
      <c r="HO220" s="1175"/>
      <c r="HP220" s="1175"/>
      <c r="HQ220" s="1175"/>
      <c r="HR220" s="1175"/>
      <c r="HS220" s="1175"/>
      <c r="HT220" s="1175"/>
      <c r="HU220" s="1175"/>
      <c r="HV220" s="1175"/>
      <c r="HW220" s="1175"/>
      <c r="HX220" s="1175"/>
      <c r="HY220" s="1175"/>
      <c r="HZ220" s="1175"/>
      <c r="IA220" s="1175"/>
      <c r="IB220" s="1175"/>
      <c r="IC220" s="1175"/>
      <c r="ID220" s="1175"/>
      <c r="IE220" s="1175"/>
      <c r="IF220" s="1175"/>
      <c r="IG220" s="1175"/>
      <c r="IH220" s="1175"/>
      <c r="II220" s="1175"/>
      <c r="IJ220" s="1175"/>
      <c r="IK220" s="1175"/>
      <c r="IL220" s="1175"/>
      <c r="IM220" s="1175"/>
      <c r="IN220" s="1175"/>
      <c r="IO220" s="1175"/>
      <c r="IP220" s="1175"/>
      <c r="IQ220" s="1175"/>
      <c r="IR220" s="1175"/>
      <c r="IS220" s="1175"/>
      <c r="IT220" s="1175"/>
      <c r="IU220" s="1175"/>
      <c r="IV220" s="1175"/>
    </row>
    <row r="221" spans="1:256" s="1759" customFormat="1" outlineLevel="1">
      <c r="A221" s="1870" t="s">
        <v>2253</v>
      </c>
      <c r="B221" s="1867" t="s">
        <v>1386</v>
      </c>
      <c r="C221" s="1867" t="s">
        <v>1606</v>
      </c>
      <c r="D221" s="1868" t="s">
        <v>1386</v>
      </c>
      <c r="E221" s="1869" t="s">
        <v>2248</v>
      </c>
      <c r="F221" s="1864" t="s">
        <v>271</v>
      </c>
      <c r="G221" s="1865"/>
      <c r="H221" s="1872">
        <v>500000</v>
      </c>
      <c r="I221" s="1871"/>
      <c r="J221" s="1793"/>
      <c r="K221" s="1758"/>
      <c r="L221" s="1175"/>
      <c r="M221" s="1175"/>
      <c r="N221" s="1175"/>
      <c r="O221" s="1175"/>
      <c r="P221" s="1175"/>
      <c r="Q221" s="1175"/>
      <c r="R221" s="1175"/>
      <c r="S221" s="1175"/>
      <c r="T221" s="1175"/>
      <c r="U221" s="1175"/>
      <c r="V221" s="1175"/>
      <c r="W221" s="1175"/>
      <c r="X221" s="1175"/>
      <c r="Y221" s="1175"/>
      <c r="Z221" s="1175"/>
      <c r="AA221" s="1175"/>
      <c r="AB221" s="1175"/>
      <c r="AC221" s="1175"/>
      <c r="AD221" s="1175"/>
      <c r="AE221" s="1175"/>
      <c r="AF221" s="1175"/>
      <c r="AG221" s="1175"/>
      <c r="AH221" s="1175"/>
      <c r="AI221" s="1175"/>
      <c r="AJ221" s="1175"/>
      <c r="AK221" s="1175"/>
      <c r="AL221" s="1175"/>
      <c r="AM221" s="1175"/>
      <c r="AN221" s="1175"/>
      <c r="AO221" s="1175"/>
      <c r="AP221" s="1175"/>
      <c r="AQ221" s="1175"/>
      <c r="AR221" s="1175"/>
      <c r="AS221" s="1175"/>
      <c r="AT221" s="1175"/>
      <c r="AU221" s="1175"/>
      <c r="AV221" s="1175"/>
      <c r="AW221" s="1175"/>
      <c r="AX221" s="1175"/>
      <c r="AY221" s="1175"/>
      <c r="AZ221" s="1175"/>
      <c r="BA221" s="1175"/>
      <c r="BB221" s="1175"/>
      <c r="BC221" s="1175"/>
      <c r="BD221" s="1175"/>
      <c r="BE221" s="1175"/>
      <c r="BF221" s="1175"/>
      <c r="BG221" s="1175"/>
      <c r="BH221" s="1175"/>
      <c r="BI221" s="1175"/>
      <c r="BJ221" s="1175"/>
      <c r="BK221" s="1175"/>
      <c r="BL221" s="1175"/>
      <c r="BM221" s="1175"/>
      <c r="BN221" s="1175"/>
      <c r="BO221" s="1175"/>
      <c r="BP221" s="1175"/>
      <c r="BQ221" s="1175"/>
      <c r="BR221" s="1175"/>
      <c r="BS221" s="1175"/>
      <c r="BT221" s="1175"/>
      <c r="BU221" s="1175"/>
      <c r="BV221" s="1175"/>
      <c r="BW221" s="1175"/>
      <c r="BX221" s="1175"/>
      <c r="BY221" s="1175"/>
      <c r="BZ221" s="1175"/>
      <c r="CA221" s="1175"/>
      <c r="CB221" s="1175"/>
      <c r="CC221" s="1175"/>
      <c r="CD221" s="1175"/>
      <c r="CE221" s="1175"/>
      <c r="CF221" s="1175"/>
      <c r="CG221" s="1175"/>
      <c r="CH221" s="1175"/>
      <c r="CI221" s="1175"/>
      <c r="CJ221" s="1175"/>
      <c r="CK221" s="1175"/>
      <c r="CL221" s="1175"/>
      <c r="CM221" s="1175"/>
      <c r="CN221" s="1175"/>
      <c r="CO221" s="1175"/>
      <c r="CP221" s="1175"/>
      <c r="CQ221" s="1175"/>
      <c r="CR221" s="1175"/>
      <c r="CS221" s="1175"/>
      <c r="CT221" s="1175"/>
      <c r="CU221" s="1175"/>
      <c r="CV221" s="1175"/>
      <c r="CW221" s="1175"/>
      <c r="CX221" s="1175"/>
      <c r="CY221" s="1175"/>
      <c r="CZ221" s="1175"/>
      <c r="DA221" s="1175"/>
      <c r="DB221" s="1175"/>
      <c r="DC221" s="1175"/>
      <c r="DD221" s="1175"/>
      <c r="DE221" s="1175"/>
      <c r="DF221" s="1175"/>
      <c r="DG221" s="1175"/>
      <c r="DH221" s="1175"/>
      <c r="DI221" s="1175"/>
      <c r="DJ221" s="1175"/>
      <c r="DK221" s="1175"/>
      <c r="DL221" s="1175"/>
      <c r="DM221" s="1175"/>
      <c r="DN221" s="1175"/>
      <c r="DO221" s="1175"/>
      <c r="DP221" s="1175"/>
      <c r="DQ221" s="1175"/>
      <c r="DR221" s="1175"/>
      <c r="DS221" s="1175"/>
      <c r="DT221" s="1175"/>
      <c r="DU221" s="1175"/>
      <c r="DV221" s="1175"/>
      <c r="DW221" s="1175"/>
      <c r="DX221" s="1175"/>
      <c r="DY221" s="1175"/>
      <c r="DZ221" s="1175"/>
      <c r="EA221" s="1175"/>
      <c r="EB221" s="1175"/>
      <c r="EC221" s="1175"/>
      <c r="ED221" s="1175"/>
      <c r="EE221" s="1175"/>
      <c r="EF221" s="1175"/>
      <c r="EG221" s="1175"/>
      <c r="EH221" s="1175"/>
      <c r="EI221" s="1175"/>
      <c r="EJ221" s="1175"/>
      <c r="EK221" s="1175"/>
      <c r="EL221" s="1175"/>
      <c r="EM221" s="1175"/>
      <c r="EN221" s="1175"/>
      <c r="EO221" s="1175"/>
      <c r="EP221" s="1175"/>
      <c r="EQ221" s="1175"/>
      <c r="ER221" s="1175"/>
      <c r="ES221" s="1175"/>
      <c r="ET221" s="1175"/>
      <c r="EU221" s="1175"/>
      <c r="EV221" s="1175"/>
      <c r="EW221" s="1175"/>
      <c r="EX221" s="1175"/>
      <c r="EY221" s="1175"/>
      <c r="EZ221" s="1175"/>
      <c r="FA221" s="1175"/>
      <c r="FB221" s="1175"/>
      <c r="FC221" s="1175"/>
      <c r="FD221" s="1175"/>
      <c r="FE221" s="1175"/>
      <c r="FF221" s="1175"/>
      <c r="FG221" s="1175"/>
      <c r="FH221" s="1175"/>
      <c r="FI221" s="1175"/>
      <c r="FJ221" s="1175"/>
      <c r="FK221" s="1175"/>
      <c r="FL221" s="1175"/>
      <c r="FM221" s="1175"/>
      <c r="FN221" s="1175"/>
      <c r="FO221" s="1175"/>
      <c r="FP221" s="1175"/>
      <c r="FQ221" s="1175"/>
      <c r="FR221" s="1175"/>
      <c r="FS221" s="1175"/>
      <c r="FT221" s="1175"/>
      <c r="FU221" s="1175"/>
      <c r="FV221" s="1175"/>
      <c r="FW221" s="1175"/>
      <c r="FX221" s="1175"/>
      <c r="FY221" s="1175"/>
      <c r="FZ221" s="1175"/>
      <c r="GA221" s="1175"/>
      <c r="GB221" s="1175"/>
      <c r="GC221" s="1175"/>
      <c r="GD221" s="1175"/>
      <c r="GE221" s="1175"/>
      <c r="GF221" s="1175"/>
      <c r="GG221" s="1175"/>
      <c r="GH221" s="1175"/>
      <c r="GI221" s="1175"/>
      <c r="GJ221" s="1175"/>
      <c r="GK221" s="1175"/>
      <c r="GL221" s="1175"/>
      <c r="GM221" s="1175"/>
      <c r="GN221" s="1175"/>
      <c r="GO221" s="1175"/>
      <c r="GP221" s="1175"/>
      <c r="GQ221" s="1175"/>
      <c r="GR221" s="1175"/>
      <c r="GS221" s="1175"/>
      <c r="GT221" s="1175"/>
      <c r="GU221" s="1175"/>
      <c r="GV221" s="1175"/>
      <c r="GW221" s="1175"/>
      <c r="GX221" s="1175"/>
      <c r="GY221" s="1175"/>
      <c r="GZ221" s="1175"/>
      <c r="HA221" s="1175"/>
      <c r="HB221" s="1175"/>
      <c r="HC221" s="1175"/>
      <c r="HD221" s="1175"/>
      <c r="HE221" s="1175"/>
      <c r="HF221" s="1175"/>
      <c r="HG221" s="1175"/>
      <c r="HH221" s="1175"/>
      <c r="HI221" s="1175"/>
      <c r="HJ221" s="1175"/>
      <c r="HK221" s="1175"/>
      <c r="HL221" s="1175"/>
      <c r="HM221" s="1175"/>
      <c r="HN221" s="1175"/>
      <c r="HO221" s="1175"/>
      <c r="HP221" s="1175"/>
      <c r="HQ221" s="1175"/>
      <c r="HR221" s="1175"/>
      <c r="HS221" s="1175"/>
      <c r="HT221" s="1175"/>
      <c r="HU221" s="1175"/>
      <c r="HV221" s="1175"/>
      <c r="HW221" s="1175"/>
      <c r="HX221" s="1175"/>
      <c r="HY221" s="1175"/>
      <c r="HZ221" s="1175"/>
      <c r="IA221" s="1175"/>
      <c r="IB221" s="1175"/>
      <c r="IC221" s="1175"/>
      <c r="ID221" s="1175"/>
      <c r="IE221" s="1175"/>
      <c r="IF221" s="1175"/>
      <c r="IG221" s="1175"/>
      <c r="IH221" s="1175"/>
      <c r="II221" s="1175"/>
      <c r="IJ221" s="1175"/>
      <c r="IK221" s="1175"/>
      <c r="IL221" s="1175"/>
      <c r="IM221" s="1175"/>
      <c r="IN221" s="1175"/>
      <c r="IO221" s="1175"/>
      <c r="IP221" s="1175"/>
      <c r="IQ221" s="1175"/>
      <c r="IR221" s="1175"/>
      <c r="IS221" s="1175"/>
      <c r="IT221" s="1175"/>
      <c r="IU221" s="1175"/>
      <c r="IV221" s="1175"/>
    </row>
    <row r="222" spans="1:256" s="1759" customFormat="1" outlineLevel="1">
      <c r="A222" s="1870" t="s">
        <v>2254</v>
      </c>
      <c r="B222" s="1867" t="s">
        <v>2255</v>
      </c>
      <c r="C222" s="1867" t="s">
        <v>1606</v>
      </c>
      <c r="D222" s="1868" t="s">
        <v>2255</v>
      </c>
      <c r="E222" s="1869" t="s">
        <v>2256</v>
      </c>
      <c r="F222" s="1864" t="s">
        <v>271</v>
      </c>
      <c r="G222" s="1865"/>
      <c r="H222" s="1872">
        <v>30000</v>
      </c>
      <c r="I222" s="1873"/>
      <c r="J222" s="1793"/>
      <c r="K222" s="1758"/>
      <c r="L222" s="1175"/>
      <c r="M222" s="1175"/>
      <c r="N222" s="1175"/>
      <c r="O222" s="1175"/>
      <c r="P222" s="1175"/>
      <c r="Q222" s="1175"/>
      <c r="R222" s="1175"/>
      <c r="S222" s="1175"/>
      <c r="T222" s="1175"/>
      <c r="U222" s="1175"/>
      <c r="V222" s="1175"/>
      <c r="W222" s="1175"/>
      <c r="X222" s="1175"/>
      <c r="Y222" s="1175"/>
      <c r="Z222" s="1175"/>
      <c r="AA222" s="1175"/>
      <c r="AB222" s="1175"/>
      <c r="AC222" s="1175"/>
      <c r="AD222" s="1175"/>
      <c r="AE222" s="1175"/>
      <c r="AF222" s="1175"/>
      <c r="AG222" s="1175"/>
      <c r="AH222" s="1175"/>
      <c r="AI222" s="1175"/>
      <c r="AJ222" s="1175"/>
      <c r="AK222" s="1175"/>
      <c r="AL222" s="1175"/>
      <c r="AM222" s="1175"/>
      <c r="AN222" s="1175"/>
      <c r="AO222" s="1175"/>
      <c r="AP222" s="1175"/>
      <c r="AQ222" s="1175"/>
      <c r="AR222" s="1175"/>
      <c r="AS222" s="1175"/>
      <c r="AT222" s="1175"/>
      <c r="AU222" s="1175"/>
      <c r="AV222" s="1175"/>
      <c r="AW222" s="1175"/>
      <c r="AX222" s="1175"/>
      <c r="AY222" s="1175"/>
      <c r="AZ222" s="1175"/>
      <c r="BA222" s="1175"/>
      <c r="BB222" s="1175"/>
      <c r="BC222" s="1175"/>
      <c r="BD222" s="1175"/>
      <c r="BE222" s="1175"/>
      <c r="BF222" s="1175"/>
      <c r="BG222" s="1175"/>
      <c r="BH222" s="1175"/>
      <c r="BI222" s="1175"/>
      <c r="BJ222" s="1175"/>
      <c r="BK222" s="1175"/>
      <c r="BL222" s="1175"/>
      <c r="BM222" s="1175"/>
      <c r="BN222" s="1175"/>
      <c r="BO222" s="1175"/>
      <c r="BP222" s="1175"/>
      <c r="BQ222" s="1175"/>
      <c r="BR222" s="1175"/>
      <c r="BS222" s="1175"/>
      <c r="BT222" s="1175"/>
      <c r="BU222" s="1175"/>
      <c r="BV222" s="1175"/>
      <c r="BW222" s="1175"/>
      <c r="BX222" s="1175"/>
      <c r="BY222" s="1175"/>
      <c r="BZ222" s="1175"/>
      <c r="CA222" s="1175"/>
      <c r="CB222" s="1175"/>
      <c r="CC222" s="1175"/>
      <c r="CD222" s="1175"/>
      <c r="CE222" s="1175"/>
      <c r="CF222" s="1175"/>
      <c r="CG222" s="1175"/>
      <c r="CH222" s="1175"/>
      <c r="CI222" s="1175"/>
      <c r="CJ222" s="1175"/>
      <c r="CK222" s="1175"/>
      <c r="CL222" s="1175"/>
      <c r="CM222" s="1175"/>
      <c r="CN222" s="1175"/>
      <c r="CO222" s="1175"/>
      <c r="CP222" s="1175"/>
      <c r="CQ222" s="1175"/>
      <c r="CR222" s="1175"/>
      <c r="CS222" s="1175"/>
      <c r="CT222" s="1175"/>
      <c r="CU222" s="1175"/>
      <c r="CV222" s="1175"/>
      <c r="CW222" s="1175"/>
      <c r="CX222" s="1175"/>
      <c r="CY222" s="1175"/>
      <c r="CZ222" s="1175"/>
      <c r="DA222" s="1175"/>
      <c r="DB222" s="1175"/>
      <c r="DC222" s="1175"/>
      <c r="DD222" s="1175"/>
      <c r="DE222" s="1175"/>
      <c r="DF222" s="1175"/>
      <c r="DG222" s="1175"/>
      <c r="DH222" s="1175"/>
      <c r="DI222" s="1175"/>
      <c r="DJ222" s="1175"/>
      <c r="DK222" s="1175"/>
      <c r="DL222" s="1175"/>
      <c r="DM222" s="1175"/>
      <c r="DN222" s="1175"/>
      <c r="DO222" s="1175"/>
      <c r="DP222" s="1175"/>
      <c r="DQ222" s="1175"/>
      <c r="DR222" s="1175"/>
      <c r="DS222" s="1175"/>
      <c r="DT222" s="1175"/>
      <c r="DU222" s="1175"/>
      <c r="DV222" s="1175"/>
      <c r="DW222" s="1175"/>
      <c r="DX222" s="1175"/>
      <c r="DY222" s="1175"/>
      <c r="DZ222" s="1175"/>
      <c r="EA222" s="1175"/>
      <c r="EB222" s="1175"/>
      <c r="EC222" s="1175"/>
      <c r="ED222" s="1175"/>
      <c r="EE222" s="1175"/>
      <c r="EF222" s="1175"/>
      <c r="EG222" s="1175"/>
      <c r="EH222" s="1175"/>
      <c r="EI222" s="1175"/>
      <c r="EJ222" s="1175"/>
      <c r="EK222" s="1175"/>
      <c r="EL222" s="1175"/>
      <c r="EM222" s="1175"/>
      <c r="EN222" s="1175"/>
      <c r="EO222" s="1175"/>
      <c r="EP222" s="1175"/>
      <c r="EQ222" s="1175"/>
      <c r="ER222" s="1175"/>
      <c r="ES222" s="1175"/>
      <c r="ET222" s="1175"/>
      <c r="EU222" s="1175"/>
      <c r="EV222" s="1175"/>
      <c r="EW222" s="1175"/>
      <c r="EX222" s="1175"/>
      <c r="EY222" s="1175"/>
      <c r="EZ222" s="1175"/>
      <c r="FA222" s="1175"/>
      <c r="FB222" s="1175"/>
      <c r="FC222" s="1175"/>
      <c r="FD222" s="1175"/>
      <c r="FE222" s="1175"/>
      <c r="FF222" s="1175"/>
      <c r="FG222" s="1175"/>
      <c r="FH222" s="1175"/>
      <c r="FI222" s="1175"/>
      <c r="FJ222" s="1175"/>
      <c r="FK222" s="1175"/>
      <c r="FL222" s="1175"/>
      <c r="FM222" s="1175"/>
      <c r="FN222" s="1175"/>
      <c r="FO222" s="1175"/>
      <c r="FP222" s="1175"/>
      <c r="FQ222" s="1175"/>
      <c r="FR222" s="1175"/>
      <c r="FS222" s="1175"/>
      <c r="FT222" s="1175"/>
      <c r="FU222" s="1175"/>
      <c r="FV222" s="1175"/>
      <c r="FW222" s="1175"/>
      <c r="FX222" s="1175"/>
      <c r="FY222" s="1175"/>
      <c r="FZ222" s="1175"/>
      <c r="GA222" s="1175"/>
      <c r="GB222" s="1175"/>
      <c r="GC222" s="1175"/>
      <c r="GD222" s="1175"/>
      <c r="GE222" s="1175"/>
      <c r="GF222" s="1175"/>
      <c r="GG222" s="1175"/>
      <c r="GH222" s="1175"/>
      <c r="GI222" s="1175"/>
      <c r="GJ222" s="1175"/>
      <c r="GK222" s="1175"/>
      <c r="GL222" s="1175"/>
      <c r="GM222" s="1175"/>
      <c r="GN222" s="1175"/>
      <c r="GO222" s="1175"/>
      <c r="GP222" s="1175"/>
      <c r="GQ222" s="1175"/>
      <c r="GR222" s="1175"/>
      <c r="GS222" s="1175"/>
      <c r="GT222" s="1175"/>
      <c r="GU222" s="1175"/>
      <c r="GV222" s="1175"/>
      <c r="GW222" s="1175"/>
      <c r="GX222" s="1175"/>
      <c r="GY222" s="1175"/>
      <c r="GZ222" s="1175"/>
      <c r="HA222" s="1175"/>
      <c r="HB222" s="1175"/>
      <c r="HC222" s="1175"/>
      <c r="HD222" s="1175"/>
      <c r="HE222" s="1175"/>
      <c r="HF222" s="1175"/>
      <c r="HG222" s="1175"/>
      <c r="HH222" s="1175"/>
      <c r="HI222" s="1175"/>
      <c r="HJ222" s="1175"/>
      <c r="HK222" s="1175"/>
      <c r="HL222" s="1175"/>
      <c r="HM222" s="1175"/>
      <c r="HN222" s="1175"/>
      <c r="HO222" s="1175"/>
      <c r="HP222" s="1175"/>
      <c r="HQ222" s="1175"/>
      <c r="HR222" s="1175"/>
      <c r="HS222" s="1175"/>
      <c r="HT222" s="1175"/>
      <c r="HU222" s="1175"/>
      <c r="HV222" s="1175"/>
      <c r="HW222" s="1175"/>
      <c r="HX222" s="1175"/>
      <c r="HY222" s="1175"/>
      <c r="HZ222" s="1175"/>
      <c r="IA222" s="1175"/>
      <c r="IB222" s="1175"/>
      <c r="IC222" s="1175"/>
      <c r="ID222" s="1175"/>
      <c r="IE222" s="1175"/>
      <c r="IF222" s="1175"/>
      <c r="IG222" s="1175"/>
      <c r="IH222" s="1175"/>
      <c r="II222" s="1175"/>
      <c r="IJ222" s="1175"/>
      <c r="IK222" s="1175"/>
      <c r="IL222" s="1175"/>
      <c r="IM222" s="1175"/>
      <c r="IN222" s="1175"/>
      <c r="IO222" s="1175"/>
      <c r="IP222" s="1175"/>
      <c r="IQ222" s="1175"/>
      <c r="IR222" s="1175"/>
      <c r="IS222" s="1175"/>
      <c r="IT222" s="1175"/>
      <c r="IU222" s="1175"/>
      <c r="IV222" s="1175"/>
    </row>
    <row r="223" spans="1:256" s="1759" customFormat="1" outlineLevel="1">
      <c r="A223" s="1870" t="s">
        <v>2254</v>
      </c>
      <c r="B223" s="1867" t="s">
        <v>1371</v>
      </c>
      <c r="C223" s="1867" t="s">
        <v>1606</v>
      </c>
      <c r="D223" s="1868" t="s">
        <v>1371</v>
      </c>
      <c r="E223" s="1869" t="s">
        <v>2131</v>
      </c>
      <c r="F223" s="1864" t="s">
        <v>271</v>
      </c>
      <c r="G223" s="1865"/>
      <c r="H223" s="1872">
        <v>315000</v>
      </c>
      <c r="I223" s="1871"/>
      <c r="J223" s="1793"/>
      <c r="K223" s="1758"/>
      <c r="L223" s="1175"/>
      <c r="M223" s="1175"/>
      <c r="N223" s="1175"/>
      <c r="O223" s="1175"/>
      <c r="P223" s="1175"/>
      <c r="Q223" s="1175"/>
      <c r="R223" s="1175"/>
      <c r="S223" s="1175"/>
      <c r="T223" s="1175"/>
      <c r="U223" s="1175"/>
      <c r="V223" s="1175"/>
      <c r="W223" s="1175"/>
      <c r="X223" s="1175"/>
      <c r="Y223" s="1175"/>
      <c r="Z223" s="1175"/>
      <c r="AA223" s="1175"/>
      <c r="AB223" s="1175"/>
      <c r="AC223" s="1175"/>
      <c r="AD223" s="1175"/>
      <c r="AE223" s="1175"/>
      <c r="AF223" s="1175"/>
      <c r="AG223" s="1175"/>
      <c r="AH223" s="1175"/>
      <c r="AI223" s="1175"/>
      <c r="AJ223" s="1175"/>
      <c r="AK223" s="1175"/>
      <c r="AL223" s="1175"/>
      <c r="AM223" s="1175"/>
      <c r="AN223" s="1175"/>
      <c r="AO223" s="1175"/>
      <c r="AP223" s="1175"/>
      <c r="AQ223" s="1175"/>
      <c r="AR223" s="1175"/>
      <c r="AS223" s="1175"/>
      <c r="AT223" s="1175"/>
      <c r="AU223" s="1175"/>
      <c r="AV223" s="1175"/>
      <c r="AW223" s="1175"/>
      <c r="AX223" s="1175"/>
      <c r="AY223" s="1175"/>
      <c r="AZ223" s="1175"/>
      <c r="BA223" s="1175"/>
      <c r="BB223" s="1175"/>
      <c r="BC223" s="1175"/>
      <c r="BD223" s="1175"/>
      <c r="BE223" s="1175"/>
      <c r="BF223" s="1175"/>
      <c r="BG223" s="1175"/>
      <c r="BH223" s="1175"/>
      <c r="BI223" s="1175"/>
      <c r="BJ223" s="1175"/>
      <c r="BK223" s="1175"/>
      <c r="BL223" s="1175"/>
      <c r="BM223" s="1175"/>
      <c r="BN223" s="1175"/>
      <c r="BO223" s="1175"/>
      <c r="BP223" s="1175"/>
      <c r="BQ223" s="1175"/>
      <c r="BR223" s="1175"/>
      <c r="BS223" s="1175"/>
      <c r="BT223" s="1175"/>
      <c r="BU223" s="1175"/>
      <c r="BV223" s="1175"/>
      <c r="BW223" s="1175"/>
      <c r="BX223" s="1175"/>
      <c r="BY223" s="1175"/>
      <c r="BZ223" s="1175"/>
      <c r="CA223" s="1175"/>
      <c r="CB223" s="1175"/>
      <c r="CC223" s="1175"/>
      <c r="CD223" s="1175"/>
      <c r="CE223" s="1175"/>
      <c r="CF223" s="1175"/>
      <c r="CG223" s="1175"/>
      <c r="CH223" s="1175"/>
      <c r="CI223" s="1175"/>
      <c r="CJ223" s="1175"/>
      <c r="CK223" s="1175"/>
      <c r="CL223" s="1175"/>
      <c r="CM223" s="1175"/>
      <c r="CN223" s="1175"/>
      <c r="CO223" s="1175"/>
      <c r="CP223" s="1175"/>
      <c r="CQ223" s="1175"/>
      <c r="CR223" s="1175"/>
      <c r="CS223" s="1175"/>
      <c r="CT223" s="1175"/>
      <c r="CU223" s="1175"/>
      <c r="CV223" s="1175"/>
      <c r="CW223" s="1175"/>
      <c r="CX223" s="1175"/>
      <c r="CY223" s="1175"/>
      <c r="CZ223" s="1175"/>
      <c r="DA223" s="1175"/>
      <c r="DB223" s="1175"/>
      <c r="DC223" s="1175"/>
      <c r="DD223" s="1175"/>
      <c r="DE223" s="1175"/>
      <c r="DF223" s="1175"/>
      <c r="DG223" s="1175"/>
      <c r="DH223" s="1175"/>
      <c r="DI223" s="1175"/>
      <c r="DJ223" s="1175"/>
      <c r="DK223" s="1175"/>
      <c r="DL223" s="1175"/>
      <c r="DM223" s="1175"/>
      <c r="DN223" s="1175"/>
      <c r="DO223" s="1175"/>
      <c r="DP223" s="1175"/>
      <c r="DQ223" s="1175"/>
      <c r="DR223" s="1175"/>
      <c r="DS223" s="1175"/>
      <c r="DT223" s="1175"/>
      <c r="DU223" s="1175"/>
      <c r="DV223" s="1175"/>
      <c r="DW223" s="1175"/>
      <c r="DX223" s="1175"/>
      <c r="DY223" s="1175"/>
      <c r="DZ223" s="1175"/>
      <c r="EA223" s="1175"/>
      <c r="EB223" s="1175"/>
      <c r="EC223" s="1175"/>
      <c r="ED223" s="1175"/>
      <c r="EE223" s="1175"/>
      <c r="EF223" s="1175"/>
      <c r="EG223" s="1175"/>
      <c r="EH223" s="1175"/>
      <c r="EI223" s="1175"/>
      <c r="EJ223" s="1175"/>
      <c r="EK223" s="1175"/>
      <c r="EL223" s="1175"/>
      <c r="EM223" s="1175"/>
      <c r="EN223" s="1175"/>
      <c r="EO223" s="1175"/>
      <c r="EP223" s="1175"/>
      <c r="EQ223" s="1175"/>
      <c r="ER223" s="1175"/>
      <c r="ES223" s="1175"/>
      <c r="ET223" s="1175"/>
      <c r="EU223" s="1175"/>
      <c r="EV223" s="1175"/>
      <c r="EW223" s="1175"/>
      <c r="EX223" s="1175"/>
      <c r="EY223" s="1175"/>
      <c r="EZ223" s="1175"/>
      <c r="FA223" s="1175"/>
      <c r="FB223" s="1175"/>
      <c r="FC223" s="1175"/>
      <c r="FD223" s="1175"/>
      <c r="FE223" s="1175"/>
      <c r="FF223" s="1175"/>
      <c r="FG223" s="1175"/>
      <c r="FH223" s="1175"/>
      <c r="FI223" s="1175"/>
      <c r="FJ223" s="1175"/>
      <c r="FK223" s="1175"/>
      <c r="FL223" s="1175"/>
      <c r="FM223" s="1175"/>
      <c r="FN223" s="1175"/>
      <c r="FO223" s="1175"/>
      <c r="FP223" s="1175"/>
      <c r="FQ223" s="1175"/>
      <c r="FR223" s="1175"/>
      <c r="FS223" s="1175"/>
      <c r="FT223" s="1175"/>
      <c r="FU223" s="1175"/>
      <c r="FV223" s="1175"/>
      <c r="FW223" s="1175"/>
      <c r="FX223" s="1175"/>
      <c r="FY223" s="1175"/>
      <c r="FZ223" s="1175"/>
      <c r="GA223" s="1175"/>
      <c r="GB223" s="1175"/>
      <c r="GC223" s="1175"/>
      <c r="GD223" s="1175"/>
      <c r="GE223" s="1175"/>
      <c r="GF223" s="1175"/>
      <c r="GG223" s="1175"/>
      <c r="GH223" s="1175"/>
      <c r="GI223" s="1175"/>
      <c r="GJ223" s="1175"/>
      <c r="GK223" s="1175"/>
      <c r="GL223" s="1175"/>
      <c r="GM223" s="1175"/>
      <c r="GN223" s="1175"/>
      <c r="GO223" s="1175"/>
      <c r="GP223" s="1175"/>
      <c r="GQ223" s="1175"/>
      <c r="GR223" s="1175"/>
      <c r="GS223" s="1175"/>
      <c r="GT223" s="1175"/>
      <c r="GU223" s="1175"/>
      <c r="GV223" s="1175"/>
      <c r="GW223" s="1175"/>
      <c r="GX223" s="1175"/>
      <c r="GY223" s="1175"/>
      <c r="GZ223" s="1175"/>
      <c r="HA223" s="1175"/>
      <c r="HB223" s="1175"/>
      <c r="HC223" s="1175"/>
      <c r="HD223" s="1175"/>
      <c r="HE223" s="1175"/>
      <c r="HF223" s="1175"/>
      <c r="HG223" s="1175"/>
      <c r="HH223" s="1175"/>
      <c r="HI223" s="1175"/>
      <c r="HJ223" s="1175"/>
      <c r="HK223" s="1175"/>
      <c r="HL223" s="1175"/>
      <c r="HM223" s="1175"/>
      <c r="HN223" s="1175"/>
      <c r="HO223" s="1175"/>
      <c r="HP223" s="1175"/>
      <c r="HQ223" s="1175"/>
      <c r="HR223" s="1175"/>
      <c r="HS223" s="1175"/>
      <c r="HT223" s="1175"/>
      <c r="HU223" s="1175"/>
      <c r="HV223" s="1175"/>
      <c r="HW223" s="1175"/>
      <c r="HX223" s="1175"/>
      <c r="HY223" s="1175"/>
      <c r="HZ223" s="1175"/>
      <c r="IA223" s="1175"/>
      <c r="IB223" s="1175"/>
      <c r="IC223" s="1175"/>
      <c r="ID223" s="1175"/>
      <c r="IE223" s="1175"/>
      <c r="IF223" s="1175"/>
      <c r="IG223" s="1175"/>
      <c r="IH223" s="1175"/>
      <c r="II223" s="1175"/>
      <c r="IJ223" s="1175"/>
      <c r="IK223" s="1175"/>
      <c r="IL223" s="1175"/>
      <c r="IM223" s="1175"/>
      <c r="IN223" s="1175"/>
      <c r="IO223" s="1175"/>
      <c r="IP223" s="1175"/>
      <c r="IQ223" s="1175"/>
      <c r="IR223" s="1175"/>
      <c r="IS223" s="1175"/>
      <c r="IT223" s="1175"/>
      <c r="IU223" s="1175"/>
      <c r="IV223" s="1175"/>
    </row>
    <row r="224" spans="1:256" s="1759" customFormat="1" outlineLevel="1">
      <c r="A224" s="1870" t="s">
        <v>2254</v>
      </c>
      <c r="B224" s="1867" t="s">
        <v>1371</v>
      </c>
      <c r="C224" s="1867" t="s">
        <v>1606</v>
      </c>
      <c r="D224" s="1868" t="s">
        <v>1371</v>
      </c>
      <c r="E224" s="1866" t="s">
        <v>2257</v>
      </c>
      <c r="F224" s="1864" t="s">
        <v>1732</v>
      </c>
      <c r="G224" s="1865"/>
      <c r="H224" s="1872">
        <v>1050000</v>
      </c>
      <c r="I224" s="1871"/>
      <c r="J224" s="1793"/>
      <c r="K224" s="1758"/>
      <c r="L224" s="1175"/>
      <c r="M224" s="1175"/>
      <c r="N224" s="1175"/>
      <c r="O224" s="1175"/>
      <c r="P224" s="1175"/>
      <c r="Q224" s="1175"/>
      <c r="R224" s="1175"/>
      <c r="S224" s="1175"/>
      <c r="T224" s="1175"/>
      <c r="U224" s="1175"/>
      <c r="V224" s="1175"/>
      <c r="W224" s="1175"/>
      <c r="X224" s="1175"/>
      <c r="Y224" s="1175"/>
      <c r="Z224" s="1175"/>
      <c r="AA224" s="1175"/>
      <c r="AB224" s="1175"/>
      <c r="AC224" s="1175"/>
      <c r="AD224" s="1175"/>
      <c r="AE224" s="1175"/>
      <c r="AF224" s="1175"/>
      <c r="AG224" s="1175"/>
      <c r="AH224" s="1175"/>
      <c r="AI224" s="1175"/>
      <c r="AJ224" s="1175"/>
      <c r="AK224" s="1175"/>
      <c r="AL224" s="1175"/>
      <c r="AM224" s="1175"/>
      <c r="AN224" s="1175"/>
      <c r="AO224" s="1175"/>
      <c r="AP224" s="1175"/>
      <c r="AQ224" s="1175"/>
      <c r="AR224" s="1175"/>
      <c r="AS224" s="1175"/>
      <c r="AT224" s="1175"/>
      <c r="AU224" s="1175"/>
      <c r="AV224" s="1175"/>
      <c r="AW224" s="1175"/>
      <c r="AX224" s="1175"/>
      <c r="AY224" s="1175"/>
      <c r="AZ224" s="1175"/>
      <c r="BA224" s="1175"/>
      <c r="BB224" s="1175"/>
      <c r="BC224" s="1175"/>
      <c r="BD224" s="1175"/>
      <c r="BE224" s="1175"/>
      <c r="BF224" s="1175"/>
      <c r="BG224" s="1175"/>
      <c r="BH224" s="1175"/>
      <c r="BI224" s="1175"/>
      <c r="BJ224" s="1175"/>
      <c r="BK224" s="1175"/>
      <c r="BL224" s="1175"/>
      <c r="BM224" s="1175"/>
      <c r="BN224" s="1175"/>
      <c r="BO224" s="1175"/>
      <c r="BP224" s="1175"/>
      <c r="BQ224" s="1175"/>
      <c r="BR224" s="1175"/>
      <c r="BS224" s="1175"/>
      <c r="BT224" s="1175"/>
      <c r="BU224" s="1175"/>
      <c r="BV224" s="1175"/>
      <c r="BW224" s="1175"/>
      <c r="BX224" s="1175"/>
      <c r="BY224" s="1175"/>
      <c r="BZ224" s="1175"/>
      <c r="CA224" s="1175"/>
      <c r="CB224" s="1175"/>
      <c r="CC224" s="1175"/>
      <c r="CD224" s="1175"/>
      <c r="CE224" s="1175"/>
      <c r="CF224" s="1175"/>
      <c r="CG224" s="1175"/>
      <c r="CH224" s="1175"/>
      <c r="CI224" s="1175"/>
      <c r="CJ224" s="1175"/>
      <c r="CK224" s="1175"/>
      <c r="CL224" s="1175"/>
      <c r="CM224" s="1175"/>
      <c r="CN224" s="1175"/>
      <c r="CO224" s="1175"/>
      <c r="CP224" s="1175"/>
      <c r="CQ224" s="1175"/>
      <c r="CR224" s="1175"/>
      <c r="CS224" s="1175"/>
      <c r="CT224" s="1175"/>
      <c r="CU224" s="1175"/>
      <c r="CV224" s="1175"/>
      <c r="CW224" s="1175"/>
      <c r="CX224" s="1175"/>
      <c r="CY224" s="1175"/>
      <c r="CZ224" s="1175"/>
      <c r="DA224" s="1175"/>
      <c r="DB224" s="1175"/>
      <c r="DC224" s="1175"/>
      <c r="DD224" s="1175"/>
      <c r="DE224" s="1175"/>
      <c r="DF224" s="1175"/>
      <c r="DG224" s="1175"/>
      <c r="DH224" s="1175"/>
      <c r="DI224" s="1175"/>
      <c r="DJ224" s="1175"/>
      <c r="DK224" s="1175"/>
      <c r="DL224" s="1175"/>
      <c r="DM224" s="1175"/>
      <c r="DN224" s="1175"/>
      <c r="DO224" s="1175"/>
      <c r="DP224" s="1175"/>
      <c r="DQ224" s="1175"/>
      <c r="DR224" s="1175"/>
      <c r="DS224" s="1175"/>
      <c r="DT224" s="1175"/>
      <c r="DU224" s="1175"/>
      <c r="DV224" s="1175"/>
      <c r="DW224" s="1175"/>
      <c r="DX224" s="1175"/>
      <c r="DY224" s="1175"/>
      <c r="DZ224" s="1175"/>
      <c r="EA224" s="1175"/>
      <c r="EB224" s="1175"/>
      <c r="EC224" s="1175"/>
      <c r="ED224" s="1175"/>
      <c r="EE224" s="1175"/>
      <c r="EF224" s="1175"/>
      <c r="EG224" s="1175"/>
      <c r="EH224" s="1175"/>
      <c r="EI224" s="1175"/>
      <c r="EJ224" s="1175"/>
      <c r="EK224" s="1175"/>
      <c r="EL224" s="1175"/>
      <c r="EM224" s="1175"/>
      <c r="EN224" s="1175"/>
      <c r="EO224" s="1175"/>
      <c r="EP224" s="1175"/>
      <c r="EQ224" s="1175"/>
      <c r="ER224" s="1175"/>
      <c r="ES224" s="1175"/>
      <c r="ET224" s="1175"/>
      <c r="EU224" s="1175"/>
      <c r="EV224" s="1175"/>
      <c r="EW224" s="1175"/>
      <c r="EX224" s="1175"/>
      <c r="EY224" s="1175"/>
      <c r="EZ224" s="1175"/>
      <c r="FA224" s="1175"/>
      <c r="FB224" s="1175"/>
      <c r="FC224" s="1175"/>
      <c r="FD224" s="1175"/>
      <c r="FE224" s="1175"/>
      <c r="FF224" s="1175"/>
      <c r="FG224" s="1175"/>
      <c r="FH224" s="1175"/>
      <c r="FI224" s="1175"/>
      <c r="FJ224" s="1175"/>
      <c r="FK224" s="1175"/>
      <c r="FL224" s="1175"/>
      <c r="FM224" s="1175"/>
      <c r="FN224" s="1175"/>
      <c r="FO224" s="1175"/>
      <c r="FP224" s="1175"/>
      <c r="FQ224" s="1175"/>
      <c r="FR224" s="1175"/>
      <c r="FS224" s="1175"/>
      <c r="FT224" s="1175"/>
      <c r="FU224" s="1175"/>
      <c r="FV224" s="1175"/>
      <c r="FW224" s="1175"/>
      <c r="FX224" s="1175"/>
      <c r="FY224" s="1175"/>
      <c r="FZ224" s="1175"/>
      <c r="GA224" s="1175"/>
      <c r="GB224" s="1175"/>
      <c r="GC224" s="1175"/>
      <c r="GD224" s="1175"/>
      <c r="GE224" s="1175"/>
      <c r="GF224" s="1175"/>
      <c r="GG224" s="1175"/>
      <c r="GH224" s="1175"/>
      <c r="GI224" s="1175"/>
      <c r="GJ224" s="1175"/>
      <c r="GK224" s="1175"/>
      <c r="GL224" s="1175"/>
      <c r="GM224" s="1175"/>
      <c r="GN224" s="1175"/>
      <c r="GO224" s="1175"/>
      <c r="GP224" s="1175"/>
      <c r="GQ224" s="1175"/>
      <c r="GR224" s="1175"/>
      <c r="GS224" s="1175"/>
      <c r="GT224" s="1175"/>
      <c r="GU224" s="1175"/>
      <c r="GV224" s="1175"/>
      <c r="GW224" s="1175"/>
      <c r="GX224" s="1175"/>
      <c r="GY224" s="1175"/>
      <c r="GZ224" s="1175"/>
      <c r="HA224" s="1175"/>
      <c r="HB224" s="1175"/>
      <c r="HC224" s="1175"/>
      <c r="HD224" s="1175"/>
      <c r="HE224" s="1175"/>
      <c r="HF224" s="1175"/>
      <c r="HG224" s="1175"/>
      <c r="HH224" s="1175"/>
      <c r="HI224" s="1175"/>
      <c r="HJ224" s="1175"/>
      <c r="HK224" s="1175"/>
      <c r="HL224" s="1175"/>
      <c r="HM224" s="1175"/>
      <c r="HN224" s="1175"/>
      <c r="HO224" s="1175"/>
      <c r="HP224" s="1175"/>
      <c r="HQ224" s="1175"/>
      <c r="HR224" s="1175"/>
      <c r="HS224" s="1175"/>
      <c r="HT224" s="1175"/>
      <c r="HU224" s="1175"/>
      <c r="HV224" s="1175"/>
      <c r="HW224" s="1175"/>
      <c r="HX224" s="1175"/>
      <c r="HY224" s="1175"/>
      <c r="HZ224" s="1175"/>
      <c r="IA224" s="1175"/>
      <c r="IB224" s="1175"/>
      <c r="IC224" s="1175"/>
      <c r="ID224" s="1175"/>
      <c r="IE224" s="1175"/>
      <c r="IF224" s="1175"/>
      <c r="IG224" s="1175"/>
      <c r="IH224" s="1175"/>
      <c r="II224" s="1175"/>
      <c r="IJ224" s="1175"/>
      <c r="IK224" s="1175"/>
      <c r="IL224" s="1175"/>
      <c r="IM224" s="1175"/>
      <c r="IN224" s="1175"/>
      <c r="IO224" s="1175"/>
      <c r="IP224" s="1175"/>
      <c r="IQ224" s="1175"/>
      <c r="IR224" s="1175"/>
      <c r="IS224" s="1175"/>
      <c r="IT224" s="1175"/>
      <c r="IU224" s="1175"/>
      <c r="IV224" s="1175"/>
    </row>
    <row r="225" spans="1:256" s="1759" customFormat="1" outlineLevel="1">
      <c r="A225" s="1870" t="s">
        <v>2258</v>
      </c>
      <c r="B225" s="1867" t="s">
        <v>1371</v>
      </c>
      <c r="C225" s="1867" t="s">
        <v>1606</v>
      </c>
      <c r="D225" s="1868" t="s">
        <v>1371</v>
      </c>
      <c r="E225" s="1866" t="s">
        <v>2259</v>
      </c>
      <c r="F225" s="1864" t="s">
        <v>271</v>
      </c>
      <c r="G225" s="1865"/>
      <c r="H225" s="1872">
        <v>330000</v>
      </c>
      <c r="I225" s="1871" t="s">
        <v>2260</v>
      </c>
      <c r="J225" s="1793"/>
      <c r="K225" s="1758"/>
      <c r="L225" s="1175"/>
      <c r="M225" s="1175"/>
      <c r="N225" s="1175"/>
      <c r="O225" s="1175"/>
      <c r="P225" s="1175"/>
      <c r="Q225" s="1175"/>
      <c r="R225" s="1175"/>
      <c r="S225" s="1175"/>
      <c r="T225" s="1175"/>
      <c r="U225" s="1175"/>
      <c r="V225" s="1175"/>
      <c r="W225" s="1175"/>
      <c r="X225" s="1175"/>
      <c r="Y225" s="1175"/>
      <c r="Z225" s="1175"/>
      <c r="AA225" s="1175"/>
      <c r="AB225" s="1175"/>
      <c r="AC225" s="1175"/>
      <c r="AD225" s="1175"/>
      <c r="AE225" s="1175"/>
      <c r="AF225" s="1175"/>
      <c r="AG225" s="1175"/>
      <c r="AH225" s="1175"/>
      <c r="AI225" s="1175"/>
      <c r="AJ225" s="1175"/>
      <c r="AK225" s="1175"/>
      <c r="AL225" s="1175"/>
      <c r="AM225" s="1175"/>
      <c r="AN225" s="1175"/>
      <c r="AO225" s="1175"/>
      <c r="AP225" s="1175"/>
      <c r="AQ225" s="1175"/>
      <c r="AR225" s="1175"/>
      <c r="AS225" s="1175"/>
      <c r="AT225" s="1175"/>
      <c r="AU225" s="1175"/>
      <c r="AV225" s="1175"/>
      <c r="AW225" s="1175"/>
      <c r="AX225" s="1175"/>
      <c r="AY225" s="1175"/>
      <c r="AZ225" s="1175"/>
      <c r="BA225" s="1175"/>
      <c r="BB225" s="1175"/>
      <c r="BC225" s="1175"/>
      <c r="BD225" s="1175"/>
      <c r="BE225" s="1175"/>
      <c r="BF225" s="1175"/>
      <c r="BG225" s="1175"/>
      <c r="BH225" s="1175"/>
      <c r="BI225" s="1175"/>
      <c r="BJ225" s="1175"/>
      <c r="BK225" s="1175"/>
      <c r="BL225" s="1175"/>
      <c r="BM225" s="1175"/>
      <c r="BN225" s="1175"/>
      <c r="BO225" s="1175"/>
      <c r="BP225" s="1175"/>
      <c r="BQ225" s="1175"/>
      <c r="BR225" s="1175"/>
      <c r="BS225" s="1175"/>
      <c r="BT225" s="1175"/>
      <c r="BU225" s="1175"/>
      <c r="BV225" s="1175"/>
      <c r="BW225" s="1175"/>
      <c r="BX225" s="1175"/>
      <c r="BY225" s="1175"/>
      <c r="BZ225" s="1175"/>
      <c r="CA225" s="1175"/>
      <c r="CB225" s="1175"/>
      <c r="CC225" s="1175"/>
      <c r="CD225" s="1175"/>
      <c r="CE225" s="1175"/>
      <c r="CF225" s="1175"/>
      <c r="CG225" s="1175"/>
      <c r="CH225" s="1175"/>
      <c r="CI225" s="1175"/>
      <c r="CJ225" s="1175"/>
      <c r="CK225" s="1175"/>
      <c r="CL225" s="1175"/>
      <c r="CM225" s="1175"/>
      <c r="CN225" s="1175"/>
      <c r="CO225" s="1175"/>
      <c r="CP225" s="1175"/>
      <c r="CQ225" s="1175"/>
      <c r="CR225" s="1175"/>
      <c r="CS225" s="1175"/>
      <c r="CT225" s="1175"/>
      <c r="CU225" s="1175"/>
      <c r="CV225" s="1175"/>
      <c r="CW225" s="1175"/>
      <c r="CX225" s="1175"/>
      <c r="CY225" s="1175"/>
      <c r="CZ225" s="1175"/>
      <c r="DA225" s="1175"/>
      <c r="DB225" s="1175"/>
      <c r="DC225" s="1175"/>
      <c r="DD225" s="1175"/>
      <c r="DE225" s="1175"/>
      <c r="DF225" s="1175"/>
      <c r="DG225" s="1175"/>
      <c r="DH225" s="1175"/>
      <c r="DI225" s="1175"/>
      <c r="DJ225" s="1175"/>
      <c r="DK225" s="1175"/>
      <c r="DL225" s="1175"/>
      <c r="DM225" s="1175"/>
      <c r="DN225" s="1175"/>
      <c r="DO225" s="1175"/>
      <c r="DP225" s="1175"/>
      <c r="DQ225" s="1175"/>
      <c r="DR225" s="1175"/>
      <c r="DS225" s="1175"/>
      <c r="DT225" s="1175"/>
      <c r="DU225" s="1175"/>
      <c r="DV225" s="1175"/>
      <c r="DW225" s="1175"/>
      <c r="DX225" s="1175"/>
      <c r="DY225" s="1175"/>
      <c r="DZ225" s="1175"/>
      <c r="EA225" s="1175"/>
      <c r="EB225" s="1175"/>
      <c r="EC225" s="1175"/>
      <c r="ED225" s="1175"/>
      <c r="EE225" s="1175"/>
      <c r="EF225" s="1175"/>
      <c r="EG225" s="1175"/>
      <c r="EH225" s="1175"/>
      <c r="EI225" s="1175"/>
      <c r="EJ225" s="1175"/>
      <c r="EK225" s="1175"/>
      <c r="EL225" s="1175"/>
      <c r="EM225" s="1175"/>
      <c r="EN225" s="1175"/>
      <c r="EO225" s="1175"/>
      <c r="EP225" s="1175"/>
      <c r="EQ225" s="1175"/>
      <c r="ER225" s="1175"/>
      <c r="ES225" s="1175"/>
      <c r="ET225" s="1175"/>
      <c r="EU225" s="1175"/>
      <c r="EV225" s="1175"/>
      <c r="EW225" s="1175"/>
      <c r="EX225" s="1175"/>
      <c r="EY225" s="1175"/>
      <c r="EZ225" s="1175"/>
      <c r="FA225" s="1175"/>
      <c r="FB225" s="1175"/>
      <c r="FC225" s="1175"/>
      <c r="FD225" s="1175"/>
      <c r="FE225" s="1175"/>
      <c r="FF225" s="1175"/>
      <c r="FG225" s="1175"/>
      <c r="FH225" s="1175"/>
      <c r="FI225" s="1175"/>
      <c r="FJ225" s="1175"/>
      <c r="FK225" s="1175"/>
      <c r="FL225" s="1175"/>
      <c r="FM225" s="1175"/>
      <c r="FN225" s="1175"/>
      <c r="FO225" s="1175"/>
      <c r="FP225" s="1175"/>
      <c r="FQ225" s="1175"/>
      <c r="FR225" s="1175"/>
      <c r="FS225" s="1175"/>
      <c r="FT225" s="1175"/>
      <c r="FU225" s="1175"/>
      <c r="FV225" s="1175"/>
      <c r="FW225" s="1175"/>
      <c r="FX225" s="1175"/>
      <c r="FY225" s="1175"/>
      <c r="FZ225" s="1175"/>
      <c r="GA225" s="1175"/>
      <c r="GB225" s="1175"/>
      <c r="GC225" s="1175"/>
      <c r="GD225" s="1175"/>
      <c r="GE225" s="1175"/>
      <c r="GF225" s="1175"/>
      <c r="GG225" s="1175"/>
      <c r="GH225" s="1175"/>
      <c r="GI225" s="1175"/>
      <c r="GJ225" s="1175"/>
      <c r="GK225" s="1175"/>
      <c r="GL225" s="1175"/>
      <c r="GM225" s="1175"/>
      <c r="GN225" s="1175"/>
      <c r="GO225" s="1175"/>
      <c r="GP225" s="1175"/>
      <c r="GQ225" s="1175"/>
      <c r="GR225" s="1175"/>
      <c r="GS225" s="1175"/>
      <c r="GT225" s="1175"/>
      <c r="GU225" s="1175"/>
      <c r="GV225" s="1175"/>
      <c r="GW225" s="1175"/>
      <c r="GX225" s="1175"/>
      <c r="GY225" s="1175"/>
      <c r="GZ225" s="1175"/>
      <c r="HA225" s="1175"/>
      <c r="HB225" s="1175"/>
      <c r="HC225" s="1175"/>
      <c r="HD225" s="1175"/>
      <c r="HE225" s="1175"/>
      <c r="HF225" s="1175"/>
      <c r="HG225" s="1175"/>
      <c r="HH225" s="1175"/>
      <c r="HI225" s="1175"/>
      <c r="HJ225" s="1175"/>
      <c r="HK225" s="1175"/>
      <c r="HL225" s="1175"/>
      <c r="HM225" s="1175"/>
      <c r="HN225" s="1175"/>
      <c r="HO225" s="1175"/>
      <c r="HP225" s="1175"/>
      <c r="HQ225" s="1175"/>
      <c r="HR225" s="1175"/>
      <c r="HS225" s="1175"/>
      <c r="HT225" s="1175"/>
      <c r="HU225" s="1175"/>
      <c r="HV225" s="1175"/>
      <c r="HW225" s="1175"/>
      <c r="HX225" s="1175"/>
      <c r="HY225" s="1175"/>
      <c r="HZ225" s="1175"/>
      <c r="IA225" s="1175"/>
      <c r="IB225" s="1175"/>
      <c r="IC225" s="1175"/>
      <c r="ID225" s="1175"/>
      <c r="IE225" s="1175"/>
      <c r="IF225" s="1175"/>
      <c r="IG225" s="1175"/>
      <c r="IH225" s="1175"/>
      <c r="II225" s="1175"/>
      <c r="IJ225" s="1175"/>
      <c r="IK225" s="1175"/>
      <c r="IL225" s="1175"/>
      <c r="IM225" s="1175"/>
      <c r="IN225" s="1175"/>
      <c r="IO225" s="1175"/>
      <c r="IP225" s="1175"/>
      <c r="IQ225" s="1175"/>
      <c r="IR225" s="1175"/>
      <c r="IS225" s="1175"/>
      <c r="IT225" s="1175"/>
      <c r="IU225" s="1175"/>
      <c r="IV225" s="1175"/>
    </row>
    <row r="226" spans="1:256" s="1759" customFormat="1" outlineLevel="1">
      <c r="A226" s="1870" t="s">
        <v>2258</v>
      </c>
      <c r="B226" s="1867" t="s">
        <v>2255</v>
      </c>
      <c r="C226" s="1867" t="s">
        <v>1606</v>
      </c>
      <c r="D226" s="1868" t="s">
        <v>2255</v>
      </c>
      <c r="E226" s="1866" t="s">
        <v>2256</v>
      </c>
      <c r="F226" s="1864" t="s">
        <v>271</v>
      </c>
      <c r="G226" s="1865"/>
      <c r="H226" s="1872">
        <v>30000</v>
      </c>
      <c r="I226" s="1871"/>
      <c r="J226" s="1793"/>
      <c r="K226" s="1758"/>
      <c r="L226" s="1175"/>
      <c r="M226" s="1175"/>
      <c r="N226" s="1175"/>
      <c r="O226" s="1175"/>
      <c r="P226" s="1175"/>
      <c r="Q226" s="1175"/>
      <c r="R226" s="1175"/>
      <c r="S226" s="1175"/>
      <c r="T226" s="1175"/>
      <c r="U226" s="1175"/>
      <c r="V226" s="1175"/>
      <c r="W226" s="1175"/>
      <c r="X226" s="1175"/>
      <c r="Y226" s="1175"/>
      <c r="Z226" s="1175"/>
      <c r="AA226" s="1175"/>
      <c r="AB226" s="1175"/>
      <c r="AC226" s="1175"/>
      <c r="AD226" s="1175"/>
      <c r="AE226" s="1175"/>
      <c r="AF226" s="1175"/>
      <c r="AG226" s="1175"/>
      <c r="AH226" s="1175"/>
      <c r="AI226" s="1175"/>
      <c r="AJ226" s="1175"/>
      <c r="AK226" s="1175"/>
      <c r="AL226" s="1175"/>
      <c r="AM226" s="1175"/>
      <c r="AN226" s="1175"/>
      <c r="AO226" s="1175"/>
      <c r="AP226" s="1175"/>
      <c r="AQ226" s="1175"/>
      <c r="AR226" s="1175"/>
      <c r="AS226" s="1175"/>
      <c r="AT226" s="1175"/>
      <c r="AU226" s="1175"/>
      <c r="AV226" s="1175"/>
      <c r="AW226" s="1175"/>
      <c r="AX226" s="1175"/>
      <c r="AY226" s="1175"/>
      <c r="AZ226" s="1175"/>
      <c r="BA226" s="1175"/>
      <c r="BB226" s="1175"/>
      <c r="BC226" s="1175"/>
      <c r="BD226" s="1175"/>
      <c r="BE226" s="1175"/>
      <c r="BF226" s="1175"/>
      <c r="BG226" s="1175"/>
      <c r="BH226" s="1175"/>
      <c r="BI226" s="1175"/>
      <c r="BJ226" s="1175"/>
      <c r="BK226" s="1175"/>
      <c r="BL226" s="1175"/>
      <c r="BM226" s="1175"/>
      <c r="BN226" s="1175"/>
      <c r="BO226" s="1175"/>
      <c r="BP226" s="1175"/>
      <c r="BQ226" s="1175"/>
      <c r="BR226" s="1175"/>
      <c r="BS226" s="1175"/>
      <c r="BT226" s="1175"/>
      <c r="BU226" s="1175"/>
      <c r="BV226" s="1175"/>
      <c r="BW226" s="1175"/>
      <c r="BX226" s="1175"/>
      <c r="BY226" s="1175"/>
      <c r="BZ226" s="1175"/>
      <c r="CA226" s="1175"/>
      <c r="CB226" s="1175"/>
      <c r="CC226" s="1175"/>
      <c r="CD226" s="1175"/>
      <c r="CE226" s="1175"/>
      <c r="CF226" s="1175"/>
      <c r="CG226" s="1175"/>
      <c r="CH226" s="1175"/>
      <c r="CI226" s="1175"/>
      <c r="CJ226" s="1175"/>
      <c r="CK226" s="1175"/>
      <c r="CL226" s="1175"/>
      <c r="CM226" s="1175"/>
      <c r="CN226" s="1175"/>
      <c r="CO226" s="1175"/>
      <c r="CP226" s="1175"/>
      <c r="CQ226" s="1175"/>
      <c r="CR226" s="1175"/>
      <c r="CS226" s="1175"/>
      <c r="CT226" s="1175"/>
      <c r="CU226" s="1175"/>
      <c r="CV226" s="1175"/>
      <c r="CW226" s="1175"/>
      <c r="CX226" s="1175"/>
      <c r="CY226" s="1175"/>
      <c r="CZ226" s="1175"/>
      <c r="DA226" s="1175"/>
      <c r="DB226" s="1175"/>
      <c r="DC226" s="1175"/>
      <c r="DD226" s="1175"/>
      <c r="DE226" s="1175"/>
      <c r="DF226" s="1175"/>
      <c r="DG226" s="1175"/>
      <c r="DH226" s="1175"/>
      <c r="DI226" s="1175"/>
      <c r="DJ226" s="1175"/>
      <c r="DK226" s="1175"/>
      <c r="DL226" s="1175"/>
      <c r="DM226" s="1175"/>
      <c r="DN226" s="1175"/>
      <c r="DO226" s="1175"/>
      <c r="DP226" s="1175"/>
      <c r="DQ226" s="1175"/>
      <c r="DR226" s="1175"/>
      <c r="DS226" s="1175"/>
      <c r="DT226" s="1175"/>
      <c r="DU226" s="1175"/>
      <c r="DV226" s="1175"/>
      <c r="DW226" s="1175"/>
      <c r="DX226" s="1175"/>
      <c r="DY226" s="1175"/>
      <c r="DZ226" s="1175"/>
      <c r="EA226" s="1175"/>
      <c r="EB226" s="1175"/>
      <c r="EC226" s="1175"/>
      <c r="ED226" s="1175"/>
      <c r="EE226" s="1175"/>
      <c r="EF226" s="1175"/>
      <c r="EG226" s="1175"/>
      <c r="EH226" s="1175"/>
      <c r="EI226" s="1175"/>
      <c r="EJ226" s="1175"/>
      <c r="EK226" s="1175"/>
      <c r="EL226" s="1175"/>
      <c r="EM226" s="1175"/>
      <c r="EN226" s="1175"/>
      <c r="EO226" s="1175"/>
      <c r="EP226" s="1175"/>
      <c r="EQ226" s="1175"/>
      <c r="ER226" s="1175"/>
      <c r="ES226" s="1175"/>
      <c r="ET226" s="1175"/>
      <c r="EU226" s="1175"/>
      <c r="EV226" s="1175"/>
      <c r="EW226" s="1175"/>
      <c r="EX226" s="1175"/>
      <c r="EY226" s="1175"/>
      <c r="EZ226" s="1175"/>
      <c r="FA226" s="1175"/>
      <c r="FB226" s="1175"/>
      <c r="FC226" s="1175"/>
      <c r="FD226" s="1175"/>
      <c r="FE226" s="1175"/>
      <c r="FF226" s="1175"/>
      <c r="FG226" s="1175"/>
      <c r="FH226" s="1175"/>
      <c r="FI226" s="1175"/>
      <c r="FJ226" s="1175"/>
      <c r="FK226" s="1175"/>
      <c r="FL226" s="1175"/>
      <c r="FM226" s="1175"/>
      <c r="FN226" s="1175"/>
      <c r="FO226" s="1175"/>
      <c r="FP226" s="1175"/>
      <c r="FQ226" s="1175"/>
      <c r="FR226" s="1175"/>
      <c r="FS226" s="1175"/>
      <c r="FT226" s="1175"/>
      <c r="FU226" s="1175"/>
      <c r="FV226" s="1175"/>
      <c r="FW226" s="1175"/>
      <c r="FX226" s="1175"/>
      <c r="FY226" s="1175"/>
      <c r="FZ226" s="1175"/>
      <c r="GA226" s="1175"/>
      <c r="GB226" s="1175"/>
      <c r="GC226" s="1175"/>
      <c r="GD226" s="1175"/>
      <c r="GE226" s="1175"/>
      <c r="GF226" s="1175"/>
      <c r="GG226" s="1175"/>
      <c r="GH226" s="1175"/>
      <c r="GI226" s="1175"/>
      <c r="GJ226" s="1175"/>
      <c r="GK226" s="1175"/>
      <c r="GL226" s="1175"/>
      <c r="GM226" s="1175"/>
      <c r="GN226" s="1175"/>
      <c r="GO226" s="1175"/>
      <c r="GP226" s="1175"/>
      <c r="GQ226" s="1175"/>
      <c r="GR226" s="1175"/>
      <c r="GS226" s="1175"/>
      <c r="GT226" s="1175"/>
      <c r="GU226" s="1175"/>
      <c r="GV226" s="1175"/>
      <c r="GW226" s="1175"/>
      <c r="GX226" s="1175"/>
      <c r="GY226" s="1175"/>
      <c r="GZ226" s="1175"/>
      <c r="HA226" s="1175"/>
      <c r="HB226" s="1175"/>
      <c r="HC226" s="1175"/>
      <c r="HD226" s="1175"/>
      <c r="HE226" s="1175"/>
      <c r="HF226" s="1175"/>
      <c r="HG226" s="1175"/>
      <c r="HH226" s="1175"/>
      <c r="HI226" s="1175"/>
      <c r="HJ226" s="1175"/>
      <c r="HK226" s="1175"/>
      <c r="HL226" s="1175"/>
      <c r="HM226" s="1175"/>
      <c r="HN226" s="1175"/>
      <c r="HO226" s="1175"/>
      <c r="HP226" s="1175"/>
      <c r="HQ226" s="1175"/>
      <c r="HR226" s="1175"/>
      <c r="HS226" s="1175"/>
      <c r="HT226" s="1175"/>
      <c r="HU226" s="1175"/>
      <c r="HV226" s="1175"/>
      <c r="HW226" s="1175"/>
      <c r="HX226" s="1175"/>
      <c r="HY226" s="1175"/>
      <c r="HZ226" s="1175"/>
      <c r="IA226" s="1175"/>
      <c r="IB226" s="1175"/>
      <c r="IC226" s="1175"/>
      <c r="ID226" s="1175"/>
      <c r="IE226" s="1175"/>
      <c r="IF226" s="1175"/>
      <c r="IG226" s="1175"/>
      <c r="IH226" s="1175"/>
      <c r="II226" s="1175"/>
      <c r="IJ226" s="1175"/>
      <c r="IK226" s="1175"/>
      <c r="IL226" s="1175"/>
      <c r="IM226" s="1175"/>
      <c r="IN226" s="1175"/>
      <c r="IO226" s="1175"/>
      <c r="IP226" s="1175"/>
      <c r="IQ226" s="1175"/>
      <c r="IR226" s="1175"/>
      <c r="IS226" s="1175"/>
      <c r="IT226" s="1175"/>
      <c r="IU226" s="1175"/>
      <c r="IV226" s="1175"/>
    </row>
    <row r="227" spans="1:256" s="1759" customFormat="1" outlineLevel="1">
      <c r="A227" s="1870" t="s">
        <v>2258</v>
      </c>
      <c r="B227" s="1867" t="s">
        <v>1406</v>
      </c>
      <c r="C227" s="1867" t="s">
        <v>1606</v>
      </c>
      <c r="D227" s="1868" t="s">
        <v>1406</v>
      </c>
      <c r="E227" s="1866" t="s">
        <v>1777</v>
      </c>
      <c r="F227" s="1864" t="s">
        <v>271</v>
      </c>
      <c r="G227" s="1865"/>
      <c r="H227" s="1872">
        <v>120000</v>
      </c>
      <c r="I227" s="1871"/>
      <c r="J227" s="1793"/>
      <c r="K227" s="1758"/>
      <c r="L227" s="1175"/>
      <c r="M227" s="1175"/>
      <c r="N227" s="1175"/>
      <c r="O227" s="1175"/>
      <c r="P227" s="1175"/>
      <c r="Q227" s="1175"/>
      <c r="R227" s="1175"/>
      <c r="S227" s="1175"/>
      <c r="T227" s="1175"/>
      <c r="U227" s="1175"/>
      <c r="V227" s="1175"/>
      <c r="W227" s="1175"/>
      <c r="X227" s="1175"/>
      <c r="Y227" s="1175"/>
      <c r="Z227" s="1175"/>
      <c r="AA227" s="1175"/>
      <c r="AB227" s="1175"/>
      <c r="AC227" s="1175"/>
      <c r="AD227" s="1175"/>
      <c r="AE227" s="1175"/>
      <c r="AF227" s="1175"/>
      <c r="AG227" s="1175"/>
      <c r="AH227" s="1175"/>
      <c r="AI227" s="1175"/>
      <c r="AJ227" s="1175"/>
      <c r="AK227" s="1175"/>
      <c r="AL227" s="1175"/>
      <c r="AM227" s="1175"/>
      <c r="AN227" s="1175"/>
      <c r="AO227" s="1175"/>
      <c r="AP227" s="1175"/>
      <c r="AQ227" s="1175"/>
      <c r="AR227" s="1175"/>
      <c r="AS227" s="1175"/>
      <c r="AT227" s="1175"/>
      <c r="AU227" s="1175"/>
      <c r="AV227" s="1175"/>
      <c r="AW227" s="1175"/>
      <c r="AX227" s="1175"/>
      <c r="AY227" s="1175"/>
      <c r="AZ227" s="1175"/>
      <c r="BA227" s="1175"/>
      <c r="BB227" s="1175"/>
      <c r="BC227" s="1175"/>
      <c r="BD227" s="1175"/>
      <c r="BE227" s="1175"/>
      <c r="BF227" s="1175"/>
      <c r="BG227" s="1175"/>
      <c r="BH227" s="1175"/>
      <c r="BI227" s="1175"/>
      <c r="BJ227" s="1175"/>
      <c r="BK227" s="1175"/>
      <c r="BL227" s="1175"/>
      <c r="BM227" s="1175"/>
      <c r="BN227" s="1175"/>
      <c r="BO227" s="1175"/>
      <c r="BP227" s="1175"/>
      <c r="BQ227" s="1175"/>
      <c r="BR227" s="1175"/>
      <c r="BS227" s="1175"/>
      <c r="BT227" s="1175"/>
      <c r="BU227" s="1175"/>
      <c r="BV227" s="1175"/>
      <c r="BW227" s="1175"/>
      <c r="BX227" s="1175"/>
      <c r="BY227" s="1175"/>
      <c r="BZ227" s="1175"/>
      <c r="CA227" s="1175"/>
      <c r="CB227" s="1175"/>
      <c r="CC227" s="1175"/>
      <c r="CD227" s="1175"/>
      <c r="CE227" s="1175"/>
      <c r="CF227" s="1175"/>
      <c r="CG227" s="1175"/>
      <c r="CH227" s="1175"/>
      <c r="CI227" s="1175"/>
      <c r="CJ227" s="1175"/>
      <c r="CK227" s="1175"/>
      <c r="CL227" s="1175"/>
      <c r="CM227" s="1175"/>
      <c r="CN227" s="1175"/>
      <c r="CO227" s="1175"/>
      <c r="CP227" s="1175"/>
      <c r="CQ227" s="1175"/>
      <c r="CR227" s="1175"/>
      <c r="CS227" s="1175"/>
      <c r="CT227" s="1175"/>
      <c r="CU227" s="1175"/>
      <c r="CV227" s="1175"/>
      <c r="CW227" s="1175"/>
      <c r="CX227" s="1175"/>
      <c r="CY227" s="1175"/>
      <c r="CZ227" s="1175"/>
      <c r="DA227" s="1175"/>
      <c r="DB227" s="1175"/>
      <c r="DC227" s="1175"/>
      <c r="DD227" s="1175"/>
      <c r="DE227" s="1175"/>
      <c r="DF227" s="1175"/>
      <c r="DG227" s="1175"/>
      <c r="DH227" s="1175"/>
      <c r="DI227" s="1175"/>
      <c r="DJ227" s="1175"/>
      <c r="DK227" s="1175"/>
      <c r="DL227" s="1175"/>
      <c r="DM227" s="1175"/>
      <c r="DN227" s="1175"/>
      <c r="DO227" s="1175"/>
      <c r="DP227" s="1175"/>
      <c r="DQ227" s="1175"/>
      <c r="DR227" s="1175"/>
      <c r="DS227" s="1175"/>
      <c r="DT227" s="1175"/>
      <c r="DU227" s="1175"/>
      <c r="DV227" s="1175"/>
      <c r="DW227" s="1175"/>
      <c r="DX227" s="1175"/>
      <c r="DY227" s="1175"/>
      <c r="DZ227" s="1175"/>
      <c r="EA227" s="1175"/>
      <c r="EB227" s="1175"/>
      <c r="EC227" s="1175"/>
      <c r="ED227" s="1175"/>
      <c r="EE227" s="1175"/>
      <c r="EF227" s="1175"/>
      <c r="EG227" s="1175"/>
      <c r="EH227" s="1175"/>
      <c r="EI227" s="1175"/>
      <c r="EJ227" s="1175"/>
      <c r="EK227" s="1175"/>
      <c r="EL227" s="1175"/>
      <c r="EM227" s="1175"/>
      <c r="EN227" s="1175"/>
      <c r="EO227" s="1175"/>
      <c r="EP227" s="1175"/>
      <c r="EQ227" s="1175"/>
      <c r="ER227" s="1175"/>
      <c r="ES227" s="1175"/>
      <c r="ET227" s="1175"/>
      <c r="EU227" s="1175"/>
      <c r="EV227" s="1175"/>
      <c r="EW227" s="1175"/>
      <c r="EX227" s="1175"/>
      <c r="EY227" s="1175"/>
      <c r="EZ227" s="1175"/>
      <c r="FA227" s="1175"/>
      <c r="FB227" s="1175"/>
      <c r="FC227" s="1175"/>
      <c r="FD227" s="1175"/>
      <c r="FE227" s="1175"/>
      <c r="FF227" s="1175"/>
      <c r="FG227" s="1175"/>
      <c r="FH227" s="1175"/>
      <c r="FI227" s="1175"/>
      <c r="FJ227" s="1175"/>
      <c r="FK227" s="1175"/>
      <c r="FL227" s="1175"/>
      <c r="FM227" s="1175"/>
      <c r="FN227" s="1175"/>
      <c r="FO227" s="1175"/>
      <c r="FP227" s="1175"/>
      <c r="FQ227" s="1175"/>
      <c r="FR227" s="1175"/>
      <c r="FS227" s="1175"/>
      <c r="FT227" s="1175"/>
      <c r="FU227" s="1175"/>
      <c r="FV227" s="1175"/>
      <c r="FW227" s="1175"/>
      <c r="FX227" s="1175"/>
      <c r="FY227" s="1175"/>
      <c r="FZ227" s="1175"/>
      <c r="GA227" s="1175"/>
      <c r="GB227" s="1175"/>
      <c r="GC227" s="1175"/>
      <c r="GD227" s="1175"/>
      <c r="GE227" s="1175"/>
      <c r="GF227" s="1175"/>
      <c r="GG227" s="1175"/>
      <c r="GH227" s="1175"/>
      <c r="GI227" s="1175"/>
      <c r="GJ227" s="1175"/>
      <c r="GK227" s="1175"/>
      <c r="GL227" s="1175"/>
      <c r="GM227" s="1175"/>
      <c r="GN227" s="1175"/>
      <c r="GO227" s="1175"/>
      <c r="GP227" s="1175"/>
      <c r="GQ227" s="1175"/>
      <c r="GR227" s="1175"/>
      <c r="GS227" s="1175"/>
      <c r="GT227" s="1175"/>
      <c r="GU227" s="1175"/>
      <c r="GV227" s="1175"/>
      <c r="GW227" s="1175"/>
      <c r="GX227" s="1175"/>
      <c r="GY227" s="1175"/>
      <c r="GZ227" s="1175"/>
      <c r="HA227" s="1175"/>
      <c r="HB227" s="1175"/>
      <c r="HC227" s="1175"/>
      <c r="HD227" s="1175"/>
      <c r="HE227" s="1175"/>
      <c r="HF227" s="1175"/>
      <c r="HG227" s="1175"/>
      <c r="HH227" s="1175"/>
      <c r="HI227" s="1175"/>
      <c r="HJ227" s="1175"/>
      <c r="HK227" s="1175"/>
      <c r="HL227" s="1175"/>
      <c r="HM227" s="1175"/>
      <c r="HN227" s="1175"/>
      <c r="HO227" s="1175"/>
      <c r="HP227" s="1175"/>
      <c r="HQ227" s="1175"/>
      <c r="HR227" s="1175"/>
      <c r="HS227" s="1175"/>
      <c r="HT227" s="1175"/>
      <c r="HU227" s="1175"/>
      <c r="HV227" s="1175"/>
      <c r="HW227" s="1175"/>
      <c r="HX227" s="1175"/>
      <c r="HY227" s="1175"/>
      <c r="HZ227" s="1175"/>
      <c r="IA227" s="1175"/>
      <c r="IB227" s="1175"/>
      <c r="IC227" s="1175"/>
      <c r="ID227" s="1175"/>
      <c r="IE227" s="1175"/>
      <c r="IF227" s="1175"/>
      <c r="IG227" s="1175"/>
      <c r="IH227" s="1175"/>
      <c r="II227" s="1175"/>
      <c r="IJ227" s="1175"/>
      <c r="IK227" s="1175"/>
      <c r="IL227" s="1175"/>
      <c r="IM227" s="1175"/>
      <c r="IN227" s="1175"/>
      <c r="IO227" s="1175"/>
      <c r="IP227" s="1175"/>
      <c r="IQ227" s="1175"/>
      <c r="IR227" s="1175"/>
      <c r="IS227" s="1175"/>
      <c r="IT227" s="1175"/>
      <c r="IU227" s="1175"/>
      <c r="IV227" s="1175"/>
    </row>
    <row r="228" spans="1:256" s="1759" customFormat="1" outlineLevel="1">
      <c r="A228" s="1870" t="s">
        <v>2261</v>
      </c>
      <c r="B228" s="1867" t="s">
        <v>1654</v>
      </c>
      <c r="C228" s="1867" t="s">
        <v>1606</v>
      </c>
      <c r="D228" s="1868" t="s">
        <v>1654</v>
      </c>
      <c r="E228" s="1866" t="s">
        <v>2262</v>
      </c>
      <c r="F228" s="1864" t="s">
        <v>271</v>
      </c>
      <c r="G228" s="1865"/>
      <c r="H228" s="1872">
        <v>60000</v>
      </c>
      <c r="I228" s="1871" t="s">
        <v>2263</v>
      </c>
      <c r="J228" s="1793"/>
      <c r="K228" s="1758"/>
      <c r="L228" s="1175"/>
      <c r="M228" s="1175"/>
      <c r="N228" s="1175"/>
      <c r="O228" s="1175"/>
      <c r="P228" s="1175"/>
      <c r="Q228" s="1175"/>
      <c r="R228" s="1175"/>
      <c r="S228" s="1175"/>
      <c r="T228" s="1175"/>
      <c r="U228" s="1175"/>
      <c r="V228" s="1175"/>
      <c r="W228" s="1175"/>
      <c r="X228" s="1175"/>
      <c r="Y228" s="1175"/>
      <c r="Z228" s="1175"/>
      <c r="AA228" s="1175"/>
      <c r="AB228" s="1175"/>
      <c r="AC228" s="1175"/>
      <c r="AD228" s="1175"/>
      <c r="AE228" s="1175"/>
      <c r="AF228" s="1175"/>
      <c r="AG228" s="1175"/>
      <c r="AH228" s="1175"/>
      <c r="AI228" s="1175"/>
      <c r="AJ228" s="1175"/>
      <c r="AK228" s="1175"/>
      <c r="AL228" s="1175"/>
      <c r="AM228" s="1175"/>
      <c r="AN228" s="1175"/>
      <c r="AO228" s="1175"/>
      <c r="AP228" s="1175"/>
      <c r="AQ228" s="1175"/>
      <c r="AR228" s="1175"/>
      <c r="AS228" s="1175"/>
      <c r="AT228" s="1175"/>
      <c r="AU228" s="1175"/>
      <c r="AV228" s="1175"/>
      <c r="AW228" s="1175"/>
      <c r="AX228" s="1175"/>
      <c r="AY228" s="1175"/>
      <c r="AZ228" s="1175"/>
      <c r="BA228" s="1175"/>
      <c r="BB228" s="1175"/>
      <c r="BC228" s="1175"/>
      <c r="BD228" s="1175"/>
      <c r="BE228" s="1175"/>
      <c r="BF228" s="1175"/>
      <c r="BG228" s="1175"/>
      <c r="BH228" s="1175"/>
      <c r="BI228" s="1175"/>
      <c r="BJ228" s="1175"/>
      <c r="BK228" s="1175"/>
      <c r="BL228" s="1175"/>
      <c r="BM228" s="1175"/>
      <c r="BN228" s="1175"/>
      <c r="BO228" s="1175"/>
      <c r="BP228" s="1175"/>
      <c r="BQ228" s="1175"/>
      <c r="BR228" s="1175"/>
      <c r="BS228" s="1175"/>
      <c r="BT228" s="1175"/>
      <c r="BU228" s="1175"/>
      <c r="BV228" s="1175"/>
      <c r="BW228" s="1175"/>
      <c r="BX228" s="1175"/>
      <c r="BY228" s="1175"/>
      <c r="BZ228" s="1175"/>
      <c r="CA228" s="1175"/>
      <c r="CB228" s="1175"/>
      <c r="CC228" s="1175"/>
      <c r="CD228" s="1175"/>
      <c r="CE228" s="1175"/>
      <c r="CF228" s="1175"/>
      <c r="CG228" s="1175"/>
      <c r="CH228" s="1175"/>
      <c r="CI228" s="1175"/>
      <c r="CJ228" s="1175"/>
      <c r="CK228" s="1175"/>
      <c r="CL228" s="1175"/>
      <c r="CM228" s="1175"/>
      <c r="CN228" s="1175"/>
      <c r="CO228" s="1175"/>
      <c r="CP228" s="1175"/>
      <c r="CQ228" s="1175"/>
      <c r="CR228" s="1175"/>
      <c r="CS228" s="1175"/>
      <c r="CT228" s="1175"/>
      <c r="CU228" s="1175"/>
      <c r="CV228" s="1175"/>
      <c r="CW228" s="1175"/>
      <c r="CX228" s="1175"/>
      <c r="CY228" s="1175"/>
      <c r="CZ228" s="1175"/>
      <c r="DA228" s="1175"/>
      <c r="DB228" s="1175"/>
      <c r="DC228" s="1175"/>
      <c r="DD228" s="1175"/>
      <c r="DE228" s="1175"/>
      <c r="DF228" s="1175"/>
      <c r="DG228" s="1175"/>
      <c r="DH228" s="1175"/>
      <c r="DI228" s="1175"/>
      <c r="DJ228" s="1175"/>
      <c r="DK228" s="1175"/>
      <c r="DL228" s="1175"/>
      <c r="DM228" s="1175"/>
      <c r="DN228" s="1175"/>
      <c r="DO228" s="1175"/>
      <c r="DP228" s="1175"/>
      <c r="DQ228" s="1175"/>
      <c r="DR228" s="1175"/>
      <c r="DS228" s="1175"/>
      <c r="DT228" s="1175"/>
      <c r="DU228" s="1175"/>
      <c r="DV228" s="1175"/>
      <c r="DW228" s="1175"/>
      <c r="DX228" s="1175"/>
      <c r="DY228" s="1175"/>
      <c r="DZ228" s="1175"/>
      <c r="EA228" s="1175"/>
      <c r="EB228" s="1175"/>
      <c r="EC228" s="1175"/>
      <c r="ED228" s="1175"/>
      <c r="EE228" s="1175"/>
      <c r="EF228" s="1175"/>
      <c r="EG228" s="1175"/>
      <c r="EH228" s="1175"/>
      <c r="EI228" s="1175"/>
      <c r="EJ228" s="1175"/>
      <c r="EK228" s="1175"/>
      <c r="EL228" s="1175"/>
      <c r="EM228" s="1175"/>
      <c r="EN228" s="1175"/>
      <c r="EO228" s="1175"/>
      <c r="EP228" s="1175"/>
      <c r="EQ228" s="1175"/>
      <c r="ER228" s="1175"/>
      <c r="ES228" s="1175"/>
      <c r="ET228" s="1175"/>
      <c r="EU228" s="1175"/>
      <c r="EV228" s="1175"/>
      <c r="EW228" s="1175"/>
      <c r="EX228" s="1175"/>
      <c r="EY228" s="1175"/>
      <c r="EZ228" s="1175"/>
      <c r="FA228" s="1175"/>
      <c r="FB228" s="1175"/>
      <c r="FC228" s="1175"/>
      <c r="FD228" s="1175"/>
      <c r="FE228" s="1175"/>
      <c r="FF228" s="1175"/>
      <c r="FG228" s="1175"/>
      <c r="FH228" s="1175"/>
      <c r="FI228" s="1175"/>
      <c r="FJ228" s="1175"/>
      <c r="FK228" s="1175"/>
      <c r="FL228" s="1175"/>
      <c r="FM228" s="1175"/>
      <c r="FN228" s="1175"/>
      <c r="FO228" s="1175"/>
      <c r="FP228" s="1175"/>
      <c r="FQ228" s="1175"/>
      <c r="FR228" s="1175"/>
      <c r="FS228" s="1175"/>
      <c r="FT228" s="1175"/>
      <c r="FU228" s="1175"/>
      <c r="FV228" s="1175"/>
      <c r="FW228" s="1175"/>
      <c r="FX228" s="1175"/>
      <c r="FY228" s="1175"/>
      <c r="FZ228" s="1175"/>
      <c r="GA228" s="1175"/>
      <c r="GB228" s="1175"/>
      <c r="GC228" s="1175"/>
      <c r="GD228" s="1175"/>
      <c r="GE228" s="1175"/>
      <c r="GF228" s="1175"/>
      <c r="GG228" s="1175"/>
      <c r="GH228" s="1175"/>
      <c r="GI228" s="1175"/>
      <c r="GJ228" s="1175"/>
      <c r="GK228" s="1175"/>
      <c r="GL228" s="1175"/>
      <c r="GM228" s="1175"/>
      <c r="GN228" s="1175"/>
      <c r="GO228" s="1175"/>
      <c r="GP228" s="1175"/>
      <c r="GQ228" s="1175"/>
      <c r="GR228" s="1175"/>
      <c r="GS228" s="1175"/>
      <c r="GT228" s="1175"/>
      <c r="GU228" s="1175"/>
      <c r="GV228" s="1175"/>
      <c r="GW228" s="1175"/>
      <c r="GX228" s="1175"/>
      <c r="GY228" s="1175"/>
      <c r="GZ228" s="1175"/>
      <c r="HA228" s="1175"/>
      <c r="HB228" s="1175"/>
      <c r="HC228" s="1175"/>
      <c r="HD228" s="1175"/>
      <c r="HE228" s="1175"/>
      <c r="HF228" s="1175"/>
      <c r="HG228" s="1175"/>
      <c r="HH228" s="1175"/>
      <c r="HI228" s="1175"/>
      <c r="HJ228" s="1175"/>
      <c r="HK228" s="1175"/>
      <c r="HL228" s="1175"/>
      <c r="HM228" s="1175"/>
      <c r="HN228" s="1175"/>
      <c r="HO228" s="1175"/>
      <c r="HP228" s="1175"/>
      <c r="HQ228" s="1175"/>
      <c r="HR228" s="1175"/>
      <c r="HS228" s="1175"/>
      <c r="HT228" s="1175"/>
      <c r="HU228" s="1175"/>
      <c r="HV228" s="1175"/>
      <c r="HW228" s="1175"/>
      <c r="HX228" s="1175"/>
      <c r="HY228" s="1175"/>
      <c r="HZ228" s="1175"/>
      <c r="IA228" s="1175"/>
      <c r="IB228" s="1175"/>
      <c r="IC228" s="1175"/>
      <c r="ID228" s="1175"/>
      <c r="IE228" s="1175"/>
      <c r="IF228" s="1175"/>
      <c r="IG228" s="1175"/>
      <c r="IH228" s="1175"/>
      <c r="II228" s="1175"/>
      <c r="IJ228" s="1175"/>
      <c r="IK228" s="1175"/>
      <c r="IL228" s="1175"/>
      <c r="IM228" s="1175"/>
      <c r="IN228" s="1175"/>
      <c r="IO228" s="1175"/>
      <c r="IP228" s="1175"/>
      <c r="IQ228" s="1175"/>
      <c r="IR228" s="1175"/>
      <c r="IS228" s="1175"/>
      <c r="IT228" s="1175"/>
      <c r="IU228" s="1175"/>
      <c r="IV228" s="1175"/>
    </row>
    <row r="229" spans="1:256" s="1759" customFormat="1" outlineLevel="1">
      <c r="A229" s="1870" t="s">
        <v>2261</v>
      </c>
      <c r="B229" s="1867" t="s">
        <v>1371</v>
      </c>
      <c r="C229" s="1867" t="s">
        <v>1606</v>
      </c>
      <c r="D229" s="1868" t="s">
        <v>1371</v>
      </c>
      <c r="E229" s="1866" t="s">
        <v>2264</v>
      </c>
      <c r="F229" s="1864" t="s">
        <v>1732</v>
      </c>
      <c r="G229" s="1865"/>
      <c r="H229" s="1872">
        <v>1100000</v>
      </c>
      <c r="I229" s="1871"/>
      <c r="J229" s="1793"/>
      <c r="K229" s="1758"/>
      <c r="L229" s="1175"/>
      <c r="M229" s="1175"/>
      <c r="N229" s="1175"/>
      <c r="O229" s="1175"/>
      <c r="P229" s="1175"/>
      <c r="Q229" s="1175"/>
      <c r="R229" s="1175"/>
      <c r="S229" s="1175"/>
      <c r="T229" s="1175"/>
      <c r="U229" s="1175"/>
      <c r="V229" s="1175"/>
      <c r="W229" s="1175"/>
      <c r="X229" s="1175"/>
      <c r="Y229" s="1175"/>
      <c r="Z229" s="1175"/>
      <c r="AA229" s="1175"/>
      <c r="AB229" s="1175"/>
      <c r="AC229" s="1175"/>
      <c r="AD229" s="1175"/>
      <c r="AE229" s="1175"/>
      <c r="AF229" s="1175"/>
      <c r="AG229" s="1175"/>
      <c r="AH229" s="1175"/>
      <c r="AI229" s="1175"/>
      <c r="AJ229" s="1175"/>
      <c r="AK229" s="1175"/>
      <c r="AL229" s="1175"/>
      <c r="AM229" s="1175"/>
      <c r="AN229" s="1175"/>
      <c r="AO229" s="1175"/>
      <c r="AP229" s="1175"/>
      <c r="AQ229" s="1175"/>
      <c r="AR229" s="1175"/>
      <c r="AS229" s="1175"/>
      <c r="AT229" s="1175"/>
      <c r="AU229" s="1175"/>
      <c r="AV229" s="1175"/>
      <c r="AW229" s="1175"/>
      <c r="AX229" s="1175"/>
      <c r="AY229" s="1175"/>
      <c r="AZ229" s="1175"/>
      <c r="BA229" s="1175"/>
      <c r="BB229" s="1175"/>
      <c r="BC229" s="1175"/>
      <c r="BD229" s="1175"/>
      <c r="BE229" s="1175"/>
      <c r="BF229" s="1175"/>
      <c r="BG229" s="1175"/>
      <c r="BH229" s="1175"/>
      <c r="BI229" s="1175"/>
      <c r="BJ229" s="1175"/>
      <c r="BK229" s="1175"/>
      <c r="BL229" s="1175"/>
      <c r="BM229" s="1175"/>
      <c r="BN229" s="1175"/>
      <c r="BO229" s="1175"/>
      <c r="BP229" s="1175"/>
      <c r="BQ229" s="1175"/>
      <c r="BR229" s="1175"/>
      <c r="BS229" s="1175"/>
      <c r="BT229" s="1175"/>
      <c r="BU229" s="1175"/>
      <c r="BV229" s="1175"/>
      <c r="BW229" s="1175"/>
      <c r="BX229" s="1175"/>
      <c r="BY229" s="1175"/>
      <c r="BZ229" s="1175"/>
      <c r="CA229" s="1175"/>
      <c r="CB229" s="1175"/>
      <c r="CC229" s="1175"/>
      <c r="CD229" s="1175"/>
      <c r="CE229" s="1175"/>
      <c r="CF229" s="1175"/>
      <c r="CG229" s="1175"/>
      <c r="CH229" s="1175"/>
      <c r="CI229" s="1175"/>
      <c r="CJ229" s="1175"/>
      <c r="CK229" s="1175"/>
      <c r="CL229" s="1175"/>
      <c r="CM229" s="1175"/>
      <c r="CN229" s="1175"/>
      <c r="CO229" s="1175"/>
      <c r="CP229" s="1175"/>
      <c r="CQ229" s="1175"/>
      <c r="CR229" s="1175"/>
      <c r="CS229" s="1175"/>
      <c r="CT229" s="1175"/>
      <c r="CU229" s="1175"/>
      <c r="CV229" s="1175"/>
      <c r="CW229" s="1175"/>
      <c r="CX229" s="1175"/>
      <c r="CY229" s="1175"/>
      <c r="CZ229" s="1175"/>
      <c r="DA229" s="1175"/>
      <c r="DB229" s="1175"/>
      <c r="DC229" s="1175"/>
      <c r="DD229" s="1175"/>
      <c r="DE229" s="1175"/>
      <c r="DF229" s="1175"/>
      <c r="DG229" s="1175"/>
      <c r="DH229" s="1175"/>
      <c r="DI229" s="1175"/>
      <c r="DJ229" s="1175"/>
      <c r="DK229" s="1175"/>
      <c r="DL229" s="1175"/>
      <c r="DM229" s="1175"/>
      <c r="DN229" s="1175"/>
      <c r="DO229" s="1175"/>
      <c r="DP229" s="1175"/>
      <c r="DQ229" s="1175"/>
      <c r="DR229" s="1175"/>
      <c r="DS229" s="1175"/>
      <c r="DT229" s="1175"/>
      <c r="DU229" s="1175"/>
      <c r="DV229" s="1175"/>
      <c r="DW229" s="1175"/>
      <c r="DX229" s="1175"/>
      <c r="DY229" s="1175"/>
      <c r="DZ229" s="1175"/>
      <c r="EA229" s="1175"/>
      <c r="EB229" s="1175"/>
      <c r="EC229" s="1175"/>
      <c r="ED229" s="1175"/>
      <c r="EE229" s="1175"/>
      <c r="EF229" s="1175"/>
      <c r="EG229" s="1175"/>
      <c r="EH229" s="1175"/>
      <c r="EI229" s="1175"/>
      <c r="EJ229" s="1175"/>
      <c r="EK229" s="1175"/>
      <c r="EL229" s="1175"/>
      <c r="EM229" s="1175"/>
      <c r="EN229" s="1175"/>
      <c r="EO229" s="1175"/>
      <c r="EP229" s="1175"/>
      <c r="EQ229" s="1175"/>
      <c r="ER229" s="1175"/>
      <c r="ES229" s="1175"/>
      <c r="ET229" s="1175"/>
      <c r="EU229" s="1175"/>
      <c r="EV229" s="1175"/>
      <c r="EW229" s="1175"/>
      <c r="EX229" s="1175"/>
      <c r="EY229" s="1175"/>
      <c r="EZ229" s="1175"/>
      <c r="FA229" s="1175"/>
      <c r="FB229" s="1175"/>
      <c r="FC229" s="1175"/>
      <c r="FD229" s="1175"/>
      <c r="FE229" s="1175"/>
      <c r="FF229" s="1175"/>
      <c r="FG229" s="1175"/>
      <c r="FH229" s="1175"/>
      <c r="FI229" s="1175"/>
      <c r="FJ229" s="1175"/>
      <c r="FK229" s="1175"/>
      <c r="FL229" s="1175"/>
      <c r="FM229" s="1175"/>
      <c r="FN229" s="1175"/>
      <c r="FO229" s="1175"/>
      <c r="FP229" s="1175"/>
      <c r="FQ229" s="1175"/>
      <c r="FR229" s="1175"/>
      <c r="FS229" s="1175"/>
      <c r="FT229" s="1175"/>
      <c r="FU229" s="1175"/>
      <c r="FV229" s="1175"/>
      <c r="FW229" s="1175"/>
      <c r="FX229" s="1175"/>
      <c r="FY229" s="1175"/>
      <c r="FZ229" s="1175"/>
      <c r="GA229" s="1175"/>
      <c r="GB229" s="1175"/>
      <c r="GC229" s="1175"/>
      <c r="GD229" s="1175"/>
      <c r="GE229" s="1175"/>
      <c r="GF229" s="1175"/>
      <c r="GG229" s="1175"/>
      <c r="GH229" s="1175"/>
      <c r="GI229" s="1175"/>
      <c r="GJ229" s="1175"/>
      <c r="GK229" s="1175"/>
      <c r="GL229" s="1175"/>
      <c r="GM229" s="1175"/>
      <c r="GN229" s="1175"/>
      <c r="GO229" s="1175"/>
      <c r="GP229" s="1175"/>
      <c r="GQ229" s="1175"/>
      <c r="GR229" s="1175"/>
      <c r="GS229" s="1175"/>
      <c r="GT229" s="1175"/>
      <c r="GU229" s="1175"/>
      <c r="GV229" s="1175"/>
      <c r="GW229" s="1175"/>
      <c r="GX229" s="1175"/>
      <c r="GY229" s="1175"/>
      <c r="GZ229" s="1175"/>
      <c r="HA229" s="1175"/>
      <c r="HB229" s="1175"/>
      <c r="HC229" s="1175"/>
      <c r="HD229" s="1175"/>
      <c r="HE229" s="1175"/>
      <c r="HF229" s="1175"/>
      <c r="HG229" s="1175"/>
      <c r="HH229" s="1175"/>
      <c r="HI229" s="1175"/>
      <c r="HJ229" s="1175"/>
      <c r="HK229" s="1175"/>
      <c r="HL229" s="1175"/>
      <c r="HM229" s="1175"/>
      <c r="HN229" s="1175"/>
      <c r="HO229" s="1175"/>
      <c r="HP229" s="1175"/>
      <c r="HQ229" s="1175"/>
      <c r="HR229" s="1175"/>
      <c r="HS229" s="1175"/>
      <c r="HT229" s="1175"/>
      <c r="HU229" s="1175"/>
      <c r="HV229" s="1175"/>
      <c r="HW229" s="1175"/>
      <c r="HX229" s="1175"/>
      <c r="HY229" s="1175"/>
      <c r="HZ229" s="1175"/>
      <c r="IA229" s="1175"/>
      <c r="IB229" s="1175"/>
      <c r="IC229" s="1175"/>
      <c r="ID229" s="1175"/>
      <c r="IE229" s="1175"/>
      <c r="IF229" s="1175"/>
      <c r="IG229" s="1175"/>
      <c r="IH229" s="1175"/>
      <c r="II229" s="1175"/>
      <c r="IJ229" s="1175"/>
      <c r="IK229" s="1175"/>
      <c r="IL229" s="1175"/>
      <c r="IM229" s="1175"/>
      <c r="IN229" s="1175"/>
      <c r="IO229" s="1175"/>
      <c r="IP229" s="1175"/>
      <c r="IQ229" s="1175"/>
      <c r="IR229" s="1175"/>
      <c r="IS229" s="1175"/>
      <c r="IT229" s="1175"/>
      <c r="IU229" s="1175"/>
      <c r="IV229" s="1175"/>
    </row>
    <row r="230" spans="1:256" s="1759" customFormat="1" outlineLevel="1">
      <c r="A230" s="1870" t="s">
        <v>2261</v>
      </c>
      <c r="B230" s="1867" t="s">
        <v>1654</v>
      </c>
      <c r="C230" s="1867" t="s">
        <v>1606</v>
      </c>
      <c r="D230" s="1868" t="s">
        <v>1654</v>
      </c>
      <c r="E230" s="1866" t="s">
        <v>2265</v>
      </c>
      <c r="F230" s="1864" t="s">
        <v>271</v>
      </c>
      <c r="G230" s="1865"/>
      <c r="H230" s="1872">
        <v>240000</v>
      </c>
      <c r="I230" s="1871"/>
      <c r="J230" s="1793"/>
      <c r="K230" s="1758"/>
      <c r="L230" s="1175"/>
      <c r="M230" s="1175"/>
      <c r="N230" s="1175"/>
      <c r="O230" s="1175"/>
      <c r="P230" s="1175"/>
      <c r="Q230" s="1175"/>
      <c r="R230" s="1175"/>
      <c r="S230" s="1175"/>
      <c r="T230" s="1175"/>
      <c r="U230" s="1175"/>
      <c r="V230" s="1175"/>
      <c r="W230" s="1175"/>
      <c r="X230" s="1175"/>
      <c r="Y230" s="1175"/>
      <c r="Z230" s="1175"/>
      <c r="AA230" s="1175"/>
      <c r="AB230" s="1175"/>
      <c r="AC230" s="1175"/>
      <c r="AD230" s="1175"/>
      <c r="AE230" s="1175"/>
      <c r="AF230" s="1175"/>
      <c r="AG230" s="1175"/>
      <c r="AH230" s="1175"/>
      <c r="AI230" s="1175"/>
      <c r="AJ230" s="1175"/>
      <c r="AK230" s="1175"/>
      <c r="AL230" s="1175"/>
      <c r="AM230" s="1175"/>
      <c r="AN230" s="1175"/>
      <c r="AO230" s="1175"/>
      <c r="AP230" s="1175"/>
      <c r="AQ230" s="1175"/>
      <c r="AR230" s="1175"/>
      <c r="AS230" s="1175"/>
      <c r="AT230" s="1175"/>
      <c r="AU230" s="1175"/>
      <c r="AV230" s="1175"/>
      <c r="AW230" s="1175"/>
      <c r="AX230" s="1175"/>
      <c r="AY230" s="1175"/>
      <c r="AZ230" s="1175"/>
      <c r="BA230" s="1175"/>
      <c r="BB230" s="1175"/>
      <c r="BC230" s="1175"/>
      <c r="BD230" s="1175"/>
      <c r="BE230" s="1175"/>
      <c r="BF230" s="1175"/>
      <c r="BG230" s="1175"/>
      <c r="BH230" s="1175"/>
      <c r="BI230" s="1175"/>
      <c r="BJ230" s="1175"/>
      <c r="BK230" s="1175"/>
      <c r="BL230" s="1175"/>
      <c r="BM230" s="1175"/>
      <c r="BN230" s="1175"/>
      <c r="BO230" s="1175"/>
      <c r="BP230" s="1175"/>
      <c r="BQ230" s="1175"/>
      <c r="BR230" s="1175"/>
      <c r="BS230" s="1175"/>
      <c r="BT230" s="1175"/>
      <c r="BU230" s="1175"/>
      <c r="BV230" s="1175"/>
      <c r="BW230" s="1175"/>
      <c r="BX230" s="1175"/>
      <c r="BY230" s="1175"/>
      <c r="BZ230" s="1175"/>
      <c r="CA230" s="1175"/>
      <c r="CB230" s="1175"/>
      <c r="CC230" s="1175"/>
      <c r="CD230" s="1175"/>
      <c r="CE230" s="1175"/>
      <c r="CF230" s="1175"/>
      <c r="CG230" s="1175"/>
      <c r="CH230" s="1175"/>
      <c r="CI230" s="1175"/>
      <c r="CJ230" s="1175"/>
      <c r="CK230" s="1175"/>
      <c r="CL230" s="1175"/>
      <c r="CM230" s="1175"/>
      <c r="CN230" s="1175"/>
      <c r="CO230" s="1175"/>
      <c r="CP230" s="1175"/>
      <c r="CQ230" s="1175"/>
      <c r="CR230" s="1175"/>
      <c r="CS230" s="1175"/>
      <c r="CT230" s="1175"/>
      <c r="CU230" s="1175"/>
      <c r="CV230" s="1175"/>
      <c r="CW230" s="1175"/>
      <c r="CX230" s="1175"/>
      <c r="CY230" s="1175"/>
      <c r="CZ230" s="1175"/>
      <c r="DA230" s="1175"/>
      <c r="DB230" s="1175"/>
      <c r="DC230" s="1175"/>
      <c r="DD230" s="1175"/>
      <c r="DE230" s="1175"/>
      <c r="DF230" s="1175"/>
      <c r="DG230" s="1175"/>
      <c r="DH230" s="1175"/>
      <c r="DI230" s="1175"/>
      <c r="DJ230" s="1175"/>
      <c r="DK230" s="1175"/>
      <c r="DL230" s="1175"/>
      <c r="DM230" s="1175"/>
      <c r="DN230" s="1175"/>
      <c r="DO230" s="1175"/>
      <c r="DP230" s="1175"/>
      <c r="DQ230" s="1175"/>
      <c r="DR230" s="1175"/>
      <c r="DS230" s="1175"/>
      <c r="DT230" s="1175"/>
      <c r="DU230" s="1175"/>
      <c r="DV230" s="1175"/>
      <c r="DW230" s="1175"/>
      <c r="DX230" s="1175"/>
      <c r="DY230" s="1175"/>
      <c r="DZ230" s="1175"/>
      <c r="EA230" s="1175"/>
      <c r="EB230" s="1175"/>
      <c r="EC230" s="1175"/>
      <c r="ED230" s="1175"/>
      <c r="EE230" s="1175"/>
      <c r="EF230" s="1175"/>
      <c r="EG230" s="1175"/>
      <c r="EH230" s="1175"/>
      <c r="EI230" s="1175"/>
      <c r="EJ230" s="1175"/>
      <c r="EK230" s="1175"/>
      <c r="EL230" s="1175"/>
      <c r="EM230" s="1175"/>
      <c r="EN230" s="1175"/>
      <c r="EO230" s="1175"/>
      <c r="EP230" s="1175"/>
      <c r="EQ230" s="1175"/>
      <c r="ER230" s="1175"/>
      <c r="ES230" s="1175"/>
      <c r="ET230" s="1175"/>
      <c r="EU230" s="1175"/>
      <c r="EV230" s="1175"/>
      <c r="EW230" s="1175"/>
      <c r="EX230" s="1175"/>
      <c r="EY230" s="1175"/>
      <c r="EZ230" s="1175"/>
      <c r="FA230" s="1175"/>
      <c r="FB230" s="1175"/>
      <c r="FC230" s="1175"/>
      <c r="FD230" s="1175"/>
      <c r="FE230" s="1175"/>
      <c r="FF230" s="1175"/>
      <c r="FG230" s="1175"/>
      <c r="FH230" s="1175"/>
      <c r="FI230" s="1175"/>
      <c r="FJ230" s="1175"/>
      <c r="FK230" s="1175"/>
      <c r="FL230" s="1175"/>
      <c r="FM230" s="1175"/>
      <c r="FN230" s="1175"/>
      <c r="FO230" s="1175"/>
      <c r="FP230" s="1175"/>
      <c r="FQ230" s="1175"/>
      <c r="FR230" s="1175"/>
      <c r="FS230" s="1175"/>
      <c r="FT230" s="1175"/>
      <c r="FU230" s="1175"/>
      <c r="FV230" s="1175"/>
      <c r="FW230" s="1175"/>
      <c r="FX230" s="1175"/>
      <c r="FY230" s="1175"/>
      <c r="FZ230" s="1175"/>
      <c r="GA230" s="1175"/>
      <c r="GB230" s="1175"/>
      <c r="GC230" s="1175"/>
      <c r="GD230" s="1175"/>
      <c r="GE230" s="1175"/>
      <c r="GF230" s="1175"/>
      <c r="GG230" s="1175"/>
      <c r="GH230" s="1175"/>
      <c r="GI230" s="1175"/>
      <c r="GJ230" s="1175"/>
      <c r="GK230" s="1175"/>
      <c r="GL230" s="1175"/>
      <c r="GM230" s="1175"/>
      <c r="GN230" s="1175"/>
      <c r="GO230" s="1175"/>
      <c r="GP230" s="1175"/>
      <c r="GQ230" s="1175"/>
      <c r="GR230" s="1175"/>
      <c r="GS230" s="1175"/>
      <c r="GT230" s="1175"/>
      <c r="GU230" s="1175"/>
      <c r="GV230" s="1175"/>
      <c r="GW230" s="1175"/>
      <c r="GX230" s="1175"/>
      <c r="GY230" s="1175"/>
      <c r="GZ230" s="1175"/>
      <c r="HA230" s="1175"/>
      <c r="HB230" s="1175"/>
      <c r="HC230" s="1175"/>
      <c r="HD230" s="1175"/>
      <c r="HE230" s="1175"/>
      <c r="HF230" s="1175"/>
      <c r="HG230" s="1175"/>
      <c r="HH230" s="1175"/>
      <c r="HI230" s="1175"/>
      <c r="HJ230" s="1175"/>
      <c r="HK230" s="1175"/>
      <c r="HL230" s="1175"/>
      <c r="HM230" s="1175"/>
      <c r="HN230" s="1175"/>
      <c r="HO230" s="1175"/>
      <c r="HP230" s="1175"/>
      <c r="HQ230" s="1175"/>
      <c r="HR230" s="1175"/>
      <c r="HS230" s="1175"/>
      <c r="HT230" s="1175"/>
      <c r="HU230" s="1175"/>
      <c r="HV230" s="1175"/>
      <c r="HW230" s="1175"/>
      <c r="HX230" s="1175"/>
      <c r="HY230" s="1175"/>
      <c r="HZ230" s="1175"/>
      <c r="IA230" s="1175"/>
      <c r="IB230" s="1175"/>
      <c r="IC230" s="1175"/>
      <c r="ID230" s="1175"/>
      <c r="IE230" s="1175"/>
      <c r="IF230" s="1175"/>
      <c r="IG230" s="1175"/>
      <c r="IH230" s="1175"/>
      <c r="II230" s="1175"/>
      <c r="IJ230" s="1175"/>
      <c r="IK230" s="1175"/>
      <c r="IL230" s="1175"/>
      <c r="IM230" s="1175"/>
      <c r="IN230" s="1175"/>
      <c r="IO230" s="1175"/>
      <c r="IP230" s="1175"/>
      <c r="IQ230" s="1175"/>
      <c r="IR230" s="1175"/>
      <c r="IS230" s="1175"/>
      <c r="IT230" s="1175"/>
      <c r="IU230" s="1175"/>
      <c r="IV230" s="1175"/>
    </row>
    <row r="231" spans="1:256" s="58" customFormat="1" outlineLevel="1">
      <c r="A231" s="880" t="s">
        <v>2283</v>
      </c>
      <c r="B231" s="80" t="s">
        <v>2284</v>
      </c>
      <c r="C231" s="80" t="s">
        <v>1606</v>
      </c>
      <c r="D231" s="81" t="s">
        <v>1648</v>
      </c>
      <c r="E231" s="86" t="s">
        <v>2285</v>
      </c>
      <c r="F231" s="83" t="s">
        <v>1732</v>
      </c>
      <c r="G231" s="84"/>
      <c r="H231" s="1897">
        <v>2919000</v>
      </c>
      <c r="I231" s="1898"/>
    </row>
    <row r="232" spans="1:256" s="58" customFormat="1" outlineLevel="1">
      <c r="A232" s="880" t="s">
        <v>2283</v>
      </c>
      <c r="B232" s="80" t="s">
        <v>2284</v>
      </c>
      <c r="C232" s="80" t="s">
        <v>1606</v>
      </c>
      <c r="D232" s="81" t="s">
        <v>1648</v>
      </c>
      <c r="E232" s="86" t="s">
        <v>2286</v>
      </c>
      <c r="F232" s="83" t="s">
        <v>271</v>
      </c>
      <c r="G232" s="1899">
        <v>480000</v>
      </c>
      <c r="H232" s="1899"/>
      <c r="I232" s="1898"/>
    </row>
    <row r="233" spans="1:256" s="1759" customFormat="1" ht="16.5" customHeight="1" outlineLevel="1">
      <c r="A233" s="1755"/>
      <c r="B233" s="1755"/>
      <c r="C233" s="1755"/>
      <c r="D233" s="1755"/>
      <c r="E233" s="1756"/>
      <c r="F233" s="1172"/>
      <c r="G233" s="1150"/>
      <c r="H233" s="1150"/>
      <c r="I233" s="1174"/>
      <c r="J233" s="1757"/>
      <c r="K233" s="1758"/>
      <c r="L233" s="1175"/>
      <c r="M233" s="1175"/>
      <c r="N233" s="1175"/>
      <c r="O233" s="1175"/>
      <c r="P233" s="1175"/>
      <c r="Q233" s="1175"/>
      <c r="R233" s="1175"/>
      <c r="S233" s="1175"/>
      <c r="T233" s="1175"/>
      <c r="U233" s="1175"/>
      <c r="V233" s="1175"/>
      <c r="W233" s="1175"/>
      <c r="X233" s="1175"/>
      <c r="Y233" s="1175"/>
      <c r="Z233" s="1175"/>
      <c r="AA233" s="1175"/>
      <c r="AB233" s="1175"/>
      <c r="AC233" s="1175"/>
      <c r="AD233" s="1175"/>
      <c r="AE233" s="1175"/>
      <c r="AF233" s="1175"/>
      <c r="AG233" s="1175"/>
      <c r="AH233" s="1175"/>
      <c r="AI233" s="1175"/>
      <c r="AJ233" s="1175"/>
      <c r="AK233" s="1175"/>
      <c r="AL233" s="1175"/>
      <c r="AM233" s="1175"/>
      <c r="AN233" s="1175"/>
      <c r="AO233" s="1175"/>
      <c r="AP233" s="1175"/>
      <c r="AQ233" s="1175"/>
      <c r="AR233" s="1175"/>
      <c r="AS233" s="1175"/>
      <c r="AT233" s="1175"/>
      <c r="AU233" s="1175"/>
      <c r="AV233" s="1175"/>
      <c r="AW233" s="1175"/>
      <c r="AX233" s="1175"/>
      <c r="AY233" s="1175"/>
      <c r="AZ233" s="1175"/>
      <c r="BA233" s="1175"/>
      <c r="BB233" s="1175"/>
      <c r="BC233" s="1175"/>
      <c r="BD233" s="1175"/>
      <c r="BE233" s="1175"/>
      <c r="BF233" s="1175"/>
      <c r="BG233" s="1175"/>
      <c r="BH233" s="1175"/>
      <c r="BI233" s="1175"/>
      <c r="BJ233" s="1175"/>
      <c r="BK233" s="1175"/>
      <c r="BL233" s="1175"/>
      <c r="BM233" s="1175"/>
      <c r="BN233" s="1175"/>
      <c r="BO233" s="1175"/>
      <c r="BP233" s="1175"/>
      <c r="BQ233" s="1175"/>
      <c r="BR233" s="1175"/>
      <c r="BS233" s="1175"/>
      <c r="BT233" s="1175"/>
      <c r="BU233" s="1175"/>
      <c r="BV233" s="1175"/>
      <c r="BW233" s="1175"/>
      <c r="BX233" s="1175"/>
      <c r="BY233" s="1175"/>
      <c r="BZ233" s="1175"/>
      <c r="CA233" s="1175"/>
      <c r="CB233" s="1175"/>
      <c r="CC233" s="1175"/>
      <c r="CD233" s="1175"/>
      <c r="CE233" s="1175"/>
      <c r="CF233" s="1175"/>
      <c r="CG233" s="1175"/>
      <c r="CH233" s="1175"/>
      <c r="CI233" s="1175"/>
      <c r="CJ233" s="1175"/>
      <c r="CK233" s="1175"/>
      <c r="CL233" s="1175"/>
      <c r="CM233" s="1175"/>
      <c r="CN233" s="1175"/>
      <c r="CO233" s="1175"/>
      <c r="CP233" s="1175"/>
      <c r="CQ233" s="1175"/>
      <c r="CR233" s="1175"/>
      <c r="CS233" s="1175"/>
      <c r="CT233" s="1175"/>
      <c r="CU233" s="1175"/>
      <c r="CV233" s="1175"/>
      <c r="CW233" s="1175"/>
      <c r="CX233" s="1175"/>
      <c r="CY233" s="1175"/>
      <c r="CZ233" s="1175"/>
      <c r="DA233" s="1175"/>
      <c r="DB233" s="1175"/>
      <c r="DC233" s="1175"/>
      <c r="DD233" s="1175"/>
      <c r="DE233" s="1175"/>
      <c r="DF233" s="1175"/>
      <c r="DG233" s="1175"/>
      <c r="DH233" s="1175"/>
      <c r="DI233" s="1175"/>
      <c r="DJ233" s="1175"/>
      <c r="DK233" s="1175"/>
      <c r="DL233" s="1175"/>
      <c r="DM233" s="1175"/>
      <c r="DN233" s="1175"/>
      <c r="DO233" s="1175"/>
      <c r="DP233" s="1175"/>
      <c r="DQ233" s="1175"/>
      <c r="DR233" s="1175"/>
      <c r="DS233" s="1175"/>
      <c r="DT233" s="1175"/>
      <c r="DU233" s="1175"/>
      <c r="DV233" s="1175"/>
      <c r="DW233" s="1175"/>
      <c r="DX233" s="1175"/>
      <c r="DY233" s="1175"/>
      <c r="DZ233" s="1175"/>
      <c r="EA233" s="1175"/>
      <c r="EB233" s="1175"/>
      <c r="EC233" s="1175"/>
      <c r="ED233" s="1175"/>
      <c r="EE233" s="1175"/>
      <c r="EF233" s="1175"/>
      <c r="EG233" s="1175"/>
      <c r="EH233" s="1175"/>
      <c r="EI233" s="1175"/>
      <c r="EJ233" s="1175"/>
      <c r="EK233" s="1175"/>
      <c r="EL233" s="1175"/>
      <c r="EM233" s="1175"/>
      <c r="EN233" s="1175"/>
      <c r="EO233" s="1175"/>
      <c r="EP233" s="1175"/>
      <c r="EQ233" s="1175"/>
      <c r="ER233" s="1175"/>
      <c r="ES233" s="1175"/>
      <c r="ET233" s="1175"/>
      <c r="EU233" s="1175"/>
      <c r="EV233" s="1175"/>
      <c r="EW233" s="1175"/>
      <c r="EX233" s="1175"/>
      <c r="EY233" s="1175"/>
      <c r="EZ233" s="1175"/>
      <c r="FA233" s="1175"/>
      <c r="FB233" s="1175"/>
      <c r="FC233" s="1175"/>
      <c r="FD233" s="1175"/>
      <c r="FE233" s="1175"/>
      <c r="FF233" s="1175"/>
      <c r="FG233" s="1175"/>
      <c r="FH233" s="1175"/>
      <c r="FI233" s="1175"/>
      <c r="FJ233" s="1175"/>
      <c r="FK233" s="1175"/>
      <c r="FL233" s="1175"/>
      <c r="FM233" s="1175"/>
      <c r="FN233" s="1175"/>
      <c r="FO233" s="1175"/>
      <c r="FP233" s="1175"/>
      <c r="FQ233" s="1175"/>
      <c r="FR233" s="1175"/>
      <c r="FS233" s="1175"/>
      <c r="FT233" s="1175"/>
      <c r="FU233" s="1175"/>
      <c r="FV233" s="1175"/>
      <c r="FW233" s="1175"/>
      <c r="FX233" s="1175"/>
      <c r="FY233" s="1175"/>
      <c r="FZ233" s="1175"/>
      <c r="GA233" s="1175"/>
      <c r="GB233" s="1175"/>
      <c r="GC233" s="1175"/>
      <c r="GD233" s="1175"/>
      <c r="GE233" s="1175"/>
      <c r="GF233" s="1175"/>
      <c r="GG233" s="1175"/>
      <c r="GH233" s="1175"/>
      <c r="GI233" s="1175"/>
      <c r="GJ233" s="1175"/>
      <c r="GK233" s="1175"/>
      <c r="GL233" s="1175"/>
      <c r="GM233" s="1175"/>
      <c r="GN233" s="1175"/>
      <c r="GO233" s="1175"/>
      <c r="GP233" s="1175"/>
      <c r="GQ233" s="1175"/>
      <c r="GR233" s="1175"/>
      <c r="GS233" s="1175"/>
      <c r="GT233" s="1175"/>
      <c r="GU233" s="1175"/>
      <c r="GV233" s="1175"/>
      <c r="GW233" s="1175"/>
      <c r="GX233" s="1175"/>
      <c r="GY233" s="1175"/>
      <c r="GZ233" s="1175"/>
      <c r="HA233" s="1175"/>
      <c r="HB233" s="1175"/>
      <c r="HC233" s="1175"/>
      <c r="HD233" s="1175"/>
      <c r="HE233" s="1175"/>
      <c r="HF233" s="1175"/>
      <c r="HG233" s="1175"/>
      <c r="HH233" s="1175"/>
      <c r="HI233" s="1175"/>
      <c r="HJ233" s="1175"/>
      <c r="HK233" s="1175"/>
      <c r="HL233" s="1175"/>
      <c r="HM233" s="1175"/>
      <c r="HN233" s="1175"/>
      <c r="HO233" s="1175"/>
      <c r="HP233" s="1175"/>
      <c r="HQ233" s="1175"/>
      <c r="HR233" s="1175"/>
      <c r="HS233" s="1175"/>
      <c r="HT233" s="1175"/>
      <c r="HU233" s="1175"/>
      <c r="HV233" s="1175"/>
      <c r="HW233" s="1175"/>
      <c r="HX233" s="1175"/>
      <c r="HY233" s="1175"/>
      <c r="HZ233" s="1175"/>
      <c r="IA233" s="1175"/>
      <c r="IB233" s="1175"/>
      <c r="IC233" s="1175"/>
      <c r="ID233" s="1175"/>
      <c r="IE233" s="1175"/>
      <c r="IF233" s="1175"/>
      <c r="IG233" s="1175"/>
      <c r="IH233" s="1175"/>
      <c r="II233" s="1175"/>
      <c r="IJ233" s="1175"/>
      <c r="IK233" s="1175"/>
      <c r="IL233" s="1175"/>
      <c r="IM233" s="1175"/>
      <c r="IN233" s="1175"/>
      <c r="IO233" s="1175"/>
      <c r="IP233" s="1175"/>
      <c r="IQ233" s="1175"/>
      <c r="IR233" s="1175"/>
      <c r="IS233" s="1175"/>
      <c r="IT233" s="1175"/>
      <c r="IU233" s="1175"/>
      <c r="IV233" s="1175"/>
    </row>
    <row r="234" spans="1:256" outlineLevel="1">
      <c r="A234" s="1170"/>
      <c r="B234" s="1170"/>
      <c r="C234" s="1170"/>
      <c r="D234" s="1170"/>
      <c r="E234" s="1171"/>
      <c r="F234" s="1172"/>
      <c r="G234" s="1150"/>
      <c r="H234" s="1150"/>
      <c r="I234" s="1173"/>
      <c r="J234" s="1745"/>
      <c r="K234" s="1745"/>
      <c r="L234" s="1165"/>
      <c r="M234" s="1165"/>
      <c r="N234" s="1165"/>
      <c r="O234" s="1165"/>
      <c r="P234" s="1165"/>
      <c r="Q234" s="1165"/>
      <c r="R234" s="1165"/>
      <c r="S234" s="1165"/>
      <c r="T234" s="1165"/>
      <c r="U234" s="1165"/>
      <c r="V234" s="1165"/>
      <c r="W234" s="1165"/>
      <c r="X234" s="1165"/>
      <c r="Y234" s="1165"/>
      <c r="Z234" s="1165"/>
      <c r="AA234" s="1165"/>
      <c r="AB234" s="1165"/>
      <c r="AC234" s="1165"/>
      <c r="AD234" s="1165"/>
      <c r="AE234" s="1165"/>
      <c r="AF234" s="1165"/>
      <c r="AG234" s="1165"/>
      <c r="AH234" s="1165"/>
      <c r="AI234" s="1165"/>
      <c r="AJ234" s="1165"/>
      <c r="AK234" s="1165"/>
      <c r="AL234" s="1165"/>
      <c r="AM234" s="1165"/>
      <c r="AN234" s="1165"/>
      <c r="AO234" s="1165"/>
      <c r="AP234" s="1165"/>
      <c r="AQ234" s="1165"/>
      <c r="AR234" s="1165"/>
      <c r="AS234" s="1165"/>
      <c r="AT234" s="1165"/>
      <c r="AU234" s="1165"/>
      <c r="AV234" s="1165"/>
      <c r="AW234" s="1165"/>
      <c r="AX234" s="1165"/>
      <c r="AY234" s="1165"/>
      <c r="AZ234" s="1165"/>
      <c r="BA234" s="1165"/>
      <c r="BB234" s="1165"/>
      <c r="BC234" s="1165"/>
      <c r="BD234" s="1165"/>
      <c r="BE234" s="1165"/>
      <c r="BF234" s="1165"/>
      <c r="BG234" s="1165"/>
      <c r="BH234" s="1165"/>
      <c r="BI234" s="1165"/>
      <c r="BJ234" s="1165"/>
      <c r="BK234" s="1165"/>
      <c r="BL234" s="1165"/>
      <c r="BM234" s="1165"/>
      <c r="BN234" s="1165"/>
      <c r="BO234" s="1165"/>
      <c r="BP234" s="1165"/>
      <c r="BQ234" s="1165"/>
      <c r="BR234" s="1165"/>
      <c r="BS234" s="1165"/>
      <c r="BT234" s="1165"/>
      <c r="BU234" s="1165"/>
      <c r="BV234" s="1165"/>
      <c r="BW234" s="1165"/>
      <c r="BX234" s="1165"/>
      <c r="BY234" s="1165"/>
      <c r="BZ234" s="1165"/>
      <c r="CA234" s="1165"/>
      <c r="CB234" s="1165"/>
      <c r="CC234" s="1165"/>
      <c r="CD234" s="1165"/>
      <c r="CE234" s="1165"/>
      <c r="CF234" s="1165"/>
      <c r="CG234" s="1165"/>
      <c r="CH234" s="1165"/>
      <c r="CI234" s="1165"/>
      <c r="CJ234" s="1165"/>
      <c r="CK234" s="1165"/>
      <c r="CL234" s="1165"/>
      <c r="CM234" s="1165"/>
      <c r="CN234" s="1165"/>
      <c r="CO234" s="1165"/>
      <c r="CP234" s="1165"/>
      <c r="CQ234" s="1165"/>
      <c r="CR234" s="1165"/>
      <c r="CS234" s="1165"/>
      <c r="CT234" s="1165"/>
      <c r="CU234" s="1165"/>
      <c r="CV234" s="1165"/>
      <c r="CW234" s="1165"/>
      <c r="CX234" s="1165"/>
      <c r="CY234" s="1165"/>
      <c r="CZ234" s="1165"/>
      <c r="DA234" s="1165"/>
      <c r="DB234" s="1165"/>
      <c r="DC234" s="1165"/>
      <c r="DD234" s="1165"/>
      <c r="DE234" s="1165"/>
      <c r="DF234" s="1165"/>
      <c r="DG234" s="1165"/>
      <c r="DH234" s="1165"/>
      <c r="DI234" s="1165"/>
      <c r="DJ234" s="1165"/>
      <c r="DK234" s="1165"/>
      <c r="DL234" s="1165"/>
      <c r="DM234" s="1165"/>
      <c r="DN234" s="1165"/>
      <c r="DO234" s="1165"/>
      <c r="DP234" s="1165"/>
      <c r="DQ234" s="1165"/>
      <c r="DR234" s="1165"/>
      <c r="DS234" s="1165"/>
      <c r="DT234" s="1165"/>
      <c r="DU234" s="1165"/>
      <c r="DV234" s="1165"/>
      <c r="DW234" s="1165"/>
      <c r="DX234" s="1165"/>
      <c r="DY234" s="1165"/>
      <c r="DZ234" s="1165"/>
      <c r="EA234" s="1165"/>
      <c r="EB234" s="1165"/>
      <c r="EC234" s="1165"/>
      <c r="ED234" s="1165"/>
      <c r="EE234" s="1165"/>
      <c r="EF234" s="1165"/>
      <c r="EG234" s="1165"/>
      <c r="EH234" s="1165"/>
      <c r="EI234" s="1165"/>
      <c r="EJ234" s="1165"/>
      <c r="EK234" s="1165"/>
      <c r="EL234" s="1165"/>
      <c r="EM234" s="1165"/>
      <c r="EN234" s="1165"/>
      <c r="EO234" s="1165"/>
      <c r="EP234" s="1165"/>
      <c r="EQ234" s="1165"/>
      <c r="ER234" s="1165"/>
      <c r="ES234" s="1165"/>
      <c r="ET234" s="1165"/>
      <c r="EU234" s="1165"/>
      <c r="EV234" s="1165"/>
      <c r="EW234" s="1165"/>
      <c r="EX234" s="1165"/>
      <c r="EY234" s="1165"/>
      <c r="EZ234" s="1165"/>
      <c r="FA234" s="1165"/>
      <c r="FB234" s="1165"/>
      <c r="FC234" s="1165"/>
      <c r="FD234" s="1165"/>
      <c r="FE234" s="1165"/>
      <c r="FF234" s="1165"/>
      <c r="FG234" s="1165"/>
      <c r="FH234" s="1165"/>
      <c r="FI234" s="1165"/>
      <c r="FJ234" s="1165"/>
      <c r="FK234" s="1165"/>
      <c r="FL234" s="1165"/>
      <c r="FM234" s="1165"/>
      <c r="FN234" s="1165"/>
      <c r="FO234" s="1165"/>
      <c r="FP234" s="1165"/>
      <c r="FQ234" s="1165"/>
      <c r="FR234" s="1165"/>
      <c r="FS234" s="1165"/>
      <c r="FT234" s="1165"/>
      <c r="FU234" s="1165"/>
      <c r="FV234" s="1165"/>
      <c r="FW234" s="1165"/>
      <c r="FX234" s="1165"/>
      <c r="FY234" s="1165"/>
      <c r="FZ234" s="1165"/>
      <c r="GA234" s="1165"/>
      <c r="GB234" s="1165"/>
      <c r="GC234" s="1165"/>
      <c r="GD234" s="1165"/>
      <c r="GE234" s="1165"/>
      <c r="GF234" s="1165"/>
      <c r="GG234" s="1165"/>
      <c r="GH234" s="1165"/>
      <c r="GI234" s="1165"/>
      <c r="GJ234" s="1165"/>
      <c r="GK234" s="1165"/>
      <c r="GL234" s="1165"/>
      <c r="GM234" s="1165"/>
      <c r="GN234" s="1165"/>
      <c r="GO234" s="1165"/>
      <c r="GP234" s="1165"/>
      <c r="GQ234" s="1165"/>
      <c r="GR234" s="1165"/>
      <c r="GS234" s="1165"/>
      <c r="GT234" s="1165"/>
      <c r="GU234" s="1165"/>
      <c r="GV234" s="1165"/>
      <c r="GW234" s="1165"/>
      <c r="GX234" s="1165"/>
      <c r="GY234" s="1165"/>
      <c r="GZ234" s="1165"/>
      <c r="HA234" s="1165"/>
      <c r="HB234" s="1165"/>
      <c r="HC234" s="1165"/>
      <c r="HD234" s="1165"/>
      <c r="HE234" s="1165"/>
      <c r="HF234" s="1165"/>
      <c r="HG234" s="1165"/>
      <c r="HH234" s="1165"/>
      <c r="HI234" s="1165"/>
      <c r="HJ234" s="1165"/>
      <c r="HK234" s="1165"/>
      <c r="HL234" s="1165"/>
      <c r="HM234" s="1165"/>
      <c r="HN234" s="1165"/>
      <c r="HO234" s="1165"/>
      <c r="HP234" s="1165"/>
      <c r="HQ234" s="1165"/>
      <c r="HR234" s="1165"/>
      <c r="HS234" s="1165"/>
      <c r="HT234" s="1165"/>
      <c r="HU234" s="1165"/>
      <c r="HV234" s="1165"/>
      <c r="HW234" s="1165"/>
      <c r="HX234" s="1165"/>
      <c r="HY234" s="1165"/>
      <c r="HZ234" s="1165"/>
      <c r="IA234" s="1165"/>
      <c r="IB234" s="1165"/>
      <c r="IC234" s="1165"/>
      <c r="ID234" s="1165"/>
      <c r="IE234" s="1165"/>
      <c r="IF234" s="1165"/>
      <c r="IG234" s="1165"/>
      <c r="IH234" s="1165"/>
      <c r="II234" s="1165"/>
      <c r="IJ234" s="1165"/>
      <c r="IK234" s="1165"/>
      <c r="IL234" s="1165"/>
      <c r="IM234" s="1165"/>
      <c r="IN234" s="1165"/>
      <c r="IO234" s="1165"/>
      <c r="IP234" s="1165"/>
      <c r="IQ234" s="1165"/>
      <c r="IR234" s="1165"/>
      <c r="IS234" s="1165"/>
      <c r="IT234" s="1165"/>
      <c r="IU234" s="1165"/>
      <c r="IV234" s="1165"/>
    </row>
    <row r="235" spans="1:256" outlineLevel="1">
      <c r="A235" s="1146"/>
      <c r="B235" s="1146"/>
      <c r="C235" s="1746"/>
      <c r="D235" s="1146"/>
      <c r="E235" s="1747"/>
      <c r="F235" s="1746"/>
      <c r="G235" s="1748"/>
      <c r="H235" s="1748"/>
      <c r="I235" s="1749"/>
      <c r="J235" s="940"/>
      <c r="K235" s="940"/>
      <c r="L235" s="940"/>
      <c r="M235" s="940"/>
      <c r="N235" s="940"/>
      <c r="O235" s="940"/>
      <c r="P235" s="940"/>
      <c r="Q235" s="940"/>
      <c r="R235" s="940"/>
      <c r="S235" s="940"/>
      <c r="T235" s="940"/>
      <c r="U235" s="940"/>
      <c r="V235" s="940"/>
      <c r="W235" s="940"/>
      <c r="X235" s="940"/>
      <c r="Y235" s="940"/>
      <c r="Z235" s="940"/>
      <c r="AA235" s="940"/>
      <c r="AB235" s="940"/>
      <c r="AC235" s="940"/>
      <c r="AD235" s="940"/>
      <c r="AE235" s="940"/>
      <c r="AF235" s="940"/>
      <c r="AG235" s="940"/>
      <c r="AH235" s="940"/>
      <c r="AI235" s="940"/>
      <c r="AJ235" s="940"/>
      <c r="AK235" s="940"/>
      <c r="AL235" s="940"/>
      <c r="AM235" s="940"/>
      <c r="AN235" s="940"/>
      <c r="AO235" s="940"/>
      <c r="AP235" s="940"/>
      <c r="AQ235" s="940"/>
      <c r="AR235" s="940"/>
      <c r="AS235" s="940"/>
      <c r="AT235" s="940"/>
      <c r="AU235" s="940"/>
      <c r="AV235" s="940"/>
      <c r="AW235" s="940"/>
      <c r="AX235" s="940"/>
      <c r="AY235" s="940"/>
      <c r="AZ235" s="940"/>
      <c r="BA235" s="940"/>
      <c r="BB235" s="940"/>
      <c r="BC235" s="940"/>
      <c r="BD235" s="940"/>
      <c r="BE235" s="940"/>
      <c r="BF235" s="940"/>
      <c r="BG235" s="940"/>
      <c r="BH235" s="940"/>
      <c r="BI235" s="940"/>
      <c r="BJ235" s="940"/>
      <c r="BK235" s="940"/>
      <c r="BL235" s="940"/>
      <c r="BM235" s="940"/>
      <c r="BN235" s="940"/>
      <c r="BO235" s="940"/>
      <c r="BP235" s="940"/>
      <c r="BQ235" s="940"/>
      <c r="BR235" s="940"/>
      <c r="BS235" s="940"/>
      <c r="BT235" s="940"/>
      <c r="BU235" s="940"/>
      <c r="BV235" s="940"/>
      <c r="BW235" s="940"/>
      <c r="BX235" s="940"/>
      <c r="BY235" s="940"/>
      <c r="BZ235" s="940"/>
      <c r="CA235" s="940"/>
      <c r="CB235" s="940"/>
      <c r="CC235" s="940"/>
      <c r="CD235" s="940"/>
      <c r="CE235" s="940"/>
      <c r="CF235" s="940"/>
      <c r="CG235" s="940"/>
      <c r="CH235" s="940"/>
      <c r="CI235" s="940"/>
      <c r="CJ235" s="940"/>
      <c r="CK235" s="940"/>
      <c r="CL235" s="940"/>
      <c r="CM235" s="940"/>
      <c r="CN235" s="940"/>
      <c r="CO235" s="940"/>
      <c r="CP235" s="940"/>
      <c r="CQ235" s="940"/>
      <c r="CR235" s="940"/>
      <c r="CS235" s="940"/>
      <c r="CT235" s="940"/>
      <c r="CU235" s="940"/>
      <c r="CV235" s="940"/>
      <c r="CW235" s="940"/>
      <c r="CX235" s="940"/>
      <c r="CY235" s="940"/>
      <c r="CZ235" s="940"/>
      <c r="DA235" s="940"/>
      <c r="DB235" s="940"/>
      <c r="DC235" s="940"/>
      <c r="DD235" s="940"/>
      <c r="DE235" s="940"/>
      <c r="DF235" s="940"/>
      <c r="DG235" s="940"/>
      <c r="DH235" s="940"/>
      <c r="DI235" s="940"/>
      <c r="DJ235" s="940"/>
      <c r="DK235" s="940"/>
      <c r="DL235" s="940"/>
      <c r="DM235" s="940"/>
      <c r="DN235" s="940"/>
      <c r="DO235" s="940"/>
      <c r="DP235" s="940"/>
      <c r="DQ235" s="940"/>
      <c r="DR235" s="940"/>
      <c r="DS235" s="940"/>
      <c r="DT235" s="940"/>
      <c r="DU235" s="940"/>
      <c r="DV235" s="940"/>
      <c r="DW235" s="940"/>
      <c r="DX235" s="940"/>
      <c r="DY235" s="940"/>
      <c r="DZ235" s="940"/>
      <c r="EA235" s="940"/>
      <c r="EB235" s="940"/>
      <c r="EC235" s="940"/>
      <c r="ED235" s="940"/>
      <c r="EE235" s="940"/>
      <c r="EF235" s="940"/>
      <c r="EG235" s="940"/>
      <c r="EH235" s="940"/>
      <c r="EI235" s="940"/>
      <c r="EJ235" s="940"/>
      <c r="EK235" s="940"/>
      <c r="EL235" s="940"/>
      <c r="EM235" s="940"/>
      <c r="EN235" s="940"/>
      <c r="EO235" s="940"/>
      <c r="EP235" s="940"/>
      <c r="EQ235" s="940"/>
      <c r="ER235" s="940"/>
      <c r="ES235" s="940"/>
      <c r="ET235" s="940"/>
      <c r="EU235" s="940"/>
      <c r="EV235" s="940"/>
      <c r="EW235" s="940"/>
      <c r="EX235" s="940"/>
      <c r="EY235" s="940"/>
      <c r="EZ235" s="940"/>
      <c r="FA235" s="940"/>
      <c r="FB235" s="940"/>
      <c r="FC235" s="940"/>
      <c r="FD235" s="940"/>
      <c r="FE235" s="940"/>
      <c r="FF235" s="940"/>
      <c r="FG235" s="940"/>
      <c r="FH235" s="940"/>
      <c r="FI235" s="940"/>
      <c r="FJ235" s="940"/>
      <c r="FK235" s="940"/>
      <c r="FL235" s="940"/>
      <c r="FM235" s="940"/>
      <c r="FN235" s="940"/>
      <c r="FO235" s="940"/>
      <c r="FP235" s="940"/>
      <c r="FQ235" s="940"/>
      <c r="FR235" s="940"/>
      <c r="FS235" s="940"/>
      <c r="FT235" s="940"/>
      <c r="FU235" s="940"/>
      <c r="FV235" s="940"/>
      <c r="FW235" s="940"/>
      <c r="FX235" s="940"/>
      <c r="FY235" s="940"/>
      <c r="FZ235" s="940"/>
      <c r="GA235" s="940"/>
      <c r="GB235" s="940"/>
      <c r="GC235" s="940"/>
      <c r="GD235" s="940"/>
      <c r="GE235" s="940"/>
      <c r="GF235" s="940"/>
      <c r="GG235" s="940"/>
      <c r="GH235" s="940"/>
      <c r="GI235" s="940"/>
      <c r="GJ235" s="940"/>
      <c r="GK235" s="940"/>
      <c r="GL235" s="940"/>
      <c r="GM235" s="940"/>
      <c r="GN235" s="940"/>
      <c r="GO235" s="940"/>
      <c r="GP235" s="940"/>
      <c r="GQ235" s="940"/>
      <c r="GR235" s="940"/>
      <c r="GS235" s="940"/>
      <c r="GT235" s="940"/>
      <c r="GU235" s="940"/>
      <c r="GV235" s="940"/>
      <c r="GW235" s="940"/>
      <c r="GX235" s="940"/>
      <c r="GY235" s="940"/>
      <c r="GZ235" s="940"/>
      <c r="HA235" s="940"/>
      <c r="HB235" s="940"/>
      <c r="HC235" s="940"/>
      <c r="HD235" s="940"/>
      <c r="HE235" s="940"/>
      <c r="HF235" s="940"/>
      <c r="HG235" s="940"/>
      <c r="HH235" s="940"/>
      <c r="HI235" s="940"/>
      <c r="HJ235" s="940"/>
      <c r="HK235" s="940"/>
      <c r="HL235" s="940"/>
      <c r="HM235" s="940"/>
      <c r="HN235" s="940"/>
      <c r="HO235" s="940"/>
      <c r="HP235" s="940"/>
      <c r="HQ235" s="940"/>
      <c r="HR235" s="940"/>
      <c r="HS235" s="940"/>
      <c r="HT235" s="940"/>
      <c r="HU235" s="940"/>
      <c r="HV235" s="940"/>
      <c r="HW235" s="940"/>
      <c r="HX235" s="940"/>
      <c r="HY235" s="940"/>
      <c r="HZ235" s="940"/>
      <c r="IA235" s="940"/>
      <c r="IB235" s="940"/>
      <c r="IC235" s="940"/>
      <c r="ID235" s="940"/>
      <c r="IE235" s="940"/>
      <c r="IF235" s="940"/>
      <c r="IG235" s="940"/>
      <c r="IH235" s="940"/>
      <c r="II235" s="940"/>
      <c r="IJ235" s="940"/>
      <c r="IK235" s="940"/>
      <c r="IL235" s="940"/>
      <c r="IM235" s="940"/>
      <c r="IN235" s="940"/>
      <c r="IO235" s="940"/>
      <c r="IP235" s="940"/>
      <c r="IQ235" s="940"/>
      <c r="IR235" s="940"/>
      <c r="IS235" s="940"/>
      <c r="IT235" s="940"/>
      <c r="IU235" s="940"/>
      <c r="IV235" s="940"/>
    </row>
    <row r="236" spans="1:256">
      <c r="A236" s="1754" t="s">
        <v>2157</v>
      </c>
      <c r="B236" s="1750"/>
      <c r="C236" s="1751"/>
      <c r="D236" s="1750"/>
      <c r="E236" s="1767" t="s">
        <v>2158</v>
      </c>
      <c r="F236" s="1751"/>
      <c r="G236" s="1765">
        <f>SUM(G187:G235)</f>
        <v>123505640</v>
      </c>
      <c r="H236" s="1765">
        <f>SUM(H188:H235)</f>
        <v>101825278</v>
      </c>
      <c r="I236" s="1749"/>
      <c r="J236" s="940"/>
      <c r="K236" s="940"/>
      <c r="L236" s="940"/>
      <c r="M236" s="940"/>
      <c r="N236" s="940"/>
      <c r="O236" s="940"/>
      <c r="P236" s="940"/>
      <c r="Q236" s="940"/>
      <c r="R236" s="940"/>
      <c r="S236" s="940"/>
      <c r="T236" s="940"/>
      <c r="U236" s="940"/>
      <c r="V236" s="940"/>
      <c r="W236" s="940"/>
      <c r="X236" s="940"/>
      <c r="Y236" s="940"/>
      <c r="Z236" s="940"/>
      <c r="AA236" s="940"/>
      <c r="AB236" s="940"/>
      <c r="AC236" s="940"/>
      <c r="AD236" s="940"/>
      <c r="AE236" s="940"/>
      <c r="AF236" s="940"/>
      <c r="AG236" s="940"/>
      <c r="AH236" s="940"/>
      <c r="AI236" s="940"/>
      <c r="AJ236" s="940"/>
      <c r="AK236" s="940"/>
      <c r="AL236" s="940"/>
      <c r="AM236" s="940"/>
      <c r="AN236" s="940"/>
      <c r="AO236" s="940"/>
      <c r="AP236" s="940"/>
      <c r="AQ236" s="940"/>
      <c r="AR236" s="940"/>
      <c r="AS236" s="940"/>
      <c r="AT236" s="940"/>
      <c r="AU236" s="940"/>
      <c r="AV236" s="940"/>
      <c r="AW236" s="940"/>
      <c r="AX236" s="940"/>
      <c r="AY236" s="940"/>
      <c r="AZ236" s="940"/>
      <c r="BA236" s="940"/>
      <c r="BB236" s="940"/>
      <c r="BC236" s="940"/>
      <c r="BD236" s="940"/>
      <c r="BE236" s="940"/>
      <c r="BF236" s="940"/>
      <c r="BG236" s="940"/>
      <c r="BH236" s="940"/>
      <c r="BI236" s="940"/>
      <c r="BJ236" s="940"/>
      <c r="BK236" s="940"/>
      <c r="BL236" s="940"/>
      <c r="BM236" s="940"/>
      <c r="BN236" s="940"/>
      <c r="BO236" s="940"/>
      <c r="BP236" s="940"/>
      <c r="BQ236" s="940"/>
      <c r="BR236" s="940"/>
      <c r="BS236" s="940"/>
      <c r="BT236" s="940"/>
      <c r="BU236" s="940"/>
      <c r="BV236" s="940"/>
      <c r="BW236" s="940"/>
      <c r="BX236" s="940"/>
      <c r="BY236" s="940"/>
      <c r="BZ236" s="940"/>
      <c r="CA236" s="940"/>
      <c r="CB236" s="940"/>
      <c r="CC236" s="940"/>
      <c r="CD236" s="940"/>
      <c r="CE236" s="940"/>
      <c r="CF236" s="940"/>
      <c r="CG236" s="940"/>
      <c r="CH236" s="940"/>
      <c r="CI236" s="940"/>
      <c r="CJ236" s="940"/>
      <c r="CK236" s="940"/>
      <c r="CL236" s="940"/>
      <c r="CM236" s="940"/>
      <c r="CN236" s="940"/>
      <c r="CO236" s="940"/>
      <c r="CP236" s="940"/>
      <c r="CQ236" s="940"/>
      <c r="CR236" s="940"/>
      <c r="CS236" s="940"/>
      <c r="CT236" s="940"/>
      <c r="CU236" s="940"/>
      <c r="CV236" s="940"/>
      <c r="CW236" s="940"/>
      <c r="CX236" s="940"/>
      <c r="CY236" s="940"/>
      <c r="CZ236" s="940"/>
      <c r="DA236" s="940"/>
      <c r="DB236" s="940"/>
      <c r="DC236" s="940"/>
      <c r="DD236" s="940"/>
      <c r="DE236" s="940"/>
      <c r="DF236" s="940"/>
      <c r="DG236" s="940"/>
      <c r="DH236" s="940"/>
      <c r="DI236" s="940"/>
      <c r="DJ236" s="940"/>
      <c r="DK236" s="940"/>
      <c r="DL236" s="940"/>
      <c r="DM236" s="940"/>
      <c r="DN236" s="940"/>
      <c r="DO236" s="940"/>
      <c r="DP236" s="940"/>
      <c r="DQ236" s="940"/>
      <c r="DR236" s="940"/>
      <c r="DS236" s="940"/>
      <c r="DT236" s="940"/>
      <c r="DU236" s="940"/>
      <c r="DV236" s="940"/>
      <c r="DW236" s="940"/>
      <c r="DX236" s="940"/>
      <c r="DY236" s="940"/>
      <c r="DZ236" s="940"/>
      <c r="EA236" s="940"/>
      <c r="EB236" s="940"/>
      <c r="EC236" s="940"/>
      <c r="ED236" s="940"/>
      <c r="EE236" s="940"/>
      <c r="EF236" s="940"/>
      <c r="EG236" s="940"/>
      <c r="EH236" s="940"/>
      <c r="EI236" s="940"/>
      <c r="EJ236" s="940"/>
      <c r="EK236" s="940"/>
      <c r="EL236" s="940"/>
      <c r="EM236" s="940"/>
      <c r="EN236" s="940"/>
      <c r="EO236" s="940"/>
      <c r="EP236" s="940"/>
      <c r="EQ236" s="940"/>
      <c r="ER236" s="940"/>
      <c r="ES236" s="940"/>
      <c r="ET236" s="940"/>
      <c r="EU236" s="940"/>
      <c r="EV236" s="940"/>
      <c r="EW236" s="940"/>
      <c r="EX236" s="940"/>
      <c r="EY236" s="940"/>
      <c r="EZ236" s="940"/>
      <c r="FA236" s="940"/>
      <c r="FB236" s="940"/>
      <c r="FC236" s="940"/>
      <c r="FD236" s="940"/>
      <c r="FE236" s="940"/>
      <c r="FF236" s="940"/>
      <c r="FG236" s="940"/>
      <c r="FH236" s="940"/>
      <c r="FI236" s="940"/>
      <c r="FJ236" s="940"/>
      <c r="FK236" s="940"/>
      <c r="FL236" s="940"/>
      <c r="FM236" s="940"/>
      <c r="FN236" s="940"/>
      <c r="FO236" s="940"/>
      <c r="FP236" s="940"/>
      <c r="FQ236" s="940"/>
      <c r="FR236" s="940"/>
      <c r="FS236" s="940"/>
      <c r="FT236" s="940"/>
      <c r="FU236" s="940"/>
      <c r="FV236" s="940"/>
      <c r="FW236" s="940"/>
      <c r="FX236" s="940"/>
      <c r="FY236" s="940"/>
      <c r="FZ236" s="940"/>
      <c r="GA236" s="940"/>
      <c r="GB236" s="940"/>
      <c r="GC236" s="940"/>
      <c r="GD236" s="940"/>
      <c r="GE236" s="940"/>
      <c r="GF236" s="940"/>
      <c r="GG236" s="940"/>
      <c r="GH236" s="940"/>
      <c r="GI236" s="940"/>
      <c r="GJ236" s="940"/>
      <c r="GK236" s="940"/>
      <c r="GL236" s="940"/>
      <c r="GM236" s="940"/>
      <c r="GN236" s="940"/>
      <c r="GO236" s="940"/>
      <c r="GP236" s="940"/>
      <c r="GQ236" s="940"/>
      <c r="GR236" s="940"/>
      <c r="GS236" s="940"/>
      <c r="GT236" s="940"/>
      <c r="GU236" s="940"/>
      <c r="GV236" s="940"/>
      <c r="GW236" s="940"/>
      <c r="GX236" s="940"/>
      <c r="GY236" s="940"/>
      <c r="GZ236" s="940"/>
      <c r="HA236" s="940"/>
      <c r="HB236" s="940"/>
      <c r="HC236" s="940"/>
      <c r="HD236" s="940"/>
      <c r="HE236" s="940"/>
      <c r="HF236" s="940"/>
      <c r="HG236" s="940"/>
      <c r="HH236" s="940"/>
      <c r="HI236" s="940"/>
      <c r="HJ236" s="940"/>
      <c r="HK236" s="940"/>
      <c r="HL236" s="940"/>
      <c r="HM236" s="940"/>
      <c r="HN236" s="940"/>
      <c r="HO236" s="940"/>
      <c r="HP236" s="940"/>
      <c r="HQ236" s="940"/>
      <c r="HR236" s="940"/>
      <c r="HS236" s="940"/>
      <c r="HT236" s="940"/>
      <c r="HU236" s="940"/>
      <c r="HV236" s="940"/>
      <c r="HW236" s="940"/>
      <c r="HX236" s="940"/>
      <c r="HY236" s="940"/>
      <c r="HZ236" s="940"/>
      <c r="IA236" s="940"/>
      <c r="IB236" s="940"/>
      <c r="IC236" s="940"/>
      <c r="ID236" s="940"/>
      <c r="IE236" s="940"/>
      <c r="IF236" s="940"/>
      <c r="IG236" s="940"/>
      <c r="IH236" s="940"/>
      <c r="II236" s="940"/>
      <c r="IJ236" s="940"/>
      <c r="IK236" s="940"/>
      <c r="IL236" s="940"/>
      <c r="IM236" s="940"/>
      <c r="IN236" s="940"/>
      <c r="IO236" s="940"/>
      <c r="IP236" s="940"/>
      <c r="IQ236" s="940"/>
      <c r="IR236" s="940"/>
      <c r="IS236" s="940"/>
      <c r="IT236" s="940"/>
      <c r="IU236" s="940"/>
      <c r="IV236" s="940"/>
    </row>
    <row r="237" spans="1:256">
      <c r="A237" s="1752"/>
      <c r="B237" s="1752"/>
      <c r="C237" s="1752"/>
      <c r="D237" s="1753"/>
      <c r="E237" s="1768" t="s">
        <v>257</v>
      </c>
      <c r="F237" s="1752"/>
      <c r="G237" s="1766">
        <f>G236-G187</f>
        <v>90480000</v>
      </c>
      <c r="H237" s="1766">
        <f>G236-H236</f>
        <v>21680362</v>
      </c>
      <c r="I237" s="939"/>
      <c r="J237" s="940"/>
      <c r="K237" s="940"/>
      <c r="L237" s="940"/>
      <c r="M237" s="940"/>
      <c r="N237" s="940"/>
      <c r="O237" s="940"/>
      <c r="P237" s="940"/>
      <c r="Q237" s="940"/>
      <c r="R237" s="940"/>
      <c r="S237" s="940"/>
      <c r="T237" s="940"/>
      <c r="U237" s="940"/>
      <c r="V237" s="940"/>
      <c r="W237" s="940"/>
      <c r="X237" s="940"/>
      <c r="Y237" s="940"/>
      <c r="Z237" s="940"/>
      <c r="AA237" s="940"/>
      <c r="AB237" s="940"/>
      <c r="AC237" s="940"/>
      <c r="AD237" s="940"/>
      <c r="AE237" s="940"/>
      <c r="AF237" s="940"/>
      <c r="AG237" s="940"/>
      <c r="AH237" s="940"/>
      <c r="AI237" s="940"/>
      <c r="AJ237" s="940"/>
      <c r="AK237" s="940"/>
      <c r="AL237" s="940"/>
      <c r="AM237" s="940"/>
      <c r="AN237" s="940"/>
      <c r="AO237" s="940"/>
      <c r="AP237" s="940"/>
      <c r="AQ237" s="940"/>
      <c r="AR237" s="940"/>
      <c r="AS237" s="940"/>
      <c r="AT237" s="940"/>
      <c r="AU237" s="940"/>
      <c r="AV237" s="940"/>
      <c r="AW237" s="940"/>
      <c r="AX237" s="940"/>
      <c r="AY237" s="940"/>
      <c r="AZ237" s="940"/>
      <c r="BA237" s="940"/>
      <c r="BB237" s="940"/>
      <c r="BC237" s="940"/>
      <c r="BD237" s="940"/>
      <c r="BE237" s="940"/>
      <c r="BF237" s="940"/>
      <c r="BG237" s="940"/>
      <c r="BH237" s="940"/>
      <c r="BI237" s="940"/>
      <c r="BJ237" s="940"/>
      <c r="BK237" s="940"/>
      <c r="BL237" s="940"/>
      <c r="BM237" s="940"/>
      <c r="BN237" s="940"/>
      <c r="BO237" s="940"/>
      <c r="BP237" s="940"/>
      <c r="BQ237" s="940"/>
      <c r="BR237" s="940"/>
      <c r="BS237" s="940"/>
      <c r="BT237" s="940"/>
      <c r="BU237" s="940"/>
      <c r="BV237" s="940"/>
      <c r="BW237" s="940"/>
      <c r="BX237" s="940"/>
      <c r="BY237" s="940"/>
      <c r="BZ237" s="940"/>
      <c r="CA237" s="940"/>
      <c r="CB237" s="940"/>
      <c r="CC237" s="940"/>
      <c r="CD237" s="940"/>
      <c r="CE237" s="940"/>
      <c r="CF237" s="940"/>
      <c r="CG237" s="940"/>
      <c r="CH237" s="940"/>
      <c r="CI237" s="940"/>
      <c r="CJ237" s="940"/>
      <c r="CK237" s="940"/>
      <c r="CL237" s="940"/>
      <c r="CM237" s="940"/>
      <c r="CN237" s="940"/>
      <c r="CO237" s="940"/>
      <c r="CP237" s="940"/>
      <c r="CQ237" s="940"/>
      <c r="CR237" s="940"/>
      <c r="CS237" s="940"/>
      <c r="CT237" s="940"/>
      <c r="CU237" s="940"/>
      <c r="CV237" s="940"/>
      <c r="CW237" s="940"/>
      <c r="CX237" s="940"/>
      <c r="CY237" s="940"/>
      <c r="CZ237" s="940"/>
      <c r="DA237" s="940"/>
      <c r="DB237" s="940"/>
      <c r="DC237" s="940"/>
      <c r="DD237" s="940"/>
      <c r="DE237" s="940"/>
      <c r="DF237" s="940"/>
      <c r="DG237" s="940"/>
      <c r="DH237" s="940"/>
      <c r="DI237" s="940"/>
      <c r="DJ237" s="940"/>
      <c r="DK237" s="940"/>
      <c r="DL237" s="940"/>
      <c r="DM237" s="940"/>
      <c r="DN237" s="940"/>
      <c r="DO237" s="940"/>
      <c r="DP237" s="940"/>
      <c r="DQ237" s="940"/>
      <c r="DR237" s="940"/>
      <c r="DS237" s="940"/>
      <c r="DT237" s="940"/>
      <c r="DU237" s="940"/>
      <c r="DV237" s="940"/>
      <c r="DW237" s="940"/>
      <c r="DX237" s="940"/>
      <c r="DY237" s="940"/>
      <c r="DZ237" s="940"/>
      <c r="EA237" s="940"/>
      <c r="EB237" s="940"/>
      <c r="EC237" s="940"/>
      <c r="ED237" s="940"/>
      <c r="EE237" s="940"/>
      <c r="EF237" s="940"/>
      <c r="EG237" s="940"/>
      <c r="EH237" s="940"/>
      <c r="EI237" s="940"/>
      <c r="EJ237" s="940"/>
      <c r="EK237" s="940"/>
      <c r="EL237" s="940"/>
      <c r="EM237" s="940"/>
      <c r="EN237" s="940"/>
      <c r="EO237" s="940"/>
      <c r="EP237" s="940"/>
      <c r="EQ237" s="940"/>
      <c r="ER237" s="940"/>
      <c r="ES237" s="940"/>
      <c r="ET237" s="940"/>
      <c r="EU237" s="940"/>
      <c r="EV237" s="940"/>
      <c r="EW237" s="940"/>
      <c r="EX237" s="940"/>
      <c r="EY237" s="940"/>
      <c r="EZ237" s="940"/>
      <c r="FA237" s="940"/>
      <c r="FB237" s="940"/>
      <c r="FC237" s="940"/>
      <c r="FD237" s="940"/>
      <c r="FE237" s="940"/>
      <c r="FF237" s="940"/>
      <c r="FG237" s="940"/>
      <c r="FH237" s="940"/>
      <c r="FI237" s="940"/>
      <c r="FJ237" s="940"/>
      <c r="FK237" s="940"/>
      <c r="FL237" s="940"/>
      <c r="FM237" s="940"/>
      <c r="FN237" s="940"/>
      <c r="FO237" s="940"/>
      <c r="FP237" s="940"/>
      <c r="FQ237" s="940"/>
      <c r="FR237" s="940"/>
      <c r="FS237" s="940"/>
      <c r="FT237" s="940"/>
      <c r="FU237" s="940"/>
      <c r="FV237" s="940"/>
      <c r="FW237" s="940"/>
      <c r="FX237" s="940"/>
      <c r="FY237" s="940"/>
      <c r="FZ237" s="940"/>
      <c r="GA237" s="940"/>
      <c r="GB237" s="940"/>
      <c r="GC237" s="940"/>
      <c r="GD237" s="940"/>
      <c r="GE237" s="940"/>
      <c r="GF237" s="940"/>
      <c r="GG237" s="940"/>
      <c r="GH237" s="940"/>
      <c r="GI237" s="940"/>
      <c r="GJ237" s="940"/>
      <c r="GK237" s="940"/>
      <c r="GL237" s="940"/>
      <c r="GM237" s="940"/>
      <c r="GN237" s="940"/>
      <c r="GO237" s="940"/>
      <c r="GP237" s="940"/>
      <c r="GQ237" s="940"/>
      <c r="GR237" s="940"/>
      <c r="GS237" s="940"/>
      <c r="GT237" s="940"/>
      <c r="GU237" s="940"/>
      <c r="GV237" s="940"/>
      <c r="GW237" s="940"/>
      <c r="GX237" s="940"/>
      <c r="GY237" s="940"/>
      <c r="GZ237" s="940"/>
      <c r="HA237" s="940"/>
      <c r="HB237" s="940"/>
      <c r="HC237" s="940"/>
      <c r="HD237" s="940"/>
      <c r="HE237" s="940"/>
      <c r="HF237" s="940"/>
      <c r="HG237" s="940"/>
      <c r="HH237" s="940"/>
      <c r="HI237" s="940"/>
      <c r="HJ237" s="940"/>
      <c r="HK237" s="940"/>
      <c r="HL237" s="940"/>
      <c r="HM237" s="940"/>
      <c r="HN237" s="940"/>
      <c r="HO237" s="940"/>
      <c r="HP237" s="940"/>
      <c r="HQ237" s="940"/>
      <c r="HR237" s="940"/>
      <c r="HS237" s="940"/>
      <c r="HT237" s="940"/>
      <c r="HU237" s="940"/>
      <c r="HV237" s="940"/>
      <c r="HW237" s="940"/>
      <c r="HX237" s="940"/>
      <c r="HY237" s="940"/>
      <c r="HZ237" s="940"/>
      <c r="IA237" s="940"/>
      <c r="IB237" s="940"/>
      <c r="IC237" s="940"/>
      <c r="ID237" s="940"/>
      <c r="IE237" s="940"/>
      <c r="IF237" s="940"/>
      <c r="IG237" s="940"/>
      <c r="IH237" s="940"/>
      <c r="II237" s="940"/>
      <c r="IJ237" s="940"/>
      <c r="IK237" s="940"/>
      <c r="IL237" s="940"/>
      <c r="IM237" s="940"/>
      <c r="IN237" s="940"/>
      <c r="IO237" s="940"/>
      <c r="IP237" s="940"/>
      <c r="IQ237" s="940"/>
      <c r="IR237" s="940"/>
      <c r="IS237" s="940"/>
      <c r="IT237" s="940"/>
      <c r="IU237" s="940"/>
      <c r="IV237" s="940"/>
    </row>
    <row r="238" spans="1:256">
      <c r="A238" s="944"/>
      <c r="B238" s="944"/>
      <c r="C238" s="944"/>
      <c r="D238" s="940"/>
      <c r="E238" s="948"/>
      <c r="F238" s="944"/>
      <c r="G238" s="940"/>
      <c r="H238" s="940"/>
      <c r="I238" s="943"/>
      <c r="J238" s="940"/>
      <c r="K238" s="940"/>
      <c r="L238" s="940"/>
      <c r="M238" s="940"/>
      <c r="N238" s="940"/>
      <c r="O238" s="940"/>
      <c r="P238" s="940"/>
      <c r="Q238" s="940"/>
      <c r="R238" s="940"/>
      <c r="S238" s="940"/>
      <c r="T238" s="940"/>
      <c r="U238" s="940"/>
      <c r="V238" s="940"/>
      <c r="W238" s="940"/>
      <c r="X238" s="940"/>
      <c r="Y238" s="940"/>
      <c r="Z238" s="940"/>
      <c r="AA238" s="940"/>
      <c r="AB238" s="940"/>
      <c r="AC238" s="940"/>
      <c r="AD238" s="940"/>
      <c r="AE238" s="940"/>
      <c r="AF238" s="940"/>
      <c r="AG238" s="940"/>
      <c r="AH238" s="940"/>
      <c r="AI238" s="940"/>
      <c r="AJ238" s="940"/>
      <c r="AK238" s="940"/>
      <c r="AL238" s="940"/>
      <c r="AM238" s="940"/>
      <c r="AN238" s="940"/>
      <c r="AO238" s="940"/>
      <c r="AP238" s="940"/>
      <c r="AQ238" s="940"/>
      <c r="AR238" s="940"/>
      <c r="AS238" s="940"/>
      <c r="AT238" s="940"/>
      <c r="AU238" s="940"/>
      <c r="AV238" s="940"/>
      <c r="AW238" s="940"/>
      <c r="AX238" s="940"/>
      <c r="AY238" s="940"/>
      <c r="AZ238" s="940"/>
      <c r="BA238" s="940"/>
      <c r="BB238" s="940"/>
      <c r="BC238" s="940"/>
      <c r="BD238" s="940"/>
      <c r="BE238" s="940"/>
      <c r="BF238" s="940"/>
      <c r="BG238" s="940"/>
      <c r="BH238" s="940"/>
      <c r="BI238" s="940"/>
      <c r="BJ238" s="940"/>
      <c r="BK238" s="940"/>
      <c r="BL238" s="940"/>
      <c r="BM238" s="940"/>
      <c r="BN238" s="940"/>
      <c r="BO238" s="940"/>
      <c r="BP238" s="940"/>
      <c r="BQ238" s="940"/>
      <c r="BR238" s="940"/>
      <c r="BS238" s="940"/>
      <c r="BT238" s="940"/>
      <c r="BU238" s="940"/>
      <c r="BV238" s="940"/>
      <c r="BW238" s="940"/>
      <c r="BX238" s="940"/>
      <c r="BY238" s="940"/>
      <c r="BZ238" s="940"/>
      <c r="CA238" s="940"/>
      <c r="CB238" s="940"/>
      <c r="CC238" s="940"/>
      <c r="CD238" s="940"/>
      <c r="CE238" s="940"/>
      <c r="CF238" s="940"/>
      <c r="CG238" s="940"/>
      <c r="CH238" s="940"/>
      <c r="CI238" s="940"/>
      <c r="CJ238" s="940"/>
      <c r="CK238" s="940"/>
      <c r="CL238" s="940"/>
      <c r="CM238" s="940"/>
      <c r="CN238" s="940"/>
      <c r="CO238" s="940"/>
      <c r="CP238" s="940"/>
      <c r="CQ238" s="940"/>
      <c r="CR238" s="940"/>
      <c r="CS238" s="940"/>
      <c r="CT238" s="940"/>
      <c r="CU238" s="940"/>
      <c r="CV238" s="940"/>
      <c r="CW238" s="940"/>
      <c r="CX238" s="940"/>
      <c r="CY238" s="940"/>
      <c r="CZ238" s="940"/>
      <c r="DA238" s="940"/>
      <c r="DB238" s="940"/>
      <c r="DC238" s="940"/>
      <c r="DD238" s="940"/>
      <c r="DE238" s="940"/>
      <c r="DF238" s="940"/>
      <c r="DG238" s="940"/>
      <c r="DH238" s="940"/>
      <c r="DI238" s="940"/>
      <c r="DJ238" s="940"/>
      <c r="DK238" s="940"/>
      <c r="DL238" s="940"/>
      <c r="DM238" s="940"/>
      <c r="DN238" s="940"/>
      <c r="DO238" s="940"/>
      <c r="DP238" s="940"/>
      <c r="DQ238" s="940"/>
      <c r="DR238" s="940"/>
      <c r="DS238" s="940"/>
      <c r="DT238" s="940"/>
      <c r="DU238" s="940"/>
      <c r="DV238" s="940"/>
      <c r="DW238" s="940"/>
      <c r="DX238" s="940"/>
      <c r="DY238" s="940"/>
      <c r="DZ238" s="940"/>
      <c r="EA238" s="940"/>
      <c r="EB238" s="940"/>
      <c r="EC238" s="940"/>
      <c r="ED238" s="940"/>
      <c r="EE238" s="940"/>
      <c r="EF238" s="940"/>
      <c r="EG238" s="940"/>
      <c r="EH238" s="940"/>
      <c r="EI238" s="940"/>
      <c r="EJ238" s="940"/>
      <c r="EK238" s="940"/>
      <c r="EL238" s="940"/>
      <c r="EM238" s="940"/>
      <c r="EN238" s="940"/>
      <c r="EO238" s="940"/>
      <c r="EP238" s="940"/>
      <c r="EQ238" s="940"/>
      <c r="ER238" s="940"/>
      <c r="ES238" s="940"/>
      <c r="ET238" s="940"/>
      <c r="EU238" s="940"/>
      <c r="EV238" s="940"/>
      <c r="EW238" s="940"/>
      <c r="EX238" s="940"/>
      <c r="EY238" s="940"/>
      <c r="EZ238" s="940"/>
      <c r="FA238" s="940"/>
      <c r="FB238" s="940"/>
      <c r="FC238" s="940"/>
      <c r="FD238" s="940"/>
      <c r="FE238" s="940"/>
      <c r="FF238" s="940"/>
      <c r="FG238" s="940"/>
      <c r="FH238" s="940"/>
      <c r="FI238" s="940"/>
      <c r="FJ238" s="940"/>
      <c r="FK238" s="940"/>
      <c r="FL238" s="940"/>
      <c r="FM238" s="940"/>
      <c r="FN238" s="940"/>
      <c r="FO238" s="940"/>
      <c r="FP238" s="940"/>
      <c r="FQ238" s="940"/>
      <c r="FR238" s="940"/>
      <c r="FS238" s="940"/>
      <c r="FT238" s="940"/>
      <c r="FU238" s="940"/>
      <c r="FV238" s="940"/>
      <c r="FW238" s="940"/>
      <c r="FX238" s="940"/>
      <c r="FY238" s="940"/>
      <c r="FZ238" s="940"/>
      <c r="GA238" s="940"/>
      <c r="GB238" s="940"/>
      <c r="GC238" s="940"/>
      <c r="GD238" s="940"/>
      <c r="GE238" s="940"/>
      <c r="GF238" s="940"/>
      <c r="GG238" s="940"/>
      <c r="GH238" s="940"/>
      <c r="GI238" s="940"/>
      <c r="GJ238" s="940"/>
      <c r="GK238" s="940"/>
      <c r="GL238" s="940"/>
      <c r="GM238" s="940"/>
      <c r="GN238" s="940"/>
      <c r="GO238" s="940"/>
      <c r="GP238" s="940"/>
      <c r="GQ238" s="940"/>
      <c r="GR238" s="940"/>
      <c r="GS238" s="940"/>
      <c r="GT238" s="940"/>
      <c r="GU238" s="940"/>
      <c r="GV238" s="940"/>
      <c r="GW238" s="940"/>
      <c r="GX238" s="940"/>
      <c r="GY238" s="940"/>
      <c r="GZ238" s="940"/>
      <c r="HA238" s="940"/>
      <c r="HB238" s="940"/>
      <c r="HC238" s="940"/>
      <c r="HD238" s="940"/>
      <c r="HE238" s="940"/>
      <c r="HF238" s="940"/>
      <c r="HG238" s="940"/>
      <c r="HH238" s="940"/>
      <c r="HI238" s="940"/>
      <c r="HJ238" s="940"/>
      <c r="HK238" s="940"/>
      <c r="HL238" s="940"/>
      <c r="HM238" s="940"/>
      <c r="HN238" s="940"/>
      <c r="HO238" s="940"/>
      <c r="HP238" s="940"/>
      <c r="HQ238" s="940"/>
      <c r="HR238" s="940"/>
      <c r="HS238" s="940"/>
      <c r="HT238" s="940"/>
      <c r="HU238" s="940"/>
      <c r="HV238" s="940"/>
      <c r="HW238" s="940"/>
      <c r="HX238" s="940"/>
      <c r="HY238" s="940"/>
      <c r="HZ238" s="940"/>
      <c r="IA238" s="940"/>
      <c r="IB238" s="940"/>
      <c r="IC238" s="940"/>
      <c r="ID238" s="940"/>
      <c r="IE238" s="940"/>
      <c r="IF238" s="940"/>
      <c r="IG238" s="940"/>
      <c r="IH238" s="940"/>
      <c r="II238" s="940"/>
      <c r="IJ238" s="940"/>
      <c r="IK238" s="940"/>
      <c r="IL238" s="940"/>
      <c r="IM238" s="940"/>
      <c r="IN238" s="940"/>
      <c r="IO238" s="940"/>
      <c r="IP238" s="940"/>
      <c r="IQ238" s="940"/>
      <c r="IR238" s="940"/>
      <c r="IS238" s="940"/>
      <c r="IT238" s="940"/>
      <c r="IU238" s="940"/>
      <c r="IV238" s="940"/>
    </row>
    <row r="239" spans="1:256" ht="18.75" thickBot="1">
      <c r="A239" s="940"/>
      <c r="B239" s="940"/>
      <c r="C239" s="940"/>
      <c r="D239" s="940"/>
      <c r="E239" s="942"/>
      <c r="F239" s="940"/>
      <c r="G239" s="940"/>
      <c r="H239" s="940"/>
      <c r="I239" s="943"/>
      <c r="J239" s="940"/>
      <c r="K239" s="940"/>
      <c r="L239" s="940"/>
      <c r="M239" s="940"/>
      <c r="N239" s="940"/>
      <c r="O239" s="940"/>
      <c r="P239" s="940"/>
      <c r="Q239" s="940"/>
      <c r="R239" s="940"/>
      <c r="S239" s="940"/>
      <c r="T239" s="940"/>
      <c r="U239" s="940"/>
      <c r="V239" s="940"/>
      <c r="W239" s="940"/>
      <c r="X239" s="940"/>
      <c r="Y239" s="940"/>
      <c r="Z239" s="940"/>
      <c r="AA239" s="940"/>
      <c r="AB239" s="940"/>
      <c r="AC239" s="940"/>
      <c r="AD239" s="940"/>
      <c r="AE239" s="940"/>
      <c r="AF239" s="940"/>
      <c r="AG239" s="940"/>
      <c r="AH239" s="940"/>
      <c r="AI239" s="940"/>
      <c r="AJ239" s="940"/>
      <c r="AK239" s="940"/>
      <c r="AL239" s="940"/>
      <c r="AM239" s="940"/>
      <c r="AN239" s="940"/>
      <c r="AO239" s="940"/>
      <c r="AP239" s="940"/>
      <c r="AQ239" s="940"/>
      <c r="AR239" s="940"/>
      <c r="AS239" s="940"/>
      <c r="AT239" s="940"/>
      <c r="AU239" s="940"/>
      <c r="AV239" s="940"/>
      <c r="AW239" s="940"/>
      <c r="AX239" s="940"/>
      <c r="AY239" s="940"/>
      <c r="AZ239" s="940"/>
      <c r="BA239" s="940"/>
      <c r="BB239" s="940"/>
      <c r="BC239" s="940"/>
      <c r="BD239" s="940"/>
      <c r="BE239" s="940"/>
      <c r="BF239" s="940"/>
      <c r="BG239" s="940"/>
      <c r="BH239" s="940"/>
      <c r="BI239" s="940"/>
      <c r="BJ239" s="940"/>
      <c r="BK239" s="940"/>
      <c r="BL239" s="940"/>
      <c r="BM239" s="940"/>
      <c r="BN239" s="940"/>
      <c r="BO239" s="940"/>
      <c r="BP239" s="940"/>
      <c r="BQ239" s="940"/>
      <c r="BR239" s="940"/>
      <c r="BS239" s="940"/>
      <c r="BT239" s="940"/>
      <c r="BU239" s="940"/>
      <c r="BV239" s="940"/>
      <c r="BW239" s="940"/>
      <c r="BX239" s="940"/>
      <c r="BY239" s="940"/>
      <c r="BZ239" s="940"/>
      <c r="CA239" s="940"/>
      <c r="CB239" s="940"/>
      <c r="CC239" s="940"/>
      <c r="CD239" s="940"/>
      <c r="CE239" s="940"/>
      <c r="CF239" s="940"/>
      <c r="CG239" s="940"/>
      <c r="CH239" s="940"/>
      <c r="CI239" s="940"/>
      <c r="CJ239" s="940"/>
      <c r="CK239" s="940"/>
      <c r="CL239" s="940"/>
      <c r="CM239" s="940"/>
      <c r="CN239" s="940"/>
      <c r="CO239" s="940"/>
      <c r="CP239" s="940"/>
      <c r="CQ239" s="940"/>
      <c r="CR239" s="940"/>
      <c r="CS239" s="940"/>
      <c r="CT239" s="940"/>
      <c r="CU239" s="940"/>
      <c r="CV239" s="940"/>
      <c r="CW239" s="940"/>
      <c r="CX239" s="940"/>
      <c r="CY239" s="940"/>
      <c r="CZ239" s="940"/>
      <c r="DA239" s="940"/>
      <c r="DB239" s="940"/>
      <c r="DC239" s="940"/>
      <c r="DD239" s="940"/>
      <c r="DE239" s="940"/>
      <c r="DF239" s="940"/>
      <c r="DG239" s="940"/>
      <c r="DH239" s="940"/>
      <c r="DI239" s="940"/>
      <c r="DJ239" s="940"/>
      <c r="DK239" s="940"/>
      <c r="DL239" s="940"/>
      <c r="DM239" s="940"/>
      <c r="DN239" s="940"/>
      <c r="DO239" s="940"/>
      <c r="DP239" s="940"/>
      <c r="DQ239" s="940"/>
      <c r="DR239" s="940"/>
      <c r="DS239" s="940"/>
      <c r="DT239" s="940"/>
      <c r="DU239" s="940"/>
      <c r="DV239" s="940"/>
      <c r="DW239" s="940"/>
      <c r="DX239" s="940"/>
      <c r="DY239" s="940"/>
      <c r="DZ239" s="940"/>
      <c r="EA239" s="940"/>
      <c r="EB239" s="940"/>
      <c r="EC239" s="940"/>
      <c r="ED239" s="940"/>
      <c r="EE239" s="940"/>
      <c r="EF239" s="940"/>
      <c r="EG239" s="940"/>
      <c r="EH239" s="940"/>
      <c r="EI239" s="940"/>
      <c r="EJ239" s="940"/>
      <c r="EK239" s="940"/>
      <c r="EL239" s="940"/>
      <c r="EM239" s="940"/>
      <c r="EN239" s="940"/>
      <c r="EO239" s="940"/>
      <c r="EP239" s="940"/>
      <c r="EQ239" s="940"/>
      <c r="ER239" s="940"/>
      <c r="ES239" s="940"/>
      <c r="ET239" s="940"/>
      <c r="EU239" s="940"/>
      <c r="EV239" s="940"/>
      <c r="EW239" s="940"/>
      <c r="EX239" s="940"/>
      <c r="EY239" s="940"/>
      <c r="EZ239" s="940"/>
      <c r="FA239" s="940"/>
      <c r="FB239" s="940"/>
      <c r="FC239" s="940"/>
      <c r="FD239" s="940"/>
      <c r="FE239" s="940"/>
      <c r="FF239" s="940"/>
      <c r="FG239" s="940"/>
      <c r="FH239" s="940"/>
      <c r="FI239" s="940"/>
      <c r="FJ239" s="940"/>
      <c r="FK239" s="940"/>
      <c r="FL239" s="940"/>
      <c r="FM239" s="940"/>
      <c r="FN239" s="940"/>
      <c r="FO239" s="940"/>
      <c r="FP239" s="940"/>
      <c r="FQ239" s="940"/>
      <c r="FR239" s="940"/>
      <c r="FS239" s="940"/>
      <c r="FT239" s="940"/>
      <c r="FU239" s="940"/>
      <c r="FV239" s="940"/>
      <c r="FW239" s="940"/>
      <c r="FX239" s="940"/>
      <c r="FY239" s="940"/>
      <c r="FZ239" s="940"/>
      <c r="GA239" s="940"/>
      <c r="GB239" s="940"/>
      <c r="GC239" s="940"/>
      <c r="GD239" s="940"/>
      <c r="GE239" s="940"/>
      <c r="GF239" s="940"/>
      <c r="GG239" s="940"/>
      <c r="GH239" s="940"/>
      <c r="GI239" s="940"/>
      <c r="GJ239" s="940"/>
      <c r="GK239" s="940"/>
      <c r="GL239" s="940"/>
      <c r="GM239" s="940"/>
      <c r="GN239" s="940"/>
      <c r="GO239" s="940"/>
      <c r="GP239" s="940"/>
      <c r="GQ239" s="940"/>
      <c r="GR239" s="940"/>
      <c r="GS239" s="940"/>
      <c r="GT239" s="940"/>
      <c r="GU239" s="940"/>
      <c r="GV239" s="940"/>
      <c r="GW239" s="940"/>
      <c r="GX239" s="940"/>
      <c r="GY239" s="940"/>
      <c r="GZ239" s="940"/>
      <c r="HA239" s="940"/>
      <c r="HB239" s="940"/>
      <c r="HC239" s="940"/>
      <c r="HD239" s="940"/>
      <c r="HE239" s="940"/>
      <c r="HF239" s="940"/>
      <c r="HG239" s="940"/>
      <c r="HH239" s="940"/>
      <c r="HI239" s="940"/>
      <c r="HJ239" s="940"/>
      <c r="HK239" s="940"/>
      <c r="HL239" s="940"/>
      <c r="HM239" s="940"/>
      <c r="HN239" s="940"/>
      <c r="HO239" s="940"/>
      <c r="HP239" s="940"/>
      <c r="HQ239" s="940"/>
      <c r="HR239" s="940"/>
      <c r="HS239" s="940"/>
      <c r="HT239" s="940"/>
      <c r="HU239" s="940"/>
      <c r="HV239" s="940"/>
      <c r="HW239" s="940"/>
      <c r="HX239" s="940"/>
      <c r="HY239" s="940"/>
      <c r="HZ239" s="940"/>
      <c r="IA239" s="940"/>
      <c r="IB239" s="940"/>
      <c r="IC239" s="940"/>
      <c r="ID239" s="940"/>
      <c r="IE239" s="940"/>
      <c r="IF239" s="940"/>
      <c r="IG239" s="940"/>
      <c r="IH239" s="940"/>
      <c r="II239" s="940"/>
      <c r="IJ239" s="940"/>
      <c r="IK239" s="940"/>
      <c r="IL239" s="940"/>
      <c r="IM239" s="940"/>
      <c r="IN239" s="940"/>
      <c r="IO239" s="940"/>
      <c r="IP239" s="940"/>
      <c r="IQ239" s="940"/>
      <c r="IR239" s="940"/>
      <c r="IS239" s="940"/>
      <c r="IT239" s="940"/>
      <c r="IU239" s="940"/>
      <c r="IV239" s="940"/>
    </row>
    <row r="240" spans="1:256" ht="18.75" thickBot="1">
      <c r="A240" s="940"/>
      <c r="B240" s="940"/>
      <c r="C240" s="940"/>
      <c r="D240" s="940"/>
      <c r="E240" s="942"/>
      <c r="F240" s="940"/>
      <c r="G240" s="940"/>
      <c r="H240" s="949" t="s">
        <v>512</v>
      </c>
      <c r="I240" s="943"/>
      <c r="J240" s="946"/>
      <c r="K240" s="944"/>
      <c r="L240" s="944"/>
      <c r="M240" s="944"/>
      <c r="N240" s="944"/>
      <c r="O240" s="944"/>
      <c r="P240" s="944"/>
      <c r="Q240" s="944"/>
      <c r="R240" s="944"/>
      <c r="S240" s="944"/>
      <c r="T240" s="944"/>
      <c r="U240" s="944"/>
      <c r="V240" s="944"/>
      <c r="W240" s="944"/>
      <c r="X240" s="944"/>
      <c r="Y240" s="944"/>
      <c r="Z240" s="944"/>
      <c r="AA240" s="944"/>
      <c r="AB240" s="944"/>
      <c r="AC240" s="944"/>
      <c r="AD240" s="944"/>
      <c r="AE240" s="944"/>
      <c r="AF240" s="944"/>
      <c r="AG240" s="944"/>
      <c r="AH240" s="944"/>
      <c r="AI240" s="944"/>
      <c r="AJ240" s="944"/>
      <c r="AK240" s="944"/>
      <c r="AL240" s="944"/>
      <c r="AM240" s="944"/>
      <c r="AN240" s="944"/>
      <c r="AO240" s="944"/>
      <c r="AP240" s="944"/>
      <c r="AQ240" s="944"/>
      <c r="AR240" s="944"/>
      <c r="AS240" s="944"/>
      <c r="AT240" s="944"/>
      <c r="AU240" s="944"/>
      <c r="AV240" s="944"/>
      <c r="AW240" s="944"/>
      <c r="AX240" s="944"/>
      <c r="AY240" s="944"/>
      <c r="AZ240" s="944"/>
      <c r="BA240" s="944"/>
      <c r="BB240" s="944"/>
      <c r="BC240" s="944"/>
      <c r="BD240" s="944"/>
      <c r="BE240" s="944"/>
      <c r="BF240" s="944"/>
      <c r="BG240" s="944"/>
      <c r="BH240" s="944"/>
      <c r="BI240" s="944"/>
      <c r="BJ240" s="944"/>
      <c r="BK240" s="944"/>
      <c r="BL240" s="944"/>
      <c r="BM240" s="944"/>
      <c r="BN240" s="944"/>
      <c r="BO240" s="944"/>
      <c r="BP240" s="944"/>
      <c r="BQ240" s="944"/>
      <c r="BR240" s="944"/>
      <c r="BS240" s="944"/>
      <c r="BT240" s="944"/>
      <c r="BU240" s="944"/>
      <c r="BV240" s="944"/>
      <c r="BW240" s="944"/>
      <c r="BX240" s="944"/>
      <c r="BY240" s="944"/>
      <c r="BZ240" s="944"/>
      <c r="CA240" s="944"/>
      <c r="CB240" s="944"/>
      <c r="CC240" s="944"/>
      <c r="CD240" s="944"/>
      <c r="CE240" s="944"/>
      <c r="CF240" s="944"/>
      <c r="CG240" s="944"/>
      <c r="CH240" s="944"/>
      <c r="CI240" s="944"/>
      <c r="CJ240" s="944"/>
      <c r="CK240" s="944"/>
      <c r="CL240" s="944"/>
      <c r="CM240" s="944"/>
      <c r="CN240" s="944"/>
      <c r="CO240" s="944"/>
      <c r="CP240" s="944"/>
      <c r="CQ240" s="944"/>
      <c r="CR240" s="944"/>
      <c r="CS240" s="944"/>
      <c r="CT240" s="944"/>
      <c r="CU240" s="944"/>
      <c r="CV240" s="944"/>
      <c r="CW240" s="944"/>
      <c r="CX240" s="944"/>
      <c r="CY240" s="944"/>
      <c r="CZ240" s="944"/>
      <c r="DA240" s="944"/>
      <c r="DB240" s="944"/>
      <c r="DC240" s="944"/>
      <c r="DD240" s="944"/>
      <c r="DE240" s="944"/>
      <c r="DF240" s="944"/>
      <c r="DG240" s="944"/>
      <c r="DH240" s="944"/>
      <c r="DI240" s="944"/>
      <c r="DJ240" s="944"/>
      <c r="DK240" s="944"/>
      <c r="DL240" s="944"/>
      <c r="DM240" s="944"/>
      <c r="DN240" s="944"/>
      <c r="DO240" s="944"/>
      <c r="DP240" s="944"/>
      <c r="DQ240" s="944"/>
      <c r="DR240" s="944"/>
      <c r="DS240" s="944"/>
      <c r="DT240" s="944"/>
      <c r="DU240" s="944"/>
      <c r="DV240" s="944"/>
      <c r="DW240" s="944"/>
      <c r="DX240" s="944"/>
      <c r="DY240" s="944"/>
      <c r="DZ240" s="944"/>
      <c r="EA240" s="944"/>
      <c r="EB240" s="944"/>
      <c r="EC240" s="944"/>
      <c r="ED240" s="944"/>
      <c r="EE240" s="944"/>
      <c r="EF240" s="944"/>
      <c r="EG240" s="944"/>
      <c r="EH240" s="944"/>
      <c r="EI240" s="944"/>
      <c r="EJ240" s="944"/>
      <c r="EK240" s="944"/>
      <c r="EL240" s="944"/>
      <c r="EM240" s="944"/>
      <c r="EN240" s="944"/>
      <c r="EO240" s="944"/>
      <c r="EP240" s="944"/>
      <c r="EQ240" s="944"/>
      <c r="ER240" s="944"/>
      <c r="ES240" s="944"/>
      <c r="ET240" s="944"/>
      <c r="EU240" s="944"/>
      <c r="EV240" s="944"/>
      <c r="EW240" s="944"/>
      <c r="EX240" s="944"/>
      <c r="EY240" s="944"/>
      <c r="EZ240" s="944"/>
      <c r="FA240" s="944"/>
      <c r="FB240" s="944"/>
      <c r="FC240" s="944"/>
      <c r="FD240" s="944"/>
      <c r="FE240" s="944"/>
      <c r="FF240" s="944"/>
      <c r="FG240" s="944"/>
      <c r="FH240" s="944"/>
      <c r="FI240" s="944"/>
      <c r="FJ240" s="944"/>
      <c r="FK240" s="944"/>
      <c r="FL240" s="944"/>
      <c r="FM240" s="944"/>
      <c r="FN240" s="944"/>
      <c r="FO240" s="944"/>
      <c r="FP240" s="944"/>
      <c r="FQ240" s="944"/>
      <c r="FR240" s="944"/>
      <c r="FS240" s="944"/>
      <c r="FT240" s="944"/>
      <c r="FU240" s="944"/>
      <c r="FV240" s="944"/>
      <c r="FW240" s="944"/>
      <c r="FX240" s="944"/>
      <c r="FY240" s="944"/>
      <c r="FZ240" s="944"/>
      <c r="GA240" s="944"/>
      <c r="GB240" s="944"/>
      <c r="GC240" s="944"/>
      <c r="GD240" s="944"/>
      <c r="GE240" s="944"/>
      <c r="GF240" s="944"/>
      <c r="GG240" s="944"/>
      <c r="GH240" s="944"/>
      <c r="GI240" s="944"/>
      <c r="GJ240" s="944"/>
      <c r="GK240" s="944"/>
      <c r="GL240" s="944"/>
      <c r="GM240" s="944"/>
      <c r="GN240" s="944"/>
      <c r="GO240" s="944"/>
      <c r="GP240" s="944"/>
      <c r="GQ240" s="944"/>
      <c r="GR240" s="944"/>
      <c r="GS240" s="944"/>
      <c r="GT240" s="944"/>
      <c r="GU240" s="944"/>
      <c r="GV240" s="944"/>
      <c r="GW240" s="944"/>
      <c r="GX240" s="944"/>
      <c r="GY240" s="944"/>
      <c r="GZ240" s="944"/>
      <c r="HA240" s="944"/>
      <c r="HB240" s="944"/>
      <c r="HC240" s="944"/>
      <c r="HD240" s="944"/>
      <c r="HE240" s="944"/>
      <c r="HF240" s="944"/>
      <c r="HG240" s="944"/>
      <c r="HH240" s="944"/>
      <c r="HI240" s="944"/>
      <c r="HJ240" s="944"/>
      <c r="HK240" s="944"/>
      <c r="HL240" s="944"/>
      <c r="HM240" s="944"/>
      <c r="HN240" s="944"/>
      <c r="HO240" s="944"/>
      <c r="HP240" s="944"/>
      <c r="HQ240" s="944"/>
      <c r="HR240" s="944"/>
      <c r="HS240" s="944"/>
      <c r="HT240" s="944"/>
      <c r="HU240" s="944"/>
      <c r="HV240" s="944"/>
      <c r="HW240" s="944"/>
      <c r="HX240" s="944"/>
      <c r="HY240" s="944"/>
      <c r="HZ240" s="944"/>
      <c r="IA240" s="944"/>
      <c r="IB240" s="944"/>
      <c r="IC240" s="944"/>
      <c r="ID240" s="944"/>
      <c r="IE240" s="944"/>
      <c r="IF240" s="944"/>
      <c r="IG240" s="944"/>
      <c r="IH240" s="944"/>
      <c r="II240" s="944"/>
      <c r="IJ240" s="944"/>
      <c r="IK240" s="944"/>
      <c r="IL240" s="944"/>
      <c r="IM240" s="944"/>
      <c r="IN240" s="944"/>
      <c r="IO240" s="944"/>
      <c r="IP240" s="944"/>
      <c r="IQ240" s="944"/>
      <c r="IR240" s="944"/>
      <c r="IS240" s="944"/>
      <c r="IT240" s="944"/>
      <c r="IU240" s="944"/>
      <c r="IV240" s="944"/>
    </row>
    <row r="241" spans="7:8" ht="18.75" thickBot="1">
      <c r="G241" s="1845" t="s">
        <v>407</v>
      </c>
      <c r="H241" s="1846">
        <f>H237</f>
        <v>21680362</v>
      </c>
    </row>
    <row r="242" spans="7:8" ht="18.75" thickBot="1">
      <c r="G242" s="1845" t="s">
        <v>411</v>
      </c>
      <c r="H242" s="1846">
        <v>0</v>
      </c>
    </row>
    <row r="243" spans="7:8" ht="18.75" thickBot="1">
      <c r="G243" s="1845" t="s">
        <v>414</v>
      </c>
      <c r="H243" s="1846">
        <f>H237</f>
        <v>21680362</v>
      </c>
    </row>
  </sheetData>
  <autoFilter ref="A4:H34"/>
  <mergeCells count="5">
    <mergeCell ref="A113:D113"/>
    <mergeCell ref="A1:F1"/>
    <mergeCell ref="A2:F2"/>
    <mergeCell ref="A3:B3"/>
    <mergeCell ref="A112:D112"/>
  </mergeCells>
  <printOptions horizontalCentered="1"/>
  <pageMargins left="5.0130208333333336E-2" right="0.19685039370078741" top="5.1041666666666666E-2" bottom="0.19685039370078741" header="0" footer="0"/>
  <pageSetup paperSize="8" scale="3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88"/>
  <sheetViews>
    <sheetView zoomScale="60" zoomScaleNormal="60" zoomScaleSheetLayoutView="70" workbookViewId="0">
      <selection activeCell="H66" sqref="H66"/>
    </sheetView>
  </sheetViews>
  <sheetFormatPr defaultRowHeight="18" outlineLevelRow="1"/>
  <cols>
    <col min="1" max="1" width="10.7109375" style="912" customWidth="1"/>
    <col min="2" max="2" width="29.140625" style="912" customWidth="1"/>
    <col min="3" max="3" width="16.42578125" style="912" customWidth="1"/>
    <col min="4" max="4" width="27" style="912" customWidth="1"/>
    <col min="5" max="5" width="89.28515625" style="915" customWidth="1"/>
    <col min="6" max="6" width="21.85546875" style="912" customWidth="1"/>
    <col min="7" max="7" width="20.42578125" style="912" customWidth="1"/>
    <col min="8" max="8" width="26" style="912" customWidth="1"/>
    <col min="9" max="9" width="22.85546875" style="916" customWidth="1"/>
    <col min="10" max="10" width="18.7109375" style="912" customWidth="1"/>
    <col min="11" max="11" width="14" style="912" customWidth="1"/>
    <col min="12" max="12" width="17.7109375" style="912" customWidth="1"/>
    <col min="13" max="25" width="9.140625" style="912"/>
    <col min="26" max="26" width="19.42578125" style="951" bestFit="1" customWidth="1"/>
    <col min="27" max="53" width="9.140625" style="912"/>
    <col min="54" max="54" width="29.28515625" style="951" customWidth="1"/>
    <col min="55" max="55" width="17.28515625" style="912" customWidth="1"/>
    <col min="56" max="56" width="18.7109375" style="912" customWidth="1"/>
    <col min="57" max="57" width="9.140625" style="912"/>
    <col min="58" max="58" width="18.28515625" style="912" customWidth="1"/>
    <col min="59" max="256" width="9.140625" style="912"/>
    <col min="257" max="257" width="10.7109375" style="912" customWidth="1"/>
    <col min="258" max="258" width="29.140625" style="912" customWidth="1"/>
    <col min="259" max="259" width="16.42578125" style="912" customWidth="1"/>
    <col min="260" max="260" width="27" style="912" customWidth="1"/>
    <col min="261" max="261" width="89.28515625" style="912" customWidth="1"/>
    <col min="262" max="262" width="21.85546875" style="912" customWidth="1"/>
    <col min="263" max="263" width="20.42578125" style="912" customWidth="1"/>
    <col min="264" max="264" width="26" style="912" customWidth="1"/>
    <col min="265" max="265" width="22.85546875" style="912" customWidth="1"/>
    <col min="266" max="266" width="18.7109375" style="912" customWidth="1"/>
    <col min="267" max="267" width="14" style="912" customWidth="1"/>
    <col min="268" max="268" width="17.7109375" style="912" customWidth="1"/>
    <col min="269" max="281" width="9.140625" style="912"/>
    <col min="282" max="282" width="19.42578125" style="912" bestFit="1" customWidth="1"/>
    <col min="283" max="309" width="9.140625" style="912"/>
    <col min="310" max="310" width="29.28515625" style="912" customWidth="1"/>
    <col min="311" max="311" width="17.28515625" style="912" customWidth="1"/>
    <col min="312" max="312" width="18.7109375" style="912" customWidth="1"/>
    <col min="313" max="313" width="9.140625" style="912"/>
    <col min="314" max="314" width="18.28515625" style="912" customWidth="1"/>
    <col min="315" max="512" width="9.140625" style="912"/>
    <col min="513" max="513" width="10.7109375" style="912" customWidth="1"/>
    <col min="514" max="514" width="29.140625" style="912" customWidth="1"/>
    <col min="515" max="515" width="16.42578125" style="912" customWidth="1"/>
    <col min="516" max="516" width="27" style="912" customWidth="1"/>
    <col min="517" max="517" width="89.28515625" style="912" customWidth="1"/>
    <col min="518" max="518" width="21.85546875" style="912" customWidth="1"/>
    <col min="519" max="519" width="20.42578125" style="912" customWidth="1"/>
    <col min="520" max="520" width="26" style="912" customWidth="1"/>
    <col min="521" max="521" width="22.85546875" style="912" customWidth="1"/>
    <col min="522" max="522" width="18.7109375" style="912" customWidth="1"/>
    <col min="523" max="523" width="14" style="912" customWidth="1"/>
    <col min="524" max="524" width="17.7109375" style="912" customWidth="1"/>
    <col min="525" max="537" width="9.140625" style="912"/>
    <col min="538" max="538" width="19.42578125" style="912" bestFit="1" customWidth="1"/>
    <col min="539" max="565" width="9.140625" style="912"/>
    <col min="566" max="566" width="29.28515625" style="912" customWidth="1"/>
    <col min="567" max="567" width="17.28515625" style="912" customWidth="1"/>
    <col min="568" max="568" width="18.7109375" style="912" customWidth="1"/>
    <col min="569" max="569" width="9.140625" style="912"/>
    <col min="570" max="570" width="18.28515625" style="912" customWidth="1"/>
    <col min="571" max="768" width="9.140625" style="912"/>
    <col min="769" max="769" width="10.7109375" style="912" customWidth="1"/>
    <col min="770" max="770" width="29.140625" style="912" customWidth="1"/>
    <col min="771" max="771" width="16.42578125" style="912" customWidth="1"/>
    <col min="772" max="772" width="27" style="912" customWidth="1"/>
    <col min="773" max="773" width="89.28515625" style="912" customWidth="1"/>
    <col min="774" max="774" width="21.85546875" style="912" customWidth="1"/>
    <col min="775" max="775" width="20.42578125" style="912" customWidth="1"/>
    <col min="776" max="776" width="26" style="912" customWidth="1"/>
    <col min="777" max="777" width="22.85546875" style="912" customWidth="1"/>
    <col min="778" max="778" width="18.7109375" style="912" customWidth="1"/>
    <col min="779" max="779" width="14" style="912" customWidth="1"/>
    <col min="780" max="780" width="17.7109375" style="912" customWidth="1"/>
    <col min="781" max="793" width="9.140625" style="912"/>
    <col min="794" max="794" width="19.42578125" style="912" bestFit="1" customWidth="1"/>
    <col min="795" max="821" width="9.140625" style="912"/>
    <col min="822" max="822" width="29.28515625" style="912" customWidth="1"/>
    <col min="823" max="823" width="17.28515625" style="912" customWidth="1"/>
    <col min="824" max="824" width="18.7109375" style="912" customWidth="1"/>
    <col min="825" max="825" width="9.140625" style="912"/>
    <col min="826" max="826" width="18.28515625" style="912" customWidth="1"/>
    <col min="827" max="1024" width="9.140625" style="912"/>
    <col min="1025" max="1025" width="10.7109375" style="912" customWidth="1"/>
    <col min="1026" max="1026" width="29.140625" style="912" customWidth="1"/>
    <col min="1027" max="1027" width="16.42578125" style="912" customWidth="1"/>
    <col min="1028" max="1028" width="27" style="912" customWidth="1"/>
    <col min="1029" max="1029" width="89.28515625" style="912" customWidth="1"/>
    <col min="1030" max="1030" width="21.85546875" style="912" customWidth="1"/>
    <col min="1031" max="1031" width="20.42578125" style="912" customWidth="1"/>
    <col min="1032" max="1032" width="26" style="912" customWidth="1"/>
    <col min="1033" max="1033" width="22.85546875" style="912" customWidth="1"/>
    <col min="1034" max="1034" width="18.7109375" style="912" customWidth="1"/>
    <col min="1035" max="1035" width="14" style="912" customWidth="1"/>
    <col min="1036" max="1036" width="17.7109375" style="912" customWidth="1"/>
    <col min="1037" max="1049" width="9.140625" style="912"/>
    <col min="1050" max="1050" width="19.42578125" style="912" bestFit="1" customWidth="1"/>
    <col min="1051" max="1077" width="9.140625" style="912"/>
    <col min="1078" max="1078" width="29.28515625" style="912" customWidth="1"/>
    <col min="1079" max="1079" width="17.28515625" style="912" customWidth="1"/>
    <col min="1080" max="1080" width="18.7109375" style="912" customWidth="1"/>
    <col min="1081" max="1081" width="9.140625" style="912"/>
    <col min="1082" max="1082" width="18.28515625" style="912" customWidth="1"/>
    <col min="1083" max="1280" width="9.140625" style="912"/>
    <col min="1281" max="1281" width="10.7109375" style="912" customWidth="1"/>
    <col min="1282" max="1282" width="29.140625" style="912" customWidth="1"/>
    <col min="1283" max="1283" width="16.42578125" style="912" customWidth="1"/>
    <col min="1284" max="1284" width="27" style="912" customWidth="1"/>
    <col min="1285" max="1285" width="89.28515625" style="912" customWidth="1"/>
    <col min="1286" max="1286" width="21.85546875" style="912" customWidth="1"/>
    <col min="1287" max="1287" width="20.42578125" style="912" customWidth="1"/>
    <col min="1288" max="1288" width="26" style="912" customWidth="1"/>
    <col min="1289" max="1289" width="22.85546875" style="912" customWidth="1"/>
    <col min="1290" max="1290" width="18.7109375" style="912" customWidth="1"/>
    <col min="1291" max="1291" width="14" style="912" customWidth="1"/>
    <col min="1292" max="1292" width="17.7109375" style="912" customWidth="1"/>
    <col min="1293" max="1305" width="9.140625" style="912"/>
    <col min="1306" max="1306" width="19.42578125" style="912" bestFit="1" customWidth="1"/>
    <col min="1307" max="1333" width="9.140625" style="912"/>
    <col min="1334" max="1334" width="29.28515625" style="912" customWidth="1"/>
    <col min="1335" max="1335" width="17.28515625" style="912" customWidth="1"/>
    <col min="1336" max="1336" width="18.7109375" style="912" customWidth="1"/>
    <col min="1337" max="1337" width="9.140625" style="912"/>
    <col min="1338" max="1338" width="18.28515625" style="912" customWidth="1"/>
    <col min="1339" max="1536" width="9.140625" style="912"/>
    <col min="1537" max="1537" width="10.7109375" style="912" customWidth="1"/>
    <col min="1538" max="1538" width="29.140625" style="912" customWidth="1"/>
    <col min="1539" max="1539" width="16.42578125" style="912" customWidth="1"/>
    <col min="1540" max="1540" width="27" style="912" customWidth="1"/>
    <col min="1541" max="1541" width="89.28515625" style="912" customWidth="1"/>
    <col min="1542" max="1542" width="21.85546875" style="912" customWidth="1"/>
    <col min="1543" max="1543" width="20.42578125" style="912" customWidth="1"/>
    <col min="1544" max="1544" width="26" style="912" customWidth="1"/>
    <col min="1545" max="1545" width="22.85546875" style="912" customWidth="1"/>
    <col min="1546" max="1546" width="18.7109375" style="912" customWidth="1"/>
    <col min="1547" max="1547" width="14" style="912" customWidth="1"/>
    <col min="1548" max="1548" width="17.7109375" style="912" customWidth="1"/>
    <col min="1549" max="1561" width="9.140625" style="912"/>
    <col min="1562" max="1562" width="19.42578125" style="912" bestFit="1" customWidth="1"/>
    <col min="1563" max="1589" width="9.140625" style="912"/>
    <col min="1590" max="1590" width="29.28515625" style="912" customWidth="1"/>
    <col min="1591" max="1591" width="17.28515625" style="912" customWidth="1"/>
    <col min="1592" max="1592" width="18.7109375" style="912" customWidth="1"/>
    <col min="1593" max="1593" width="9.140625" style="912"/>
    <col min="1594" max="1594" width="18.28515625" style="912" customWidth="1"/>
    <col min="1595" max="1792" width="9.140625" style="912"/>
    <col min="1793" max="1793" width="10.7109375" style="912" customWidth="1"/>
    <col min="1794" max="1794" width="29.140625" style="912" customWidth="1"/>
    <col min="1795" max="1795" width="16.42578125" style="912" customWidth="1"/>
    <col min="1796" max="1796" width="27" style="912" customWidth="1"/>
    <col min="1797" max="1797" width="89.28515625" style="912" customWidth="1"/>
    <col min="1798" max="1798" width="21.85546875" style="912" customWidth="1"/>
    <col min="1799" max="1799" width="20.42578125" style="912" customWidth="1"/>
    <col min="1800" max="1800" width="26" style="912" customWidth="1"/>
    <col min="1801" max="1801" width="22.85546875" style="912" customWidth="1"/>
    <col min="1802" max="1802" width="18.7109375" style="912" customWidth="1"/>
    <col min="1803" max="1803" width="14" style="912" customWidth="1"/>
    <col min="1804" max="1804" width="17.7109375" style="912" customWidth="1"/>
    <col min="1805" max="1817" width="9.140625" style="912"/>
    <col min="1818" max="1818" width="19.42578125" style="912" bestFit="1" customWidth="1"/>
    <col min="1819" max="1845" width="9.140625" style="912"/>
    <col min="1846" max="1846" width="29.28515625" style="912" customWidth="1"/>
    <col min="1847" max="1847" width="17.28515625" style="912" customWidth="1"/>
    <col min="1848" max="1848" width="18.7109375" style="912" customWidth="1"/>
    <col min="1849" max="1849" width="9.140625" style="912"/>
    <col min="1850" max="1850" width="18.28515625" style="912" customWidth="1"/>
    <col min="1851" max="2048" width="9.140625" style="912"/>
    <col min="2049" max="2049" width="10.7109375" style="912" customWidth="1"/>
    <col min="2050" max="2050" width="29.140625" style="912" customWidth="1"/>
    <col min="2051" max="2051" width="16.42578125" style="912" customWidth="1"/>
    <col min="2052" max="2052" width="27" style="912" customWidth="1"/>
    <col min="2053" max="2053" width="89.28515625" style="912" customWidth="1"/>
    <col min="2054" max="2054" width="21.85546875" style="912" customWidth="1"/>
    <col min="2055" max="2055" width="20.42578125" style="912" customWidth="1"/>
    <col min="2056" max="2056" width="26" style="912" customWidth="1"/>
    <col min="2057" max="2057" width="22.85546875" style="912" customWidth="1"/>
    <col min="2058" max="2058" width="18.7109375" style="912" customWidth="1"/>
    <col min="2059" max="2059" width="14" style="912" customWidth="1"/>
    <col min="2060" max="2060" width="17.7109375" style="912" customWidth="1"/>
    <col min="2061" max="2073" width="9.140625" style="912"/>
    <col min="2074" max="2074" width="19.42578125" style="912" bestFit="1" customWidth="1"/>
    <col min="2075" max="2101" width="9.140625" style="912"/>
    <col min="2102" max="2102" width="29.28515625" style="912" customWidth="1"/>
    <col min="2103" max="2103" width="17.28515625" style="912" customWidth="1"/>
    <col min="2104" max="2104" width="18.7109375" style="912" customWidth="1"/>
    <col min="2105" max="2105" width="9.140625" style="912"/>
    <col min="2106" max="2106" width="18.28515625" style="912" customWidth="1"/>
    <col min="2107" max="2304" width="9.140625" style="912"/>
    <col min="2305" max="2305" width="10.7109375" style="912" customWidth="1"/>
    <col min="2306" max="2306" width="29.140625" style="912" customWidth="1"/>
    <col min="2307" max="2307" width="16.42578125" style="912" customWidth="1"/>
    <col min="2308" max="2308" width="27" style="912" customWidth="1"/>
    <col min="2309" max="2309" width="89.28515625" style="912" customWidth="1"/>
    <col min="2310" max="2310" width="21.85546875" style="912" customWidth="1"/>
    <col min="2311" max="2311" width="20.42578125" style="912" customWidth="1"/>
    <col min="2312" max="2312" width="26" style="912" customWidth="1"/>
    <col min="2313" max="2313" width="22.85546875" style="912" customWidth="1"/>
    <col min="2314" max="2314" width="18.7109375" style="912" customWidth="1"/>
    <col min="2315" max="2315" width="14" style="912" customWidth="1"/>
    <col min="2316" max="2316" width="17.7109375" style="912" customWidth="1"/>
    <col min="2317" max="2329" width="9.140625" style="912"/>
    <col min="2330" max="2330" width="19.42578125" style="912" bestFit="1" customWidth="1"/>
    <col min="2331" max="2357" width="9.140625" style="912"/>
    <col min="2358" max="2358" width="29.28515625" style="912" customWidth="1"/>
    <col min="2359" max="2359" width="17.28515625" style="912" customWidth="1"/>
    <col min="2360" max="2360" width="18.7109375" style="912" customWidth="1"/>
    <col min="2361" max="2361" width="9.140625" style="912"/>
    <col min="2362" max="2362" width="18.28515625" style="912" customWidth="1"/>
    <col min="2363" max="2560" width="9.140625" style="912"/>
    <col min="2561" max="2561" width="10.7109375" style="912" customWidth="1"/>
    <col min="2562" max="2562" width="29.140625" style="912" customWidth="1"/>
    <col min="2563" max="2563" width="16.42578125" style="912" customWidth="1"/>
    <col min="2564" max="2564" width="27" style="912" customWidth="1"/>
    <col min="2565" max="2565" width="89.28515625" style="912" customWidth="1"/>
    <col min="2566" max="2566" width="21.85546875" style="912" customWidth="1"/>
    <col min="2567" max="2567" width="20.42578125" style="912" customWidth="1"/>
    <col min="2568" max="2568" width="26" style="912" customWidth="1"/>
    <col min="2569" max="2569" width="22.85546875" style="912" customWidth="1"/>
    <col min="2570" max="2570" width="18.7109375" style="912" customWidth="1"/>
    <col min="2571" max="2571" width="14" style="912" customWidth="1"/>
    <col min="2572" max="2572" width="17.7109375" style="912" customWidth="1"/>
    <col min="2573" max="2585" width="9.140625" style="912"/>
    <col min="2586" max="2586" width="19.42578125" style="912" bestFit="1" customWidth="1"/>
    <col min="2587" max="2613" width="9.140625" style="912"/>
    <col min="2614" max="2614" width="29.28515625" style="912" customWidth="1"/>
    <col min="2615" max="2615" width="17.28515625" style="912" customWidth="1"/>
    <col min="2616" max="2616" width="18.7109375" style="912" customWidth="1"/>
    <col min="2617" max="2617" width="9.140625" style="912"/>
    <col min="2618" max="2618" width="18.28515625" style="912" customWidth="1"/>
    <col min="2619" max="2816" width="9.140625" style="912"/>
    <col min="2817" max="2817" width="10.7109375" style="912" customWidth="1"/>
    <col min="2818" max="2818" width="29.140625" style="912" customWidth="1"/>
    <col min="2819" max="2819" width="16.42578125" style="912" customWidth="1"/>
    <col min="2820" max="2820" width="27" style="912" customWidth="1"/>
    <col min="2821" max="2821" width="89.28515625" style="912" customWidth="1"/>
    <col min="2822" max="2822" width="21.85546875" style="912" customWidth="1"/>
    <col min="2823" max="2823" width="20.42578125" style="912" customWidth="1"/>
    <col min="2824" max="2824" width="26" style="912" customWidth="1"/>
    <col min="2825" max="2825" width="22.85546875" style="912" customWidth="1"/>
    <col min="2826" max="2826" width="18.7109375" style="912" customWidth="1"/>
    <col min="2827" max="2827" width="14" style="912" customWidth="1"/>
    <col min="2828" max="2828" width="17.7109375" style="912" customWidth="1"/>
    <col min="2829" max="2841" width="9.140625" style="912"/>
    <col min="2842" max="2842" width="19.42578125" style="912" bestFit="1" customWidth="1"/>
    <col min="2843" max="2869" width="9.140625" style="912"/>
    <col min="2870" max="2870" width="29.28515625" style="912" customWidth="1"/>
    <col min="2871" max="2871" width="17.28515625" style="912" customWidth="1"/>
    <col min="2872" max="2872" width="18.7109375" style="912" customWidth="1"/>
    <col min="2873" max="2873" width="9.140625" style="912"/>
    <col min="2874" max="2874" width="18.28515625" style="912" customWidth="1"/>
    <col min="2875" max="3072" width="9.140625" style="912"/>
    <col min="3073" max="3073" width="10.7109375" style="912" customWidth="1"/>
    <col min="3074" max="3074" width="29.140625" style="912" customWidth="1"/>
    <col min="3075" max="3075" width="16.42578125" style="912" customWidth="1"/>
    <col min="3076" max="3076" width="27" style="912" customWidth="1"/>
    <col min="3077" max="3077" width="89.28515625" style="912" customWidth="1"/>
    <col min="3078" max="3078" width="21.85546875" style="912" customWidth="1"/>
    <col min="3079" max="3079" width="20.42578125" style="912" customWidth="1"/>
    <col min="3080" max="3080" width="26" style="912" customWidth="1"/>
    <col min="3081" max="3081" width="22.85546875" style="912" customWidth="1"/>
    <col min="3082" max="3082" width="18.7109375" style="912" customWidth="1"/>
    <col min="3083" max="3083" width="14" style="912" customWidth="1"/>
    <col min="3084" max="3084" width="17.7109375" style="912" customWidth="1"/>
    <col min="3085" max="3097" width="9.140625" style="912"/>
    <col min="3098" max="3098" width="19.42578125" style="912" bestFit="1" customWidth="1"/>
    <col min="3099" max="3125" width="9.140625" style="912"/>
    <col min="3126" max="3126" width="29.28515625" style="912" customWidth="1"/>
    <col min="3127" max="3127" width="17.28515625" style="912" customWidth="1"/>
    <col min="3128" max="3128" width="18.7109375" style="912" customWidth="1"/>
    <col min="3129" max="3129" width="9.140625" style="912"/>
    <col min="3130" max="3130" width="18.28515625" style="912" customWidth="1"/>
    <col min="3131" max="3328" width="9.140625" style="912"/>
    <col min="3329" max="3329" width="10.7109375" style="912" customWidth="1"/>
    <col min="3330" max="3330" width="29.140625" style="912" customWidth="1"/>
    <col min="3331" max="3331" width="16.42578125" style="912" customWidth="1"/>
    <col min="3332" max="3332" width="27" style="912" customWidth="1"/>
    <col min="3333" max="3333" width="89.28515625" style="912" customWidth="1"/>
    <col min="3334" max="3334" width="21.85546875" style="912" customWidth="1"/>
    <col min="3335" max="3335" width="20.42578125" style="912" customWidth="1"/>
    <col min="3336" max="3336" width="26" style="912" customWidth="1"/>
    <col min="3337" max="3337" width="22.85546875" style="912" customWidth="1"/>
    <col min="3338" max="3338" width="18.7109375" style="912" customWidth="1"/>
    <col min="3339" max="3339" width="14" style="912" customWidth="1"/>
    <col min="3340" max="3340" width="17.7109375" style="912" customWidth="1"/>
    <col min="3341" max="3353" width="9.140625" style="912"/>
    <col min="3354" max="3354" width="19.42578125" style="912" bestFit="1" customWidth="1"/>
    <col min="3355" max="3381" width="9.140625" style="912"/>
    <col min="3382" max="3382" width="29.28515625" style="912" customWidth="1"/>
    <col min="3383" max="3383" width="17.28515625" style="912" customWidth="1"/>
    <col min="3384" max="3384" width="18.7109375" style="912" customWidth="1"/>
    <col min="3385" max="3385" width="9.140625" style="912"/>
    <col min="3386" max="3386" width="18.28515625" style="912" customWidth="1"/>
    <col min="3387" max="3584" width="9.140625" style="912"/>
    <col min="3585" max="3585" width="10.7109375" style="912" customWidth="1"/>
    <col min="3586" max="3586" width="29.140625" style="912" customWidth="1"/>
    <col min="3587" max="3587" width="16.42578125" style="912" customWidth="1"/>
    <col min="3588" max="3588" width="27" style="912" customWidth="1"/>
    <col min="3589" max="3589" width="89.28515625" style="912" customWidth="1"/>
    <col min="3590" max="3590" width="21.85546875" style="912" customWidth="1"/>
    <col min="3591" max="3591" width="20.42578125" style="912" customWidth="1"/>
    <col min="3592" max="3592" width="26" style="912" customWidth="1"/>
    <col min="3593" max="3593" width="22.85546875" style="912" customWidth="1"/>
    <col min="3594" max="3594" width="18.7109375" style="912" customWidth="1"/>
    <col min="3595" max="3595" width="14" style="912" customWidth="1"/>
    <col min="3596" max="3596" width="17.7109375" style="912" customWidth="1"/>
    <col min="3597" max="3609" width="9.140625" style="912"/>
    <col min="3610" max="3610" width="19.42578125" style="912" bestFit="1" customWidth="1"/>
    <col min="3611" max="3637" width="9.140625" style="912"/>
    <col min="3638" max="3638" width="29.28515625" style="912" customWidth="1"/>
    <col min="3639" max="3639" width="17.28515625" style="912" customWidth="1"/>
    <col min="3640" max="3640" width="18.7109375" style="912" customWidth="1"/>
    <col min="3641" max="3641" width="9.140625" style="912"/>
    <col min="3642" max="3642" width="18.28515625" style="912" customWidth="1"/>
    <col min="3643" max="3840" width="9.140625" style="912"/>
    <col min="3841" max="3841" width="10.7109375" style="912" customWidth="1"/>
    <col min="3842" max="3842" width="29.140625" style="912" customWidth="1"/>
    <col min="3843" max="3843" width="16.42578125" style="912" customWidth="1"/>
    <col min="3844" max="3844" width="27" style="912" customWidth="1"/>
    <col min="3845" max="3845" width="89.28515625" style="912" customWidth="1"/>
    <col min="3846" max="3846" width="21.85546875" style="912" customWidth="1"/>
    <col min="3847" max="3847" width="20.42578125" style="912" customWidth="1"/>
    <col min="3848" max="3848" width="26" style="912" customWidth="1"/>
    <col min="3849" max="3849" width="22.85546875" style="912" customWidth="1"/>
    <col min="3850" max="3850" width="18.7109375" style="912" customWidth="1"/>
    <col min="3851" max="3851" width="14" style="912" customWidth="1"/>
    <col min="3852" max="3852" width="17.7109375" style="912" customWidth="1"/>
    <col min="3853" max="3865" width="9.140625" style="912"/>
    <col min="3866" max="3866" width="19.42578125" style="912" bestFit="1" customWidth="1"/>
    <col min="3867" max="3893" width="9.140625" style="912"/>
    <col min="3894" max="3894" width="29.28515625" style="912" customWidth="1"/>
    <col min="3895" max="3895" width="17.28515625" style="912" customWidth="1"/>
    <col min="3896" max="3896" width="18.7109375" style="912" customWidth="1"/>
    <col min="3897" max="3897" width="9.140625" style="912"/>
    <col min="3898" max="3898" width="18.28515625" style="912" customWidth="1"/>
    <col min="3899" max="4096" width="9.140625" style="912"/>
    <col min="4097" max="4097" width="10.7109375" style="912" customWidth="1"/>
    <col min="4098" max="4098" width="29.140625" style="912" customWidth="1"/>
    <col min="4099" max="4099" width="16.42578125" style="912" customWidth="1"/>
    <col min="4100" max="4100" width="27" style="912" customWidth="1"/>
    <col min="4101" max="4101" width="89.28515625" style="912" customWidth="1"/>
    <col min="4102" max="4102" width="21.85546875" style="912" customWidth="1"/>
    <col min="4103" max="4103" width="20.42578125" style="912" customWidth="1"/>
    <col min="4104" max="4104" width="26" style="912" customWidth="1"/>
    <col min="4105" max="4105" width="22.85546875" style="912" customWidth="1"/>
    <col min="4106" max="4106" width="18.7109375" style="912" customWidth="1"/>
    <col min="4107" max="4107" width="14" style="912" customWidth="1"/>
    <col min="4108" max="4108" width="17.7109375" style="912" customWidth="1"/>
    <col min="4109" max="4121" width="9.140625" style="912"/>
    <col min="4122" max="4122" width="19.42578125" style="912" bestFit="1" customWidth="1"/>
    <col min="4123" max="4149" width="9.140625" style="912"/>
    <col min="4150" max="4150" width="29.28515625" style="912" customWidth="1"/>
    <col min="4151" max="4151" width="17.28515625" style="912" customWidth="1"/>
    <col min="4152" max="4152" width="18.7109375" style="912" customWidth="1"/>
    <col min="4153" max="4153" width="9.140625" style="912"/>
    <col min="4154" max="4154" width="18.28515625" style="912" customWidth="1"/>
    <col min="4155" max="4352" width="9.140625" style="912"/>
    <col min="4353" max="4353" width="10.7109375" style="912" customWidth="1"/>
    <col min="4354" max="4354" width="29.140625" style="912" customWidth="1"/>
    <col min="4355" max="4355" width="16.42578125" style="912" customWidth="1"/>
    <col min="4356" max="4356" width="27" style="912" customWidth="1"/>
    <col min="4357" max="4357" width="89.28515625" style="912" customWidth="1"/>
    <col min="4358" max="4358" width="21.85546875" style="912" customWidth="1"/>
    <col min="4359" max="4359" width="20.42578125" style="912" customWidth="1"/>
    <col min="4360" max="4360" width="26" style="912" customWidth="1"/>
    <col min="4361" max="4361" width="22.85546875" style="912" customWidth="1"/>
    <col min="4362" max="4362" width="18.7109375" style="912" customWidth="1"/>
    <col min="4363" max="4363" width="14" style="912" customWidth="1"/>
    <col min="4364" max="4364" width="17.7109375" style="912" customWidth="1"/>
    <col min="4365" max="4377" width="9.140625" style="912"/>
    <col min="4378" max="4378" width="19.42578125" style="912" bestFit="1" customWidth="1"/>
    <col min="4379" max="4405" width="9.140625" style="912"/>
    <col min="4406" max="4406" width="29.28515625" style="912" customWidth="1"/>
    <col min="4407" max="4407" width="17.28515625" style="912" customWidth="1"/>
    <col min="4408" max="4408" width="18.7109375" style="912" customWidth="1"/>
    <col min="4409" max="4409" width="9.140625" style="912"/>
    <col min="4410" max="4410" width="18.28515625" style="912" customWidth="1"/>
    <col min="4411" max="4608" width="9.140625" style="912"/>
    <col min="4609" max="4609" width="10.7109375" style="912" customWidth="1"/>
    <col min="4610" max="4610" width="29.140625" style="912" customWidth="1"/>
    <col min="4611" max="4611" width="16.42578125" style="912" customWidth="1"/>
    <col min="4612" max="4612" width="27" style="912" customWidth="1"/>
    <col min="4613" max="4613" width="89.28515625" style="912" customWidth="1"/>
    <col min="4614" max="4614" width="21.85546875" style="912" customWidth="1"/>
    <col min="4615" max="4615" width="20.42578125" style="912" customWidth="1"/>
    <col min="4616" max="4616" width="26" style="912" customWidth="1"/>
    <col min="4617" max="4617" width="22.85546875" style="912" customWidth="1"/>
    <col min="4618" max="4618" width="18.7109375" style="912" customWidth="1"/>
    <col min="4619" max="4619" width="14" style="912" customWidth="1"/>
    <col min="4620" max="4620" width="17.7109375" style="912" customWidth="1"/>
    <col min="4621" max="4633" width="9.140625" style="912"/>
    <col min="4634" max="4634" width="19.42578125" style="912" bestFit="1" customWidth="1"/>
    <col min="4635" max="4661" width="9.140625" style="912"/>
    <col min="4662" max="4662" width="29.28515625" style="912" customWidth="1"/>
    <col min="4663" max="4663" width="17.28515625" style="912" customWidth="1"/>
    <col min="4664" max="4664" width="18.7109375" style="912" customWidth="1"/>
    <col min="4665" max="4665" width="9.140625" style="912"/>
    <col min="4666" max="4666" width="18.28515625" style="912" customWidth="1"/>
    <col min="4667" max="4864" width="9.140625" style="912"/>
    <col min="4865" max="4865" width="10.7109375" style="912" customWidth="1"/>
    <col min="4866" max="4866" width="29.140625" style="912" customWidth="1"/>
    <col min="4867" max="4867" width="16.42578125" style="912" customWidth="1"/>
    <col min="4868" max="4868" width="27" style="912" customWidth="1"/>
    <col min="4869" max="4869" width="89.28515625" style="912" customWidth="1"/>
    <col min="4870" max="4870" width="21.85546875" style="912" customWidth="1"/>
    <col min="4871" max="4871" width="20.42578125" style="912" customWidth="1"/>
    <col min="4872" max="4872" width="26" style="912" customWidth="1"/>
    <col min="4873" max="4873" width="22.85546875" style="912" customWidth="1"/>
    <col min="4874" max="4874" width="18.7109375" style="912" customWidth="1"/>
    <col min="4875" max="4875" width="14" style="912" customWidth="1"/>
    <col min="4876" max="4876" width="17.7109375" style="912" customWidth="1"/>
    <col min="4877" max="4889" width="9.140625" style="912"/>
    <col min="4890" max="4890" width="19.42578125" style="912" bestFit="1" customWidth="1"/>
    <col min="4891" max="4917" width="9.140625" style="912"/>
    <col min="4918" max="4918" width="29.28515625" style="912" customWidth="1"/>
    <col min="4919" max="4919" width="17.28515625" style="912" customWidth="1"/>
    <col min="4920" max="4920" width="18.7109375" style="912" customWidth="1"/>
    <col min="4921" max="4921" width="9.140625" style="912"/>
    <col min="4922" max="4922" width="18.28515625" style="912" customWidth="1"/>
    <col min="4923" max="5120" width="9.140625" style="912"/>
    <col min="5121" max="5121" width="10.7109375" style="912" customWidth="1"/>
    <col min="5122" max="5122" width="29.140625" style="912" customWidth="1"/>
    <col min="5123" max="5123" width="16.42578125" style="912" customWidth="1"/>
    <col min="5124" max="5124" width="27" style="912" customWidth="1"/>
    <col min="5125" max="5125" width="89.28515625" style="912" customWidth="1"/>
    <col min="5126" max="5126" width="21.85546875" style="912" customWidth="1"/>
    <col min="5127" max="5127" width="20.42578125" style="912" customWidth="1"/>
    <col min="5128" max="5128" width="26" style="912" customWidth="1"/>
    <col min="5129" max="5129" width="22.85546875" style="912" customWidth="1"/>
    <col min="5130" max="5130" width="18.7109375" style="912" customWidth="1"/>
    <col min="5131" max="5131" width="14" style="912" customWidth="1"/>
    <col min="5132" max="5132" width="17.7109375" style="912" customWidth="1"/>
    <col min="5133" max="5145" width="9.140625" style="912"/>
    <col min="5146" max="5146" width="19.42578125" style="912" bestFit="1" customWidth="1"/>
    <col min="5147" max="5173" width="9.140625" style="912"/>
    <col min="5174" max="5174" width="29.28515625" style="912" customWidth="1"/>
    <col min="5175" max="5175" width="17.28515625" style="912" customWidth="1"/>
    <col min="5176" max="5176" width="18.7109375" style="912" customWidth="1"/>
    <col min="5177" max="5177" width="9.140625" style="912"/>
    <col min="5178" max="5178" width="18.28515625" style="912" customWidth="1"/>
    <col min="5179" max="5376" width="9.140625" style="912"/>
    <col min="5377" max="5377" width="10.7109375" style="912" customWidth="1"/>
    <col min="5378" max="5378" width="29.140625" style="912" customWidth="1"/>
    <col min="5379" max="5379" width="16.42578125" style="912" customWidth="1"/>
    <col min="5380" max="5380" width="27" style="912" customWidth="1"/>
    <col min="5381" max="5381" width="89.28515625" style="912" customWidth="1"/>
    <col min="5382" max="5382" width="21.85546875" style="912" customWidth="1"/>
    <col min="5383" max="5383" width="20.42578125" style="912" customWidth="1"/>
    <col min="5384" max="5384" width="26" style="912" customWidth="1"/>
    <col min="5385" max="5385" width="22.85546875" style="912" customWidth="1"/>
    <col min="5386" max="5386" width="18.7109375" style="912" customWidth="1"/>
    <col min="5387" max="5387" width="14" style="912" customWidth="1"/>
    <col min="5388" max="5388" width="17.7109375" style="912" customWidth="1"/>
    <col min="5389" max="5401" width="9.140625" style="912"/>
    <col min="5402" max="5402" width="19.42578125" style="912" bestFit="1" customWidth="1"/>
    <col min="5403" max="5429" width="9.140625" style="912"/>
    <col min="5430" max="5430" width="29.28515625" style="912" customWidth="1"/>
    <col min="5431" max="5431" width="17.28515625" style="912" customWidth="1"/>
    <col min="5432" max="5432" width="18.7109375" style="912" customWidth="1"/>
    <col min="5433" max="5433" width="9.140625" style="912"/>
    <col min="5434" max="5434" width="18.28515625" style="912" customWidth="1"/>
    <col min="5435" max="5632" width="9.140625" style="912"/>
    <col min="5633" max="5633" width="10.7109375" style="912" customWidth="1"/>
    <col min="5634" max="5634" width="29.140625" style="912" customWidth="1"/>
    <col min="5635" max="5635" width="16.42578125" style="912" customWidth="1"/>
    <col min="5636" max="5636" width="27" style="912" customWidth="1"/>
    <col min="5637" max="5637" width="89.28515625" style="912" customWidth="1"/>
    <col min="5638" max="5638" width="21.85546875" style="912" customWidth="1"/>
    <col min="5639" max="5639" width="20.42578125" style="912" customWidth="1"/>
    <col min="5640" max="5640" width="26" style="912" customWidth="1"/>
    <col min="5641" max="5641" width="22.85546875" style="912" customWidth="1"/>
    <col min="5642" max="5642" width="18.7109375" style="912" customWidth="1"/>
    <col min="5643" max="5643" width="14" style="912" customWidth="1"/>
    <col min="5644" max="5644" width="17.7109375" style="912" customWidth="1"/>
    <col min="5645" max="5657" width="9.140625" style="912"/>
    <col min="5658" max="5658" width="19.42578125" style="912" bestFit="1" customWidth="1"/>
    <col min="5659" max="5685" width="9.140625" style="912"/>
    <col min="5686" max="5686" width="29.28515625" style="912" customWidth="1"/>
    <col min="5687" max="5687" width="17.28515625" style="912" customWidth="1"/>
    <col min="5688" max="5688" width="18.7109375" style="912" customWidth="1"/>
    <col min="5689" max="5689" width="9.140625" style="912"/>
    <col min="5690" max="5690" width="18.28515625" style="912" customWidth="1"/>
    <col min="5691" max="5888" width="9.140625" style="912"/>
    <col min="5889" max="5889" width="10.7109375" style="912" customWidth="1"/>
    <col min="5890" max="5890" width="29.140625" style="912" customWidth="1"/>
    <col min="5891" max="5891" width="16.42578125" style="912" customWidth="1"/>
    <col min="5892" max="5892" width="27" style="912" customWidth="1"/>
    <col min="5893" max="5893" width="89.28515625" style="912" customWidth="1"/>
    <col min="5894" max="5894" width="21.85546875" style="912" customWidth="1"/>
    <col min="5895" max="5895" width="20.42578125" style="912" customWidth="1"/>
    <col min="5896" max="5896" width="26" style="912" customWidth="1"/>
    <col min="5897" max="5897" width="22.85546875" style="912" customWidth="1"/>
    <col min="5898" max="5898" width="18.7109375" style="912" customWidth="1"/>
    <col min="5899" max="5899" width="14" style="912" customWidth="1"/>
    <col min="5900" max="5900" width="17.7109375" style="912" customWidth="1"/>
    <col min="5901" max="5913" width="9.140625" style="912"/>
    <col min="5914" max="5914" width="19.42578125" style="912" bestFit="1" customWidth="1"/>
    <col min="5915" max="5941" width="9.140625" style="912"/>
    <col min="5942" max="5942" width="29.28515625" style="912" customWidth="1"/>
    <col min="5943" max="5943" width="17.28515625" style="912" customWidth="1"/>
    <col min="5944" max="5944" width="18.7109375" style="912" customWidth="1"/>
    <col min="5945" max="5945" width="9.140625" style="912"/>
    <col min="5946" max="5946" width="18.28515625" style="912" customWidth="1"/>
    <col min="5947" max="6144" width="9.140625" style="912"/>
    <col min="6145" max="6145" width="10.7109375" style="912" customWidth="1"/>
    <col min="6146" max="6146" width="29.140625" style="912" customWidth="1"/>
    <col min="6147" max="6147" width="16.42578125" style="912" customWidth="1"/>
    <col min="6148" max="6148" width="27" style="912" customWidth="1"/>
    <col min="6149" max="6149" width="89.28515625" style="912" customWidth="1"/>
    <col min="6150" max="6150" width="21.85546875" style="912" customWidth="1"/>
    <col min="6151" max="6151" width="20.42578125" style="912" customWidth="1"/>
    <col min="6152" max="6152" width="26" style="912" customWidth="1"/>
    <col min="6153" max="6153" width="22.85546875" style="912" customWidth="1"/>
    <col min="6154" max="6154" width="18.7109375" style="912" customWidth="1"/>
    <col min="6155" max="6155" width="14" style="912" customWidth="1"/>
    <col min="6156" max="6156" width="17.7109375" style="912" customWidth="1"/>
    <col min="6157" max="6169" width="9.140625" style="912"/>
    <col min="6170" max="6170" width="19.42578125" style="912" bestFit="1" customWidth="1"/>
    <col min="6171" max="6197" width="9.140625" style="912"/>
    <col min="6198" max="6198" width="29.28515625" style="912" customWidth="1"/>
    <col min="6199" max="6199" width="17.28515625" style="912" customWidth="1"/>
    <col min="6200" max="6200" width="18.7109375" style="912" customWidth="1"/>
    <col min="6201" max="6201" width="9.140625" style="912"/>
    <col min="6202" max="6202" width="18.28515625" style="912" customWidth="1"/>
    <col min="6203" max="6400" width="9.140625" style="912"/>
    <col min="6401" max="6401" width="10.7109375" style="912" customWidth="1"/>
    <col min="6402" max="6402" width="29.140625" style="912" customWidth="1"/>
    <col min="6403" max="6403" width="16.42578125" style="912" customWidth="1"/>
    <col min="6404" max="6404" width="27" style="912" customWidth="1"/>
    <col min="6405" max="6405" width="89.28515625" style="912" customWidth="1"/>
    <col min="6406" max="6406" width="21.85546875" style="912" customWidth="1"/>
    <col min="6407" max="6407" width="20.42578125" style="912" customWidth="1"/>
    <col min="6408" max="6408" width="26" style="912" customWidth="1"/>
    <col min="6409" max="6409" width="22.85546875" style="912" customWidth="1"/>
    <col min="6410" max="6410" width="18.7109375" style="912" customWidth="1"/>
    <col min="6411" max="6411" width="14" style="912" customWidth="1"/>
    <col min="6412" max="6412" width="17.7109375" style="912" customWidth="1"/>
    <col min="6413" max="6425" width="9.140625" style="912"/>
    <col min="6426" max="6426" width="19.42578125" style="912" bestFit="1" customWidth="1"/>
    <col min="6427" max="6453" width="9.140625" style="912"/>
    <col min="6454" max="6454" width="29.28515625" style="912" customWidth="1"/>
    <col min="6455" max="6455" width="17.28515625" style="912" customWidth="1"/>
    <col min="6456" max="6456" width="18.7109375" style="912" customWidth="1"/>
    <col min="6457" max="6457" width="9.140625" style="912"/>
    <col min="6458" max="6458" width="18.28515625" style="912" customWidth="1"/>
    <col min="6459" max="6656" width="9.140625" style="912"/>
    <col min="6657" max="6657" width="10.7109375" style="912" customWidth="1"/>
    <col min="6658" max="6658" width="29.140625" style="912" customWidth="1"/>
    <col min="6659" max="6659" width="16.42578125" style="912" customWidth="1"/>
    <col min="6660" max="6660" width="27" style="912" customWidth="1"/>
    <col min="6661" max="6661" width="89.28515625" style="912" customWidth="1"/>
    <col min="6662" max="6662" width="21.85546875" style="912" customWidth="1"/>
    <col min="6663" max="6663" width="20.42578125" style="912" customWidth="1"/>
    <col min="6664" max="6664" width="26" style="912" customWidth="1"/>
    <col min="6665" max="6665" width="22.85546875" style="912" customWidth="1"/>
    <col min="6666" max="6666" width="18.7109375" style="912" customWidth="1"/>
    <col min="6667" max="6667" width="14" style="912" customWidth="1"/>
    <col min="6668" max="6668" width="17.7109375" style="912" customWidth="1"/>
    <col min="6669" max="6681" width="9.140625" style="912"/>
    <col min="6682" max="6682" width="19.42578125" style="912" bestFit="1" customWidth="1"/>
    <col min="6683" max="6709" width="9.140625" style="912"/>
    <col min="6710" max="6710" width="29.28515625" style="912" customWidth="1"/>
    <col min="6711" max="6711" width="17.28515625" style="912" customWidth="1"/>
    <col min="6712" max="6712" width="18.7109375" style="912" customWidth="1"/>
    <col min="6713" max="6713" width="9.140625" style="912"/>
    <col min="6714" max="6714" width="18.28515625" style="912" customWidth="1"/>
    <col min="6715" max="6912" width="9.140625" style="912"/>
    <col min="6913" max="6913" width="10.7109375" style="912" customWidth="1"/>
    <col min="6914" max="6914" width="29.140625" style="912" customWidth="1"/>
    <col min="6915" max="6915" width="16.42578125" style="912" customWidth="1"/>
    <col min="6916" max="6916" width="27" style="912" customWidth="1"/>
    <col min="6917" max="6917" width="89.28515625" style="912" customWidth="1"/>
    <col min="6918" max="6918" width="21.85546875" style="912" customWidth="1"/>
    <col min="6919" max="6919" width="20.42578125" style="912" customWidth="1"/>
    <col min="6920" max="6920" width="26" style="912" customWidth="1"/>
    <col min="6921" max="6921" width="22.85546875" style="912" customWidth="1"/>
    <col min="6922" max="6922" width="18.7109375" style="912" customWidth="1"/>
    <col min="6923" max="6923" width="14" style="912" customWidth="1"/>
    <col min="6924" max="6924" width="17.7109375" style="912" customWidth="1"/>
    <col min="6925" max="6937" width="9.140625" style="912"/>
    <col min="6938" max="6938" width="19.42578125" style="912" bestFit="1" customWidth="1"/>
    <col min="6939" max="6965" width="9.140625" style="912"/>
    <col min="6966" max="6966" width="29.28515625" style="912" customWidth="1"/>
    <col min="6967" max="6967" width="17.28515625" style="912" customWidth="1"/>
    <col min="6968" max="6968" width="18.7109375" style="912" customWidth="1"/>
    <col min="6969" max="6969" width="9.140625" style="912"/>
    <col min="6970" max="6970" width="18.28515625" style="912" customWidth="1"/>
    <col min="6971" max="7168" width="9.140625" style="912"/>
    <col min="7169" max="7169" width="10.7109375" style="912" customWidth="1"/>
    <col min="7170" max="7170" width="29.140625" style="912" customWidth="1"/>
    <col min="7171" max="7171" width="16.42578125" style="912" customWidth="1"/>
    <col min="7172" max="7172" width="27" style="912" customWidth="1"/>
    <col min="7173" max="7173" width="89.28515625" style="912" customWidth="1"/>
    <col min="7174" max="7174" width="21.85546875" style="912" customWidth="1"/>
    <col min="7175" max="7175" width="20.42578125" style="912" customWidth="1"/>
    <col min="7176" max="7176" width="26" style="912" customWidth="1"/>
    <col min="7177" max="7177" width="22.85546875" style="912" customWidth="1"/>
    <col min="7178" max="7178" width="18.7109375" style="912" customWidth="1"/>
    <col min="7179" max="7179" width="14" style="912" customWidth="1"/>
    <col min="7180" max="7180" width="17.7109375" style="912" customWidth="1"/>
    <col min="7181" max="7193" width="9.140625" style="912"/>
    <col min="7194" max="7194" width="19.42578125" style="912" bestFit="1" customWidth="1"/>
    <col min="7195" max="7221" width="9.140625" style="912"/>
    <col min="7222" max="7222" width="29.28515625" style="912" customWidth="1"/>
    <col min="7223" max="7223" width="17.28515625" style="912" customWidth="1"/>
    <col min="7224" max="7224" width="18.7109375" style="912" customWidth="1"/>
    <col min="7225" max="7225" width="9.140625" style="912"/>
    <col min="7226" max="7226" width="18.28515625" style="912" customWidth="1"/>
    <col min="7227" max="7424" width="9.140625" style="912"/>
    <col min="7425" max="7425" width="10.7109375" style="912" customWidth="1"/>
    <col min="7426" max="7426" width="29.140625" style="912" customWidth="1"/>
    <col min="7427" max="7427" width="16.42578125" style="912" customWidth="1"/>
    <col min="7428" max="7428" width="27" style="912" customWidth="1"/>
    <col min="7429" max="7429" width="89.28515625" style="912" customWidth="1"/>
    <col min="7430" max="7430" width="21.85546875" style="912" customWidth="1"/>
    <col min="7431" max="7431" width="20.42578125" style="912" customWidth="1"/>
    <col min="7432" max="7432" width="26" style="912" customWidth="1"/>
    <col min="7433" max="7433" width="22.85546875" style="912" customWidth="1"/>
    <col min="7434" max="7434" width="18.7109375" style="912" customWidth="1"/>
    <col min="7435" max="7435" width="14" style="912" customWidth="1"/>
    <col min="7436" max="7436" width="17.7109375" style="912" customWidth="1"/>
    <col min="7437" max="7449" width="9.140625" style="912"/>
    <col min="7450" max="7450" width="19.42578125" style="912" bestFit="1" customWidth="1"/>
    <col min="7451" max="7477" width="9.140625" style="912"/>
    <col min="7478" max="7478" width="29.28515625" style="912" customWidth="1"/>
    <col min="7479" max="7479" width="17.28515625" style="912" customWidth="1"/>
    <col min="7480" max="7480" width="18.7109375" style="912" customWidth="1"/>
    <col min="7481" max="7481" width="9.140625" style="912"/>
    <col min="7482" max="7482" width="18.28515625" style="912" customWidth="1"/>
    <col min="7483" max="7680" width="9.140625" style="912"/>
    <col min="7681" max="7681" width="10.7109375" style="912" customWidth="1"/>
    <col min="7682" max="7682" width="29.140625" style="912" customWidth="1"/>
    <col min="7683" max="7683" width="16.42578125" style="912" customWidth="1"/>
    <col min="7684" max="7684" width="27" style="912" customWidth="1"/>
    <col min="7685" max="7685" width="89.28515625" style="912" customWidth="1"/>
    <col min="7686" max="7686" width="21.85546875" style="912" customWidth="1"/>
    <col min="7687" max="7687" width="20.42578125" style="912" customWidth="1"/>
    <col min="7688" max="7688" width="26" style="912" customWidth="1"/>
    <col min="7689" max="7689" width="22.85546875" style="912" customWidth="1"/>
    <col min="7690" max="7690" width="18.7109375" style="912" customWidth="1"/>
    <col min="7691" max="7691" width="14" style="912" customWidth="1"/>
    <col min="7692" max="7692" width="17.7109375" style="912" customWidth="1"/>
    <col min="7693" max="7705" width="9.140625" style="912"/>
    <col min="7706" max="7706" width="19.42578125" style="912" bestFit="1" customWidth="1"/>
    <col min="7707" max="7733" width="9.140625" style="912"/>
    <col min="7734" max="7734" width="29.28515625" style="912" customWidth="1"/>
    <col min="7735" max="7735" width="17.28515625" style="912" customWidth="1"/>
    <col min="7736" max="7736" width="18.7109375" style="912" customWidth="1"/>
    <col min="7737" max="7737" width="9.140625" style="912"/>
    <col min="7738" max="7738" width="18.28515625" style="912" customWidth="1"/>
    <col min="7739" max="7936" width="9.140625" style="912"/>
    <col min="7937" max="7937" width="10.7109375" style="912" customWidth="1"/>
    <col min="7938" max="7938" width="29.140625" style="912" customWidth="1"/>
    <col min="7939" max="7939" width="16.42578125" style="912" customWidth="1"/>
    <col min="7940" max="7940" width="27" style="912" customWidth="1"/>
    <col min="7941" max="7941" width="89.28515625" style="912" customWidth="1"/>
    <col min="7942" max="7942" width="21.85546875" style="912" customWidth="1"/>
    <col min="7943" max="7943" width="20.42578125" style="912" customWidth="1"/>
    <col min="7944" max="7944" width="26" style="912" customWidth="1"/>
    <col min="7945" max="7945" width="22.85546875" style="912" customWidth="1"/>
    <col min="7946" max="7946" width="18.7109375" style="912" customWidth="1"/>
    <col min="7947" max="7947" width="14" style="912" customWidth="1"/>
    <col min="7948" max="7948" width="17.7109375" style="912" customWidth="1"/>
    <col min="7949" max="7961" width="9.140625" style="912"/>
    <col min="7962" max="7962" width="19.42578125" style="912" bestFit="1" customWidth="1"/>
    <col min="7963" max="7989" width="9.140625" style="912"/>
    <col min="7990" max="7990" width="29.28515625" style="912" customWidth="1"/>
    <col min="7991" max="7991" width="17.28515625" style="912" customWidth="1"/>
    <col min="7992" max="7992" width="18.7109375" style="912" customWidth="1"/>
    <col min="7993" max="7993" width="9.140625" style="912"/>
    <col min="7994" max="7994" width="18.28515625" style="912" customWidth="1"/>
    <col min="7995" max="8192" width="9.140625" style="912"/>
    <col min="8193" max="8193" width="10.7109375" style="912" customWidth="1"/>
    <col min="8194" max="8194" width="29.140625" style="912" customWidth="1"/>
    <col min="8195" max="8195" width="16.42578125" style="912" customWidth="1"/>
    <col min="8196" max="8196" width="27" style="912" customWidth="1"/>
    <col min="8197" max="8197" width="89.28515625" style="912" customWidth="1"/>
    <col min="8198" max="8198" width="21.85546875" style="912" customWidth="1"/>
    <col min="8199" max="8199" width="20.42578125" style="912" customWidth="1"/>
    <col min="8200" max="8200" width="26" style="912" customWidth="1"/>
    <col min="8201" max="8201" width="22.85546875" style="912" customWidth="1"/>
    <col min="8202" max="8202" width="18.7109375" style="912" customWidth="1"/>
    <col min="8203" max="8203" width="14" style="912" customWidth="1"/>
    <col min="8204" max="8204" width="17.7109375" style="912" customWidth="1"/>
    <col min="8205" max="8217" width="9.140625" style="912"/>
    <col min="8218" max="8218" width="19.42578125" style="912" bestFit="1" customWidth="1"/>
    <col min="8219" max="8245" width="9.140625" style="912"/>
    <col min="8246" max="8246" width="29.28515625" style="912" customWidth="1"/>
    <col min="8247" max="8247" width="17.28515625" style="912" customWidth="1"/>
    <col min="8248" max="8248" width="18.7109375" style="912" customWidth="1"/>
    <col min="8249" max="8249" width="9.140625" style="912"/>
    <col min="8250" max="8250" width="18.28515625" style="912" customWidth="1"/>
    <col min="8251" max="8448" width="9.140625" style="912"/>
    <col min="8449" max="8449" width="10.7109375" style="912" customWidth="1"/>
    <col min="8450" max="8450" width="29.140625" style="912" customWidth="1"/>
    <col min="8451" max="8451" width="16.42578125" style="912" customWidth="1"/>
    <col min="8452" max="8452" width="27" style="912" customWidth="1"/>
    <col min="8453" max="8453" width="89.28515625" style="912" customWidth="1"/>
    <col min="8454" max="8454" width="21.85546875" style="912" customWidth="1"/>
    <col min="8455" max="8455" width="20.42578125" style="912" customWidth="1"/>
    <col min="8456" max="8456" width="26" style="912" customWidth="1"/>
    <col min="8457" max="8457" width="22.85546875" style="912" customWidth="1"/>
    <col min="8458" max="8458" width="18.7109375" style="912" customWidth="1"/>
    <col min="8459" max="8459" width="14" style="912" customWidth="1"/>
    <col min="8460" max="8460" width="17.7109375" style="912" customWidth="1"/>
    <col min="8461" max="8473" width="9.140625" style="912"/>
    <col min="8474" max="8474" width="19.42578125" style="912" bestFit="1" customWidth="1"/>
    <col min="8475" max="8501" width="9.140625" style="912"/>
    <col min="8502" max="8502" width="29.28515625" style="912" customWidth="1"/>
    <col min="8503" max="8503" width="17.28515625" style="912" customWidth="1"/>
    <col min="8504" max="8504" width="18.7109375" style="912" customWidth="1"/>
    <col min="8505" max="8505" width="9.140625" style="912"/>
    <col min="8506" max="8506" width="18.28515625" style="912" customWidth="1"/>
    <col min="8507" max="8704" width="9.140625" style="912"/>
    <col min="8705" max="8705" width="10.7109375" style="912" customWidth="1"/>
    <col min="8706" max="8706" width="29.140625" style="912" customWidth="1"/>
    <col min="8707" max="8707" width="16.42578125" style="912" customWidth="1"/>
    <col min="8708" max="8708" width="27" style="912" customWidth="1"/>
    <col min="8709" max="8709" width="89.28515625" style="912" customWidth="1"/>
    <col min="8710" max="8710" width="21.85546875" style="912" customWidth="1"/>
    <col min="8711" max="8711" width="20.42578125" style="912" customWidth="1"/>
    <col min="8712" max="8712" width="26" style="912" customWidth="1"/>
    <col min="8713" max="8713" width="22.85546875" style="912" customWidth="1"/>
    <col min="8714" max="8714" width="18.7109375" style="912" customWidth="1"/>
    <col min="8715" max="8715" width="14" style="912" customWidth="1"/>
    <col min="8716" max="8716" width="17.7109375" style="912" customWidth="1"/>
    <col min="8717" max="8729" width="9.140625" style="912"/>
    <col min="8730" max="8730" width="19.42578125" style="912" bestFit="1" customWidth="1"/>
    <col min="8731" max="8757" width="9.140625" style="912"/>
    <col min="8758" max="8758" width="29.28515625" style="912" customWidth="1"/>
    <col min="8759" max="8759" width="17.28515625" style="912" customWidth="1"/>
    <col min="8760" max="8760" width="18.7109375" style="912" customWidth="1"/>
    <col min="8761" max="8761" width="9.140625" style="912"/>
    <col min="8762" max="8762" width="18.28515625" style="912" customWidth="1"/>
    <col min="8763" max="8960" width="9.140625" style="912"/>
    <col min="8961" max="8961" width="10.7109375" style="912" customWidth="1"/>
    <col min="8962" max="8962" width="29.140625" style="912" customWidth="1"/>
    <col min="8963" max="8963" width="16.42578125" style="912" customWidth="1"/>
    <col min="8964" max="8964" width="27" style="912" customWidth="1"/>
    <col min="8965" max="8965" width="89.28515625" style="912" customWidth="1"/>
    <col min="8966" max="8966" width="21.85546875" style="912" customWidth="1"/>
    <col min="8967" max="8967" width="20.42578125" style="912" customWidth="1"/>
    <col min="8968" max="8968" width="26" style="912" customWidth="1"/>
    <col min="8969" max="8969" width="22.85546875" style="912" customWidth="1"/>
    <col min="8970" max="8970" width="18.7109375" style="912" customWidth="1"/>
    <col min="8971" max="8971" width="14" style="912" customWidth="1"/>
    <col min="8972" max="8972" width="17.7109375" style="912" customWidth="1"/>
    <col min="8973" max="8985" width="9.140625" style="912"/>
    <col min="8986" max="8986" width="19.42578125" style="912" bestFit="1" customWidth="1"/>
    <col min="8987" max="9013" width="9.140625" style="912"/>
    <col min="9014" max="9014" width="29.28515625" style="912" customWidth="1"/>
    <col min="9015" max="9015" width="17.28515625" style="912" customWidth="1"/>
    <col min="9016" max="9016" width="18.7109375" style="912" customWidth="1"/>
    <col min="9017" max="9017" width="9.140625" style="912"/>
    <col min="9018" max="9018" width="18.28515625" style="912" customWidth="1"/>
    <col min="9019" max="9216" width="9.140625" style="912"/>
    <col min="9217" max="9217" width="10.7109375" style="912" customWidth="1"/>
    <col min="9218" max="9218" width="29.140625" style="912" customWidth="1"/>
    <col min="9219" max="9219" width="16.42578125" style="912" customWidth="1"/>
    <col min="9220" max="9220" width="27" style="912" customWidth="1"/>
    <col min="9221" max="9221" width="89.28515625" style="912" customWidth="1"/>
    <col min="9222" max="9222" width="21.85546875" style="912" customWidth="1"/>
    <col min="9223" max="9223" width="20.42578125" style="912" customWidth="1"/>
    <col min="9224" max="9224" width="26" style="912" customWidth="1"/>
    <col min="9225" max="9225" width="22.85546875" style="912" customWidth="1"/>
    <col min="9226" max="9226" width="18.7109375" style="912" customWidth="1"/>
    <col min="9227" max="9227" width="14" style="912" customWidth="1"/>
    <col min="9228" max="9228" width="17.7109375" style="912" customWidth="1"/>
    <col min="9229" max="9241" width="9.140625" style="912"/>
    <col min="9242" max="9242" width="19.42578125" style="912" bestFit="1" customWidth="1"/>
    <col min="9243" max="9269" width="9.140625" style="912"/>
    <col min="9270" max="9270" width="29.28515625" style="912" customWidth="1"/>
    <col min="9271" max="9271" width="17.28515625" style="912" customWidth="1"/>
    <col min="9272" max="9272" width="18.7109375" style="912" customWidth="1"/>
    <col min="9273" max="9273" width="9.140625" style="912"/>
    <col min="9274" max="9274" width="18.28515625" style="912" customWidth="1"/>
    <col min="9275" max="9472" width="9.140625" style="912"/>
    <col min="9473" max="9473" width="10.7109375" style="912" customWidth="1"/>
    <col min="9474" max="9474" width="29.140625" style="912" customWidth="1"/>
    <col min="9475" max="9475" width="16.42578125" style="912" customWidth="1"/>
    <col min="9476" max="9476" width="27" style="912" customWidth="1"/>
    <col min="9477" max="9477" width="89.28515625" style="912" customWidth="1"/>
    <col min="9478" max="9478" width="21.85546875" style="912" customWidth="1"/>
    <col min="9479" max="9479" width="20.42578125" style="912" customWidth="1"/>
    <col min="9480" max="9480" width="26" style="912" customWidth="1"/>
    <col min="9481" max="9481" width="22.85546875" style="912" customWidth="1"/>
    <col min="9482" max="9482" width="18.7109375" style="912" customWidth="1"/>
    <col min="9483" max="9483" width="14" style="912" customWidth="1"/>
    <col min="9484" max="9484" width="17.7109375" style="912" customWidth="1"/>
    <col min="9485" max="9497" width="9.140625" style="912"/>
    <col min="9498" max="9498" width="19.42578125" style="912" bestFit="1" customWidth="1"/>
    <col min="9499" max="9525" width="9.140625" style="912"/>
    <col min="9526" max="9526" width="29.28515625" style="912" customWidth="1"/>
    <col min="9527" max="9527" width="17.28515625" style="912" customWidth="1"/>
    <col min="9528" max="9528" width="18.7109375" style="912" customWidth="1"/>
    <col min="9529" max="9529" width="9.140625" style="912"/>
    <col min="9530" max="9530" width="18.28515625" style="912" customWidth="1"/>
    <col min="9531" max="9728" width="9.140625" style="912"/>
    <col min="9729" max="9729" width="10.7109375" style="912" customWidth="1"/>
    <col min="9730" max="9730" width="29.140625" style="912" customWidth="1"/>
    <col min="9731" max="9731" width="16.42578125" style="912" customWidth="1"/>
    <col min="9732" max="9732" width="27" style="912" customWidth="1"/>
    <col min="9733" max="9733" width="89.28515625" style="912" customWidth="1"/>
    <col min="9734" max="9734" width="21.85546875" style="912" customWidth="1"/>
    <col min="9735" max="9735" width="20.42578125" style="912" customWidth="1"/>
    <col min="9736" max="9736" width="26" style="912" customWidth="1"/>
    <col min="9737" max="9737" width="22.85546875" style="912" customWidth="1"/>
    <col min="9738" max="9738" width="18.7109375" style="912" customWidth="1"/>
    <col min="9739" max="9739" width="14" style="912" customWidth="1"/>
    <col min="9740" max="9740" width="17.7109375" style="912" customWidth="1"/>
    <col min="9741" max="9753" width="9.140625" style="912"/>
    <col min="9754" max="9754" width="19.42578125" style="912" bestFit="1" customWidth="1"/>
    <col min="9755" max="9781" width="9.140625" style="912"/>
    <col min="9782" max="9782" width="29.28515625" style="912" customWidth="1"/>
    <col min="9783" max="9783" width="17.28515625" style="912" customWidth="1"/>
    <col min="9784" max="9784" width="18.7109375" style="912" customWidth="1"/>
    <col min="9785" max="9785" width="9.140625" style="912"/>
    <col min="9786" max="9786" width="18.28515625" style="912" customWidth="1"/>
    <col min="9787" max="9984" width="9.140625" style="912"/>
    <col min="9985" max="9985" width="10.7109375" style="912" customWidth="1"/>
    <col min="9986" max="9986" width="29.140625" style="912" customWidth="1"/>
    <col min="9987" max="9987" width="16.42578125" style="912" customWidth="1"/>
    <col min="9988" max="9988" width="27" style="912" customWidth="1"/>
    <col min="9989" max="9989" width="89.28515625" style="912" customWidth="1"/>
    <col min="9990" max="9990" width="21.85546875" style="912" customWidth="1"/>
    <col min="9991" max="9991" width="20.42578125" style="912" customWidth="1"/>
    <col min="9992" max="9992" width="26" style="912" customWidth="1"/>
    <col min="9993" max="9993" width="22.85546875" style="912" customWidth="1"/>
    <col min="9994" max="9994" width="18.7109375" style="912" customWidth="1"/>
    <col min="9995" max="9995" width="14" style="912" customWidth="1"/>
    <col min="9996" max="9996" width="17.7109375" style="912" customWidth="1"/>
    <col min="9997" max="10009" width="9.140625" style="912"/>
    <col min="10010" max="10010" width="19.42578125" style="912" bestFit="1" customWidth="1"/>
    <col min="10011" max="10037" width="9.140625" style="912"/>
    <col min="10038" max="10038" width="29.28515625" style="912" customWidth="1"/>
    <col min="10039" max="10039" width="17.28515625" style="912" customWidth="1"/>
    <col min="10040" max="10040" width="18.7109375" style="912" customWidth="1"/>
    <col min="10041" max="10041" width="9.140625" style="912"/>
    <col min="10042" max="10042" width="18.28515625" style="912" customWidth="1"/>
    <col min="10043" max="10240" width="9.140625" style="912"/>
    <col min="10241" max="10241" width="10.7109375" style="912" customWidth="1"/>
    <col min="10242" max="10242" width="29.140625" style="912" customWidth="1"/>
    <col min="10243" max="10243" width="16.42578125" style="912" customWidth="1"/>
    <col min="10244" max="10244" width="27" style="912" customWidth="1"/>
    <col min="10245" max="10245" width="89.28515625" style="912" customWidth="1"/>
    <col min="10246" max="10246" width="21.85546875" style="912" customWidth="1"/>
    <col min="10247" max="10247" width="20.42578125" style="912" customWidth="1"/>
    <col min="10248" max="10248" width="26" style="912" customWidth="1"/>
    <col min="10249" max="10249" width="22.85546875" style="912" customWidth="1"/>
    <col min="10250" max="10250" width="18.7109375" style="912" customWidth="1"/>
    <col min="10251" max="10251" width="14" style="912" customWidth="1"/>
    <col min="10252" max="10252" width="17.7109375" style="912" customWidth="1"/>
    <col min="10253" max="10265" width="9.140625" style="912"/>
    <col min="10266" max="10266" width="19.42578125" style="912" bestFit="1" customWidth="1"/>
    <col min="10267" max="10293" width="9.140625" style="912"/>
    <col min="10294" max="10294" width="29.28515625" style="912" customWidth="1"/>
    <col min="10295" max="10295" width="17.28515625" style="912" customWidth="1"/>
    <col min="10296" max="10296" width="18.7109375" style="912" customWidth="1"/>
    <col min="10297" max="10297" width="9.140625" style="912"/>
    <col min="10298" max="10298" width="18.28515625" style="912" customWidth="1"/>
    <col min="10299" max="10496" width="9.140625" style="912"/>
    <col min="10497" max="10497" width="10.7109375" style="912" customWidth="1"/>
    <col min="10498" max="10498" width="29.140625" style="912" customWidth="1"/>
    <col min="10499" max="10499" width="16.42578125" style="912" customWidth="1"/>
    <col min="10500" max="10500" width="27" style="912" customWidth="1"/>
    <col min="10501" max="10501" width="89.28515625" style="912" customWidth="1"/>
    <col min="10502" max="10502" width="21.85546875" style="912" customWidth="1"/>
    <col min="10503" max="10503" width="20.42578125" style="912" customWidth="1"/>
    <col min="10504" max="10504" width="26" style="912" customWidth="1"/>
    <col min="10505" max="10505" width="22.85546875" style="912" customWidth="1"/>
    <col min="10506" max="10506" width="18.7109375" style="912" customWidth="1"/>
    <col min="10507" max="10507" width="14" style="912" customWidth="1"/>
    <col min="10508" max="10508" width="17.7109375" style="912" customWidth="1"/>
    <col min="10509" max="10521" width="9.140625" style="912"/>
    <col min="10522" max="10522" width="19.42578125" style="912" bestFit="1" customWidth="1"/>
    <col min="10523" max="10549" width="9.140625" style="912"/>
    <col min="10550" max="10550" width="29.28515625" style="912" customWidth="1"/>
    <col min="10551" max="10551" width="17.28515625" style="912" customWidth="1"/>
    <col min="10552" max="10552" width="18.7109375" style="912" customWidth="1"/>
    <col min="10553" max="10553" width="9.140625" style="912"/>
    <col min="10554" max="10554" width="18.28515625" style="912" customWidth="1"/>
    <col min="10555" max="10752" width="9.140625" style="912"/>
    <col min="10753" max="10753" width="10.7109375" style="912" customWidth="1"/>
    <col min="10754" max="10754" width="29.140625" style="912" customWidth="1"/>
    <col min="10755" max="10755" width="16.42578125" style="912" customWidth="1"/>
    <col min="10756" max="10756" width="27" style="912" customWidth="1"/>
    <col min="10757" max="10757" width="89.28515625" style="912" customWidth="1"/>
    <col min="10758" max="10758" width="21.85546875" style="912" customWidth="1"/>
    <col min="10759" max="10759" width="20.42578125" style="912" customWidth="1"/>
    <col min="10760" max="10760" width="26" style="912" customWidth="1"/>
    <col min="10761" max="10761" width="22.85546875" style="912" customWidth="1"/>
    <col min="10762" max="10762" width="18.7109375" style="912" customWidth="1"/>
    <col min="10763" max="10763" width="14" style="912" customWidth="1"/>
    <col min="10764" max="10764" width="17.7109375" style="912" customWidth="1"/>
    <col min="10765" max="10777" width="9.140625" style="912"/>
    <col min="10778" max="10778" width="19.42578125" style="912" bestFit="1" customWidth="1"/>
    <col min="10779" max="10805" width="9.140625" style="912"/>
    <col min="10806" max="10806" width="29.28515625" style="912" customWidth="1"/>
    <col min="10807" max="10807" width="17.28515625" style="912" customWidth="1"/>
    <col min="10808" max="10808" width="18.7109375" style="912" customWidth="1"/>
    <col min="10809" max="10809" width="9.140625" style="912"/>
    <col min="10810" max="10810" width="18.28515625" style="912" customWidth="1"/>
    <col min="10811" max="11008" width="9.140625" style="912"/>
    <col min="11009" max="11009" width="10.7109375" style="912" customWidth="1"/>
    <col min="11010" max="11010" width="29.140625" style="912" customWidth="1"/>
    <col min="11011" max="11011" width="16.42578125" style="912" customWidth="1"/>
    <col min="11012" max="11012" width="27" style="912" customWidth="1"/>
    <col min="11013" max="11013" width="89.28515625" style="912" customWidth="1"/>
    <col min="11014" max="11014" width="21.85546875" style="912" customWidth="1"/>
    <col min="11015" max="11015" width="20.42578125" style="912" customWidth="1"/>
    <col min="11016" max="11016" width="26" style="912" customWidth="1"/>
    <col min="11017" max="11017" width="22.85546875" style="912" customWidth="1"/>
    <col min="11018" max="11018" width="18.7109375" style="912" customWidth="1"/>
    <col min="11019" max="11019" width="14" style="912" customWidth="1"/>
    <col min="11020" max="11020" width="17.7109375" style="912" customWidth="1"/>
    <col min="11021" max="11033" width="9.140625" style="912"/>
    <col min="11034" max="11034" width="19.42578125" style="912" bestFit="1" customWidth="1"/>
    <col min="11035" max="11061" width="9.140625" style="912"/>
    <col min="11062" max="11062" width="29.28515625" style="912" customWidth="1"/>
    <col min="11063" max="11063" width="17.28515625" style="912" customWidth="1"/>
    <col min="11064" max="11064" width="18.7109375" style="912" customWidth="1"/>
    <col min="11065" max="11065" width="9.140625" style="912"/>
    <col min="11066" max="11066" width="18.28515625" style="912" customWidth="1"/>
    <col min="11067" max="11264" width="9.140625" style="912"/>
    <col min="11265" max="11265" width="10.7109375" style="912" customWidth="1"/>
    <col min="11266" max="11266" width="29.140625" style="912" customWidth="1"/>
    <col min="11267" max="11267" width="16.42578125" style="912" customWidth="1"/>
    <col min="11268" max="11268" width="27" style="912" customWidth="1"/>
    <col min="11269" max="11269" width="89.28515625" style="912" customWidth="1"/>
    <col min="11270" max="11270" width="21.85546875" style="912" customWidth="1"/>
    <col min="11271" max="11271" width="20.42578125" style="912" customWidth="1"/>
    <col min="11272" max="11272" width="26" style="912" customWidth="1"/>
    <col min="11273" max="11273" width="22.85546875" style="912" customWidth="1"/>
    <col min="11274" max="11274" width="18.7109375" style="912" customWidth="1"/>
    <col min="11275" max="11275" width="14" style="912" customWidth="1"/>
    <col min="11276" max="11276" width="17.7109375" style="912" customWidth="1"/>
    <col min="11277" max="11289" width="9.140625" style="912"/>
    <col min="11290" max="11290" width="19.42578125" style="912" bestFit="1" customWidth="1"/>
    <col min="11291" max="11317" width="9.140625" style="912"/>
    <col min="11318" max="11318" width="29.28515625" style="912" customWidth="1"/>
    <col min="11319" max="11319" width="17.28515625" style="912" customWidth="1"/>
    <col min="11320" max="11320" width="18.7109375" style="912" customWidth="1"/>
    <col min="11321" max="11321" width="9.140625" style="912"/>
    <col min="11322" max="11322" width="18.28515625" style="912" customWidth="1"/>
    <col min="11323" max="11520" width="9.140625" style="912"/>
    <col min="11521" max="11521" width="10.7109375" style="912" customWidth="1"/>
    <col min="11522" max="11522" width="29.140625" style="912" customWidth="1"/>
    <col min="11523" max="11523" width="16.42578125" style="912" customWidth="1"/>
    <col min="11524" max="11524" width="27" style="912" customWidth="1"/>
    <col min="11525" max="11525" width="89.28515625" style="912" customWidth="1"/>
    <col min="11526" max="11526" width="21.85546875" style="912" customWidth="1"/>
    <col min="11527" max="11527" width="20.42578125" style="912" customWidth="1"/>
    <col min="11528" max="11528" width="26" style="912" customWidth="1"/>
    <col min="11529" max="11529" width="22.85546875" style="912" customWidth="1"/>
    <col min="11530" max="11530" width="18.7109375" style="912" customWidth="1"/>
    <col min="11531" max="11531" width="14" style="912" customWidth="1"/>
    <col min="11532" max="11532" width="17.7109375" style="912" customWidth="1"/>
    <col min="11533" max="11545" width="9.140625" style="912"/>
    <col min="11546" max="11546" width="19.42578125" style="912" bestFit="1" customWidth="1"/>
    <col min="11547" max="11573" width="9.140625" style="912"/>
    <col min="11574" max="11574" width="29.28515625" style="912" customWidth="1"/>
    <col min="11575" max="11575" width="17.28515625" style="912" customWidth="1"/>
    <col min="11576" max="11576" width="18.7109375" style="912" customWidth="1"/>
    <col min="11577" max="11577" width="9.140625" style="912"/>
    <col min="11578" max="11578" width="18.28515625" style="912" customWidth="1"/>
    <col min="11579" max="11776" width="9.140625" style="912"/>
    <col min="11777" max="11777" width="10.7109375" style="912" customWidth="1"/>
    <col min="11778" max="11778" width="29.140625" style="912" customWidth="1"/>
    <col min="11779" max="11779" width="16.42578125" style="912" customWidth="1"/>
    <col min="11780" max="11780" width="27" style="912" customWidth="1"/>
    <col min="11781" max="11781" width="89.28515625" style="912" customWidth="1"/>
    <col min="11782" max="11782" width="21.85546875" style="912" customWidth="1"/>
    <col min="11783" max="11783" width="20.42578125" style="912" customWidth="1"/>
    <col min="11784" max="11784" width="26" style="912" customWidth="1"/>
    <col min="11785" max="11785" width="22.85546875" style="912" customWidth="1"/>
    <col min="11786" max="11786" width="18.7109375" style="912" customWidth="1"/>
    <col min="11787" max="11787" width="14" style="912" customWidth="1"/>
    <col min="11788" max="11788" width="17.7109375" style="912" customWidth="1"/>
    <col min="11789" max="11801" width="9.140625" style="912"/>
    <col min="11802" max="11802" width="19.42578125" style="912" bestFit="1" customWidth="1"/>
    <col min="11803" max="11829" width="9.140625" style="912"/>
    <col min="11830" max="11830" width="29.28515625" style="912" customWidth="1"/>
    <col min="11831" max="11831" width="17.28515625" style="912" customWidth="1"/>
    <col min="11832" max="11832" width="18.7109375" style="912" customWidth="1"/>
    <col min="11833" max="11833" width="9.140625" style="912"/>
    <col min="11834" max="11834" width="18.28515625" style="912" customWidth="1"/>
    <col min="11835" max="12032" width="9.140625" style="912"/>
    <col min="12033" max="12033" width="10.7109375" style="912" customWidth="1"/>
    <col min="12034" max="12034" width="29.140625" style="912" customWidth="1"/>
    <col min="12035" max="12035" width="16.42578125" style="912" customWidth="1"/>
    <col min="12036" max="12036" width="27" style="912" customWidth="1"/>
    <col min="12037" max="12037" width="89.28515625" style="912" customWidth="1"/>
    <col min="12038" max="12038" width="21.85546875" style="912" customWidth="1"/>
    <col min="12039" max="12039" width="20.42578125" style="912" customWidth="1"/>
    <col min="12040" max="12040" width="26" style="912" customWidth="1"/>
    <col min="12041" max="12041" width="22.85546875" style="912" customWidth="1"/>
    <col min="12042" max="12042" width="18.7109375" style="912" customWidth="1"/>
    <col min="12043" max="12043" width="14" style="912" customWidth="1"/>
    <col min="12044" max="12044" width="17.7109375" style="912" customWidth="1"/>
    <col min="12045" max="12057" width="9.140625" style="912"/>
    <col min="12058" max="12058" width="19.42578125" style="912" bestFit="1" customWidth="1"/>
    <col min="12059" max="12085" width="9.140625" style="912"/>
    <col min="12086" max="12086" width="29.28515625" style="912" customWidth="1"/>
    <col min="12087" max="12087" width="17.28515625" style="912" customWidth="1"/>
    <col min="12088" max="12088" width="18.7109375" style="912" customWidth="1"/>
    <col min="12089" max="12089" width="9.140625" style="912"/>
    <col min="12090" max="12090" width="18.28515625" style="912" customWidth="1"/>
    <col min="12091" max="12288" width="9.140625" style="912"/>
    <col min="12289" max="12289" width="10.7109375" style="912" customWidth="1"/>
    <col min="12290" max="12290" width="29.140625" style="912" customWidth="1"/>
    <col min="12291" max="12291" width="16.42578125" style="912" customWidth="1"/>
    <col min="12292" max="12292" width="27" style="912" customWidth="1"/>
    <col min="12293" max="12293" width="89.28515625" style="912" customWidth="1"/>
    <col min="12294" max="12294" width="21.85546875" style="912" customWidth="1"/>
    <col min="12295" max="12295" width="20.42578125" style="912" customWidth="1"/>
    <col min="12296" max="12296" width="26" style="912" customWidth="1"/>
    <col min="12297" max="12297" width="22.85546875" style="912" customWidth="1"/>
    <col min="12298" max="12298" width="18.7109375" style="912" customWidth="1"/>
    <col min="12299" max="12299" width="14" style="912" customWidth="1"/>
    <col min="12300" max="12300" width="17.7109375" style="912" customWidth="1"/>
    <col min="12301" max="12313" width="9.140625" style="912"/>
    <col min="12314" max="12314" width="19.42578125" style="912" bestFit="1" customWidth="1"/>
    <col min="12315" max="12341" width="9.140625" style="912"/>
    <col min="12342" max="12342" width="29.28515625" style="912" customWidth="1"/>
    <col min="12343" max="12343" width="17.28515625" style="912" customWidth="1"/>
    <col min="12344" max="12344" width="18.7109375" style="912" customWidth="1"/>
    <col min="12345" max="12345" width="9.140625" style="912"/>
    <col min="12346" max="12346" width="18.28515625" style="912" customWidth="1"/>
    <col min="12347" max="12544" width="9.140625" style="912"/>
    <col min="12545" max="12545" width="10.7109375" style="912" customWidth="1"/>
    <col min="12546" max="12546" width="29.140625" style="912" customWidth="1"/>
    <col min="12547" max="12547" width="16.42578125" style="912" customWidth="1"/>
    <col min="12548" max="12548" width="27" style="912" customWidth="1"/>
    <col min="12549" max="12549" width="89.28515625" style="912" customWidth="1"/>
    <col min="12550" max="12550" width="21.85546875" style="912" customWidth="1"/>
    <col min="12551" max="12551" width="20.42578125" style="912" customWidth="1"/>
    <col min="12552" max="12552" width="26" style="912" customWidth="1"/>
    <col min="12553" max="12553" width="22.85546875" style="912" customWidth="1"/>
    <col min="12554" max="12554" width="18.7109375" style="912" customWidth="1"/>
    <col min="12555" max="12555" width="14" style="912" customWidth="1"/>
    <col min="12556" max="12556" width="17.7109375" style="912" customWidth="1"/>
    <col min="12557" max="12569" width="9.140625" style="912"/>
    <col min="12570" max="12570" width="19.42578125" style="912" bestFit="1" customWidth="1"/>
    <col min="12571" max="12597" width="9.140625" style="912"/>
    <col min="12598" max="12598" width="29.28515625" style="912" customWidth="1"/>
    <col min="12599" max="12599" width="17.28515625" style="912" customWidth="1"/>
    <col min="12600" max="12600" width="18.7109375" style="912" customWidth="1"/>
    <col min="12601" max="12601" width="9.140625" style="912"/>
    <col min="12602" max="12602" width="18.28515625" style="912" customWidth="1"/>
    <col min="12603" max="12800" width="9.140625" style="912"/>
    <col min="12801" max="12801" width="10.7109375" style="912" customWidth="1"/>
    <col min="12802" max="12802" width="29.140625" style="912" customWidth="1"/>
    <col min="12803" max="12803" width="16.42578125" style="912" customWidth="1"/>
    <col min="12804" max="12804" width="27" style="912" customWidth="1"/>
    <col min="12805" max="12805" width="89.28515625" style="912" customWidth="1"/>
    <col min="12806" max="12806" width="21.85546875" style="912" customWidth="1"/>
    <col min="12807" max="12807" width="20.42578125" style="912" customWidth="1"/>
    <col min="12808" max="12808" width="26" style="912" customWidth="1"/>
    <col min="12809" max="12809" width="22.85546875" style="912" customWidth="1"/>
    <col min="12810" max="12810" width="18.7109375" style="912" customWidth="1"/>
    <col min="12811" max="12811" width="14" style="912" customWidth="1"/>
    <col min="12812" max="12812" width="17.7109375" style="912" customWidth="1"/>
    <col min="12813" max="12825" width="9.140625" style="912"/>
    <col min="12826" max="12826" width="19.42578125" style="912" bestFit="1" customWidth="1"/>
    <col min="12827" max="12853" width="9.140625" style="912"/>
    <col min="12854" max="12854" width="29.28515625" style="912" customWidth="1"/>
    <col min="12855" max="12855" width="17.28515625" style="912" customWidth="1"/>
    <col min="12856" max="12856" width="18.7109375" style="912" customWidth="1"/>
    <col min="12857" max="12857" width="9.140625" style="912"/>
    <col min="12858" max="12858" width="18.28515625" style="912" customWidth="1"/>
    <col min="12859" max="13056" width="9.140625" style="912"/>
    <col min="13057" max="13057" width="10.7109375" style="912" customWidth="1"/>
    <col min="13058" max="13058" width="29.140625" style="912" customWidth="1"/>
    <col min="13059" max="13059" width="16.42578125" style="912" customWidth="1"/>
    <col min="13060" max="13060" width="27" style="912" customWidth="1"/>
    <col min="13061" max="13061" width="89.28515625" style="912" customWidth="1"/>
    <col min="13062" max="13062" width="21.85546875" style="912" customWidth="1"/>
    <col min="13063" max="13063" width="20.42578125" style="912" customWidth="1"/>
    <col min="13064" max="13064" width="26" style="912" customWidth="1"/>
    <col min="13065" max="13065" width="22.85546875" style="912" customWidth="1"/>
    <col min="13066" max="13066" width="18.7109375" style="912" customWidth="1"/>
    <col min="13067" max="13067" width="14" style="912" customWidth="1"/>
    <col min="13068" max="13068" width="17.7109375" style="912" customWidth="1"/>
    <col min="13069" max="13081" width="9.140625" style="912"/>
    <col min="13082" max="13082" width="19.42578125" style="912" bestFit="1" customWidth="1"/>
    <col min="13083" max="13109" width="9.140625" style="912"/>
    <col min="13110" max="13110" width="29.28515625" style="912" customWidth="1"/>
    <col min="13111" max="13111" width="17.28515625" style="912" customWidth="1"/>
    <col min="13112" max="13112" width="18.7109375" style="912" customWidth="1"/>
    <col min="13113" max="13113" width="9.140625" style="912"/>
    <col min="13114" max="13114" width="18.28515625" style="912" customWidth="1"/>
    <col min="13115" max="13312" width="9.140625" style="912"/>
    <col min="13313" max="13313" width="10.7109375" style="912" customWidth="1"/>
    <col min="13314" max="13314" width="29.140625" style="912" customWidth="1"/>
    <col min="13315" max="13315" width="16.42578125" style="912" customWidth="1"/>
    <col min="13316" max="13316" width="27" style="912" customWidth="1"/>
    <col min="13317" max="13317" width="89.28515625" style="912" customWidth="1"/>
    <col min="13318" max="13318" width="21.85546875" style="912" customWidth="1"/>
    <col min="13319" max="13319" width="20.42578125" style="912" customWidth="1"/>
    <col min="13320" max="13320" width="26" style="912" customWidth="1"/>
    <col min="13321" max="13321" width="22.85546875" style="912" customWidth="1"/>
    <col min="13322" max="13322" width="18.7109375" style="912" customWidth="1"/>
    <col min="13323" max="13323" width="14" style="912" customWidth="1"/>
    <col min="13324" max="13324" width="17.7109375" style="912" customWidth="1"/>
    <col min="13325" max="13337" width="9.140625" style="912"/>
    <col min="13338" max="13338" width="19.42578125" style="912" bestFit="1" customWidth="1"/>
    <col min="13339" max="13365" width="9.140625" style="912"/>
    <col min="13366" max="13366" width="29.28515625" style="912" customWidth="1"/>
    <col min="13367" max="13367" width="17.28515625" style="912" customWidth="1"/>
    <col min="13368" max="13368" width="18.7109375" style="912" customWidth="1"/>
    <col min="13369" max="13369" width="9.140625" style="912"/>
    <col min="13370" max="13370" width="18.28515625" style="912" customWidth="1"/>
    <col min="13371" max="13568" width="9.140625" style="912"/>
    <col min="13569" max="13569" width="10.7109375" style="912" customWidth="1"/>
    <col min="13570" max="13570" width="29.140625" style="912" customWidth="1"/>
    <col min="13571" max="13571" width="16.42578125" style="912" customWidth="1"/>
    <col min="13572" max="13572" width="27" style="912" customWidth="1"/>
    <col min="13573" max="13573" width="89.28515625" style="912" customWidth="1"/>
    <col min="13574" max="13574" width="21.85546875" style="912" customWidth="1"/>
    <col min="13575" max="13575" width="20.42578125" style="912" customWidth="1"/>
    <col min="13576" max="13576" width="26" style="912" customWidth="1"/>
    <col min="13577" max="13577" width="22.85546875" style="912" customWidth="1"/>
    <col min="13578" max="13578" width="18.7109375" style="912" customWidth="1"/>
    <col min="13579" max="13579" width="14" style="912" customWidth="1"/>
    <col min="13580" max="13580" width="17.7109375" style="912" customWidth="1"/>
    <col min="13581" max="13593" width="9.140625" style="912"/>
    <col min="13594" max="13594" width="19.42578125" style="912" bestFit="1" customWidth="1"/>
    <col min="13595" max="13621" width="9.140625" style="912"/>
    <col min="13622" max="13622" width="29.28515625" style="912" customWidth="1"/>
    <col min="13623" max="13623" width="17.28515625" style="912" customWidth="1"/>
    <col min="13624" max="13624" width="18.7109375" style="912" customWidth="1"/>
    <col min="13625" max="13625" width="9.140625" style="912"/>
    <col min="13626" max="13626" width="18.28515625" style="912" customWidth="1"/>
    <col min="13627" max="13824" width="9.140625" style="912"/>
    <col min="13825" max="13825" width="10.7109375" style="912" customWidth="1"/>
    <col min="13826" max="13826" width="29.140625" style="912" customWidth="1"/>
    <col min="13827" max="13827" width="16.42578125" style="912" customWidth="1"/>
    <col min="13828" max="13828" width="27" style="912" customWidth="1"/>
    <col min="13829" max="13829" width="89.28515625" style="912" customWidth="1"/>
    <col min="13830" max="13830" width="21.85546875" style="912" customWidth="1"/>
    <col min="13831" max="13831" width="20.42578125" style="912" customWidth="1"/>
    <col min="13832" max="13832" width="26" style="912" customWidth="1"/>
    <col min="13833" max="13833" width="22.85546875" style="912" customWidth="1"/>
    <col min="13834" max="13834" width="18.7109375" style="912" customWidth="1"/>
    <col min="13835" max="13835" width="14" style="912" customWidth="1"/>
    <col min="13836" max="13836" width="17.7109375" style="912" customWidth="1"/>
    <col min="13837" max="13849" width="9.140625" style="912"/>
    <col min="13850" max="13850" width="19.42578125" style="912" bestFit="1" customWidth="1"/>
    <col min="13851" max="13877" width="9.140625" style="912"/>
    <col min="13878" max="13878" width="29.28515625" style="912" customWidth="1"/>
    <col min="13879" max="13879" width="17.28515625" style="912" customWidth="1"/>
    <col min="13880" max="13880" width="18.7109375" style="912" customWidth="1"/>
    <col min="13881" max="13881" width="9.140625" style="912"/>
    <col min="13882" max="13882" width="18.28515625" style="912" customWidth="1"/>
    <col min="13883" max="14080" width="9.140625" style="912"/>
    <col min="14081" max="14081" width="10.7109375" style="912" customWidth="1"/>
    <col min="14082" max="14082" width="29.140625" style="912" customWidth="1"/>
    <col min="14083" max="14083" width="16.42578125" style="912" customWidth="1"/>
    <col min="14084" max="14084" width="27" style="912" customWidth="1"/>
    <col min="14085" max="14085" width="89.28515625" style="912" customWidth="1"/>
    <col min="14086" max="14086" width="21.85546875" style="912" customWidth="1"/>
    <col min="14087" max="14087" width="20.42578125" style="912" customWidth="1"/>
    <col min="14088" max="14088" width="26" style="912" customWidth="1"/>
    <col min="14089" max="14089" width="22.85546875" style="912" customWidth="1"/>
    <col min="14090" max="14090" width="18.7109375" style="912" customWidth="1"/>
    <col min="14091" max="14091" width="14" style="912" customWidth="1"/>
    <col min="14092" max="14092" width="17.7109375" style="912" customWidth="1"/>
    <col min="14093" max="14105" width="9.140625" style="912"/>
    <col min="14106" max="14106" width="19.42578125" style="912" bestFit="1" customWidth="1"/>
    <col min="14107" max="14133" width="9.140625" style="912"/>
    <col min="14134" max="14134" width="29.28515625" style="912" customWidth="1"/>
    <col min="14135" max="14135" width="17.28515625" style="912" customWidth="1"/>
    <col min="14136" max="14136" width="18.7109375" style="912" customWidth="1"/>
    <col min="14137" max="14137" width="9.140625" style="912"/>
    <col min="14138" max="14138" width="18.28515625" style="912" customWidth="1"/>
    <col min="14139" max="14336" width="9.140625" style="912"/>
    <col min="14337" max="14337" width="10.7109375" style="912" customWidth="1"/>
    <col min="14338" max="14338" width="29.140625" style="912" customWidth="1"/>
    <col min="14339" max="14339" width="16.42578125" style="912" customWidth="1"/>
    <col min="14340" max="14340" width="27" style="912" customWidth="1"/>
    <col min="14341" max="14341" width="89.28515625" style="912" customWidth="1"/>
    <col min="14342" max="14342" width="21.85546875" style="912" customWidth="1"/>
    <col min="14343" max="14343" width="20.42578125" style="912" customWidth="1"/>
    <col min="14344" max="14344" width="26" style="912" customWidth="1"/>
    <col min="14345" max="14345" width="22.85546875" style="912" customWidth="1"/>
    <col min="14346" max="14346" width="18.7109375" style="912" customWidth="1"/>
    <col min="14347" max="14347" width="14" style="912" customWidth="1"/>
    <col min="14348" max="14348" width="17.7109375" style="912" customWidth="1"/>
    <col min="14349" max="14361" width="9.140625" style="912"/>
    <col min="14362" max="14362" width="19.42578125" style="912" bestFit="1" customWidth="1"/>
    <col min="14363" max="14389" width="9.140625" style="912"/>
    <col min="14390" max="14390" width="29.28515625" style="912" customWidth="1"/>
    <col min="14391" max="14391" width="17.28515625" style="912" customWidth="1"/>
    <col min="14392" max="14392" width="18.7109375" style="912" customWidth="1"/>
    <col min="14393" max="14393" width="9.140625" style="912"/>
    <col min="14394" max="14394" width="18.28515625" style="912" customWidth="1"/>
    <col min="14395" max="14592" width="9.140625" style="912"/>
    <col min="14593" max="14593" width="10.7109375" style="912" customWidth="1"/>
    <col min="14594" max="14594" width="29.140625" style="912" customWidth="1"/>
    <col min="14595" max="14595" width="16.42578125" style="912" customWidth="1"/>
    <col min="14596" max="14596" width="27" style="912" customWidth="1"/>
    <col min="14597" max="14597" width="89.28515625" style="912" customWidth="1"/>
    <col min="14598" max="14598" width="21.85546875" style="912" customWidth="1"/>
    <col min="14599" max="14599" width="20.42578125" style="912" customWidth="1"/>
    <col min="14600" max="14600" width="26" style="912" customWidth="1"/>
    <col min="14601" max="14601" width="22.85546875" style="912" customWidth="1"/>
    <col min="14602" max="14602" width="18.7109375" style="912" customWidth="1"/>
    <col min="14603" max="14603" width="14" style="912" customWidth="1"/>
    <col min="14604" max="14604" width="17.7109375" style="912" customWidth="1"/>
    <col min="14605" max="14617" width="9.140625" style="912"/>
    <col min="14618" max="14618" width="19.42578125" style="912" bestFit="1" customWidth="1"/>
    <col min="14619" max="14645" width="9.140625" style="912"/>
    <col min="14646" max="14646" width="29.28515625" style="912" customWidth="1"/>
    <col min="14647" max="14647" width="17.28515625" style="912" customWidth="1"/>
    <col min="14648" max="14648" width="18.7109375" style="912" customWidth="1"/>
    <col min="14649" max="14649" width="9.140625" style="912"/>
    <col min="14650" max="14650" width="18.28515625" style="912" customWidth="1"/>
    <col min="14651" max="14848" width="9.140625" style="912"/>
    <col min="14849" max="14849" width="10.7109375" style="912" customWidth="1"/>
    <col min="14850" max="14850" width="29.140625" style="912" customWidth="1"/>
    <col min="14851" max="14851" width="16.42578125" style="912" customWidth="1"/>
    <col min="14852" max="14852" width="27" style="912" customWidth="1"/>
    <col min="14853" max="14853" width="89.28515625" style="912" customWidth="1"/>
    <col min="14854" max="14854" width="21.85546875" style="912" customWidth="1"/>
    <col min="14855" max="14855" width="20.42578125" style="912" customWidth="1"/>
    <col min="14856" max="14856" width="26" style="912" customWidth="1"/>
    <col min="14857" max="14857" width="22.85546875" style="912" customWidth="1"/>
    <col min="14858" max="14858" width="18.7109375" style="912" customWidth="1"/>
    <col min="14859" max="14859" width="14" style="912" customWidth="1"/>
    <col min="14860" max="14860" width="17.7109375" style="912" customWidth="1"/>
    <col min="14861" max="14873" width="9.140625" style="912"/>
    <col min="14874" max="14874" width="19.42578125" style="912" bestFit="1" customWidth="1"/>
    <col min="14875" max="14901" width="9.140625" style="912"/>
    <col min="14902" max="14902" width="29.28515625" style="912" customWidth="1"/>
    <col min="14903" max="14903" width="17.28515625" style="912" customWidth="1"/>
    <col min="14904" max="14904" width="18.7109375" style="912" customWidth="1"/>
    <col min="14905" max="14905" width="9.140625" style="912"/>
    <col min="14906" max="14906" width="18.28515625" style="912" customWidth="1"/>
    <col min="14907" max="15104" width="9.140625" style="912"/>
    <col min="15105" max="15105" width="10.7109375" style="912" customWidth="1"/>
    <col min="15106" max="15106" width="29.140625" style="912" customWidth="1"/>
    <col min="15107" max="15107" width="16.42578125" style="912" customWidth="1"/>
    <col min="15108" max="15108" width="27" style="912" customWidth="1"/>
    <col min="15109" max="15109" width="89.28515625" style="912" customWidth="1"/>
    <col min="15110" max="15110" width="21.85546875" style="912" customWidth="1"/>
    <col min="15111" max="15111" width="20.42578125" style="912" customWidth="1"/>
    <col min="15112" max="15112" width="26" style="912" customWidth="1"/>
    <col min="15113" max="15113" width="22.85546875" style="912" customWidth="1"/>
    <col min="15114" max="15114" width="18.7109375" style="912" customWidth="1"/>
    <col min="15115" max="15115" width="14" style="912" customWidth="1"/>
    <col min="15116" max="15116" width="17.7109375" style="912" customWidth="1"/>
    <col min="15117" max="15129" width="9.140625" style="912"/>
    <col min="15130" max="15130" width="19.42578125" style="912" bestFit="1" customWidth="1"/>
    <col min="15131" max="15157" width="9.140625" style="912"/>
    <col min="15158" max="15158" width="29.28515625" style="912" customWidth="1"/>
    <col min="15159" max="15159" width="17.28515625" style="912" customWidth="1"/>
    <col min="15160" max="15160" width="18.7109375" style="912" customWidth="1"/>
    <col min="15161" max="15161" width="9.140625" style="912"/>
    <col min="15162" max="15162" width="18.28515625" style="912" customWidth="1"/>
    <col min="15163" max="15360" width="9.140625" style="912"/>
    <col min="15361" max="15361" width="10.7109375" style="912" customWidth="1"/>
    <col min="15362" max="15362" width="29.140625" style="912" customWidth="1"/>
    <col min="15363" max="15363" width="16.42578125" style="912" customWidth="1"/>
    <col min="15364" max="15364" width="27" style="912" customWidth="1"/>
    <col min="15365" max="15365" width="89.28515625" style="912" customWidth="1"/>
    <col min="15366" max="15366" width="21.85546875" style="912" customWidth="1"/>
    <col min="15367" max="15367" width="20.42578125" style="912" customWidth="1"/>
    <col min="15368" max="15368" width="26" style="912" customWidth="1"/>
    <col min="15369" max="15369" width="22.85546875" style="912" customWidth="1"/>
    <col min="15370" max="15370" width="18.7109375" style="912" customWidth="1"/>
    <col min="15371" max="15371" width="14" style="912" customWidth="1"/>
    <col min="15372" max="15372" width="17.7109375" style="912" customWidth="1"/>
    <col min="15373" max="15385" width="9.140625" style="912"/>
    <col min="15386" max="15386" width="19.42578125" style="912" bestFit="1" customWidth="1"/>
    <col min="15387" max="15413" width="9.140625" style="912"/>
    <col min="15414" max="15414" width="29.28515625" style="912" customWidth="1"/>
    <col min="15415" max="15415" width="17.28515625" style="912" customWidth="1"/>
    <col min="15416" max="15416" width="18.7109375" style="912" customWidth="1"/>
    <col min="15417" max="15417" width="9.140625" style="912"/>
    <col min="15418" max="15418" width="18.28515625" style="912" customWidth="1"/>
    <col min="15419" max="15616" width="9.140625" style="912"/>
    <col min="15617" max="15617" width="10.7109375" style="912" customWidth="1"/>
    <col min="15618" max="15618" width="29.140625" style="912" customWidth="1"/>
    <col min="15619" max="15619" width="16.42578125" style="912" customWidth="1"/>
    <col min="15620" max="15620" width="27" style="912" customWidth="1"/>
    <col min="15621" max="15621" width="89.28515625" style="912" customWidth="1"/>
    <col min="15622" max="15622" width="21.85546875" style="912" customWidth="1"/>
    <col min="15623" max="15623" width="20.42578125" style="912" customWidth="1"/>
    <col min="15624" max="15624" width="26" style="912" customWidth="1"/>
    <col min="15625" max="15625" width="22.85546875" style="912" customWidth="1"/>
    <col min="15626" max="15626" width="18.7109375" style="912" customWidth="1"/>
    <col min="15627" max="15627" width="14" style="912" customWidth="1"/>
    <col min="15628" max="15628" width="17.7109375" style="912" customWidth="1"/>
    <col min="15629" max="15641" width="9.140625" style="912"/>
    <col min="15642" max="15642" width="19.42578125" style="912" bestFit="1" customWidth="1"/>
    <col min="15643" max="15669" width="9.140625" style="912"/>
    <col min="15670" max="15670" width="29.28515625" style="912" customWidth="1"/>
    <col min="15671" max="15671" width="17.28515625" style="912" customWidth="1"/>
    <col min="15672" max="15672" width="18.7109375" style="912" customWidth="1"/>
    <col min="15673" max="15673" width="9.140625" style="912"/>
    <col min="15674" max="15674" width="18.28515625" style="912" customWidth="1"/>
    <col min="15675" max="15872" width="9.140625" style="912"/>
    <col min="15873" max="15873" width="10.7109375" style="912" customWidth="1"/>
    <col min="15874" max="15874" width="29.140625" style="912" customWidth="1"/>
    <col min="15875" max="15875" width="16.42578125" style="912" customWidth="1"/>
    <col min="15876" max="15876" width="27" style="912" customWidth="1"/>
    <col min="15877" max="15877" width="89.28515625" style="912" customWidth="1"/>
    <col min="15878" max="15878" width="21.85546875" style="912" customWidth="1"/>
    <col min="15879" max="15879" width="20.42578125" style="912" customWidth="1"/>
    <col min="15880" max="15880" width="26" style="912" customWidth="1"/>
    <col min="15881" max="15881" width="22.85546875" style="912" customWidth="1"/>
    <col min="15882" max="15882" width="18.7109375" style="912" customWidth="1"/>
    <col min="15883" max="15883" width="14" style="912" customWidth="1"/>
    <col min="15884" max="15884" width="17.7109375" style="912" customWidth="1"/>
    <col min="15885" max="15897" width="9.140625" style="912"/>
    <col min="15898" max="15898" width="19.42578125" style="912" bestFit="1" customWidth="1"/>
    <col min="15899" max="15925" width="9.140625" style="912"/>
    <col min="15926" max="15926" width="29.28515625" style="912" customWidth="1"/>
    <col min="15927" max="15927" width="17.28515625" style="912" customWidth="1"/>
    <col min="15928" max="15928" width="18.7109375" style="912" customWidth="1"/>
    <col min="15929" max="15929" width="9.140625" style="912"/>
    <col min="15930" max="15930" width="18.28515625" style="912" customWidth="1"/>
    <col min="15931" max="16128" width="9.140625" style="912"/>
    <col min="16129" max="16129" width="10.7109375" style="912" customWidth="1"/>
    <col min="16130" max="16130" width="29.140625" style="912" customWidth="1"/>
    <col min="16131" max="16131" width="16.42578125" style="912" customWidth="1"/>
    <col min="16132" max="16132" width="27" style="912" customWidth="1"/>
    <col min="16133" max="16133" width="89.28515625" style="912" customWidth="1"/>
    <col min="16134" max="16134" width="21.85546875" style="912" customWidth="1"/>
    <col min="16135" max="16135" width="20.42578125" style="912" customWidth="1"/>
    <col min="16136" max="16136" width="26" style="912" customWidth="1"/>
    <col min="16137" max="16137" width="22.85546875" style="912" customWidth="1"/>
    <col min="16138" max="16138" width="18.7109375" style="912" customWidth="1"/>
    <col min="16139" max="16139" width="14" style="912" customWidth="1"/>
    <col min="16140" max="16140" width="17.7109375" style="912" customWidth="1"/>
    <col min="16141" max="16153" width="9.140625" style="912"/>
    <col min="16154" max="16154" width="19.42578125" style="912" bestFit="1" customWidth="1"/>
    <col min="16155" max="16181" width="9.140625" style="912"/>
    <col min="16182" max="16182" width="29.28515625" style="912" customWidth="1"/>
    <col min="16183" max="16183" width="17.28515625" style="912" customWidth="1"/>
    <col min="16184" max="16184" width="18.7109375" style="912" customWidth="1"/>
    <col min="16185" max="16185" width="9.140625" style="912"/>
    <col min="16186" max="16186" width="18.28515625" style="912" customWidth="1"/>
    <col min="16187" max="16384" width="9.140625" style="912"/>
  </cols>
  <sheetData>
    <row r="1" spans="1:54" s="910" customFormat="1" ht="24.75" customHeight="1">
      <c r="A1" s="1946"/>
      <c r="B1" s="1946"/>
      <c r="C1" s="1946"/>
      <c r="D1" s="1946"/>
      <c r="E1" s="1946"/>
      <c r="F1" s="1946"/>
      <c r="G1" s="1180" t="s">
        <v>123</v>
      </c>
      <c r="H1" s="1180" t="s">
        <v>124</v>
      </c>
      <c r="I1" s="1181"/>
      <c r="Z1" s="1182"/>
      <c r="BB1" s="1182"/>
    </row>
    <row r="2" spans="1:54" s="910" customFormat="1" ht="24" customHeight="1">
      <c r="A2" s="1946" t="s">
        <v>2025</v>
      </c>
      <c r="B2" s="1946"/>
      <c r="C2" s="1946"/>
      <c r="D2" s="1946"/>
      <c r="E2" s="1946"/>
      <c r="F2" s="1946"/>
      <c r="G2" s="1183"/>
      <c r="H2" s="1184"/>
      <c r="I2" s="1181"/>
      <c r="Z2" s="1182"/>
      <c r="BB2" s="1182"/>
    </row>
    <row r="3" spans="1:54" s="910" customFormat="1" ht="24" customHeight="1" thickBot="1">
      <c r="A3" s="1940" t="s">
        <v>1811</v>
      </c>
      <c r="B3" s="1940"/>
      <c r="C3" s="1940"/>
      <c r="D3" s="1940"/>
      <c r="E3" s="1185"/>
      <c r="F3" s="1186"/>
      <c r="G3" s="1183"/>
      <c r="H3" s="1183"/>
      <c r="I3" s="1181"/>
      <c r="Z3" s="1182"/>
      <c r="BB3" s="1182"/>
    </row>
    <row r="4" spans="1:54" s="911" customFormat="1" ht="34.5" customHeight="1" thickBot="1">
      <c r="A4" s="1187" t="s">
        <v>129</v>
      </c>
      <c r="B4" s="1187" t="s">
        <v>261</v>
      </c>
      <c r="C4" s="1188" t="s">
        <v>262</v>
      </c>
      <c r="D4" s="1188" t="s">
        <v>263</v>
      </c>
      <c r="E4" s="1187" t="s">
        <v>133</v>
      </c>
      <c r="F4" s="1189" t="s">
        <v>264</v>
      </c>
      <c r="G4" s="1190" t="s">
        <v>134</v>
      </c>
      <c r="H4" s="1189" t="s">
        <v>135</v>
      </c>
      <c r="I4" s="1191" t="s">
        <v>1812</v>
      </c>
      <c r="Z4" s="1192"/>
      <c r="BB4" s="1192"/>
    </row>
    <row r="5" spans="1:54" ht="21.75" customHeight="1">
      <c r="A5" s="1285" t="s">
        <v>266</v>
      </c>
      <c r="B5" s="1286"/>
      <c r="C5" s="1286"/>
      <c r="D5" s="1286"/>
      <c r="E5" s="1287"/>
      <c r="F5" s="1288"/>
      <c r="G5" s="1289"/>
      <c r="H5" s="1290"/>
      <c r="I5" s="1290"/>
    </row>
    <row r="6" spans="1:54" ht="33" hidden="1" customHeight="1" outlineLevel="1">
      <c r="A6" s="1193" t="s">
        <v>1728</v>
      </c>
      <c r="B6" s="1194" t="s">
        <v>1813</v>
      </c>
      <c r="C6" s="1194" t="s">
        <v>1814</v>
      </c>
      <c r="D6" s="1194" t="s">
        <v>1813</v>
      </c>
      <c r="E6" s="1195" t="s">
        <v>1815</v>
      </c>
      <c r="F6" s="1196"/>
      <c r="G6" s="913"/>
      <c r="H6" s="913">
        <v>3078000</v>
      </c>
      <c r="I6" s="1197">
        <f>I5+G6-H6</f>
        <v>-3078000</v>
      </c>
    </row>
    <row r="7" spans="1:54" ht="33" hidden="1" customHeight="1" outlineLevel="1">
      <c r="A7" s="1193" t="s">
        <v>1758</v>
      </c>
      <c r="B7" s="1194" t="s">
        <v>11</v>
      </c>
      <c r="C7" s="1194" t="s">
        <v>1814</v>
      </c>
      <c r="D7" s="1194" t="s">
        <v>11</v>
      </c>
      <c r="E7" s="1195" t="s">
        <v>1816</v>
      </c>
      <c r="F7" s="1196"/>
      <c r="G7" s="913">
        <v>50000000</v>
      </c>
      <c r="H7" s="913"/>
      <c r="I7" s="1197">
        <f t="shared" ref="I7:I25" si="0">I6+G7-H7</f>
        <v>46922000</v>
      </c>
    </row>
    <row r="8" spans="1:54" ht="33" hidden="1" customHeight="1" outlineLevel="1">
      <c r="A8" s="1193" t="s">
        <v>1738</v>
      </c>
      <c r="B8" s="1194" t="s">
        <v>424</v>
      </c>
      <c r="C8" s="1194" t="s">
        <v>1814</v>
      </c>
      <c r="D8" s="1194" t="s">
        <v>424</v>
      </c>
      <c r="E8" s="1195" t="s">
        <v>1817</v>
      </c>
      <c r="F8" s="1196"/>
      <c r="G8" s="913"/>
      <c r="H8" s="913">
        <v>495000</v>
      </c>
      <c r="I8" s="1197">
        <f t="shared" si="0"/>
        <v>46427000</v>
      </c>
    </row>
    <row r="9" spans="1:54" ht="33" hidden="1" customHeight="1" outlineLevel="1">
      <c r="A9" s="1193" t="s">
        <v>1744</v>
      </c>
      <c r="B9" s="1194" t="s">
        <v>424</v>
      </c>
      <c r="C9" s="1194" t="s">
        <v>1814</v>
      </c>
      <c r="D9" s="1194" t="s">
        <v>424</v>
      </c>
      <c r="E9" s="1195" t="s">
        <v>1818</v>
      </c>
      <c r="F9" s="1196"/>
      <c r="G9" s="913"/>
      <c r="H9" s="913">
        <v>370000</v>
      </c>
      <c r="I9" s="1197">
        <f t="shared" si="0"/>
        <v>46057000</v>
      </c>
    </row>
    <row r="10" spans="1:54" ht="33" hidden="1" customHeight="1" outlineLevel="1">
      <c r="A10" s="1193" t="s">
        <v>1758</v>
      </c>
      <c r="B10" s="1194" t="s">
        <v>1819</v>
      </c>
      <c r="C10" s="1194" t="s">
        <v>1814</v>
      </c>
      <c r="D10" s="1194" t="s">
        <v>1819</v>
      </c>
      <c r="E10" s="1195" t="s">
        <v>1820</v>
      </c>
      <c r="F10" s="1196"/>
      <c r="G10" s="913"/>
      <c r="H10" s="913">
        <v>30000000</v>
      </c>
      <c r="I10" s="1197">
        <f t="shared" si="0"/>
        <v>16057000</v>
      </c>
    </row>
    <row r="11" spans="1:54" ht="33" hidden="1" customHeight="1" outlineLevel="1">
      <c r="A11" s="1193" t="s">
        <v>1763</v>
      </c>
      <c r="B11" s="1194" t="s">
        <v>424</v>
      </c>
      <c r="C11" s="1194" t="s">
        <v>1814</v>
      </c>
      <c r="D11" s="1194" t="s">
        <v>424</v>
      </c>
      <c r="E11" s="1195" t="s">
        <v>1821</v>
      </c>
      <c r="F11" s="1196"/>
      <c r="G11" s="913"/>
      <c r="H11" s="913">
        <v>340000</v>
      </c>
      <c r="I11" s="1197">
        <f t="shared" si="0"/>
        <v>15717000</v>
      </c>
    </row>
    <row r="12" spans="1:54" ht="33" hidden="1" customHeight="1" outlineLevel="1">
      <c r="A12" s="1193" t="s">
        <v>1763</v>
      </c>
      <c r="B12" s="1194" t="s">
        <v>424</v>
      </c>
      <c r="C12" s="1194" t="s">
        <v>1814</v>
      </c>
      <c r="D12" s="1194" t="s">
        <v>424</v>
      </c>
      <c r="E12" s="1195" t="s">
        <v>1822</v>
      </c>
      <c r="F12" s="1196"/>
      <c r="G12" s="913"/>
      <c r="H12" s="913">
        <v>4000000</v>
      </c>
      <c r="I12" s="1197">
        <f t="shared" si="0"/>
        <v>11717000</v>
      </c>
    </row>
    <row r="13" spans="1:54" ht="33" hidden="1" customHeight="1" outlineLevel="1">
      <c r="A13" s="1193" t="s">
        <v>1765</v>
      </c>
      <c r="B13" s="1194" t="s">
        <v>11</v>
      </c>
      <c r="C13" s="1194" t="s">
        <v>1814</v>
      </c>
      <c r="D13" s="1194" t="s">
        <v>11</v>
      </c>
      <c r="E13" s="1195" t="s">
        <v>1816</v>
      </c>
      <c r="F13" s="1196"/>
      <c r="G13" s="913">
        <v>38000000</v>
      </c>
      <c r="H13" s="913"/>
      <c r="I13" s="1197">
        <f t="shared" si="0"/>
        <v>49717000</v>
      </c>
    </row>
    <row r="14" spans="1:54" ht="33" hidden="1" customHeight="1" outlineLevel="1">
      <c r="A14" s="1193" t="s">
        <v>1765</v>
      </c>
      <c r="B14" s="1194" t="s">
        <v>424</v>
      </c>
      <c r="C14" s="1194" t="s">
        <v>1814</v>
      </c>
      <c r="D14" s="1194" t="s">
        <v>424</v>
      </c>
      <c r="E14" s="1195" t="s">
        <v>1823</v>
      </c>
      <c r="F14" s="1196"/>
      <c r="G14" s="913"/>
      <c r="H14" s="913">
        <v>4500000</v>
      </c>
      <c r="I14" s="1197">
        <f t="shared" si="0"/>
        <v>45217000</v>
      </c>
    </row>
    <row r="15" spans="1:54" ht="33" hidden="1" customHeight="1" outlineLevel="1">
      <c r="A15" s="1193" t="s">
        <v>1765</v>
      </c>
      <c r="B15" s="1194" t="s">
        <v>424</v>
      </c>
      <c r="C15" s="1194" t="s">
        <v>1814</v>
      </c>
      <c r="D15" s="1194" t="s">
        <v>424</v>
      </c>
      <c r="E15" s="1195" t="s">
        <v>1824</v>
      </c>
      <c r="F15" s="1196"/>
      <c r="G15" s="913"/>
      <c r="H15" s="913">
        <v>4965000</v>
      </c>
      <c r="I15" s="1197">
        <f t="shared" si="0"/>
        <v>40252000</v>
      </c>
    </row>
    <row r="16" spans="1:54" ht="33" hidden="1" customHeight="1" outlineLevel="1">
      <c r="A16" s="1193" t="s">
        <v>1825</v>
      </c>
      <c r="B16" s="1194" t="s">
        <v>1826</v>
      </c>
      <c r="C16" s="1194" t="s">
        <v>1814</v>
      </c>
      <c r="D16" s="1194" t="s">
        <v>1826</v>
      </c>
      <c r="E16" s="1195" t="s">
        <v>1827</v>
      </c>
      <c r="F16" s="1196"/>
      <c r="G16" s="913"/>
      <c r="H16" s="913">
        <v>1400000</v>
      </c>
      <c r="I16" s="1197">
        <f t="shared" si="0"/>
        <v>38852000</v>
      </c>
    </row>
    <row r="17" spans="1:56" ht="33" hidden="1" customHeight="1" outlineLevel="1">
      <c r="A17" s="1193" t="s">
        <v>1828</v>
      </c>
      <c r="B17" s="1194" t="s">
        <v>424</v>
      </c>
      <c r="C17" s="1194" t="s">
        <v>1814</v>
      </c>
      <c r="D17" s="1194" t="s">
        <v>424</v>
      </c>
      <c r="E17" s="1195" t="s">
        <v>1829</v>
      </c>
      <c r="F17" s="1196"/>
      <c r="G17" s="913"/>
      <c r="H17" s="913">
        <v>310000</v>
      </c>
      <c r="I17" s="1197">
        <f t="shared" si="0"/>
        <v>38542000</v>
      </c>
    </row>
    <row r="18" spans="1:56" ht="33" hidden="1" customHeight="1" outlineLevel="1">
      <c r="A18" s="1193" t="s">
        <v>1828</v>
      </c>
      <c r="B18" s="1194" t="s">
        <v>424</v>
      </c>
      <c r="C18" s="1194" t="s">
        <v>1814</v>
      </c>
      <c r="D18" s="1194" t="s">
        <v>424</v>
      </c>
      <c r="E18" s="1195" t="s">
        <v>1830</v>
      </c>
      <c r="F18" s="1196"/>
      <c r="G18" s="913"/>
      <c r="H18" s="913">
        <v>50000</v>
      </c>
      <c r="I18" s="1197">
        <f t="shared" si="0"/>
        <v>38492000</v>
      </c>
    </row>
    <row r="19" spans="1:56" ht="33" hidden="1" customHeight="1" outlineLevel="1">
      <c r="A19" s="1193" t="s">
        <v>1778</v>
      </c>
      <c r="B19" s="1194" t="s">
        <v>424</v>
      </c>
      <c r="C19" s="1194" t="s">
        <v>1814</v>
      </c>
      <c r="D19" s="1194" t="s">
        <v>424</v>
      </c>
      <c r="E19" s="1195" t="s">
        <v>509</v>
      </c>
      <c r="F19" s="1196"/>
      <c r="G19" s="913"/>
      <c r="H19" s="913">
        <v>114000</v>
      </c>
      <c r="I19" s="1197">
        <f t="shared" si="0"/>
        <v>38378000</v>
      </c>
    </row>
    <row r="20" spans="1:56" ht="33" hidden="1" customHeight="1" outlineLevel="1">
      <c r="A20" s="1193" t="s">
        <v>1831</v>
      </c>
      <c r="B20" s="1194" t="s">
        <v>424</v>
      </c>
      <c r="C20" s="1194" t="s">
        <v>1814</v>
      </c>
      <c r="D20" s="1194" t="s">
        <v>424</v>
      </c>
      <c r="E20" s="1195" t="s">
        <v>1832</v>
      </c>
      <c r="F20" s="1196"/>
      <c r="G20" s="913"/>
      <c r="H20" s="913">
        <v>225000</v>
      </c>
      <c r="I20" s="1197">
        <f t="shared" si="0"/>
        <v>38153000</v>
      </c>
      <c r="J20" s="914"/>
    </row>
    <row r="21" spans="1:56" ht="33" hidden="1" customHeight="1" outlineLevel="1">
      <c r="A21" s="1193" t="s">
        <v>1831</v>
      </c>
      <c r="B21" s="1194" t="s">
        <v>418</v>
      </c>
      <c r="C21" s="1194" t="s">
        <v>1814</v>
      </c>
      <c r="D21" s="1194" t="s">
        <v>418</v>
      </c>
      <c r="E21" s="1195" t="s">
        <v>1833</v>
      </c>
      <c r="F21" s="1196"/>
      <c r="G21" s="913"/>
      <c r="H21" s="913">
        <v>1260000</v>
      </c>
      <c r="I21" s="1197">
        <f t="shared" si="0"/>
        <v>36893000</v>
      </c>
      <c r="J21" s="914"/>
    </row>
    <row r="22" spans="1:56" ht="33" hidden="1" customHeight="1" outlineLevel="1">
      <c r="A22" s="1193" t="s">
        <v>1788</v>
      </c>
      <c r="B22" s="1194" t="s">
        <v>1826</v>
      </c>
      <c r="C22" s="1194" t="s">
        <v>1814</v>
      </c>
      <c r="D22" s="1198" t="s">
        <v>1826</v>
      </c>
      <c r="E22" s="1195" t="s">
        <v>1834</v>
      </c>
      <c r="F22" s="1196"/>
      <c r="G22" s="913"/>
      <c r="H22" s="913">
        <v>100000</v>
      </c>
      <c r="I22" s="1197">
        <f t="shared" si="0"/>
        <v>36793000</v>
      </c>
    </row>
    <row r="23" spans="1:56" ht="33" hidden="1" customHeight="1" outlineLevel="1">
      <c r="A23" s="1193" t="s">
        <v>1835</v>
      </c>
      <c r="B23" s="1194" t="s">
        <v>424</v>
      </c>
      <c r="C23" s="1194" t="s">
        <v>1814</v>
      </c>
      <c r="D23" s="1194" t="s">
        <v>424</v>
      </c>
      <c r="E23" s="1195" t="s">
        <v>1836</v>
      </c>
      <c r="F23" s="1196"/>
      <c r="G23" s="913"/>
      <c r="H23" s="913">
        <v>450000</v>
      </c>
      <c r="I23" s="1197">
        <f t="shared" si="0"/>
        <v>36343000</v>
      </c>
      <c r="J23" s="914"/>
    </row>
    <row r="24" spans="1:56" s="940" customFormat="1" ht="33" hidden="1" customHeight="1" outlineLevel="1">
      <c r="A24" s="950" t="s">
        <v>1805</v>
      </c>
      <c r="B24" s="935" t="s">
        <v>424</v>
      </c>
      <c r="C24" s="935" t="s">
        <v>1814</v>
      </c>
      <c r="D24" s="935" t="s">
        <v>424</v>
      </c>
      <c r="E24" s="941" t="str">
        <f>E10</f>
        <v>Payment money for meals ( SHIN CHANG WOO , KIM YUN SOO , LIM WAN SOO)</v>
      </c>
      <c r="F24" s="938"/>
      <c r="G24" s="913"/>
      <c r="H24" s="913">
        <v>30000000</v>
      </c>
      <c r="I24" s="939">
        <f t="shared" si="0"/>
        <v>6343000</v>
      </c>
      <c r="Z24" s="951"/>
      <c r="BB24" s="951"/>
    </row>
    <row r="25" spans="1:56" s="940" customFormat="1" ht="33" hidden="1" customHeight="1" outlineLevel="1">
      <c r="A25" s="950" t="s">
        <v>1805</v>
      </c>
      <c r="B25" s="935" t="s">
        <v>424</v>
      </c>
      <c r="C25" s="935" t="s">
        <v>1814</v>
      </c>
      <c r="D25" s="935" t="s">
        <v>424</v>
      </c>
      <c r="E25" s="941" t="s">
        <v>1844</v>
      </c>
      <c r="F25" s="938"/>
      <c r="G25" s="913"/>
      <c r="H25" s="913">
        <v>190000</v>
      </c>
      <c r="I25" s="939">
        <f t="shared" si="0"/>
        <v>6153000</v>
      </c>
      <c r="Z25" s="951"/>
      <c r="BB25" s="951"/>
    </row>
    <row r="26" spans="1:56" ht="19.5" customHeight="1" collapsed="1">
      <c r="A26" s="1947" t="s">
        <v>1601</v>
      </c>
      <c r="B26" s="1948"/>
      <c r="C26" s="1948"/>
      <c r="D26" s="1948"/>
      <c r="E26" s="1295" t="s">
        <v>1602</v>
      </c>
      <c r="F26" s="1291"/>
      <c r="G26" s="1292">
        <f>SUBTOTAL(9,G5:G25)</f>
        <v>88000000</v>
      </c>
      <c r="H26" s="1293">
        <f>SUM(H6:H25)</f>
        <v>81847000</v>
      </c>
      <c r="I26" s="1294"/>
    </row>
    <row r="27" spans="1:56" ht="19.5" customHeight="1" thickBot="1">
      <c r="A27" s="1949" t="s">
        <v>266</v>
      </c>
      <c r="B27" s="1950"/>
      <c r="C27" s="1950"/>
      <c r="D27" s="1950"/>
      <c r="E27" s="1296"/>
      <c r="F27" s="1297"/>
      <c r="G27" s="1298">
        <f>G26-H26</f>
        <v>6153000</v>
      </c>
      <c r="H27" s="1299"/>
      <c r="I27" s="1300"/>
      <c r="BD27" s="951"/>
    </row>
    <row r="28" spans="1:56" s="940" customFormat="1" ht="19.5" hidden="1" customHeight="1" outlineLevel="1">
      <c r="A28" s="950" t="s">
        <v>1837</v>
      </c>
      <c r="B28" s="935" t="s">
        <v>424</v>
      </c>
      <c r="C28" s="935" t="s">
        <v>1838</v>
      </c>
      <c r="D28" s="935" t="s">
        <v>283</v>
      </c>
      <c r="E28" s="941" t="s">
        <v>1839</v>
      </c>
      <c r="F28" s="938"/>
      <c r="G28" s="913"/>
      <c r="H28" s="913">
        <v>400000</v>
      </c>
      <c r="I28" s="939">
        <f>I27+G27-H28</f>
        <v>5753000</v>
      </c>
      <c r="Z28" s="951"/>
      <c r="BB28" s="951"/>
    </row>
    <row r="29" spans="1:56" s="940" customFormat="1" ht="19.5" hidden="1" customHeight="1" outlineLevel="1">
      <c r="A29" s="950" t="s">
        <v>1837</v>
      </c>
      <c r="B29" s="935" t="s">
        <v>1840</v>
      </c>
      <c r="C29" s="935" t="s">
        <v>1838</v>
      </c>
      <c r="D29" s="935" t="s">
        <v>1840</v>
      </c>
      <c r="E29" s="941" t="s">
        <v>1841</v>
      </c>
      <c r="F29" s="938"/>
      <c r="G29" s="913"/>
      <c r="H29" s="913">
        <v>1340000</v>
      </c>
      <c r="I29" s="939">
        <f>I28+G28-H29</f>
        <v>4413000</v>
      </c>
      <c r="Z29" s="951"/>
      <c r="BB29" s="951"/>
    </row>
    <row r="30" spans="1:56" s="940" customFormat="1" ht="19.5" hidden="1" customHeight="1" outlineLevel="1">
      <c r="A30" s="950" t="s">
        <v>1842</v>
      </c>
      <c r="B30" s="935" t="s">
        <v>424</v>
      </c>
      <c r="C30" s="935" t="s">
        <v>1838</v>
      </c>
      <c r="D30" s="935" t="s">
        <v>283</v>
      </c>
      <c r="E30" s="941" t="s">
        <v>1843</v>
      </c>
      <c r="F30" s="938"/>
      <c r="G30" s="913"/>
      <c r="H30" s="913">
        <v>4000000</v>
      </c>
      <c r="I30" s="939">
        <f>I29+G29-H30</f>
        <v>413000</v>
      </c>
      <c r="Z30" s="951"/>
      <c r="BB30" s="951"/>
    </row>
    <row r="31" spans="1:56" s="940" customFormat="1" ht="19.5" hidden="1" customHeight="1" outlineLevel="1">
      <c r="A31" s="950" t="s">
        <v>1963</v>
      </c>
      <c r="B31" s="935" t="s">
        <v>424</v>
      </c>
      <c r="C31" s="935" t="s">
        <v>1838</v>
      </c>
      <c r="D31" s="935" t="s">
        <v>283</v>
      </c>
      <c r="E31" s="941" t="s">
        <v>1964</v>
      </c>
      <c r="F31" s="938"/>
      <c r="G31" s="913"/>
      <c r="H31" s="913">
        <v>450000</v>
      </c>
      <c r="I31" s="939">
        <f t="shared" ref="I31:I42" si="1">I30+G30-H31</f>
        <v>-37000</v>
      </c>
      <c r="Z31" s="951"/>
      <c r="BB31" s="951"/>
    </row>
    <row r="32" spans="1:56" s="940" customFormat="1" ht="19.5" hidden="1" customHeight="1" outlineLevel="1">
      <c r="A32" s="950" t="s">
        <v>1963</v>
      </c>
      <c r="B32" s="935" t="s">
        <v>424</v>
      </c>
      <c r="C32" s="935" t="s">
        <v>1838</v>
      </c>
      <c r="D32" s="935" t="s">
        <v>283</v>
      </c>
      <c r="E32" s="941" t="s">
        <v>1965</v>
      </c>
      <c r="F32" s="938"/>
      <c r="G32" s="913"/>
      <c r="H32" s="913">
        <v>380000</v>
      </c>
      <c r="I32" s="939">
        <f t="shared" si="1"/>
        <v>-417000</v>
      </c>
      <c r="Z32" s="951"/>
      <c r="BB32" s="951"/>
    </row>
    <row r="33" spans="1:54" s="940" customFormat="1" ht="19.5" hidden="1" customHeight="1" outlineLevel="1">
      <c r="A33" s="950" t="s">
        <v>1963</v>
      </c>
      <c r="B33" s="935" t="s">
        <v>424</v>
      </c>
      <c r="C33" s="935" t="s">
        <v>1838</v>
      </c>
      <c r="D33" s="935" t="s">
        <v>283</v>
      </c>
      <c r="E33" s="941" t="s">
        <v>509</v>
      </c>
      <c r="F33" s="938"/>
      <c r="G33" s="913"/>
      <c r="H33" s="913">
        <v>214000</v>
      </c>
      <c r="I33" s="939">
        <f t="shared" si="1"/>
        <v>-631000</v>
      </c>
      <c r="Z33" s="951"/>
      <c r="BB33" s="951"/>
    </row>
    <row r="34" spans="1:54" s="940" customFormat="1" hidden="1" outlineLevel="1">
      <c r="A34" s="950" t="s">
        <v>1963</v>
      </c>
      <c r="B34" s="935" t="s">
        <v>424</v>
      </c>
      <c r="C34" s="935" t="s">
        <v>1838</v>
      </c>
      <c r="D34" s="935" t="s">
        <v>283</v>
      </c>
      <c r="E34" s="941" t="s">
        <v>2022</v>
      </c>
      <c r="F34" s="938"/>
      <c r="G34" s="913"/>
      <c r="H34" s="913">
        <v>450000</v>
      </c>
      <c r="I34" s="939">
        <f t="shared" si="1"/>
        <v>-1081000</v>
      </c>
      <c r="Z34" s="951"/>
      <c r="BB34" s="951"/>
    </row>
    <row r="35" spans="1:54" s="940" customFormat="1" hidden="1" outlineLevel="1">
      <c r="A35" s="950" t="s">
        <v>1974</v>
      </c>
      <c r="B35" s="935" t="s">
        <v>11</v>
      </c>
      <c r="C35" s="935" t="s">
        <v>1838</v>
      </c>
      <c r="D35" s="935" t="s">
        <v>11</v>
      </c>
      <c r="E35" s="941" t="s">
        <v>1816</v>
      </c>
      <c r="F35" s="938"/>
      <c r="G35" s="913">
        <v>40000000</v>
      </c>
      <c r="H35" s="913"/>
      <c r="I35" s="939">
        <f>I33+G33-H35</f>
        <v>-631000</v>
      </c>
      <c r="Z35" s="951"/>
      <c r="BB35" s="951"/>
    </row>
    <row r="36" spans="1:54" s="940" customFormat="1" hidden="1" outlineLevel="1">
      <c r="A36" s="950" t="s">
        <v>1974</v>
      </c>
      <c r="B36" s="935" t="s">
        <v>424</v>
      </c>
      <c r="C36" s="935" t="s">
        <v>1838</v>
      </c>
      <c r="D36" s="935" t="s">
        <v>283</v>
      </c>
      <c r="E36" s="941" t="s">
        <v>2017</v>
      </c>
      <c r="F36" s="938"/>
      <c r="G36" s="913"/>
      <c r="H36" s="913">
        <v>3000000</v>
      </c>
      <c r="I36" s="939">
        <f t="shared" si="1"/>
        <v>36369000</v>
      </c>
      <c r="Z36" s="951"/>
      <c r="BB36" s="951"/>
    </row>
    <row r="37" spans="1:54" s="940" customFormat="1" hidden="1" outlineLevel="1">
      <c r="A37" s="950" t="s">
        <v>1974</v>
      </c>
      <c r="B37" s="935" t="s">
        <v>2018</v>
      </c>
      <c r="C37" s="935" t="s">
        <v>1838</v>
      </c>
      <c r="D37" s="935" t="s">
        <v>2018</v>
      </c>
      <c r="E37" s="941" t="s">
        <v>2019</v>
      </c>
      <c r="F37" s="938"/>
      <c r="G37" s="913"/>
      <c r="H37" s="913">
        <v>4000000</v>
      </c>
      <c r="I37" s="939">
        <f t="shared" si="1"/>
        <v>32369000</v>
      </c>
      <c r="Z37" s="951"/>
      <c r="BB37" s="951"/>
    </row>
    <row r="38" spans="1:54" s="940" customFormat="1" hidden="1" outlineLevel="1">
      <c r="A38" s="950" t="s">
        <v>1992</v>
      </c>
      <c r="B38" s="935" t="s">
        <v>2020</v>
      </c>
      <c r="C38" s="935" t="s">
        <v>1838</v>
      </c>
      <c r="D38" s="935" t="s">
        <v>2020</v>
      </c>
      <c r="E38" s="941" t="s">
        <v>2021</v>
      </c>
      <c r="F38" s="938"/>
      <c r="G38" s="913"/>
      <c r="H38" s="913">
        <v>1400000</v>
      </c>
      <c r="I38" s="939">
        <f t="shared" si="1"/>
        <v>30969000</v>
      </c>
      <c r="Z38" s="951"/>
      <c r="BB38" s="951"/>
    </row>
    <row r="39" spans="1:54" s="940" customFormat="1" hidden="1" outlineLevel="1">
      <c r="A39" s="950" t="s">
        <v>1998</v>
      </c>
      <c r="B39" s="935" t="s">
        <v>424</v>
      </c>
      <c r="C39" s="935" t="s">
        <v>1838</v>
      </c>
      <c r="D39" s="935" t="s">
        <v>283</v>
      </c>
      <c r="E39" s="941" t="s">
        <v>2058</v>
      </c>
      <c r="F39" s="938"/>
      <c r="G39" s="913"/>
      <c r="H39" s="913">
        <v>20208760</v>
      </c>
      <c r="I39" s="939">
        <f t="shared" si="1"/>
        <v>10760240</v>
      </c>
      <c r="Z39" s="951"/>
      <c r="BB39" s="951"/>
    </row>
    <row r="40" spans="1:54" s="940" customFormat="1" hidden="1" outlineLevel="1">
      <c r="A40" s="950" t="s">
        <v>1998</v>
      </c>
      <c r="B40" s="935" t="s">
        <v>424</v>
      </c>
      <c r="C40" s="935" t="s">
        <v>1838</v>
      </c>
      <c r="D40" s="935" t="s">
        <v>283</v>
      </c>
      <c r="E40" s="941" t="s">
        <v>1957</v>
      </c>
      <c r="F40" s="938"/>
      <c r="G40" s="913"/>
      <c r="H40" s="913">
        <v>450000</v>
      </c>
      <c r="I40" s="939">
        <f t="shared" si="1"/>
        <v>10310240</v>
      </c>
      <c r="Z40" s="951"/>
      <c r="BB40" s="951"/>
    </row>
    <row r="41" spans="1:54" s="940" customFormat="1" hidden="1" outlineLevel="1">
      <c r="A41" s="950" t="s">
        <v>2001</v>
      </c>
      <c r="B41" s="935" t="s">
        <v>424</v>
      </c>
      <c r="C41" s="935" t="s">
        <v>1838</v>
      </c>
      <c r="D41" s="935" t="s">
        <v>283</v>
      </c>
      <c r="E41" s="941" t="s">
        <v>2059</v>
      </c>
      <c r="F41" s="938"/>
      <c r="G41" s="913"/>
      <c r="H41" s="913">
        <v>575000</v>
      </c>
      <c r="I41" s="939">
        <f t="shared" si="1"/>
        <v>9735240</v>
      </c>
      <c r="Z41" s="951"/>
      <c r="BB41" s="951"/>
    </row>
    <row r="42" spans="1:54" s="940" customFormat="1" hidden="1" outlineLevel="1">
      <c r="A42" s="950" t="s">
        <v>2060</v>
      </c>
      <c r="B42" s="935" t="s">
        <v>424</v>
      </c>
      <c r="C42" s="935" t="s">
        <v>1838</v>
      </c>
      <c r="D42" s="935" t="s">
        <v>283</v>
      </c>
      <c r="E42" s="941" t="s">
        <v>2058</v>
      </c>
      <c r="F42" s="938"/>
      <c r="G42" s="913"/>
      <c r="H42" s="913">
        <v>19492880</v>
      </c>
      <c r="I42" s="939">
        <f t="shared" si="1"/>
        <v>-9757640</v>
      </c>
      <c r="Z42" s="951"/>
      <c r="BB42" s="951"/>
    </row>
    <row r="43" spans="1:54" s="940" customFormat="1" hidden="1" outlineLevel="1">
      <c r="A43" s="1593" t="s">
        <v>2086</v>
      </c>
      <c r="B43" s="1594" t="s">
        <v>418</v>
      </c>
      <c r="C43" s="1594" t="s">
        <v>1838</v>
      </c>
      <c r="D43" s="1594" t="s">
        <v>418</v>
      </c>
      <c r="E43" s="1595" t="s">
        <v>2114</v>
      </c>
      <c r="F43" s="1596" t="s">
        <v>420</v>
      </c>
      <c r="G43" s="1597"/>
      <c r="H43" s="1597">
        <v>572000</v>
      </c>
      <c r="I43" s="1598">
        <v>-10779640</v>
      </c>
      <c r="Z43" s="951"/>
      <c r="BB43" s="951"/>
    </row>
    <row r="44" spans="1:54" s="940" customFormat="1" hidden="1" outlineLevel="1">
      <c r="A44" s="1593" t="s">
        <v>2108</v>
      </c>
      <c r="B44" s="1594" t="s">
        <v>424</v>
      </c>
      <c r="C44" s="1594" t="s">
        <v>1838</v>
      </c>
      <c r="D44" s="1594" t="s">
        <v>283</v>
      </c>
      <c r="E44" s="1595" t="s">
        <v>2115</v>
      </c>
      <c r="F44" s="1596" t="s">
        <v>420</v>
      </c>
      <c r="G44" s="1597"/>
      <c r="H44" s="1597">
        <v>120000</v>
      </c>
      <c r="I44" s="1598">
        <v>-10899640</v>
      </c>
      <c r="Z44" s="951"/>
      <c r="BB44" s="951"/>
    </row>
    <row r="45" spans="1:54" s="940" customFormat="1" hidden="1" outlineLevel="1">
      <c r="A45" s="950" t="s">
        <v>2128</v>
      </c>
      <c r="B45" s="935" t="s">
        <v>11</v>
      </c>
      <c r="C45" s="935" t="s">
        <v>1838</v>
      </c>
      <c r="D45" s="935" t="s">
        <v>11</v>
      </c>
      <c r="E45" s="941" t="s">
        <v>1816</v>
      </c>
      <c r="F45" s="938"/>
      <c r="G45" s="913">
        <v>20000000</v>
      </c>
      <c r="H45" s="913"/>
      <c r="I45" s="939">
        <f>$G$28-$H$28</f>
        <v>-400000</v>
      </c>
      <c r="J45" s="1157"/>
      <c r="Z45" s="951"/>
      <c r="BB45" s="951"/>
    </row>
    <row r="46" spans="1:54" s="940" customFormat="1" hidden="1" outlineLevel="1">
      <c r="A46" s="950" t="s">
        <v>2149</v>
      </c>
      <c r="B46" s="935" t="s">
        <v>1658</v>
      </c>
      <c r="C46" s="935" t="s">
        <v>1838</v>
      </c>
      <c r="D46" s="935" t="s">
        <v>1658</v>
      </c>
      <c r="E46" s="1604" t="s">
        <v>2150</v>
      </c>
      <c r="F46" s="938"/>
      <c r="G46" s="913"/>
      <c r="H46" s="913">
        <v>4380000</v>
      </c>
      <c r="I46" s="939">
        <f t="shared" ref="I46:I49" si="2">I45+G45-H46</f>
        <v>15220000</v>
      </c>
      <c r="Z46" s="951"/>
      <c r="BB46" s="951"/>
    </row>
    <row r="47" spans="1:54" s="940" customFormat="1" hidden="1" outlineLevel="1">
      <c r="A47" s="950" t="s">
        <v>2202</v>
      </c>
      <c r="B47" s="935" t="s">
        <v>11</v>
      </c>
      <c r="C47" s="935" t="s">
        <v>1838</v>
      </c>
      <c r="D47" s="935" t="s">
        <v>11</v>
      </c>
      <c r="E47" s="941" t="s">
        <v>1816</v>
      </c>
      <c r="F47" s="938"/>
      <c r="G47" s="913">
        <v>5000000</v>
      </c>
      <c r="H47" s="913"/>
      <c r="I47" s="939">
        <f t="shared" si="2"/>
        <v>15220000</v>
      </c>
      <c r="J47" s="1157"/>
      <c r="Z47" s="951"/>
      <c r="BB47" s="951"/>
    </row>
    <row r="48" spans="1:54" s="940" customFormat="1" hidden="1" outlineLevel="1">
      <c r="A48" s="950" t="s">
        <v>2202</v>
      </c>
      <c r="B48" s="935" t="s">
        <v>1658</v>
      </c>
      <c r="C48" s="935" t="s">
        <v>1838</v>
      </c>
      <c r="D48" s="935" t="s">
        <v>1658</v>
      </c>
      <c r="E48" s="941" t="s">
        <v>2215</v>
      </c>
      <c r="F48" s="938"/>
      <c r="G48" s="913"/>
      <c r="H48" s="913">
        <v>4000000</v>
      </c>
      <c r="I48" s="939">
        <f t="shared" si="2"/>
        <v>16220000</v>
      </c>
      <c r="Z48" s="951"/>
      <c r="BB48" s="951"/>
    </row>
    <row r="49" spans="1:54" s="940" customFormat="1" ht="18.75" hidden="1" outlineLevel="1" thickBot="1">
      <c r="A49" s="950" t="s">
        <v>2205</v>
      </c>
      <c r="B49" s="935" t="s">
        <v>424</v>
      </c>
      <c r="C49" s="935" t="s">
        <v>1838</v>
      </c>
      <c r="D49" s="935" t="s">
        <v>283</v>
      </c>
      <c r="E49" s="941" t="s">
        <v>1839</v>
      </c>
      <c r="F49" s="938"/>
      <c r="G49" s="913"/>
      <c r="H49" s="913">
        <v>200000</v>
      </c>
      <c r="I49" s="939">
        <f t="shared" si="2"/>
        <v>16020000</v>
      </c>
      <c r="Z49" s="951"/>
      <c r="BB49" s="951"/>
    </row>
    <row r="50" spans="1:54" s="940" customFormat="1" ht="19.5" customHeight="1" collapsed="1">
      <c r="A50" s="1313" t="s">
        <v>1717</v>
      </c>
      <c r="B50" s="1314"/>
      <c r="C50" s="1314"/>
      <c r="D50" s="1314"/>
      <c r="E50" s="1314" t="s">
        <v>1718</v>
      </c>
      <c r="F50" s="1315"/>
      <c r="G50" s="1316">
        <f>SUM(G27:G49)</f>
        <v>71153000</v>
      </c>
      <c r="H50" s="1316">
        <f>SUM(H28:H49)</f>
        <v>65632640</v>
      </c>
      <c r="I50" s="1317"/>
      <c r="Z50" s="951"/>
      <c r="BB50" s="951"/>
    </row>
    <row r="51" spans="1:54" s="940" customFormat="1" ht="19.5" customHeight="1" thickBot="1">
      <c r="A51" s="1781" t="s">
        <v>266</v>
      </c>
      <c r="B51" s="1782"/>
      <c r="C51" s="1782"/>
      <c r="D51" s="1782"/>
      <c r="E51" s="1783"/>
      <c r="F51" s="1784"/>
      <c r="G51" s="1785">
        <f>G50-H50</f>
        <v>5520360</v>
      </c>
      <c r="H51" s="1785"/>
      <c r="I51" s="1786"/>
      <c r="Z51" s="951"/>
      <c r="BB51" s="951"/>
    </row>
    <row r="52" spans="1:54" s="940" customFormat="1" outlineLevel="1">
      <c r="A52" s="950" t="s">
        <v>2216</v>
      </c>
      <c r="B52" s="935" t="s">
        <v>424</v>
      </c>
      <c r="C52" s="935" t="s">
        <v>1814</v>
      </c>
      <c r="D52" s="935" t="s">
        <v>424</v>
      </c>
      <c r="E52" s="941" t="s">
        <v>2217</v>
      </c>
      <c r="F52" s="938"/>
      <c r="G52" s="913"/>
      <c r="H52" s="913">
        <v>220000</v>
      </c>
      <c r="I52" s="939">
        <f>I51+G51-H52</f>
        <v>5300360</v>
      </c>
      <c r="Z52" s="951"/>
      <c r="BB52" s="951"/>
    </row>
    <row r="53" spans="1:54" s="940" customFormat="1" outlineLevel="1">
      <c r="A53" s="950" t="s">
        <v>2218</v>
      </c>
      <c r="B53" s="935" t="s">
        <v>424</v>
      </c>
      <c r="C53" s="935" t="s">
        <v>1814</v>
      </c>
      <c r="D53" s="935" t="s">
        <v>424</v>
      </c>
      <c r="E53" s="941" t="s">
        <v>2219</v>
      </c>
      <c r="F53" s="938"/>
      <c r="G53" s="913"/>
      <c r="H53" s="913">
        <v>3750000</v>
      </c>
      <c r="I53" s="939">
        <f>I52+G52-H53</f>
        <v>1550360</v>
      </c>
      <c r="Z53" s="951"/>
      <c r="BB53" s="951"/>
    </row>
    <row r="54" spans="1:54" s="940" customFormat="1" outlineLevel="1">
      <c r="A54" s="1818" t="s">
        <v>2218</v>
      </c>
      <c r="B54" s="1819" t="s">
        <v>424</v>
      </c>
      <c r="C54" s="1819" t="s">
        <v>1814</v>
      </c>
      <c r="D54" s="1819" t="s">
        <v>424</v>
      </c>
      <c r="E54" s="1817" t="s">
        <v>2231</v>
      </c>
      <c r="F54" s="1815" t="s">
        <v>420</v>
      </c>
      <c r="G54" s="1816"/>
      <c r="H54" s="1816">
        <v>1500000</v>
      </c>
      <c r="I54" s="1814">
        <v>50360</v>
      </c>
      <c r="J54" s="1813"/>
      <c r="K54" s="1813"/>
      <c r="L54" s="1813"/>
      <c r="M54" s="1813"/>
      <c r="N54" s="1813"/>
      <c r="O54" s="1813"/>
      <c r="P54" s="1813"/>
      <c r="Q54" s="1813"/>
      <c r="R54" s="1813"/>
      <c r="S54" s="1813"/>
      <c r="T54" s="1813"/>
      <c r="U54" s="1813"/>
      <c r="V54" s="1813"/>
      <c r="W54" s="1813"/>
      <c r="X54" s="1813"/>
      <c r="Y54" s="1813"/>
      <c r="Z54" s="1813"/>
      <c r="AA54" s="1813"/>
      <c r="AB54" s="1813"/>
      <c r="AC54" s="1813"/>
      <c r="AD54" s="1813"/>
      <c r="AE54" s="1813"/>
      <c r="AF54" s="1813"/>
      <c r="AG54" s="1813"/>
      <c r="AH54" s="1813"/>
      <c r="AI54" s="1813"/>
      <c r="AJ54" s="1813"/>
      <c r="AK54" s="1813"/>
      <c r="AL54" s="1813"/>
      <c r="AM54" s="1813"/>
      <c r="AN54" s="1813"/>
      <c r="AO54" s="1813"/>
      <c r="AP54" s="1813"/>
      <c r="AQ54" s="1813"/>
      <c r="AR54" s="1813"/>
      <c r="AS54" s="1813"/>
      <c r="AT54" s="1813"/>
      <c r="AU54" s="1813"/>
      <c r="AV54" s="1813"/>
      <c r="AW54" s="1813"/>
      <c r="AX54" s="1813"/>
      <c r="AY54" s="1813"/>
      <c r="AZ54" s="1813"/>
      <c r="BA54" s="1813"/>
      <c r="BB54" s="1813"/>
    </row>
    <row r="55" spans="1:54" s="940" customFormat="1" outlineLevel="1">
      <c r="A55" s="1807" t="s">
        <v>2227</v>
      </c>
      <c r="B55" s="1808" t="s">
        <v>424</v>
      </c>
      <c r="C55" s="1808" t="s">
        <v>1814</v>
      </c>
      <c r="D55" s="1808" t="s">
        <v>424</v>
      </c>
      <c r="E55" s="1806" t="s">
        <v>509</v>
      </c>
      <c r="F55" s="1804" t="s">
        <v>420</v>
      </c>
      <c r="G55" s="1805"/>
      <c r="H55" s="1805">
        <v>42000</v>
      </c>
      <c r="I55" s="1803">
        <v>8360</v>
      </c>
      <c r="J55" s="1802"/>
      <c r="K55" s="1802"/>
      <c r="L55" s="1802"/>
      <c r="M55" s="1802"/>
      <c r="N55" s="1802"/>
      <c r="O55" s="1802"/>
      <c r="P55" s="1802"/>
      <c r="Q55" s="1802"/>
      <c r="R55" s="1802"/>
      <c r="S55" s="1802"/>
      <c r="T55" s="1802"/>
      <c r="U55" s="1802"/>
      <c r="V55" s="1802"/>
      <c r="W55" s="1802"/>
      <c r="X55" s="1802"/>
      <c r="Y55" s="1802"/>
      <c r="Z55" s="1802"/>
      <c r="AA55" s="1802"/>
      <c r="AB55" s="1802"/>
      <c r="AC55" s="1802"/>
      <c r="AD55" s="1802"/>
      <c r="AE55" s="1802"/>
      <c r="AF55" s="1802"/>
      <c r="AG55" s="1802"/>
      <c r="AH55" s="1802"/>
      <c r="AI55" s="1802"/>
      <c r="AJ55" s="1802"/>
      <c r="AK55" s="1802"/>
      <c r="AL55" s="1802"/>
      <c r="AM55" s="1802"/>
      <c r="AN55" s="1802"/>
      <c r="AO55" s="1802"/>
      <c r="AP55" s="1802"/>
      <c r="AQ55" s="1802"/>
      <c r="AR55" s="1802"/>
      <c r="AS55" s="1802"/>
      <c r="AT55" s="1802"/>
      <c r="AU55" s="1802"/>
      <c r="AV55" s="1802"/>
      <c r="AW55" s="1802"/>
      <c r="AX55" s="1802"/>
      <c r="AY55" s="1802"/>
      <c r="AZ55" s="1802"/>
      <c r="BA55" s="1802"/>
      <c r="BB55" s="1802"/>
    </row>
    <row r="56" spans="1:54" s="940" customFormat="1" outlineLevel="1">
      <c r="A56" s="1807" t="s">
        <v>2227</v>
      </c>
      <c r="B56" s="1808" t="s">
        <v>11</v>
      </c>
      <c r="C56" s="1808" t="s">
        <v>1814</v>
      </c>
      <c r="D56" s="1808" t="s">
        <v>11</v>
      </c>
      <c r="E56" s="1806" t="s">
        <v>1816</v>
      </c>
      <c r="F56" s="1804"/>
      <c r="G56" s="1805">
        <v>20000000</v>
      </c>
      <c r="H56" s="1805"/>
      <c r="I56" s="1803">
        <v>8360</v>
      </c>
      <c r="J56" s="1802"/>
      <c r="K56" s="1802"/>
      <c r="L56" s="1802"/>
      <c r="M56" s="1802"/>
      <c r="N56" s="1802"/>
      <c r="O56" s="1802"/>
      <c r="P56" s="1802"/>
      <c r="Q56" s="1802"/>
      <c r="R56" s="1802"/>
      <c r="S56" s="1802"/>
      <c r="T56" s="1802"/>
      <c r="U56" s="1802"/>
      <c r="V56" s="1802"/>
      <c r="W56" s="1802"/>
      <c r="X56" s="1802"/>
      <c r="Y56" s="1802"/>
      <c r="Z56" s="1802"/>
      <c r="AA56" s="1802"/>
      <c r="AB56" s="1802"/>
      <c r="AC56" s="1802"/>
      <c r="AD56" s="1802"/>
      <c r="AE56" s="1802"/>
      <c r="AF56" s="1802"/>
      <c r="AG56" s="1802"/>
      <c r="AH56" s="1802"/>
      <c r="AI56" s="1802"/>
      <c r="AJ56" s="1802"/>
      <c r="AK56" s="1802"/>
      <c r="AL56" s="1802"/>
      <c r="AM56" s="1802"/>
      <c r="AN56" s="1802"/>
      <c r="AO56" s="1802"/>
      <c r="AP56" s="1802"/>
      <c r="AQ56" s="1802"/>
      <c r="AR56" s="1802"/>
      <c r="AS56" s="1802"/>
      <c r="AT56" s="1802"/>
      <c r="AU56" s="1802"/>
      <c r="AV56" s="1802"/>
      <c r="AW56" s="1802"/>
      <c r="AX56" s="1802"/>
      <c r="AY56" s="1802"/>
      <c r="AZ56" s="1802"/>
      <c r="BA56" s="1802"/>
      <c r="BB56" s="1802"/>
    </row>
    <row r="57" spans="1:54" s="940" customFormat="1" outlineLevel="1">
      <c r="A57" s="1807" t="s">
        <v>2227</v>
      </c>
      <c r="B57" s="1808" t="s">
        <v>424</v>
      </c>
      <c r="C57" s="1808" t="s">
        <v>1814</v>
      </c>
      <c r="D57" s="1808" t="s">
        <v>424</v>
      </c>
      <c r="E57" s="1806" t="s">
        <v>2228</v>
      </c>
      <c r="F57" s="1804"/>
      <c r="G57" s="1805"/>
      <c r="H57" s="1805">
        <v>13200000</v>
      </c>
      <c r="I57" s="1803">
        <v>6808360</v>
      </c>
      <c r="J57" s="1802"/>
      <c r="K57" s="1802"/>
      <c r="L57" s="1802"/>
      <c r="M57" s="1802"/>
      <c r="N57" s="1802"/>
      <c r="O57" s="1802"/>
      <c r="P57" s="1802"/>
      <c r="Q57" s="1802"/>
      <c r="R57" s="1802"/>
      <c r="S57" s="1802"/>
      <c r="T57" s="1802"/>
      <c r="U57" s="1802"/>
      <c r="V57" s="1802"/>
      <c r="W57" s="1802"/>
      <c r="X57" s="1802"/>
      <c r="Y57" s="1802"/>
      <c r="Z57" s="1802"/>
      <c r="AA57" s="1802"/>
      <c r="AB57" s="1802"/>
      <c r="AC57" s="1802"/>
      <c r="AD57" s="1802"/>
      <c r="AE57" s="1802"/>
      <c r="AF57" s="1802"/>
      <c r="AG57" s="1802"/>
      <c r="AH57" s="1802"/>
      <c r="AI57" s="1802"/>
      <c r="AJ57" s="1802"/>
      <c r="AK57" s="1802"/>
      <c r="AL57" s="1802"/>
      <c r="AM57" s="1802"/>
      <c r="AN57" s="1802"/>
      <c r="AO57" s="1802"/>
      <c r="AP57" s="1802"/>
      <c r="AQ57" s="1802"/>
      <c r="AR57" s="1802"/>
      <c r="AS57" s="1802"/>
      <c r="AT57" s="1802"/>
      <c r="AU57" s="1802"/>
      <c r="AV57" s="1802"/>
      <c r="AW57" s="1802"/>
      <c r="AX57" s="1802"/>
      <c r="AY57" s="1802"/>
      <c r="AZ57" s="1802"/>
      <c r="BA57" s="1802"/>
      <c r="BB57" s="1802"/>
    </row>
    <row r="58" spans="1:54" s="940" customFormat="1" outlineLevel="1">
      <c r="A58" s="1807" t="s">
        <v>2229</v>
      </c>
      <c r="B58" s="1808" t="s">
        <v>424</v>
      </c>
      <c r="C58" s="1808" t="s">
        <v>1814</v>
      </c>
      <c r="D58" s="1808" t="s">
        <v>424</v>
      </c>
      <c r="E58" s="1806" t="s">
        <v>2230</v>
      </c>
      <c r="F58" s="1804"/>
      <c r="G58" s="1805"/>
      <c r="H58" s="1805">
        <v>474000</v>
      </c>
      <c r="I58" s="1803">
        <v>6334360</v>
      </c>
      <c r="J58" s="1802"/>
      <c r="K58" s="1802"/>
      <c r="L58" s="1802"/>
      <c r="M58" s="1802"/>
      <c r="N58" s="1802"/>
      <c r="O58" s="1802"/>
      <c r="P58" s="1802"/>
      <c r="Q58" s="1802"/>
      <c r="R58" s="1802"/>
      <c r="S58" s="1802"/>
      <c r="T58" s="1802"/>
      <c r="U58" s="1802"/>
      <c r="V58" s="1802"/>
      <c r="W58" s="1802"/>
      <c r="X58" s="1802"/>
      <c r="Y58" s="1802"/>
      <c r="Z58" s="1802"/>
      <c r="AA58" s="1802"/>
      <c r="AB58" s="1802"/>
      <c r="AC58" s="1802"/>
      <c r="AD58" s="1802"/>
      <c r="AE58" s="1802"/>
      <c r="AF58" s="1802"/>
      <c r="AG58" s="1802"/>
      <c r="AH58" s="1802"/>
      <c r="AI58" s="1802"/>
      <c r="AJ58" s="1802"/>
      <c r="AK58" s="1802"/>
      <c r="AL58" s="1802"/>
      <c r="AM58" s="1802"/>
      <c r="AN58" s="1802"/>
      <c r="AO58" s="1802"/>
      <c r="AP58" s="1802"/>
      <c r="AQ58" s="1802"/>
      <c r="AR58" s="1802"/>
      <c r="AS58" s="1802"/>
      <c r="AT58" s="1802"/>
      <c r="AU58" s="1802"/>
      <c r="AV58" s="1802"/>
      <c r="AW58" s="1802"/>
      <c r="AX58" s="1802"/>
      <c r="AY58" s="1802"/>
      <c r="AZ58" s="1802"/>
      <c r="BA58" s="1802"/>
      <c r="BB58" s="1802"/>
    </row>
    <row r="59" spans="1:54" s="940" customFormat="1" outlineLevel="1">
      <c r="A59" s="1880" t="s">
        <v>2266</v>
      </c>
      <c r="B59" s="1881" t="s">
        <v>11</v>
      </c>
      <c r="C59" s="1881" t="s">
        <v>1814</v>
      </c>
      <c r="D59" s="1881" t="s">
        <v>11</v>
      </c>
      <c r="E59" s="1879" t="s">
        <v>1816</v>
      </c>
      <c r="F59" s="1877"/>
      <c r="G59" s="1878">
        <v>1980000</v>
      </c>
      <c r="H59" s="1878"/>
      <c r="I59" s="1876">
        <v>8314360</v>
      </c>
      <c r="J59" s="1875"/>
      <c r="K59" s="1875"/>
      <c r="L59" s="1875"/>
      <c r="M59" s="1875"/>
      <c r="N59" s="1875"/>
      <c r="O59" s="1875"/>
      <c r="P59" s="1875"/>
      <c r="Q59" s="1875"/>
      <c r="R59" s="1875"/>
      <c r="S59" s="1875"/>
      <c r="T59" s="1875"/>
      <c r="U59" s="1875"/>
      <c r="V59" s="1875"/>
      <c r="W59" s="1875"/>
      <c r="X59" s="1875"/>
      <c r="Y59" s="1875"/>
      <c r="Z59" s="1875"/>
      <c r="AA59" s="1875"/>
      <c r="AB59" s="1875"/>
      <c r="AC59" s="1875"/>
      <c r="AD59" s="1875"/>
      <c r="AE59" s="1875"/>
      <c r="AF59" s="1875"/>
      <c r="AG59" s="1875"/>
      <c r="AH59" s="1875"/>
      <c r="AI59" s="1875"/>
      <c r="AJ59" s="1875"/>
      <c r="AK59" s="1875"/>
      <c r="AL59" s="1875"/>
      <c r="AM59" s="1875"/>
      <c r="AN59" s="1875"/>
      <c r="AO59" s="1875"/>
      <c r="AP59" s="1875"/>
      <c r="AQ59" s="1875"/>
      <c r="AR59" s="1875"/>
      <c r="AS59" s="1875"/>
      <c r="AT59" s="1875"/>
      <c r="AU59" s="1875"/>
      <c r="AV59" s="1875"/>
      <c r="AW59" s="1875"/>
      <c r="AX59" s="1875"/>
      <c r="AY59" s="1875"/>
      <c r="AZ59" s="1875"/>
      <c r="BA59" s="1875"/>
      <c r="BB59" s="1875"/>
    </row>
    <row r="60" spans="1:54" s="940" customFormat="1" outlineLevel="1">
      <c r="A60" s="1880" t="s">
        <v>2266</v>
      </c>
      <c r="B60" s="1881" t="s">
        <v>424</v>
      </c>
      <c r="C60" s="1881" t="s">
        <v>1814</v>
      </c>
      <c r="D60" s="1881" t="s">
        <v>424</v>
      </c>
      <c r="E60" s="1879" t="s">
        <v>2267</v>
      </c>
      <c r="F60" s="1877"/>
      <c r="G60" s="1878"/>
      <c r="H60" s="1878">
        <v>1300000</v>
      </c>
      <c r="I60" s="1876">
        <v>7014360</v>
      </c>
      <c r="J60" s="1875"/>
      <c r="K60" s="1875"/>
      <c r="L60" s="1875"/>
      <c r="M60" s="1875"/>
      <c r="N60" s="1875"/>
      <c r="O60" s="1875"/>
      <c r="P60" s="1875"/>
      <c r="Q60" s="1875"/>
      <c r="R60" s="1875"/>
      <c r="S60" s="1875"/>
      <c r="T60" s="1875"/>
      <c r="U60" s="1875"/>
      <c r="V60" s="1875"/>
      <c r="W60" s="1875"/>
      <c r="X60" s="1875"/>
      <c r="Y60" s="1875"/>
      <c r="Z60" s="1875"/>
      <c r="AA60" s="1875"/>
      <c r="AB60" s="1875"/>
      <c r="AC60" s="1875"/>
      <c r="AD60" s="1875"/>
      <c r="AE60" s="1875"/>
      <c r="AF60" s="1875"/>
      <c r="AG60" s="1875"/>
      <c r="AH60" s="1875"/>
      <c r="AI60" s="1875"/>
      <c r="AJ60" s="1875"/>
      <c r="AK60" s="1875"/>
      <c r="AL60" s="1875"/>
      <c r="AM60" s="1875"/>
      <c r="AN60" s="1875"/>
      <c r="AO60" s="1875"/>
      <c r="AP60" s="1875"/>
      <c r="AQ60" s="1875"/>
      <c r="AR60" s="1875"/>
      <c r="AS60" s="1875"/>
      <c r="AT60" s="1875"/>
      <c r="AU60" s="1875"/>
      <c r="AV60" s="1875"/>
      <c r="AW60" s="1875"/>
      <c r="AX60" s="1875"/>
      <c r="AY60" s="1875"/>
      <c r="AZ60" s="1875"/>
      <c r="BA60" s="1875"/>
      <c r="BB60" s="1875"/>
    </row>
    <row r="61" spans="1:54" s="940" customFormat="1" outlineLevel="1">
      <c r="A61" s="1895" t="s">
        <v>2278</v>
      </c>
      <c r="B61" s="1896" t="s">
        <v>424</v>
      </c>
      <c r="C61" s="1896" t="s">
        <v>1814</v>
      </c>
      <c r="D61" s="1896" t="s">
        <v>424</v>
      </c>
      <c r="E61" s="1894" t="s">
        <v>2279</v>
      </c>
      <c r="F61" s="1892"/>
      <c r="G61" s="1893"/>
      <c r="H61" s="1893">
        <v>2000000</v>
      </c>
      <c r="I61" s="1891">
        <v>5014360</v>
      </c>
      <c r="J61" s="1890"/>
      <c r="K61" s="1890"/>
      <c r="L61" s="1890"/>
      <c r="M61" s="1890"/>
      <c r="N61" s="1890"/>
      <c r="O61" s="1890"/>
      <c r="P61" s="1890"/>
      <c r="Q61" s="1890"/>
      <c r="R61" s="1890"/>
      <c r="S61" s="1890"/>
      <c r="T61" s="1890"/>
      <c r="U61" s="1890"/>
      <c r="V61" s="1890"/>
      <c r="W61" s="1890"/>
      <c r="X61" s="1890"/>
      <c r="Y61" s="1890"/>
      <c r="Z61" s="1890"/>
      <c r="AA61" s="1890"/>
      <c r="AB61" s="1890"/>
      <c r="AC61" s="1890"/>
      <c r="AD61" s="1890"/>
      <c r="AE61" s="1890"/>
      <c r="AF61" s="1890"/>
      <c r="AG61" s="1890"/>
      <c r="AH61" s="1890"/>
      <c r="AI61" s="1890"/>
      <c r="AJ61" s="1890"/>
      <c r="AK61" s="1890"/>
      <c r="AL61" s="1890"/>
      <c r="AM61" s="1890"/>
      <c r="AN61" s="1890"/>
      <c r="AO61" s="1890"/>
      <c r="AP61" s="1890"/>
      <c r="AQ61" s="1890"/>
      <c r="AR61" s="1890"/>
      <c r="AS61" s="1890"/>
      <c r="AT61" s="1890"/>
      <c r="AU61" s="1890"/>
      <c r="AV61" s="1890"/>
      <c r="AW61" s="1890"/>
      <c r="AX61" s="1890"/>
      <c r="AY61" s="1890"/>
      <c r="AZ61" s="1890"/>
      <c r="BA61" s="1890"/>
      <c r="BB61" s="1890"/>
    </row>
    <row r="62" spans="1:54" s="940" customFormat="1" outlineLevel="1">
      <c r="A62" s="1895" t="s">
        <v>2280</v>
      </c>
      <c r="B62" s="1896" t="s">
        <v>424</v>
      </c>
      <c r="C62" s="1896" t="s">
        <v>1814</v>
      </c>
      <c r="D62" s="1896" t="s">
        <v>424</v>
      </c>
      <c r="E62" s="1894" t="s">
        <v>2281</v>
      </c>
      <c r="F62" s="1892"/>
      <c r="G62" s="1893"/>
      <c r="H62" s="1893">
        <v>510000</v>
      </c>
      <c r="I62" s="1891">
        <v>4504360</v>
      </c>
      <c r="J62" s="1890"/>
      <c r="K62" s="1890"/>
      <c r="L62" s="1890"/>
      <c r="M62" s="1890"/>
      <c r="N62" s="1890"/>
      <c r="O62" s="1890"/>
      <c r="P62" s="1890"/>
      <c r="Q62" s="1890"/>
      <c r="R62" s="1890"/>
      <c r="S62" s="1890"/>
      <c r="T62" s="1890"/>
      <c r="U62" s="1890"/>
      <c r="V62" s="1890"/>
      <c r="W62" s="1890"/>
      <c r="X62" s="1890"/>
      <c r="Y62" s="1890"/>
      <c r="Z62" s="1890"/>
      <c r="AA62" s="1890"/>
      <c r="AB62" s="1890"/>
      <c r="AC62" s="1890"/>
      <c r="AD62" s="1890"/>
      <c r="AE62" s="1890"/>
      <c r="AF62" s="1890"/>
      <c r="AG62" s="1890"/>
      <c r="AH62" s="1890"/>
      <c r="AI62" s="1890"/>
      <c r="AJ62" s="1890"/>
      <c r="AK62" s="1890"/>
      <c r="AL62" s="1890"/>
      <c r="AM62" s="1890"/>
      <c r="AN62" s="1890"/>
      <c r="AO62" s="1890"/>
      <c r="AP62" s="1890"/>
      <c r="AQ62" s="1890"/>
      <c r="AR62" s="1890"/>
      <c r="AS62" s="1890"/>
      <c r="AT62" s="1890"/>
      <c r="AU62" s="1890"/>
      <c r="AV62" s="1890"/>
      <c r="AW62" s="1890"/>
      <c r="AX62" s="1890"/>
      <c r="AY62" s="1890"/>
      <c r="AZ62" s="1890"/>
      <c r="BA62" s="1890"/>
      <c r="BB62" s="1890"/>
    </row>
    <row r="63" spans="1:54" s="940" customFormat="1" outlineLevel="1">
      <c r="A63" s="1900"/>
      <c r="B63" s="1901"/>
      <c r="C63" s="1901"/>
      <c r="D63" s="1901"/>
      <c r="E63" s="1902"/>
      <c r="F63" s="1903"/>
      <c r="G63" s="1904"/>
      <c r="H63" s="1904"/>
      <c r="I63" s="1905"/>
      <c r="J63" s="1890"/>
      <c r="K63" s="1890"/>
      <c r="L63" s="1890"/>
      <c r="M63" s="1890"/>
      <c r="N63" s="1890"/>
      <c r="O63" s="1890"/>
      <c r="P63" s="1890"/>
      <c r="Q63" s="1890"/>
      <c r="R63" s="1890"/>
      <c r="S63" s="1890"/>
      <c r="T63" s="1890"/>
      <c r="U63" s="1890"/>
      <c r="V63" s="1890"/>
      <c r="W63" s="1890"/>
      <c r="X63" s="1890"/>
      <c r="Y63" s="1890"/>
      <c r="Z63" s="1890"/>
      <c r="AA63" s="1890"/>
      <c r="AB63" s="1890"/>
      <c r="AC63" s="1890"/>
      <c r="AD63" s="1890"/>
      <c r="AE63" s="1890"/>
      <c r="AF63" s="1890"/>
      <c r="AG63" s="1890"/>
      <c r="AH63" s="1890"/>
      <c r="AI63" s="1890"/>
      <c r="AJ63" s="1890"/>
      <c r="AK63" s="1890"/>
      <c r="AL63" s="1890"/>
      <c r="AM63" s="1890"/>
      <c r="AN63" s="1890"/>
      <c r="AO63" s="1890"/>
      <c r="AP63" s="1890"/>
      <c r="AQ63" s="1890"/>
      <c r="AR63" s="1890"/>
      <c r="AS63" s="1890"/>
      <c r="AT63" s="1890"/>
      <c r="AU63" s="1890"/>
      <c r="AV63" s="1890"/>
      <c r="AW63" s="1890"/>
      <c r="AX63" s="1890"/>
      <c r="AY63" s="1890"/>
      <c r="AZ63" s="1890"/>
      <c r="BA63" s="1890"/>
      <c r="BB63" s="1890"/>
    </row>
    <row r="64" spans="1:54" s="940" customFormat="1" outlineLevel="1">
      <c r="A64" s="1900"/>
      <c r="B64" s="1901"/>
      <c r="C64" s="1901"/>
      <c r="D64" s="1901"/>
      <c r="E64" s="1902"/>
      <c r="F64" s="1903"/>
      <c r="G64" s="1904"/>
      <c r="H64" s="1904"/>
      <c r="I64" s="1905"/>
      <c r="J64" s="1890"/>
      <c r="K64" s="1890"/>
      <c r="L64" s="1890"/>
      <c r="M64" s="1890"/>
      <c r="N64" s="1890"/>
      <c r="O64" s="1890"/>
      <c r="P64" s="1890"/>
      <c r="Q64" s="1890"/>
      <c r="R64" s="1890"/>
      <c r="S64" s="1890"/>
      <c r="T64" s="1890"/>
      <c r="U64" s="1890"/>
      <c r="V64" s="1890"/>
      <c r="W64" s="1890"/>
      <c r="X64" s="1890"/>
      <c r="Y64" s="1890"/>
      <c r="Z64" s="1890"/>
      <c r="AA64" s="1890"/>
      <c r="AB64" s="1890"/>
      <c r="AC64" s="1890"/>
      <c r="AD64" s="1890"/>
      <c r="AE64" s="1890"/>
      <c r="AF64" s="1890"/>
      <c r="AG64" s="1890"/>
      <c r="AH64" s="1890"/>
      <c r="AI64" s="1890"/>
      <c r="AJ64" s="1890"/>
      <c r="AK64" s="1890"/>
      <c r="AL64" s="1890"/>
      <c r="AM64" s="1890"/>
      <c r="AN64" s="1890"/>
      <c r="AO64" s="1890"/>
      <c r="AP64" s="1890"/>
      <c r="AQ64" s="1890"/>
      <c r="AR64" s="1890"/>
      <c r="AS64" s="1890"/>
      <c r="AT64" s="1890"/>
      <c r="AU64" s="1890"/>
      <c r="AV64" s="1890"/>
      <c r="AW64" s="1890"/>
      <c r="AX64" s="1890"/>
      <c r="AY64" s="1890"/>
      <c r="AZ64" s="1890"/>
      <c r="BA64" s="1890"/>
      <c r="BB64" s="1890"/>
    </row>
    <row r="65" spans="1:108" s="940" customFormat="1" ht="18.75" outlineLevel="1" thickBot="1">
      <c r="A65" s="1900"/>
      <c r="B65" s="1901"/>
      <c r="C65" s="1901"/>
      <c r="D65" s="1901"/>
      <c r="E65" s="1902"/>
      <c r="F65" s="1903"/>
      <c r="G65" s="1904"/>
      <c r="H65" s="1904"/>
      <c r="I65" s="1905"/>
      <c r="J65" s="1890"/>
      <c r="K65" s="1890"/>
      <c r="L65" s="1890"/>
      <c r="M65" s="1890"/>
      <c r="N65" s="1890"/>
      <c r="O65" s="1890"/>
      <c r="P65" s="1890"/>
      <c r="Q65" s="1890"/>
      <c r="R65" s="1890"/>
      <c r="S65" s="1890"/>
      <c r="T65" s="1890"/>
      <c r="U65" s="1890"/>
      <c r="V65" s="1890"/>
      <c r="W65" s="1890"/>
      <c r="X65" s="1890"/>
      <c r="Y65" s="1890"/>
      <c r="Z65" s="1890"/>
      <c r="AA65" s="1890"/>
      <c r="AB65" s="1890"/>
      <c r="AC65" s="1890"/>
      <c r="AD65" s="1890"/>
      <c r="AE65" s="1890"/>
      <c r="AF65" s="1890"/>
      <c r="AG65" s="1890"/>
      <c r="AH65" s="1890"/>
      <c r="AI65" s="1890"/>
      <c r="AJ65" s="1890"/>
      <c r="AK65" s="1890"/>
      <c r="AL65" s="1890"/>
      <c r="AM65" s="1890"/>
      <c r="AN65" s="1890"/>
      <c r="AO65" s="1890"/>
      <c r="AP65" s="1890"/>
      <c r="AQ65" s="1890"/>
      <c r="AR65" s="1890"/>
      <c r="AS65" s="1890"/>
      <c r="AT65" s="1890"/>
      <c r="AU65" s="1890"/>
      <c r="AV65" s="1890"/>
      <c r="AW65" s="1890"/>
      <c r="AX65" s="1890"/>
      <c r="AY65" s="1890"/>
      <c r="AZ65" s="1890"/>
      <c r="BA65" s="1890"/>
      <c r="BB65" s="1890"/>
    </row>
    <row r="66" spans="1:108" s="940" customFormat="1" ht="19.5" customHeight="1">
      <c r="A66" s="1313" t="s">
        <v>2157</v>
      </c>
      <c r="B66" s="1314"/>
      <c r="C66" s="1314"/>
      <c r="D66" s="1314"/>
      <c r="E66" s="1314" t="s">
        <v>2158</v>
      </c>
      <c r="F66" s="1315"/>
      <c r="G66" s="1316">
        <f>SUM(G51:G62)</f>
        <v>27500360</v>
      </c>
      <c r="H66" s="1316">
        <f>SUM(H52:H62)</f>
        <v>22996000</v>
      </c>
      <c r="I66" s="1317"/>
      <c r="Z66" s="951"/>
      <c r="BB66" s="951"/>
    </row>
    <row r="67" spans="1:108" s="940" customFormat="1" ht="19.5" customHeight="1" thickBot="1">
      <c r="A67" s="1781"/>
      <c r="B67" s="1782"/>
      <c r="C67" s="1782"/>
      <c r="D67" s="1782"/>
      <c r="E67" s="1783"/>
      <c r="F67" s="1784"/>
      <c r="G67" s="1785">
        <f>G66-G51</f>
        <v>21980000</v>
      </c>
      <c r="H67" s="1785">
        <f>G66-H66</f>
        <v>4504360</v>
      </c>
      <c r="I67" s="1786"/>
      <c r="Z67" s="951"/>
      <c r="BB67" s="951"/>
    </row>
    <row r="68" spans="1:108" s="940" customFormat="1" ht="19.5" customHeight="1">
      <c r="A68" s="1301"/>
      <c r="B68" s="1302"/>
      <c r="C68" s="1302"/>
      <c r="D68" s="1302"/>
      <c r="E68" s="1780"/>
      <c r="F68" s="1304"/>
      <c r="G68" s="1305"/>
      <c r="H68" s="1305"/>
      <c r="I68" s="1306"/>
      <c r="Z68" s="951"/>
      <c r="BB68" s="951"/>
    </row>
    <row r="69" spans="1:108" s="940" customFormat="1" ht="19.5" customHeight="1">
      <c r="A69" s="1301"/>
      <c r="B69" s="1302"/>
      <c r="C69" s="1302"/>
      <c r="D69" s="1302"/>
      <c r="E69" s="1780"/>
      <c r="F69" s="1304"/>
      <c r="G69" s="1305"/>
      <c r="H69" s="1305"/>
      <c r="I69" s="1306"/>
      <c r="Z69" s="951"/>
      <c r="BB69" s="951"/>
    </row>
    <row r="70" spans="1:108" s="940" customFormat="1" ht="19.5" customHeight="1">
      <c r="A70" s="1301"/>
      <c r="B70" s="1302"/>
      <c r="C70" s="1302"/>
      <c r="D70" s="1302"/>
      <c r="E70" s="1780"/>
      <c r="F70" s="1304"/>
      <c r="G70" s="1305"/>
      <c r="H70" s="1305"/>
      <c r="I70" s="1306"/>
      <c r="Z70" s="951"/>
      <c r="BB70" s="951"/>
    </row>
    <row r="71" spans="1:108" s="940" customFormat="1" ht="19.5" customHeight="1">
      <c r="A71" s="1301"/>
      <c r="B71" s="1302"/>
      <c r="C71" s="1302"/>
      <c r="D71" s="1302"/>
      <c r="E71" s="1780"/>
      <c r="F71" s="1304"/>
      <c r="G71" s="1305"/>
      <c r="H71" s="1305"/>
      <c r="I71" s="1306"/>
      <c r="Z71" s="951"/>
      <c r="BB71" s="951"/>
    </row>
    <row r="72" spans="1:108" s="940" customFormat="1" ht="19.5" customHeight="1" thickBot="1">
      <c r="A72" s="1301"/>
      <c r="B72" s="1302"/>
      <c r="C72" s="1302"/>
      <c r="D72" s="1302"/>
      <c r="E72" s="1303"/>
      <c r="F72" s="1304"/>
      <c r="G72" s="1305"/>
      <c r="H72" s="1305"/>
      <c r="I72" s="1306"/>
      <c r="Z72" s="951"/>
      <c r="BB72" s="951"/>
    </row>
    <row r="73" spans="1:108" ht="18.75" customHeight="1" thickBot="1">
      <c r="H73" s="1199"/>
      <c r="BD73" s="914"/>
    </row>
    <row r="74" spans="1:108" s="1200" customFormat="1" ht="27.75" customHeight="1" thickBot="1">
      <c r="A74" s="912"/>
      <c r="B74" s="912"/>
      <c r="D74" s="912"/>
      <c r="E74" s="915"/>
      <c r="F74" s="1201"/>
      <c r="G74" s="1202" t="s">
        <v>407</v>
      </c>
      <c r="H74" s="1203"/>
      <c r="I74" s="1204"/>
      <c r="J74" s="1205"/>
      <c r="K74" s="1206"/>
      <c r="L74" s="1207"/>
      <c r="Z74" s="1205"/>
      <c r="BB74" s="1205"/>
      <c r="BD74" s="1208"/>
      <c r="BF74" s="1208"/>
    </row>
    <row r="75" spans="1:108" s="1200" customFormat="1" ht="27.75" customHeight="1" thickBot="1">
      <c r="A75" s="912"/>
      <c r="B75" s="912"/>
      <c r="D75" s="912"/>
      <c r="E75" s="1209"/>
      <c r="G75" s="1202" t="s">
        <v>411</v>
      </c>
      <c r="H75" s="1203">
        <f>H67</f>
        <v>4504360</v>
      </c>
      <c r="I75" s="1210"/>
      <c r="J75" s="1211"/>
      <c r="Z75" s="1205"/>
      <c r="BB75" s="1205"/>
      <c r="BD75" s="1205"/>
    </row>
    <row r="76" spans="1:108" s="1200" customFormat="1" ht="27.75" customHeight="1" thickBot="1">
      <c r="D76" s="912"/>
      <c r="E76" s="1212"/>
      <c r="G76" s="1202" t="s">
        <v>414</v>
      </c>
      <c r="H76" s="1203">
        <f>H67</f>
        <v>4504360</v>
      </c>
      <c r="I76" s="1213"/>
      <c r="J76" s="1214"/>
      <c r="K76" s="912"/>
      <c r="L76" s="912"/>
      <c r="M76" s="912"/>
      <c r="N76" s="912"/>
      <c r="O76" s="912"/>
      <c r="P76" s="912"/>
      <c r="Q76" s="912"/>
      <c r="R76" s="912"/>
      <c r="S76" s="912"/>
      <c r="T76" s="912"/>
      <c r="U76" s="912"/>
      <c r="V76" s="912"/>
      <c r="W76" s="912"/>
      <c r="X76" s="912"/>
      <c r="Y76" s="912"/>
      <c r="Z76" s="951"/>
      <c r="AA76" s="912"/>
      <c r="AB76" s="912"/>
      <c r="AC76" s="912"/>
      <c r="AD76" s="912"/>
      <c r="AE76" s="912"/>
      <c r="AF76" s="912"/>
      <c r="AG76" s="912"/>
      <c r="AH76" s="912"/>
      <c r="AI76" s="912"/>
      <c r="AJ76" s="912"/>
      <c r="AK76" s="912"/>
      <c r="AL76" s="912"/>
      <c r="AM76" s="912"/>
      <c r="AN76" s="912"/>
      <c r="AO76" s="912"/>
      <c r="AP76" s="912"/>
      <c r="AQ76" s="912"/>
      <c r="AR76" s="912"/>
      <c r="AS76" s="912"/>
      <c r="AT76" s="912"/>
      <c r="AU76" s="912"/>
      <c r="AV76" s="912"/>
      <c r="AW76" s="912"/>
      <c r="AX76" s="912"/>
      <c r="AY76" s="912"/>
      <c r="AZ76" s="912"/>
      <c r="BA76" s="912"/>
      <c r="BB76" s="951"/>
      <c r="BC76" s="912"/>
      <c r="BD76" s="951"/>
      <c r="BE76" s="912"/>
      <c r="BF76" s="912"/>
      <c r="BG76" s="912"/>
      <c r="BH76" s="912"/>
      <c r="BI76" s="912"/>
      <c r="BJ76" s="912"/>
      <c r="BK76" s="912"/>
      <c r="BL76" s="912"/>
      <c r="BM76" s="912"/>
      <c r="BN76" s="912"/>
      <c r="BO76" s="912"/>
      <c r="BP76" s="912"/>
      <c r="BQ76" s="912"/>
      <c r="BR76" s="912"/>
      <c r="BS76" s="912"/>
      <c r="BT76" s="912"/>
      <c r="BU76" s="912"/>
      <c r="BV76" s="912"/>
      <c r="BW76" s="912"/>
      <c r="BX76" s="912"/>
      <c r="BY76" s="912"/>
      <c r="BZ76" s="912"/>
      <c r="CA76" s="912"/>
      <c r="CB76" s="912"/>
      <c r="CC76" s="912"/>
      <c r="CD76" s="912"/>
      <c r="CE76" s="912"/>
      <c r="CF76" s="912"/>
      <c r="CG76" s="912"/>
      <c r="CH76" s="912"/>
      <c r="CI76" s="912"/>
      <c r="CJ76" s="912"/>
      <c r="CK76" s="912"/>
      <c r="CL76" s="912"/>
      <c r="CM76" s="912"/>
      <c r="CN76" s="912"/>
      <c r="CO76" s="912"/>
      <c r="CP76" s="912"/>
      <c r="CQ76" s="912"/>
      <c r="CR76" s="912"/>
      <c r="CS76" s="912"/>
      <c r="CT76" s="912"/>
      <c r="CU76" s="912"/>
      <c r="CV76" s="912"/>
      <c r="CW76" s="912"/>
      <c r="CX76" s="912"/>
      <c r="CY76" s="912"/>
      <c r="CZ76" s="912"/>
      <c r="DA76" s="912"/>
      <c r="DB76" s="912"/>
      <c r="DC76" s="912"/>
      <c r="DD76" s="912"/>
    </row>
    <row r="77" spans="1:108" ht="18" customHeight="1" thickBot="1">
      <c r="J77" s="951"/>
    </row>
    <row r="78" spans="1:108" ht="18" customHeight="1">
      <c r="H78" s="1215" t="s">
        <v>512</v>
      </c>
      <c r="J78" s="951"/>
    </row>
    <row r="79" spans="1:108" ht="18" customHeight="1">
      <c r="H79" s="1214"/>
      <c r="J79" s="914"/>
    </row>
    <row r="80" spans="1:108" ht="18" customHeight="1">
      <c r="E80" s="1216"/>
    </row>
    <row r="81" spans="1:108" ht="18" customHeight="1">
      <c r="H81" s="1214"/>
    </row>
    <row r="82" spans="1:108" ht="18" customHeight="1"/>
    <row r="83" spans="1:108" s="916" customFormat="1" ht="18" customHeight="1">
      <c r="A83" s="912"/>
      <c r="B83" s="912"/>
      <c r="C83" s="912"/>
      <c r="D83" s="912"/>
      <c r="E83" s="915"/>
      <c r="F83" s="912"/>
      <c r="G83" s="1944"/>
      <c r="H83" s="1945"/>
      <c r="J83" s="1214"/>
      <c r="K83" s="912"/>
      <c r="L83" s="912"/>
      <c r="M83" s="912"/>
      <c r="N83" s="912"/>
      <c r="O83" s="912"/>
      <c r="P83" s="912"/>
      <c r="Q83" s="912"/>
      <c r="R83" s="912"/>
      <c r="S83" s="912"/>
      <c r="T83" s="912"/>
      <c r="U83" s="912"/>
      <c r="V83" s="912"/>
      <c r="W83" s="912"/>
      <c r="X83" s="912"/>
      <c r="Y83" s="912"/>
      <c r="Z83" s="951"/>
      <c r="AA83" s="912"/>
      <c r="AB83" s="912"/>
      <c r="AC83" s="912"/>
      <c r="AD83" s="912"/>
      <c r="AE83" s="912"/>
      <c r="AF83" s="912"/>
      <c r="AG83" s="912"/>
      <c r="AH83" s="912"/>
      <c r="AI83" s="912"/>
      <c r="AJ83" s="912"/>
      <c r="AK83" s="912"/>
      <c r="AL83" s="912"/>
      <c r="AM83" s="912"/>
      <c r="AN83" s="912"/>
      <c r="AO83" s="912"/>
      <c r="AP83" s="912"/>
      <c r="AQ83" s="912"/>
      <c r="AR83" s="912"/>
      <c r="AS83" s="912"/>
      <c r="AT83" s="912"/>
      <c r="AU83" s="912"/>
      <c r="AV83" s="912"/>
      <c r="AW83" s="912"/>
      <c r="AX83" s="912"/>
      <c r="AY83" s="912"/>
      <c r="AZ83" s="912"/>
      <c r="BA83" s="912"/>
      <c r="BB83" s="951"/>
      <c r="BC83" s="912"/>
      <c r="BD83" s="912"/>
      <c r="BE83" s="912"/>
      <c r="BF83" s="912"/>
      <c r="BG83" s="912"/>
      <c r="BH83" s="912"/>
      <c r="BI83" s="912"/>
      <c r="BJ83" s="912"/>
      <c r="BK83" s="912"/>
      <c r="BL83" s="912"/>
      <c r="BM83" s="912"/>
      <c r="BN83" s="912"/>
      <c r="BO83" s="912"/>
      <c r="BP83" s="912"/>
      <c r="BQ83" s="912"/>
      <c r="BR83" s="912"/>
      <c r="BS83" s="912"/>
      <c r="BT83" s="912"/>
      <c r="BU83" s="912"/>
      <c r="BV83" s="912"/>
      <c r="BW83" s="912"/>
      <c r="BX83" s="912"/>
      <c r="BY83" s="912"/>
      <c r="BZ83" s="912"/>
      <c r="CA83" s="912"/>
      <c r="CB83" s="912"/>
      <c r="CC83" s="912"/>
      <c r="CD83" s="912"/>
      <c r="CE83" s="912"/>
      <c r="CF83" s="912"/>
      <c r="CG83" s="912"/>
      <c r="CH83" s="912"/>
      <c r="CI83" s="912"/>
      <c r="CJ83" s="912"/>
      <c r="CK83" s="912"/>
      <c r="CL83" s="912"/>
      <c r="CM83" s="912"/>
      <c r="CN83" s="912"/>
      <c r="CO83" s="912"/>
      <c r="CP83" s="912"/>
      <c r="CQ83" s="912"/>
      <c r="CR83" s="912"/>
      <c r="CS83" s="912"/>
      <c r="CT83" s="912"/>
      <c r="CU83" s="912"/>
      <c r="CV83" s="912"/>
      <c r="CW83" s="912"/>
      <c r="CX83" s="912"/>
      <c r="CY83" s="912"/>
      <c r="CZ83" s="912"/>
      <c r="DA83" s="912"/>
      <c r="DB83" s="912"/>
      <c r="DC83" s="912"/>
      <c r="DD83" s="912"/>
    </row>
    <row r="84" spans="1:108" s="916" customFormat="1" ht="18" customHeight="1">
      <c r="A84" s="912"/>
      <c r="B84" s="912"/>
      <c r="C84" s="912"/>
      <c r="D84" s="912"/>
      <c r="E84" s="915"/>
      <c r="F84" s="912"/>
      <c r="G84" s="912"/>
      <c r="H84" s="1214"/>
      <c r="I84" s="1214"/>
      <c r="J84" s="912"/>
      <c r="K84" s="912"/>
      <c r="L84" s="912"/>
      <c r="M84" s="912"/>
      <c r="N84" s="912"/>
      <c r="O84" s="912"/>
      <c r="P84" s="912"/>
      <c r="Q84" s="912"/>
      <c r="R84" s="912"/>
      <c r="S84" s="912"/>
      <c r="T84" s="912"/>
      <c r="U84" s="912"/>
      <c r="V84" s="912"/>
      <c r="W84" s="912"/>
      <c r="X84" s="912"/>
      <c r="Y84" s="912"/>
      <c r="Z84" s="951"/>
      <c r="AA84" s="912"/>
      <c r="AB84" s="912"/>
      <c r="AC84" s="912"/>
      <c r="AD84" s="912"/>
      <c r="AE84" s="912"/>
      <c r="AF84" s="912"/>
      <c r="AG84" s="912"/>
      <c r="AH84" s="912"/>
      <c r="AI84" s="912"/>
      <c r="AJ84" s="912"/>
      <c r="AK84" s="912"/>
      <c r="AL84" s="912"/>
      <c r="AM84" s="912"/>
      <c r="AN84" s="912"/>
      <c r="AO84" s="912"/>
      <c r="AP84" s="912"/>
      <c r="AQ84" s="912"/>
      <c r="AR84" s="912"/>
      <c r="AS84" s="912"/>
      <c r="AT84" s="912"/>
      <c r="AU84" s="912"/>
      <c r="AV84" s="912"/>
      <c r="AW84" s="912"/>
      <c r="AX84" s="912"/>
      <c r="AY84" s="912"/>
      <c r="AZ84" s="912"/>
      <c r="BA84" s="912"/>
      <c r="BB84" s="951"/>
      <c r="BC84" s="912"/>
      <c r="BD84" s="912"/>
      <c r="BE84" s="912"/>
      <c r="BF84" s="912"/>
      <c r="BG84" s="912"/>
      <c r="BH84" s="912"/>
      <c r="BI84" s="912"/>
      <c r="BJ84" s="912"/>
      <c r="BK84" s="912"/>
      <c r="BL84" s="912"/>
      <c r="BM84" s="912"/>
      <c r="BN84" s="912"/>
      <c r="BO84" s="912"/>
      <c r="BP84" s="912"/>
      <c r="BQ84" s="912"/>
      <c r="BR84" s="912"/>
      <c r="BS84" s="912"/>
      <c r="BT84" s="912"/>
      <c r="BU84" s="912"/>
      <c r="BV84" s="912"/>
      <c r="BW84" s="912"/>
      <c r="BX84" s="912"/>
      <c r="BY84" s="912"/>
      <c r="BZ84" s="912"/>
      <c r="CA84" s="912"/>
      <c r="CB84" s="912"/>
      <c r="CC84" s="912"/>
      <c r="CD84" s="912"/>
      <c r="CE84" s="912"/>
      <c r="CF84" s="912"/>
      <c r="CG84" s="912"/>
      <c r="CH84" s="912"/>
      <c r="CI84" s="912"/>
      <c r="CJ84" s="912"/>
      <c r="CK84" s="912"/>
      <c r="CL84" s="912"/>
      <c r="CM84" s="912"/>
      <c r="CN84" s="912"/>
      <c r="CO84" s="912"/>
      <c r="CP84" s="912"/>
      <c r="CQ84" s="912"/>
      <c r="CR84" s="912"/>
      <c r="CS84" s="912"/>
      <c r="CT84" s="912"/>
      <c r="CU84" s="912"/>
      <c r="CV84" s="912"/>
      <c r="CW84" s="912"/>
      <c r="CX84" s="912"/>
      <c r="CY84" s="912"/>
      <c r="CZ84" s="912"/>
      <c r="DA84" s="912"/>
      <c r="DB84" s="912"/>
      <c r="DC84" s="912"/>
      <c r="DD84" s="912"/>
    </row>
    <row r="85" spans="1:108" s="916" customFormat="1" ht="19.5" customHeight="1">
      <c r="A85" s="912"/>
      <c r="B85" s="912"/>
      <c r="C85" s="912"/>
      <c r="D85" s="912"/>
      <c r="E85" s="915"/>
      <c r="F85" s="912"/>
      <c r="G85" s="912"/>
      <c r="H85" s="912"/>
      <c r="J85" s="1214"/>
      <c r="K85" s="912"/>
      <c r="L85" s="912"/>
      <c r="M85" s="912"/>
      <c r="N85" s="912"/>
      <c r="O85" s="912"/>
      <c r="P85" s="912"/>
      <c r="Q85" s="912"/>
      <c r="R85" s="912"/>
      <c r="S85" s="912"/>
      <c r="T85" s="912"/>
      <c r="U85" s="912"/>
      <c r="V85" s="912"/>
      <c r="W85" s="912"/>
      <c r="X85" s="912"/>
      <c r="Y85" s="912"/>
      <c r="Z85" s="951"/>
      <c r="AA85" s="912"/>
      <c r="AB85" s="912"/>
      <c r="AC85" s="912"/>
      <c r="AD85" s="912"/>
      <c r="AE85" s="912"/>
      <c r="AF85" s="912"/>
      <c r="AG85" s="912"/>
      <c r="AH85" s="912"/>
      <c r="AI85" s="912"/>
      <c r="AJ85" s="912"/>
      <c r="AK85" s="912"/>
      <c r="AL85" s="912"/>
      <c r="AM85" s="912"/>
      <c r="AN85" s="912"/>
      <c r="AO85" s="912"/>
      <c r="AP85" s="912"/>
      <c r="AQ85" s="912"/>
      <c r="AR85" s="912"/>
      <c r="AS85" s="912"/>
      <c r="AT85" s="912"/>
      <c r="AU85" s="912"/>
      <c r="AV85" s="912"/>
      <c r="AW85" s="912"/>
      <c r="AX85" s="912"/>
      <c r="AY85" s="912"/>
      <c r="AZ85" s="912"/>
      <c r="BA85" s="912"/>
      <c r="BB85" s="951"/>
      <c r="BC85" s="912"/>
      <c r="BD85" s="912"/>
      <c r="BE85" s="912"/>
      <c r="BF85" s="912"/>
      <c r="BG85" s="912"/>
      <c r="BH85" s="912"/>
      <c r="BI85" s="912"/>
      <c r="BJ85" s="912"/>
      <c r="BK85" s="912"/>
      <c r="BL85" s="912"/>
      <c r="BM85" s="912"/>
      <c r="BN85" s="912"/>
      <c r="BO85" s="912"/>
      <c r="BP85" s="912"/>
      <c r="BQ85" s="912"/>
      <c r="BR85" s="912"/>
      <c r="BS85" s="912"/>
      <c r="BT85" s="912"/>
      <c r="BU85" s="912"/>
      <c r="BV85" s="912"/>
      <c r="BW85" s="912"/>
      <c r="BX85" s="912"/>
      <c r="BY85" s="912"/>
      <c r="BZ85" s="912"/>
      <c r="CA85" s="912"/>
      <c r="CB85" s="912"/>
      <c r="CC85" s="912"/>
      <c r="CD85" s="912"/>
      <c r="CE85" s="912"/>
      <c r="CF85" s="912"/>
      <c r="CG85" s="912"/>
      <c r="CH85" s="912"/>
      <c r="CI85" s="912"/>
      <c r="CJ85" s="912"/>
      <c r="CK85" s="912"/>
      <c r="CL85" s="912"/>
      <c r="CM85" s="912"/>
      <c r="CN85" s="912"/>
      <c r="CO85" s="912"/>
      <c r="CP85" s="912"/>
      <c r="CQ85" s="912"/>
      <c r="CR85" s="912"/>
      <c r="CS85" s="912"/>
      <c r="CT85" s="912"/>
      <c r="CU85" s="912"/>
      <c r="CV85" s="912"/>
      <c r="CW85" s="912"/>
      <c r="CX85" s="912"/>
      <c r="CY85" s="912"/>
      <c r="CZ85" s="912"/>
      <c r="DA85" s="912"/>
      <c r="DB85" s="912"/>
      <c r="DC85" s="912"/>
      <c r="DD85" s="912"/>
    </row>
    <row r="86" spans="1:108" s="916" customFormat="1" ht="21.75" customHeight="1">
      <c r="A86" s="912"/>
      <c r="B86" s="912"/>
      <c r="C86" s="912"/>
      <c r="D86" s="912"/>
      <c r="E86" s="915"/>
      <c r="F86" s="912"/>
      <c r="G86" s="912"/>
      <c r="H86" s="1214"/>
      <c r="J86" s="912"/>
      <c r="K86" s="912"/>
      <c r="L86" s="912"/>
      <c r="M86" s="912"/>
      <c r="N86" s="912"/>
      <c r="O86" s="912"/>
      <c r="P86" s="912"/>
      <c r="Q86" s="912"/>
      <c r="R86" s="912"/>
      <c r="S86" s="912"/>
      <c r="T86" s="912"/>
      <c r="U86" s="912"/>
      <c r="V86" s="912"/>
      <c r="W86" s="912"/>
      <c r="X86" s="912"/>
      <c r="Y86" s="912"/>
      <c r="Z86" s="951"/>
      <c r="AA86" s="912"/>
      <c r="AB86" s="912"/>
      <c r="AC86" s="912"/>
      <c r="AD86" s="912"/>
      <c r="AE86" s="912"/>
      <c r="AF86" s="912"/>
      <c r="AG86" s="912"/>
      <c r="AH86" s="912"/>
      <c r="AI86" s="912"/>
      <c r="AJ86" s="912"/>
      <c r="AK86" s="912"/>
      <c r="AL86" s="912"/>
      <c r="AM86" s="912"/>
      <c r="AN86" s="912"/>
      <c r="AO86" s="912"/>
      <c r="AP86" s="912"/>
      <c r="AQ86" s="912"/>
      <c r="AR86" s="912"/>
      <c r="AS86" s="912"/>
      <c r="AT86" s="912"/>
      <c r="AU86" s="912"/>
      <c r="AV86" s="912"/>
      <c r="AW86" s="912"/>
      <c r="AX86" s="912"/>
      <c r="AY86" s="912"/>
      <c r="AZ86" s="912"/>
      <c r="BA86" s="912"/>
      <c r="BB86" s="951"/>
      <c r="BC86" s="912"/>
      <c r="BD86" s="912"/>
      <c r="BE86" s="912"/>
      <c r="BF86" s="912"/>
      <c r="BG86" s="912"/>
      <c r="BH86" s="912"/>
      <c r="BI86" s="912"/>
      <c r="BJ86" s="912"/>
      <c r="BK86" s="912"/>
      <c r="BL86" s="912"/>
      <c r="BM86" s="912"/>
      <c r="BN86" s="912"/>
      <c r="BO86" s="912"/>
      <c r="BP86" s="912"/>
      <c r="BQ86" s="912"/>
      <c r="BR86" s="912"/>
      <c r="BS86" s="912"/>
      <c r="BT86" s="912"/>
      <c r="BU86" s="912"/>
      <c r="BV86" s="912"/>
      <c r="BW86" s="912"/>
      <c r="BX86" s="912"/>
      <c r="BY86" s="912"/>
      <c r="BZ86" s="912"/>
      <c r="CA86" s="912"/>
      <c r="CB86" s="912"/>
      <c r="CC86" s="912"/>
      <c r="CD86" s="912"/>
      <c r="CE86" s="912"/>
      <c r="CF86" s="912"/>
      <c r="CG86" s="912"/>
      <c r="CH86" s="912"/>
      <c r="CI86" s="912"/>
      <c r="CJ86" s="912"/>
      <c r="CK86" s="912"/>
      <c r="CL86" s="912"/>
      <c r="CM86" s="912"/>
      <c r="CN86" s="912"/>
      <c r="CO86" s="912"/>
      <c r="CP86" s="912"/>
      <c r="CQ86" s="912"/>
      <c r="CR86" s="912"/>
      <c r="CS86" s="912"/>
      <c r="CT86" s="912"/>
      <c r="CU86" s="912"/>
      <c r="CV86" s="912"/>
      <c r="CW86" s="912"/>
      <c r="CX86" s="912"/>
      <c r="CY86" s="912"/>
      <c r="CZ86" s="912"/>
      <c r="DA86" s="912"/>
      <c r="DB86" s="912"/>
      <c r="DC86" s="912"/>
      <c r="DD86" s="912"/>
    </row>
    <row r="87" spans="1:108" s="916" customFormat="1" ht="29.25" customHeight="1">
      <c r="A87" s="1943"/>
      <c r="B87" s="1943"/>
      <c r="C87" s="1943"/>
      <c r="D87" s="912"/>
      <c r="E87" s="915"/>
      <c r="F87" s="917"/>
      <c r="G87" s="912"/>
      <c r="H87" s="917"/>
      <c r="J87" s="912"/>
      <c r="K87" s="912"/>
      <c r="L87" s="912"/>
      <c r="M87" s="912"/>
      <c r="N87" s="912"/>
      <c r="O87" s="912"/>
      <c r="P87" s="912"/>
      <c r="Q87" s="912"/>
      <c r="R87" s="912"/>
      <c r="S87" s="912"/>
      <c r="T87" s="912"/>
      <c r="U87" s="912"/>
      <c r="V87" s="912"/>
      <c r="W87" s="912"/>
      <c r="X87" s="912"/>
      <c r="Y87" s="912"/>
      <c r="Z87" s="951"/>
      <c r="AA87" s="912"/>
      <c r="AB87" s="912"/>
      <c r="AC87" s="912"/>
      <c r="AD87" s="912"/>
      <c r="AE87" s="912"/>
      <c r="AF87" s="912"/>
      <c r="AG87" s="912"/>
      <c r="AH87" s="912"/>
      <c r="AI87" s="912"/>
      <c r="AJ87" s="912"/>
      <c r="AK87" s="912"/>
      <c r="AL87" s="912"/>
      <c r="AM87" s="912"/>
      <c r="AN87" s="912"/>
      <c r="AO87" s="912"/>
      <c r="AP87" s="912"/>
      <c r="AQ87" s="912"/>
      <c r="AR87" s="912"/>
      <c r="AS87" s="912"/>
      <c r="AT87" s="912"/>
      <c r="AU87" s="912"/>
      <c r="AV87" s="912"/>
      <c r="AW87" s="912"/>
      <c r="AX87" s="912"/>
      <c r="AY87" s="912"/>
      <c r="AZ87" s="912"/>
      <c r="BA87" s="912"/>
      <c r="BB87" s="951"/>
      <c r="BC87" s="912"/>
      <c r="BD87" s="912"/>
      <c r="BE87" s="912"/>
      <c r="BF87" s="912"/>
      <c r="BG87" s="912"/>
      <c r="BH87" s="912"/>
      <c r="BI87" s="912"/>
      <c r="BJ87" s="912"/>
      <c r="BK87" s="912"/>
      <c r="BL87" s="912"/>
      <c r="BM87" s="912"/>
      <c r="BN87" s="912"/>
      <c r="BO87" s="912"/>
      <c r="BP87" s="912"/>
      <c r="BQ87" s="912"/>
      <c r="BR87" s="912"/>
      <c r="BS87" s="912"/>
      <c r="BT87" s="912"/>
      <c r="BU87" s="912"/>
      <c r="BV87" s="912"/>
      <c r="BW87" s="912"/>
      <c r="BX87" s="912"/>
      <c r="BY87" s="912"/>
      <c r="BZ87" s="912"/>
      <c r="CA87" s="912"/>
      <c r="CB87" s="912"/>
      <c r="CC87" s="912"/>
      <c r="CD87" s="912"/>
      <c r="CE87" s="912"/>
      <c r="CF87" s="912"/>
      <c r="CG87" s="912"/>
      <c r="CH87" s="912"/>
      <c r="CI87" s="912"/>
      <c r="CJ87" s="912"/>
      <c r="CK87" s="912"/>
      <c r="CL87" s="912"/>
      <c r="CM87" s="912"/>
      <c r="CN87" s="912"/>
      <c r="CO87" s="912"/>
      <c r="CP87" s="912"/>
      <c r="CQ87" s="912"/>
      <c r="CR87" s="912"/>
      <c r="CS87" s="912"/>
      <c r="CT87" s="912"/>
      <c r="CU87" s="912"/>
      <c r="CV87" s="912"/>
      <c r="CW87" s="912"/>
      <c r="CX87" s="912"/>
      <c r="CY87" s="912"/>
      <c r="CZ87" s="912"/>
      <c r="DA87" s="912"/>
      <c r="DB87" s="912"/>
      <c r="DC87" s="912"/>
      <c r="DD87" s="912"/>
    </row>
    <row r="88" spans="1:108" s="916" customFormat="1" ht="24" customHeight="1">
      <c r="A88" s="912"/>
      <c r="B88" s="912"/>
      <c r="C88" s="912"/>
      <c r="D88" s="912"/>
      <c r="E88" s="915"/>
      <c r="F88" s="912"/>
      <c r="G88" s="951"/>
      <c r="H88" s="912"/>
      <c r="J88" s="912"/>
      <c r="K88" s="912"/>
      <c r="L88" s="912"/>
      <c r="M88" s="912"/>
      <c r="N88" s="912"/>
      <c r="O88" s="912"/>
      <c r="P88" s="912"/>
      <c r="Q88" s="912"/>
      <c r="R88" s="912"/>
      <c r="S88" s="912"/>
      <c r="T88" s="912"/>
      <c r="U88" s="912"/>
      <c r="V88" s="912"/>
      <c r="W88" s="912"/>
      <c r="X88" s="912"/>
      <c r="Y88" s="912"/>
      <c r="Z88" s="951"/>
      <c r="AA88" s="912"/>
      <c r="AB88" s="912"/>
      <c r="AC88" s="912"/>
      <c r="AD88" s="912"/>
      <c r="AE88" s="912"/>
      <c r="AF88" s="912"/>
      <c r="AG88" s="912"/>
      <c r="AH88" s="912"/>
      <c r="AI88" s="912"/>
      <c r="AJ88" s="912"/>
      <c r="AK88" s="912"/>
      <c r="AL88" s="912"/>
      <c r="AM88" s="912"/>
      <c r="AN88" s="912"/>
      <c r="AO88" s="912"/>
      <c r="AP88" s="912"/>
      <c r="AQ88" s="912"/>
      <c r="AR88" s="912"/>
      <c r="AS88" s="912"/>
      <c r="AT88" s="912"/>
      <c r="AU88" s="912"/>
      <c r="AV88" s="912"/>
      <c r="AW88" s="912"/>
      <c r="AX88" s="912"/>
      <c r="AY88" s="912"/>
      <c r="AZ88" s="912"/>
      <c r="BA88" s="912"/>
      <c r="BB88" s="951"/>
      <c r="BC88" s="912"/>
      <c r="BD88" s="912"/>
      <c r="BE88" s="912"/>
      <c r="BF88" s="912"/>
      <c r="BG88" s="912"/>
      <c r="BH88" s="912"/>
      <c r="BI88" s="912"/>
      <c r="BJ88" s="912"/>
      <c r="BK88" s="912"/>
      <c r="BL88" s="912"/>
      <c r="BM88" s="912"/>
      <c r="BN88" s="912"/>
      <c r="BO88" s="912"/>
      <c r="BP88" s="912"/>
      <c r="BQ88" s="912"/>
      <c r="BR88" s="912"/>
      <c r="BS88" s="912"/>
      <c r="BT88" s="912"/>
      <c r="BU88" s="912"/>
      <c r="BV88" s="912"/>
      <c r="BW88" s="912"/>
      <c r="BX88" s="912"/>
      <c r="BY88" s="912"/>
      <c r="BZ88" s="912"/>
      <c r="CA88" s="912"/>
      <c r="CB88" s="912"/>
      <c r="CC88" s="912"/>
      <c r="CD88" s="912"/>
      <c r="CE88" s="912"/>
      <c r="CF88" s="912"/>
      <c r="CG88" s="912"/>
      <c r="CH88" s="912"/>
      <c r="CI88" s="912"/>
      <c r="CJ88" s="912"/>
      <c r="CK88" s="912"/>
      <c r="CL88" s="912"/>
      <c r="CM88" s="912"/>
      <c r="CN88" s="912"/>
      <c r="CO88" s="912"/>
      <c r="CP88" s="912"/>
      <c r="CQ88" s="912"/>
      <c r="CR88" s="912"/>
      <c r="CS88" s="912"/>
      <c r="CT88" s="912"/>
      <c r="CU88" s="912"/>
      <c r="CV88" s="912"/>
      <c r="CW88" s="912"/>
      <c r="CX88" s="912"/>
      <c r="CY88" s="912"/>
      <c r="CZ88" s="912"/>
      <c r="DA88" s="912"/>
      <c r="DB88" s="912"/>
      <c r="DC88" s="912"/>
      <c r="DD88" s="912"/>
    </row>
  </sheetData>
  <mergeCells count="7">
    <mergeCell ref="A87:C87"/>
    <mergeCell ref="G83:H83"/>
    <mergeCell ref="A1:F1"/>
    <mergeCell ref="A2:F2"/>
    <mergeCell ref="A3:D3"/>
    <mergeCell ref="A26:D26"/>
    <mergeCell ref="A27:D27"/>
  </mergeCells>
  <pageMargins left="0.15873015873015872" right="0.27559055118110237" top="0.74803149606299213" bottom="0.74803149606299213" header="0.31496062992125984" footer="0.31496062992125984"/>
  <pageSetup scale="5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S904"/>
  <sheetViews>
    <sheetView view="pageBreakPreview" zoomScale="60" zoomScaleNormal="60" workbookViewId="0">
      <pane ySplit="463" topLeftCell="A464" activePane="bottomLeft" state="frozen"/>
      <selection pane="bottomLeft" activeCell="A211" sqref="A211"/>
    </sheetView>
  </sheetViews>
  <sheetFormatPr defaultColWidth="9.140625" defaultRowHeight="12" outlineLevelRow="2"/>
  <cols>
    <col min="1" max="1" width="11.140625" style="228" customWidth="1"/>
    <col min="2" max="2" width="26.5703125" style="228" customWidth="1"/>
    <col min="3" max="3" width="21.140625" style="228" customWidth="1"/>
    <col min="4" max="4" width="26.7109375" style="228" customWidth="1"/>
    <col min="5" max="5" width="80.140625" style="228" customWidth="1"/>
    <col min="6" max="6" width="16.85546875" style="233" customWidth="1"/>
    <col min="7" max="7" width="20.42578125" style="234" customWidth="1"/>
    <col min="8" max="8" width="17.7109375" style="228" customWidth="1"/>
    <col min="9" max="9" width="23.85546875" style="228" customWidth="1"/>
    <col min="10" max="10" width="23.7109375" style="228" bestFit="1" customWidth="1"/>
    <col min="11" max="11" width="5.5703125" style="228" customWidth="1"/>
    <col min="12" max="12" width="24" style="228" customWidth="1"/>
    <col min="13" max="13" width="26" style="228" customWidth="1"/>
    <col min="14" max="14" width="84" style="228" customWidth="1"/>
    <col min="15" max="15" width="19.140625" style="233" customWidth="1"/>
    <col min="16" max="17" width="20.5703125" style="228" customWidth="1"/>
    <col min="18" max="16384" width="9.140625" style="228"/>
  </cols>
  <sheetData>
    <row r="1" spans="1:17" s="227" customFormat="1" ht="24.75" customHeight="1">
      <c r="A1" s="235" t="s">
        <v>608</v>
      </c>
      <c r="B1" s="235"/>
      <c r="C1" s="235"/>
      <c r="D1" s="235"/>
      <c r="F1" s="235"/>
      <c r="G1" s="236"/>
      <c r="H1" s="237"/>
      <c r="I1" s="261" t="s">
        <v>609</v>
      </c>
      <c r="J1" s="261" t="s">
        <v>124</v>
      </c>
      <c r="K1" s="262"/>
      <c r="L1" s="263"/>
      <c r="M1" s="263"/>
      <c r="N1" s="262"/>
      <c r="O1" s="263"/>
      <c r="P1" s="263"/>
      <c r="Q1" s="263"/>
    </row>
    <row r="2" spans="1:17" s="227" customFormat="1" ht="24" customHeight="1">
      <c r="A2" s="1954" t="s">
        <v>1896</v>
      </c>
      <c r="B2" s="1955"/>
      <c r="C2" s="1955"/>
      <c r="D2" s="1955"/>
      <c r="E2" s="1955"/>
      <c r="F2" s="1955"/>
      <c r="G2" s="1956"/>
      <c r="H2" s="1957"/>
      <c r="I2" s="264"/>
      <c r="J2" s="264"/>
      <c r="K2" s="262"/>
      <c r="L2" s="238"/>
      <c r="M2" s="238"/>
      <c r="N2" s="238"/>
      <c r="O2" s="238"/>
      <c r="P2" s="262"/>
      <c r="Q2" s="262"/>
    </row>
    <row r="3" spans="1:17" s="227" customFormat="1" ht="33" customHeight="1" thickBot="1">
      <c r="A3" s="1958" t="s">
        <v>1897</v>
      </c>
      <c r="B3" s="1959"/>
      <c r="C3" s="239" t="s">
        <v>610</v>
      </c>
      <c r="D3" s="240" t="s">
        <v>611</v>
      </c>
      <c r="E3" s="240" t="s">
        <v>612</v>
      </c>
      <c r="F3" s="241"/>
      <c r="G3" s="242"/>
      <c r="H3" s="243"/>
      <c r="I3" s="265">
        <f>22700</f>
        <v>22700</v>
      </c>
      <c r="J3" s="266"/>
      <c r="K3" s="262"/>
      <c r="L3" s="267"/>
      <c r="M3" s="268"/>
      <c r="N3" s="268"/>
      <c r="O3" s="267"/>
      <c r="P3" s="268"/>
      <c r="Q3" s="268"/>
    </row>
    <row r="4" spans="1:17" s="227" customFormat="1" ht="24" customHeight="1" thickBot="1">
      <c r="A4" s="244" t="s">
        <v>129</v>
      </c>
      <c r="B4" s="245" t="s">
        <v>261</v>
      </c>
      <c r="C4" s="245" t="s">
        <v>262</v>
      </c>
      <c r="D4" s="245" t="s">
        <v>263</v>
      </c>
      <c r="E4" s="245" t="s">
        <v>133</v>
      </c>
      <c r="F4" s="245" t="s">
        <v>613</v>
      </c>
      <c r="G4" s="246" t="s">
        <v>614</v>
      </c>
      <c r="H4" s="245" t="s">
        <v>524</v>
      </c>
      <c r="I4" s="245" t="s">
        <v>523</v>
      </c>
      <c r="J4" s="269" t="s">
        <v>615</v>
      </c>
      <c r="K4" s="262"/>
      <c r="L4" s="270"/>
      <c r="M4" s="270"/>
      <c r="N4" s="270"/>
      <c r="O4" s="270"/>
      <c r="P4" s="270"/>
      <c r="Q4" s="270"/>
    </row>
    <row r="5" spans="1:17" ht="30.95" hidden="1" customHeight="1" outlineLevel="1">
      <c r="A5" s="1960" t="s">
        <v>616</v>
      </c>
      <c r="B5" s="1961"/>
      <c r="C5" s="1962"/>
      <c r="D5" s="1961"/>
      <c r="E5" s="1961"/>
      <c r="F5" s="247"/>
      <c r="G5" s="248">
        <v>16688.14</v>
      </c>
      <c r="H5" s="249"/>
      <c r="I5" s="249">
        <f>G5*$I$3</f>
        <v>378820778</v>
      </c>
      <c r="J5" s="271"/>
      <c r="K5" s="272"/>
      <c r="L5" s="273"/>
      <c r="M5" s="273"/>
      <c r="N5" s="273"/>
      <c r="O5" s="273"/>
      <c r="P5" s="278"/>
      <c r="Q5" s="278"/>
    </row>
    <row r="6" spans="1:17" s="229" customFormat="1" ht="27.75" hidden="1" customHeight="1" outlineLevel="2">
      <c r="A6" s="833" t="s">
        <v>617</v>
      </c>
      <c r="B6" s="251"/>
      <c r="C6" s="252" t="s">
        <v>618</v>
      </c>
      <c r="D6" s="834" t="s">
        <v>619</v>
      </c>
      <c r="E6" s="835" t="s">
        <v>620</v>
      </c>
      <c r="F6" s="254" t="s">
        <v>621</v>
      </c>
      <c r="G6" s="255"/>
      <c r="H6" s="256">
        <v>12</v>
      </c>
      <c r="I6" s="274">
        <f>G6*$I$3</f>
        <v>0</v>
      </c>
      <c r="J6" s="275">
        <f t="shared" ref="J6:J11" si="0">H6*$I$3</f>
        <v>272400</v>
      </c>
      <c r="K6" s="276"/>
      <c r="L6" s="277"/>
      <c r="M6" s="277"/>
      <c r="N6" s="277"/>
      <c r="O6" s="277"/>
      <c r="P6" s="279"/>
      <c r="Q6" s="279"/>
    </row>
    <row r="7" spans="1:17" s="229" customFormat="1" ht="27.75" hidden="1" customHeight="1" outlineLevel="2">
      <c r="A7" s="833" t="s">
        <v>617</v>
      </c>
      <c r="B7" s="251"/>
      <c r="C7" s="252" t="s">
        <v>618</v>
      </c>
      <c r="D7" s="834" t="s">
        <v>619</v>
      </c>
      <c r="E7" s="835" t="s">
        <v>622</v>
      </c>
      <c r="F7" s="254" t="s">
        <v>621</v>
      </c>
      <c r="G7" s="255"/>
      <c r="H7" s="256">
        <v>20</v>
      </c>
      <c r="I7" s="274">
        <f t="shared" ref="I7:I24" si="1">G7*$I$3</f>
        <v>0</v>
      </c>
      <c r="J7" s="275">
        <f t="shared" si="0"/>
        <v>454000</v>
      </c>
      <c r="K7" s="276"/>
      <c r="L7" s="277"/>
      <c r="M7" s="277"/>
      <c r="N7" s="277"/>
      <c r="O7" s="277"/>
      <c r="P7" s="279"/>
      <c r="Q7" s="279"/>
    </row>
    <row r="8" spans="1:17" s="229" customFormat="1" ht="27.75" hidden="1" customHeight="1" outlineLevel="2">
      <c r="A8" s="833" t="s">
        <v>617</v>
      </c>
      <c r="B8" s="251"/>
      <c r="C8" s="252" t="s">
        <v>618</v>
      </c>
      <c r="D8" s="834" t="s">
        <v>623</v>
      </c>
      <c r="E8" s="835" t="s">
        <v>624</v>
      </c>
      <c r="F8" s="254" t="s">
        <v>625</v>
      </c>
      <c r="G8" s="255"/>
      <c r="H8" s="256">
        <v>9</v>
      </c>
      <c r="I8" s="274">
        <f t="shared" si="1"/>
        <v>0</v>
      </c>
      <c r="J8" s="275">
        <f t="shared" si="0"/>
        <v>204300</v>
      </c>
      <c r="K8" s="276"/>
      <c r="L8" s="277"/>
      <c r="M8" s="277"/>
      <c r="N8" s="277"/>
      <c r="O8" s="277"/>
      <c r="P8" s="279"/>
      <c r="Q8" s="279"/>
    </row>
    <row r="9" spans="1:17" s="229" customFormat="1" ht="27.75" hidden="1" customHeight="1" outlineLevel="2">
      <c r="A9" s="833" t="s">
        <v>617</v>
      </c>
      <c r="B9" s="251"/>
      <c r="C9" s="252" t="s">
        <v>618</v>
      </c>
      <c r="D9" s="834" t="s">
        <v>623</v>
      </c>
      <c r="E9" s="835" t="s">
        <v>626</v>
      </c>
      <c r="F9" s="254" t="s">
        <v>627</v>
      </c>
      <c r="G9" s="255"/>
      <c r="H9" s="256">
        <v>10</v>
      </c>
      <c r="I9" s="274">
        <f t="shared" si="1"/>
        <v>0</v>
      </c>
      <c r="J9" s="275">
        <f t="shared" si="0"/>
        <v>227000</v>
      </c>
      <c r="K9" s="276"/>
      <c r="L9" s="277"/>
      <c r="M9" s="277"/>
      <c r="N9" s="277"/>
      <c r="O9" s="277"/>
      <c r="P9" s="279"/>
      <c r="Q9" s="279"/>
    </row>
    <row r="10" spans="1:17" s="229" customFormat="1" ht="27.75" hidden="1" customHeight="1" outlineLevel="2">
      <c r="A10" s="833" t="s">
        <v>617</v>
      </c>
      <c r="B10" s="251"/>
      <c r="C10" s="252" t="s">
        <v>618</v>
      </c>
      <c r="D10" s="836" t="s">
        <v>628</v>
      </c>
      <c r="E10" s="837" t="s">
        <v>629</v>
      </c>
      <c r="F10" s="254" t="s">
        <v>627</v>
      </c>
      <c r="G10" s="255"/>
      <c r="H10" s="256">
        <v>10</v>
      </c>
      <c r="I10" s="274">
        <f t="shared" si="1"/>
        <v>0</v>
      </c>
      <c r="J10" s="275">
        <f t="shared" si="0"/>
        <v>227000</v>
      </c>
      <c r="K10" s="276"/>
      <c r="L10" s="277"/>
      <c r="M10" s="277"/>
      <c r="N10" s="277"/>
      <c r="O10" s="277"/>
      <c r="P10" s="279"/>
      <c r="Q10" s="279"/>
    </row>
    <row r="11" spans="1:17" s="229" customFormat="1" ht="27.75" hidden="1" customHeight="1" outlineLevel="2">
      <c r="A11" s="833" t="s">
        <v>617</v>
      </c>
      <c r="B11" s="251"/>
      <c r="C11" s="252" t="s">
        <v>618</v>
      </c>
      <c r="D11" s="836" t="s">
        <v>630</v>
      </c>
      <c r="E11" s="837" t="s">
        <v>631</v>
      </c>
      <c r="F11" s="254" t="s">
        <v>627</v>
      </c>
      <c r="G11" s="255"/>
      <c r="H11" s="256">
        <v>10</v>
      </c>
      <c r="I11" s="274">
        <f t="shared" si="1"/>
        <v>0</v>
      </c>
      <c r="J11" s="275">
        <f t="shared" si="0"/>
        <v>227000</v>
      </c>
      <c r="K11" s="276"/>
      <c r="L11" s="277"/>
      <c r="M11" s="277"/>
      <c r="N11" s="277"/>
      <c r="O11" s="277"/>
      <c r="P11" s="279"/>
      <c r="Q11" s="279"/>
    </row>
    <row r="12" spans="1:17" s="229" customFormat="1" ht="27.75" hidden="1" customHeight="1" outlineLevel="2">
      <c r="A12" s="833" t="s">
        <v>617</v>
      </c>
      <c r="B12" s="251"/>
      <c r="C12" s="252" t="s">
        <v>618</v>
      </c>
      <c r="D12" s="836" t="s">
        <v>632</v>
      </c>
      <c r="E12" s="837" t="s">
        <v>633</v>
      </c>
      <c r="F12" s="254" t="s">
        <v>627</v>
      </c>
      <c r="G12" s="255"/>
      <c r="H12" s="256">
        <v>10</v>
      </c>
      <c r="I12" s="274">
        <f t="shared" si="1"/>
        <v>0</v>
      </c>
      <c r="J12" s="275">
        <f t="shared" ref="J12:J24" si="2">H12*$I$3</f>
        <v>227000</v>
      </c>
      <c r="K12" s="276"/>
      <c r="L12" s="277"/>
      <c r="M12" s="277"/>
      <c r="N12" s="277"/>
      <c r="O12" s="277"/>
      <c r="P12" s="279"/>
      <c r="Q12" s="279"/>
    </row>
    <row r="13" spans="1:17" s="229" customFormat="1" ht="27" hidden="1" customHeight="1" outlineLevel="2">
      <c r="A13" s="833" t="s">
        <v>634</v>
      </c>
      <c r="B13" s="257"/>
      <c r="C13" s="258" t="s">
        <v>618</v>
      </c>
      <c r="D13" s="838" t="s">
        <v>635</v>
      </c>
      <c r="E13" s="837" t="s">
        <v>636</v>
      </c>
      <c r="F13" s="260" t="s">
        <v>621</v>
      </c>
      <c r="G13" s="255"/>
      <c r="H13" s="256">
        <v>22</v>
      </c>
      <c r="I13" s="274">
        <f t="shared" si="1"/>
        <v>0</v>
      </c>
      <c r="J13" s="275">
        <f t="shared" si="2"/>
        <v>499400</v>
      </c>
      <c r="K13" s="276"/>
      <c r="L13" s="277"/>
      <c r="M13" s="277"/>
      <c r="N13" s="277"/>
      <c r="O13" s="277"/>
      <c r="P13" s="279"/>
      <c r="Q13" s="279"/>
    </row>
    <row r="14" spans="1:17" s="229" customFormat="1" ht="27" hidden="1" customHeight="1" outlineLevel="2">
      <c r="A14" s="833" t="s">
        <v>634</v>
      </c>
      <c r="B14" s="257"/>
      <c r="C14" s="258" t="s">
        <v>618</v>
      </c>
      <c r="D14" s="838" t="s">
        <v>635</v>
      </c>
      <c r="E14" s="837" t="s">
        <v>637</v>
      </c>
      <c r="F14" s="260" t="s">
        <v>638</v>
      </c>
      <c r="G14" s="255"/>
      <c r="H14" s="256">
        <v>40</v>
      </c>
      <c r="I14" s="274">
        <f t="shared" si="1"/>
        <v>0</v>
      </c>
      <c r="J14" s="275">
        <f t="shared" si="2"/>
        <v>908000</v>
      </c>
      <c r="K14" s="276"/>
      <c r="L14" s="277"/>
      <c r="M14" s="277"/>
      <c r="N14" s="277"/>
      <c r="O14" s="277"/>
      <c r="P14" s="279"/>
      <c r="Q14" s="279"/>
    </row>
    <row r="15" spans="1:17" s="229" customFormat="1" ht="24.75" hidden="1" customHeight="1" outlineLevel="2">
      <c r="A15" s="833" t="s">
        <v>634</v>
      </c>
      <c r="B15" s="257"/>
      <c r="C15" s="258" t="s">
        <v>618</v>
      </c>
      <c r="D15" s="838" t="s">
        <v>611</v>
      </c>
      <c r="E15" s="837" t="s">
        <v>639</v>
      </c>
      <c r="F15" s="260" t="s">
        <v>621</v>
      </c>
      <c r="G15" s="255"/>
      <c r="H15" s="256">
        <v>13</v>
      </c>
      <c r="I15" s="274">
        <f t="shared" si="1"/>
        <v>0</v>
      </c>
      <c r="J15" s="275">
        <f t="shared" si="2"/>
        <v>295100</v>
      </c>
      <c r="K15" s="276"/>
      <c r="L15" s="277"/>
      <c r="M15" s="277"/>
      <c r="N15" s="277"/>
      <c r="O15" s="277"/>
      <c r="P15" s="279"/>
      <c r="Q15" s="279"/>
    </row>
    <row r="16" spans="1:17" s="229" customFormat="1" ht="27" hidden="1" customHeight="1" outlineLevel="2">
      <c r="A16" s="833" t="s">
        <v>634</v>
      </c>
      <c r="B16" s="257"/>
      <c r="C16" s="258" t="s">
        <v>618</v>
      </c>
      <c r="D16" s="838" t="s">
        <v>611</v>
      </c>
      <c r="E16" s="837" t="s">
        <v>640</v>
      </c>
      <c r="F16" s="260" t="s">
        <v>641</v>
      </c>
      <c r="G16" s="255"/>
      <c r="H16" s="256">
        <v>10.5</v>
      </c>
      <c r="I16" s="274">
        <f t="shared" si="1"/>
        <v>0</v>
      </c>
      <c r="J16" s="275">
        <f t="shared" si="2"/>
        <v>238350</v>
      </c>
      <c r="K16" s="276"/>
      <c r="L16" s="277"/>
      <c r="M16" s="277"/>
      <c r="N16" s="277"/>
      <c r="O16" s="277"/>
      <c r="P16" s="279"/>
      <c r="Q16" s="279"/>
    </row>
    <row r="17" spans="1:17" s="229" customFormat="1" ht="27" hidden="1" customHeight="1" outlineLevel="2">
      <c r="A17" s="833" t="s">
        <v>634</v>
      </c>
      <c r="B17" s="257"/>
      <c r="C17" s="258" t="s">
        <v>618</v>
      </c>
      <c r="D17" s="838" t="s">
        <v>611</v>
      </c>
      <c r="E17" s="837" t="s">
        <v>640</v>
      </c>
      <c r="F17" s="260" t="s">
        <v>641</v>
      </c>
      <c r="G17" s="255"/>
      <c r="H17" s="256">
        <v>1</v>
      </c>
      <c r="I17" s="274">
        <f t="shared" si="1"/>
        <v>0</v>
      </c>
      <c r="J17" s="275">
        <f t="shared" si="2"/>
        <v>22700</v>
      </c>
      <c r="K17" s="276"/>
      <c r="L17" s="277"/>
      <c r="M17" s="277"/>
      <c r="N17" s="277"/>
      <c r="O17" s="277"/>
      <c r="P17" s="279"/>
      <c r="Q17" s="279"/>
    </row>
    <row r="18" spans="1:17" s="229" customFormat="1" ht="27.75" hidden="1" customHeight="1" outlineLevel="2">
      <c r="A18" s="833" t="s">
        <v>642</v>
      </c>
      <c r="B18" s="251"/>
      <c r="C18" s="252" t="s">
        <v>618</v>
      </c>
      <c r="D18" s="834" t="s">
        <v>635</v>
      </c>
      <c r="E18" s="835" t="s">
        <v>643</v>
      </c>
      <c r="F18" s="254" t="s">
        <v>644</v>
      </c>
      <c r="G18" s="255"/>
      <c r="H18" s="256">
        <v>3534.74</v>
      </c>
      <c r="I18" s="274">
        <f t="shared" si="1"/>
        <v>0</v>
      </c>
      <c r="J18" s="275">
        <f t="shared" si="2"/>
        <v>80238598</v>
      </c>
      <c r="K18" s="276"/>
      <c r="L18" s="277"/>
      <c r="M18" s="277"/>
      <c r="N18" s="277"/>
      <c r="O18" s="277"/>
      <c r="P18" s="279"/>
      <c r="Q18" s="279"/>
    </row>
    <row r="19" spans="1:17" s="229" customFormat="1" ht="27.75" hidden="1" customHeight="1" outlineLevel="2">
      <c r="A19" s="833" t="s">
        <v>642</v>
      </c>
      <c r="B19" s="251"/>
      <c r="C19" s="252" t="s">
        <v>618</v>
      </c>
      <c r="D19" s="834" t="s">
        <v>635</v>
      </c>
      <c r="E19" s="835" t="s">
        <v>645</v>
      </c>
      <c r="F19" s="254" t="s">
        <v>644</v>
      </c>
      <c r="G19" s="255"/>
      <c r="H19" s="256">
        <v>8324.65</v>
      </c>
      <c r="I19" s="274">
        <f t="shared" si="1"/>
        <v>0</v>
      </c>
      <c r="J19" s="275">
        <f t="shared" si="2"/>
        <v>188969555</v>
      </c>
      <c r="K19" s="276"/>
      <c r="L19" s="277"/>
      <c r="M19" s="277"/>
      <c r="N19" s="277"/>
      <c r="O19" s="277"/>
      <c r="P19" s="279"/>
      <c r="Q19" s="279"/>
    </row>
    <row r="20" spans="1:17" s="229" customFormat="1" ht="27.75" hidden="1" customHeight="1" outlineLevel="2">
      <c r="A20" s="833" t="s">
        <v>642</v>
      </c>
      <c r="B20" s="251"/>
      <c r="C20" s="252" t="s">
        <v>618</v>
      </c>
      <c r="D20" s="834" t="s">
        <v>635</v>
      </c>
      <c r="E20" s="835" t="s">
        <v>646</v>
      </c>
      <c r="F20" s="254" t="s">
        <v>621</v>
      </c>
      <c r="G20" s="255"/>
      <c r="H20" s="256">
        <v>10</v>
      </c>
      <c r="I20" s="274">
        <f t="shared" si="1"/>
        <v>0</v>
      </c>
      <c r="J20" s="275">
        <f t="shared" si="2"/>
        <v>227000</v>
      </c>
      <c r="K20" s="276"/>
      <c r="L20" s="277"/>
      <c r="M20" s="277"/>
      <c r="N20" s="277"/>
      <c r="O20" s="277"/>
      <c r="P20" s="279"/>
      <c r="Q20" s="279"/>
    </row>
    <row r="21" spans="1:17" s="229" customFormat="1" ht="27.75" hidden="1" customHeight="1" outlineLevel="2">
      <c r="A21" s="833" t="s">
        <v>642</v>
      </c>
      <c r="B21" s="251"/>
      <c r="C21" s="252" t="s">
        <v>618</v>
      </c>
      <c r="D21" s="834" t="s">
        <v>635</v>
      </c>
      <c r="E21" s="835" t="s">
        <v>647</v>
      </c>
      <c r="F21" s="254" t="s">
        <v>621</v>
      </c>
      <c r="G21" s="255"/>
      <c r="H21" s="256">
        <v>43.89</v>
      </c>
      <c r="I21" s="274">
        <f t="shared" si="1"/>
        <v>0</v>
      </c>
      <c r="J21" s="275">
        <f t="shared" si="2"/>
        <v>996303</v>
      </c>
      <c r="K21" s="276"/>
      <c r="L21" s="277"/>
      <c r="M21" s="277"/>
      <c r="N21" s="277"/>
      <c r="O21" s="277"/>
      <c r="P21" s="279"/>
      <c r="Q21" s="279"/>
    </row>
    <row r="22" spans="1:17" s="229" customFormat="1" ht="27.75" hidden="1" customHeight="1" outlineLevel="2">
      <c r="A22" s="833" t="s">
        <v>642</v>
      </c>
      <c r="B22" s="251"/>
      <c r="C22" s="252" t="s">
        <v>618</v>
      </c>
      <c r="D22" s="834" t="s">
        <v>648</v>
      </c>
      <c r="E22" s="835" t="s">
        <v>649</v>
      </c>
      <c r="F22" s="254" t="s">
        <v>625</v>
      </c>
      <c r="G22" s="255"/>
      <c r="H22" s="256">
        <v>2000</v>
      </c>
      <c r="I22" s="274">
        <f t="shared" si="1"/>
        <v>0</v>
      </c>
      <c r="J22" s="275">
        <f t="shared" si="2"/>
        <v>45400000</v>
      </c>
      <c r="K22" s="276"/>
      <c r="L22" s="277"/>
      <c r="M22" s="277"/>
      <c r="N22" s="277"/>
      <c r="O22" s="277"/>
      <c r="P22" s="279"/>
      <c r="Q22" s="279"/>
    </row>
    <row r="23" spans="1:17" s="229" customFormat="1" ht="27.75" hidden="1" customHeight="1" outlineLevel="2">
      <c r="A23" s="833" t="s">
        <v>642</v>
      </c>
      <c r="B23" s="251"/>
      <c r="C23" s="252" t="s">
        <v>618</v>
      </c>
      <c r="D23" s="834" t="s">
        <v>623</v>
      </c>
      <c r="E23" s="835" t="s">
        <v>650</v>
      </c>
      <c r="F23" s="254" t="s">
        <v>625</v>
      </c>
      <c r="G23" s="255"/>
      <c r="H23" s="256">
        <v>6</v>
      </c>
      <c r="I23" s="274">
        <f t="shared" si="1"/>
        <v>0</v>
      </c>
      <c r="J23" s="275">
        <f t="shared" si="2"/>
        <v>136200</v>
      </c>
      <c r="K23" s="276"/>
      <c r="L23" s="277"/>
      <c r="M23" s="277"/>
      <c r="N23" s="277"/>
      <c r="O23" s="277"/>
      <c r="P23" s="279"/>
      <c r="Q23" s="279"/>
    </row>
    <row r="24" spans="1:17" s="229" customFormat="1" ht="27.75" hidden="1" customHeight="1" outlineLevel="2">
      <c r="A24" s="833" t="s">
        <v>642</v>
      </c>
      <c r="B24" s="251"/>
      <c r="C24" s="252" t="s">
        <v>618</v>
      </c>
      <c r="D24" s="834" t="s">
        <v>623</v>
      </c>
      <c r="E24" s="835" t="s">
        <v>651</v>
      </c>
      <c r="F24" s="254" t="s">
        <v>625</v>
      </c>
      <c r="G24" s="255"/>
      <c r="H24" s="256">
        <v>50</v>
      </c>
      <c r="I24" s="274">
        <f t="shared" si="1"/>
        <v>0</v>
      </c>
      <c r="J24" s="275">
        <f t="shared" si="2"/>
        <v>1135000</v>
      </c>
      <c r="K24" s="276"/>
      <c r="L24" s="277"/>
      <c r="M24" s="277"/>
      <c r="N24" s="277"/>
      <c r="O24" s="277"/>
      <c r="P24" s="279"/>
      <c r="Q24" s="279"/>
    </row>
    <row r="25" spans="1:17" s="229" customFormat="1" ht="27.75" hidden="1" customHeight="1" outlineLevel="2">
      <c r="A25" s="833" t="s">
        <v>642</v>
      </c>
      <c r="B25" s="251"/>
      <c r="C25" s="252" t="s">
        <v>618</v>
      </c>
      <c r="D25" s="834" t="s">
        <v>623</v>
      </c>
      <c r="E25" s="835" t="s">
        <v>652</v>
      </c>
      <c r="F25" s="254" t="s">
        <v>625</v>
      </c>
      <c r="G25" s="255"/>
      <c r="H25" s="256">
        <v>11</v>
      </c>
      <c r="I25" s="274">
        <f t="shared" ref="I25:I56" si="3">G25*$I$3</f>
        <v>0</v>
      </c>
      <c r="J25" s="275">
        <f t="shared" ref="J25:J37" si="4">H25*$I$3</f>
        <v>249700</v>
      </c>
      <c r="K25" s="276"/>
      <c r="L25" s="277"/>
      <c r="M25" s="277"/>
      <c r="N25" s="277"/>
      <c r="O25" s="277"/>
      <c r="P25" s="279"/>
      <c r="Q25" s="279"/>
    </row>
    <row r="26" spans="1:17" s="229" customFormat="1" ht="27.75" hidden="1" customHeight="1" outlineLevel="2">
      <c r="A26" s="833" t="s">
        <v>642</v>
      </c>
      <c r="B26" s="251"/>
      <c r="C26" s="252" t="s">
        <v>618</v>
      </c>
      <c r="D26" s="834" t="s">
        <v>623</v>
      </c>
      <c r="E26" s="835" t="s">
        <v>653</v>
      </c>
      <c r="F26" s="254" t="s">
        <v>625</v>
      </c>
      <c r="G26" s="255"/>
      <c r="H26" s="256">
        <v>10</v>
      </c>
      <c r="I26" s="274">
        <f t="shared" si="3"/>
        <v>0</v>
      </c>
      <c r="J26" s="275">
        <f t="shared" si="4"/>
        <v>227000</v>
      </c>
      <c r="K26" s="276"/>
      <c r="L26" s="277"/>
      <c r="M26" s="277"/>
      <c r="N26" s="277"/>
      <c r="O26" s="277"/>
      <c r="P26" s="279"/>
      <c r="Q26" s="279"/>
    </row>
    <row r="27" spans="1:17" s="229" customFormat="1" ht="27.75" hidden="1" customHeight="1" outlineLevel="2">
      <c r="A27" s="833" t="s">
        <v>642</v>
      </c>
      <c r="B27" s="251"/>
      <c r="C27" s="252" t="s">
        <v>618</v>
      </c>
      <c r="D27" s="834" t="s">
        <v>623</v>
      </c>
      <c r="E27" s="835" t="s">
        <v>654</v>
      </c>
      <c r="F27" s="254" t="s">
        <v>625</v>
      </c>
      <c r="G27" s="255"/>
      <c r="H27" s="256">
        <v>10</v>
      </c>
      <c r="I27" s="274">
        <f t="shared" si="3"/>
        <v>0</v>
      </c>
      <c r="J27" s="275">
        <f t="shared" si="4"/>
        <v>227000</v>
      </c>
      <c r="K27" s="276"/>
      <c r="L27" s="277"/>
      <c r="M27" s="277"/>
      <c r="N27" s="277"/>
      <c r="O27" s="277"/>
      <c r="P27" s="279"/>
      <c r="Q27" s="279"/>
    </row>
    <row r="28" spans="1:17" s="229" customFormat="1" ht="27.75" hidden="1" customHeight="1" outlineLevel="2">
      <c r="A28" s="833" t="s">
        <v>642</v>
      </c>
      <c r="B28" s="251"/>
      <c r="C28" s="252" t="s">
        <v>618</v>
      </c>
      <c r="D28" s="834" t="s">
        <v>623</v>
      </c>
      <c r="E28" s="835" t="s">
        <v>655</v>
      </c>
      <c r="F28" s="254" t="s">
        <v>625</v>
      </c>
      <c r="G28" s="255"/>
      <c r="H28" s="256">
        <v>55</v>
      </c>
      <c r="I28" s="274">
        <f t="shared" si="3"/>
        <v>0</v>
      </c>
      <c r="J28" s="275">
        <f t="shared" si="4"/>
        <v>1248500</v>
      </c>
      <c r="K28" s="276"/>
      <c r="L28" s="277"/>
      <c r="M28" s="277"/>
      <c r="N28" s="277"/>
      <c r="O28" s="277"/>
      <c r="P28" s="279"/>
      <c r="Q28" s="279"/>
    </row>
    <row r="29" spans="1:17" s="229" customFormat="1" ht="27.75" hidden="1" customHeight="1" outlineLevel="2">
      <c r="A29" s="833" t="s">
        <v>642</v>
      </c>
      <c r="B29" s="251"/>
      <c r="C29" s="252" t="s">
        <v>618</v>
      </c>
      <c r="D29" s="834" t="s">
        <v>623</v>
      </c>
      <c r="E29" s="835" t="s">
        <v>656</v>
      </c>
      <c r="F29" s="254" t="s">
        <v>625</v>
      </c>
      <c r="G29" s="255"/>
      <c r="H29" s="256">
        <v>22.5</v>
      </c>
      <c r="I29" s="274">
        <f t="shared" si="3"/>
        <v>0</v>
      </c>
      <c r="J29" s="275">
        <f t="shared" si="4"/>
        <v>510750</v>
      </c>
      <c r="K29" s="276"/>
      <c r="L29" s="277"/>
      <c r="M29" s="277"/>
      <c r="N29" s="277"/>
      <c r="O29" s="277"/>
      <c r="P29" s="279"/>
      <c r="Q29" s="279"/>
    </row>
    <row r="30" spans="1:17" s="229" customFormat="1" ht="27.75" hidden="1" customHeight="1" outlineLevel="2">
      <c r="A30" s="833" t="s">
        <v>642</v>
      </c>
      <c r="B30" s="251"/>
      <c r="C30" s="252" t="s">
        <v>618</v>
      </c>
      <c r="D30" s="834" t="s">
        <v>623</v>
      </c>
      <c r="E30" s="835" t="s">
        <v>657</v>
      </c>
      <c r="F30" s="254" t="s">
        <v>625</v>
      </c>
      <c r="G30" s="255"/>
      <c r="H30" s="256">
        <v>2.5</v>
      </c>
      <c r="I30" s="274">
        <f t="shared" si="3"/>
        <v>0</v>
      </c>
      <c r="J30" s="275">
        <f t="shared" si="4"/>
        <v>56750</v>
      </c>
      <c r="K30" s="276"/>
      <c r="L30" s="277"/>
      <c r="M30" s="277"/>
      <c r="N30" s="277"/>
      <c r="O30" s="277"/>
      <c r="P30" s="279"/>
      <c r="Q30" s="279"/>
    </row>
    <row r="31" spans="1:17" s="229" customFormat="1" ht="27.75" hidden="1" customHeight="1" outlineLevel="2">
      <c r="A31" s="833" t="s">
        <v>642</v>
      </c>
      <c r="B31" s="251"/>
      <c r="C31" s="252" t="s">
        <v>618</v>
      </c>
      <c r="D31" s="834" t="s">
        <v>623</v>
      </c>
      <c r="E31" s="835" t="s">
        <v>658</v>
      </c>
      <c r="F31" s="254" t="s">
        <v>625</v>
      </c>
      <c r="G31" s="255"/>
      <c r="H31" s="256">
        <v>12.5</v>
      </c>
      <c r="I31" s="274">
        <f t="shared" si="3"/>
        <v>0</v>
      </c>
      <c r="J31" s="275">
        <f t="shared" si="4"/>
        <v>283750</v>
      </c>
      <c r="K31" s="276"/>
      <c r="L31" s="277"/>
      <c r="M31" s="277"/>
      <c r="N31" s="277"/>
      <c r="O31" s="277"/>
      <c r="P31" s="279"/>
      <c r="Q31" s="279"/>
    </row>
    <row r="32" spans="1:17" s="229" customFormat="1" ht="27.75" hidden="1" customHeight="1" outlineLevel="2">
      <c r="A32" s="833" t="s">
        <v>642</v>
      </c>
      <c r="B32" s="251"/>
      <c r="C32" s="252" t="s">
        <v>618</v>
      </c>
      <c r="D32" s="834" t="s">
        <v>623</v>
      </c>
      <c r="E32" s="835" t="s">
        <v>659</v>
      </c>
      <c r="F32" s="254" t="s">
        <v>625</v>
      </c>
      <c r="G32" s="255"/>
      <c r="H32" s="256">
        <v>50</v>
      </c>
      <c r="I32" s="274">
        <f t="shared" si="3"/>
        <v>0</v>
      </c>
      <c r="J32" s="275">
        <f t="shared" si="4"/>
        <v>1135000</v>
      </c>
      <c r="K32" s="276"/>
      <c r="L32" s="277"/>
      <c r="M32" s="277"/>
      <c r="N32" s="277"/>
      <c r="O32" s="277"/>
      <c r="P32" s="279"/>
      <c r="Q32" s="279"/>
    </row>
    <row r="33" spans="1:17" s="229" customFormat="1" ht="27.75" hidden="1" customHeight="1" outlineLevel="2">
      <c r="A33" s="833" t="s">
        <v>642</v>
      </c>
      <c r="B33" s="251"/>
      <c r="C33" s="252" t="s">
        <v>618</v>
      </c>
      <c r="D33" s="834" t="s">
        <v>623</v>
      </c>
      <c r="E33" s="835" t="s">
        <v>660</v>
      </c>
      <c r="F33" s="254" t="s">
        <v>625</v>
      </c>
      <c r="G33" s="255"/>
      <c r="H33" s="256">
        <v>17.5</v>
      </c>
      <c r="I33" s="274">
        <f t="shared" si="3"/>
        <v>0</v>
      </c>
      <c r="J33" s="275">
        <f t="shared" si="4"/>
        <v>397250</v>
      </c>
      <c r="K33" s="276"/>
      <c r="L33" s="277"/>
      <c r="M33" s="277"/>
      <c r="N33" s="277"/>
      <c r="O33" s="277"/>
      <c r="P33" s="279"/>
      <c r="Q33" s="279"/>
    </row>
    <row r="34" spans="1:17" s="229" customFormat="1" ht="27.75" hidden="1" customHeight="1" outlineLevel="2">
      <c r="A34" s="833" t="s">
        <v>642</v>
      </c>
      <c r="B34" s="251"/>
      <c r="C34" s="252" t="s">
        <v>618</v>
      </c>
      <c r="D34" s="834" t="s">
        <v>623</v>
      </c>
      <c r="E34" s="835" t="s">
        <v>661</v>
      </c>
      <c r="F34" s="254" t="s">
        <v>625</v>
      </c>
      <c r="G34" s="255"/>
      <c r="H34" s="256">
        <v>12.5</v>
      </c>
      <c r="I34" s="274">
        <f t="shared" si="3"/>
        <v>0</v>
      </c>
      <c r="J34" s="275">
        <f t="shared" si="4"/>
        <v>283750</v>
      </c>
      <c r="K34" s="276"/>
      <c r="L34" s="277"/>
      <c r="M34" s="277"/>
      <c r="N34" s="277"/>
      <c r="O34" s="277"/>
      <c r="P34" s="279"/>
      <c r="Q34" s="279"/>
    </row>
    <row r="35" spans="1:17" s="229" customFormat="1" ht="27.75" hidden="1" customHeight="1" outlineLevel="2">
      <c r="A35" s="833" t="s">
        <v>642</v>
      </c>
      <c r="B35" s="251"/>
      <c r="C35" s="252" t="s">
        <v>618</v>
      </c>
      <c r="D35" s="834" t="s">
        <v>623</v>
      </c>
      <c r="E35" s="835" t="s">
        <v>662</v>
      </c>
      <c r="F35" s="254" t="s">
        <v>625</v>
      </c>
      <c r="G35" s="255"/>
      <c r="H35" s="256">
        <v>36</v>
      </c>
      <c r="I35" s="274">
        <f t="shared" si="3"/>
        <v>0</v>
      </c>
      <c r="J35" s="275">
        <f t="shared" si="4"/>
        <v>817200</v>
      </c>
      <c r="K35" s="276"/>
      <c r="L35" s="277"/>
      <c r="M35" s="277"/>
      <c r="N35" s="277"/>
      <c r="O35" s="277"/>
      <c r="P35" s="279"/>
      <c r="Q35" s="279"/>
    </row>
    <row r="36" spans="1:17" s="229" customFormat="1" ht="27.75" hidden="1" customHeight="1" outlineLevel="2">
      <c r="A36" s="833" t="s">
        <v>642</v>
      </c>
      <c r="B36" s="251"/>
      <c r="C36" s="252" t="s">
        <v>618</v>
      </c>
      <c r="D36" s="834" t="s">
        <v>623</v>
      </c>
      <c r="E36" s="835" t="s">
        <v>663</v>
      </c>
      <c r="F36" s="254" t="s">
        <v>625</v>
      </c>
      <c r="G36" s="255"/>
      <c r="H36" s="256">
        <v>70</v>
      </c>
      <c r="I36" s="274">
        <f t="shared" si="3"/>
        <v>0</v>
      </c>
      <c r="J36" s="275">
        <f t="shared" si="4"/>
        <v>1589000</v>
      </c>
      <c r="K36" s="276"/>
      <c r="L36" s="277"/>
      <c r="M36" s="277"/>
      <c r="N36" s="277"/>
      <c r="O36" s="277"/>
      <c r="P36" s="279"/>
      <c r="Q36" s="279"/>
    </row>
    <row r="37" spans="1:17" s="229" customFormat="1" ht="27.75" hidden="1" customHeight="1" outlineLevel="2">
      <c r="A37" s="833" t="s">
        <v>642</v>
      </c>
      <c r="B37" s="251"/>
      <c r="C37" s="252" t="s">
        <v>618</v>
      </c>
      <c r="D37" s="834" t="s">
        <v>623</v>
      </c>
      <c r="E37" s="835" t="s">
        <v>664</v>
      </c>
      <c r="F37" s="254" t="s">
        <v>625</v>
      </c>
      <c r="G37" s="255"/>
      <c r="H37" s="256">
        <v>10</v>
      </c>
      <c r="I37" s="274">
        <f t="shared" si="3"/>
        <v>0</v>
      </c>
      <c r="J37" s="275">
        <f t="shared" si="4"/>
        <v>227000</v>
      </c>
      <c r="K37" s="276"/>
      <c r="L37" s="277"/>
      <c r="M37" s="277"/>
      <c r="N37" s="277"/>
      <c r="O37" s="277"/>
      <c r="P37" s="279"/>
      <c r="Q37" s="279"/>
    </row>
    <row r="38" spans="1:17" s="229" customFormat="1" ht="27.75" hidden="1" customHeight="1" outlineLevel="2">
      <c r="A38" s="833" t="s">
        <v>642</v>
      </c>
      <c r="B38" s="251"/>
      <c r="C38" s="252" t="s">
        <v>618</v>
      </c>
      <c r="D38" s="834" t="s">
        <v>623</v>
      </c>
      <c r="E38" s="835" t="s">
        <v>665</v>
      </c>
      <c r="F38" s="254" t="s">
        <v>625</v>
      </c>
      <c r="G38" s="255"/>
      <c r="H38" s="256">
        <v>2.5</v>
      </c>
      <c r="I38" s="274">
        <f t="shared" si="3"/>
        <v>0</v>
      </c>
      <c r="J38" s="275">
        <f t="shared" ref="J38:J49" si="5">H38*$I$3</f>
        <v>56750</v>
      </c>
      <c r="K38" s="276"/>
      <c r="L38" s="277"/>
      <c r="M38" s="277"/>
      <c r="N38" s="277"/>
      <c r="O38" s="277"/>
      <c r="P38" s="279"/>
      <c r="Q38" s="279"/>
    </row>
    <row r="39" spans="1:17" s="229" customFormat="1" ht="27.75" hidden="1" customHeight="1" outlineLevel="2">
      <c r="A39" s="833" t="s">
        <v>642</v>
      </c>
      <c r="B39" s="251"/>
      <c r="C39" s="252" t="s">
        <v>618</v>
      </c>
      <c r="D39" s="834" t="s">
        <v>623</v>
      </c>
      <c r="E39" s="835" t="s">
        <v>666</v>
      </c>
      <c r="F39" s="254" t="s">
        <v>625</v>
      </c>
      <c r="G39" s="255"/>
      <c r="H39" s="256">
        <v>96</v>
      </c>
      <c r="I39" s="274">
        <f t="shared" si="3"/>
        <v>0</v>
      </c>
      <c r="J39" s="275">
        <f t="shared" si="5"/>
        <v>2179200</v>
      </c>
      <c r="K39" s="276"/>
      <c r="L39" s="277"/>
      <c r="M39" s="277"/>
      <c r="N39" s="277"/>
      <c r="O39" s="277"/>
      <c r="P39" s="279"/>
      <c r="Q39" s="279"/>
    </row>
    <row r="40" spans="1:17" s="229" customFormat="1" ht="27.75" hidden="1" customHeight="1" outlineLevel="2">
      <c r="A40" s="833" t="s">
        <v>642</v>
      </c>
      <c r="B40" s="251"/>
      <c r="C40" s="252" t="s">
        <v>618</v>
      </c>
      <c r="D40" s="834" t="s">
        <v>623</v>
      </c>
      <c r="E40" s="835" t="s">
        <v>665</v>
      </c>
      <c r="F40" s="254" t="s">
        <v>625</v>
      </c>
      <c r="G40" s="255"/>
      <c r="H40" s="256">
        <v>2.5</v>
      </c>
      <c r="I40" s="274">
        <f t="shared" si="3"/>
        <v>0</v>
      </c>
      <c r="J40" s="275">
        <f t="shared" si="5"/>
        <v>56750</v>
      </c>
      <c r="K40" s="276"/>
      <c r="L40" s="277"/>
      <c r="M40" s="277"/>
      <c r="N40" s="277"/>
      <c r="O40" s="277"/>
      <c r="P40" s="279"/>
      <c r="Q40" s="279"/>
    </row>
    <row r="41" spans="1:17" s="229" customFormat="1" ht="27.75" hidden="1" customHeight="1" outlineLevel="2">
      <c r="A41" s="833" t="s">
        <v>642</v>
      </c>
      <c r="B41" s="251"/>
      <c r="C41" s="252" t="s">
        <v>618</v>
      </c>
      <c r="D41" s="834" t="s">
        <v>623</v>
      </c>
      <c r="E41" s="835" t="s">
        <v>667</v>
      </c>
      <c r="F41" s="254" t="s">
        <v>625</v>
      </c>
      <c r="G41" s="255"/>
      <c r="H41" s="256">
        <v>12.5</v>
      </c>
      <c r="I41" s="274">
        <f t="shared" si="3"/>
        <v>0</v>
      </c>
      <c r="J41" s="275">
        <f t="shared" si="5"/>
        <v>283750</v>
      </c>
      <c r="K41" s="276"/>
      <c r="L41" s="277"/>
      <c r="M41" s="277"/>
      <c r="N41" s="277"/>
      <c r="O41" s="277"/>
      <c r="P41" s="279"/>
      <c r="Q41" s="279"/>
    </row>
    <row r="42" spans="1:17" s="229" customFormat="1" ht="27.75" hidden="1" customHeight="1" outlineLevel="2">
      <c r="A42" s="833" t="s">
        <v>642</v>
      </c>
      <c r="B42" s="251"/>
      <c r="C42" s="252" t="s">
        <v>618</v>
      </c>
      <c r="D42" s="834" t="s">
        <v>623</v>
      </c>
      <c r="E42" s="835" t="s">
        <v>668</v>
      </c>
      <c r="F42" s="254" t="s">
        <v>625</v>
      </c>
      <c r="G42" s="255"/>
      <c r="H42" s="256">
        <v>50</v>
      </c>
      <c r="I42" s="274">
        <f t="shared" si="3"/>
        <v>0</v>
      </c>
      <c r="J42" s="275">
        <f t="shared" si="5"/>
        <v>1135000</v>
      </c>
      <c r="K42" s="276"/>
      <c r="L42" s="277"/>
      <c r="M42" s="277"/>
      <c r="N42" s="277"/>
      <c r="O42" s="277"/>
      <c r="P42" s="279"/>
      <c r="Q42" s="279"/>
    </row>
    <row r="43" spans="1:17" s="229" customFormat="1" ht="27.75" hidden="1" customHeight="1" outlineLevel="2">
      <c r="A43" s="833" t="s">
        <v>642</v>
      </c>
      <c r="B43" s="251"/>
      <c r="C43" s="252" t="s">
        <v>618</v>
      </c>
      <c r="D43" s="834" t="s">
        <v>623</v>
      </c>
      <c r="E43" s="835" t="s">
        <v>669</v>
      </c>
      <c r="F43" s="254" t="s">
        <v>625</v>
      </c>
      <c r="G43" s="255"/>
      <c r="H43" s="256">
        <v>17.5</v>
      </c>
      <c r="I43" s="274">
        <f t="shared" si="3"/>
        <v>0</v>
      </c>
      <c r="J43" s="275">
        <f t="shared" si="5"/>
        <v>397250</v>
      </c>
      <c r="K43" s="276"/>
      <c r="L43" s="277"/>
      <c r="M43" s="277"/>
      <c r="N43" s="277"/>
      <c r="O43" s="277"/>
      <c r="P43" s="279"/>
      <c r="Q43" s="279"/>
    </row>
    <row r="44" spans="1:17" s="229" customFormat="1" ht="27.75" hidden="1" customHeight="1" outlineLevel="2">
      <c r="A44" s="833" t="s">
        <v>642</v>
      </c>
      <c r="B44" s="251"/>
      <c r="C44" s="252" t="s">
        <v>618</v>
      </c>
      <c r="D44" s="834" t="s">
        <v>623</v>
      </c>
      <c r="E44" s="835" t="s">
        <v>670</v>
      </c>
      <c r="F44" s="254" t="s">
        <v>625</v>
      </c>
      <c r="G44" s="255"/>
      <c r="H44" s="256">
        <v>6</v>
      </c>
      <c r="I44" s="274">
        <f t="shared" si="3"/>
        <v>0</v>
      </c>
      <c r="J44" s="275">
        <f t="shared" si="5"/>
        <v>136200</v>
      </c>
      <c r="K44" s="276"/>
      <c r="L44" s="277"/>
      <c r="M44" s="277"/>
      <c r="N44" s="277"/>
      <c r="O44" s="277"/>
      <c r="P44" s="279"/>
      <c r="Q44" s="279"/>
    </row>
    <row r="45" spans="1:17" s="229" customFormat="1" ht="27.75" hidden="1" customHeight="1" outlineLevel="2">
      <c r="A45" s="833" t="s">
        <v>642</v>
      </c>
      <c r="B45" s="251"/>
      <c r="C45" s="252" t="s">
        <v>618</v>
      </c>
      <c r="D45" s="834" t="s">
        <v>623</v>
      </c>
      <c r="E45" s="835" t="s">
        <v>671</v>
      </c>
      <c r="F45" s="254" t="s">
        <v>625</v>
      </c>
      <c r="G45" s="255"/>
      <c r="H45" s="256">
        <v>7.5</v>
      </c>
      <c r="I45" s="274">
        <f t="shared" si="3"/>
        <v>0</v>
      </c>
      <c r="J45" s="275">
        <f t="shared" si="5"/>
        <v>170250</v>
      </c>
      <c r="K45" s="276"/>
      <c r="L45" s="277"/>
      <c r="M45" s="277"/>
      <c r="N45" s="277"/>
      <c r="O45" s="277"/>
      <c r="P45" s="279"/>
      <c r="Q45" s="279"/>
    </row>
    <row r="46" spans="1:17" s="229" customFormat="1" ht="27.75" hidden="1" customHeight="1" outlineLevel="2">
      <c r="A46" s="833" t="s">
        <v>642</v>
      </c>
      <c r="B46" s="251"/>
      <c r="C46" s="252" t="s">
        <v>618</v>
      </c>
      <c r="D46" s="834" t="s">
        <v>623</v>
      </c>
      <c r="E46" s="835" t="s">
        <v>665</v>
      </c>
      <c r="F46" s="254" t="s">
        <v>625</v>
      </c>
      <c r="G46" s="255"/>
      <c r="H46" s="256">
        <v>2.5</v>
      </c>
      <c r="I46" s="274">
        <f t="shared" si="3"/>
        <v>0</v>
      </c>
      <c r="J46" s="275">
        <f t="shared" si="5"/>
        <v>56750</v>
      </c>
      <c r="K46" s="276"/>
      <c r="L46" s="277"/>
      <c r="M46" s="277"/>
      <c r="N46" s="277"/>
      <c r="O46" s="277"/>
      <c r="P46" s="279"/>
      <c r="Q46" s="279"/>
    </row>
    <row r="47" spans="1:17" s="229" customFormat="1" ht="27.75" hidden="1" customHeight="1" outlineLevel="2">
      <c r="A47" s="833" t="s">
        <v>642</v>
      </c>
      <c r="B47" s="251"/>
      <c r="C47" s="252" t="s">
        <v>618</v>
      </c>
      <c r="D47" s="834" t="s">
        <v>623</v>
      </c>
      <c r="E47" s="835" t="s">
        <v>672</v>
      </c>
      <c r="F47" s="254" t="s">
        <v>625</v>
      </c>
      <c r="G47" s="255"/>
      <c r="H47" s="256">
        <v>19</v>
      </c>
      <c r="I47" s="274">
        <f t="shared" si="3"/>
        <v>0</v>
      </c>
      <c r="J47" s="275">
        <f t="shared" si="5"/>
        <v>431300</v>
      </c>
      <c r="K47" s="276"/>
      <c r="L47" s="277"/>
      <c r="M47" s="277"/>
      <c r="N47" s="277"/>
      <c r="O47" s="277"/>
      <c r="P47" s="279"/>
      <c r="Q47" s="279"/>
    </row>
    <row r="48" spans="1:17" s="229" customFormat="1" ht="27.75" hidden="1" customHeight="1" outlineLevel="2">
      <c r="A48" s="833" t="s">
        <v>642</v>
      </c>
      <c r="B48" s="251"/>
      <c r="C48" s="252" t="s">
        <v>618</v>
      </c>
      <c r="D48" s="834" t="s">
        <v>623</v>
      </c>
      <c r="E48" s="835" t="s">
        <v>673</v>
      </c>
      <c r="F48" s="254" t="s">
        <v>625</v>
      </c>
      <c r="G48" s="255"/>
      <c r="H48" s="256">
        <v>27.5</v>
      </c>
      <c r="I48" s="274">
        <f t="shared" si="3"/>
        <v>0</v>
      </c>
      <c r="J48" s="275">
        <f t="shared" si="5"/>
        <v>624250</v>
      </c>
      <c r="K48" s="276"/>
      <c r="L48" s="277"/>
      <c r="M48" s="277"/>
      <c r="N48" s="277"/>
      <c r="O48" s="277"/>
      <c r="P48" s="279"/>
      <c r="Q48" s="279"/>
    </row>
    <row r="49" spans="1:17" s="229" customFormat="1" ht="27.75" hidden="1" customHeight="1" outlineLevel="2">
      <c r="A49" s="833" t="s">
        <v>642</v>
      </c>
      <c r="B49" s="251"/>
      <c r="C49" s="252" t="s">
        <v>618</v>
      </c>
      <c r="D49" s="834" t="s">
        <v>623</v>
      </c>
      <c r="E49" s="835" t="s">
        <v>665</v>
      </c>
      <c r="F49" s="254" t="s">
        <v>625</v>
      </c>
      <c r="G49" s="255"/>
      <c r="H49" s="256">
        <v>2.5</v>
      </c>
      <c r="I49" s="274">
        <f t="shared" si="3"/>
        <v>0</v>
      </c>
      <c r="J49" s="275">
        <f t="shared" si="5"/>
        <v>56750</v>
      </c>
      <c r="K49" s="276"/>
      <c r="L49" s="277"/>
      <c r="M49" s="277"/>
      <c r="N49" s="277"/>
      <c r="O49" s="277"/>
      <c r="P49" s="279"/>
      <c r="Q49" s="279"/>
    </row>
    <row r="50" spans="1:17" s="229" customFormat="1" ht="27.75" hidden="1" customHeight="1" outlineLevel="2">
      <c r="A50" s="833" t="s">
        <v>642</v>
      </c>
      <c r="B50" s="251"/>
      <c r="C50" s="252" t="s">
        <v>618</v>
      </c>
      <c r="D50" s="834" t="s">
        <v>623</v>
      </c>
      <c r="E50" s="835" t="s">
        <v>674</v>
      </c>
      <c r="F50" s="254" t="s">
        <v>621</v>
      </c>
      <c r="G50" s="255"/>
      <c r="H50" s="256">
        <v>24</v>
      </c>
      <c r="I50" s="274">
        <f t="shared" si="3"/>
        <v>0</v>
      </c>
      <c r="J50" s="275">
        <f t="shared" ref="J50:J62" si="6">H50*$I$3</f>
        <v>544800</v>
      </c>
      <c r="K50" s="276"/>
      <c r="L50" s="277"/>
      <c r="M50" s="277"/>
      <c r="N50" s="277"/>
      <c r="O50" s="277"/>
      <c r="P50" s="279"/>
      <c r="Q50" s="279"/>
    </row>
    <row r="51" spans="1:17" s="229" customFormat="1" ht="27.75" hidden="1" customHeight="1" outlineLevel="2">
      <c r="A51" s="833" t="s">
        <v>642</v>
      </c>
      <c r="B51" s="251"/>
      <c r="C51" s="252" t="s">
        <v>618</v>
      </c>
      <c r="D51" s="834" t="s">
        <v>611</v>
      </c>
      <c r="E51" s="835" t="s">
        <v>675</v>
      </c>
      <c r="F51" s="254" t="s">
        <v>621</v>
      </c>
      <c r="G51" s="255"/>
      <c r="H51" s="256">
        <v>56</v>
      </c>
      <c r="I51" s="274">
        <f t="shared" si="3"/>
        <v>0</v>
      </c>
      <c r="J51" s="275">
        <f t="shared" si="6"/>
        <v>1271200</v>
      </c>
      <c r="K51" s="276"/>
      <c r="L51" s="277"/>
      <c r="M51" s="277"/>
      <c r="N51" s="277"/>
      <c r="O51" s="277"/>
      <c r="P51" s="279"/>
      <c r="Q51" s="279"/>
    </row>
    <row r="52" spans="1:17" s="229" customFormat="1" ht="27.75" hidden="1" customHeight="1" outlineLevel="2">
      <c r="A52" s="833" t="s">
        <v>642</v>
      </c>
      <c r="B52" s="251"/>
      <c r="C52" s="252" t="s">
        <v>618</v>
      </c>
      <c r="D52" s="834" t="s">
        <v>611</v>
      </c>
      <c r="E52" s="835" t="s">
        <v>676</v>
      </c>
      <c r="F52" s="254" t="s">
        <v>621</v>
      </c>
      <c r="G52" s="255"/>
      <c r="H52" s="256">
        <v>61</v>
      </c>
      <c r="I52" s="274">
        <f t="shared" si="3"/>
        <v>0</v>
      </c>
      <c r="J52" s="275">
        <f t="shared" si="6"/>
        <v>1384700</v>
      </c>
      <c r="K52" s="276"/>
      <c r="L52" s="277"/>
      <c r="M52" s="277"/>
      <c r="N52" s="277"/>
      <c r="O52" s="277"/>
      <c r="P52" s="279"/>
      <c r="Q52" s="279"/>
    </row>
    <row r="53" spans="1:17" s="229" customFormat="1" ht="27.75" hidden="1" customHeight="1" outlineLevel="2">
      <c r="A53" s="833" t="s">
        <v>642</v>
      </c>
      <c r="B53" s="251"/>
      <c r="C53" s="252" t="s">
        <v>618</v>
      </c>
      <c r="D53" s="834" t="s">
        <v>611</v>
      </c>
      <c r="E53" s="835" t="s">
        <v>677</v>
      </c>
      <c r="F53" s="254" t="s">
        <v>621</v>
      </c>
      <c r="G53" s="255"/>
      <c r="H53" s="256">
        <v>57</v>
      </c>
      <c r="I53" s="274">
        <f t="shared" si="3"/>
        <v>0</v>
      </c>
      <c r="J53" s="275">
        <f t="shared" si="6"/>
        <v>1293900</v>
      </c>
      <c r="K53" s="276"/>
      <c r="L53" s="277"/>
      <c r="M53" s="277"/>
      <c r="N53" s="277"/>
      <c r="O53" s="277"/>
      <c r="P53" s="279"/>
      <c r="Q53" s="279"/>
    </row>
    <row r="54" spans="1:17" s="229" customFormat="1" ht="27.75" hidden="1" customHeight="1" outlineLevel="2">
      <c r="A54" s="833" t="s">
        <v>642</v>
      </c>
      <c r="B54" s="251"/>
      <c r="C54" s="252" t="s">
        <v>618</v>
      </c>
      <c r="D54" s="834" t="s">
        <v>611</v>
      </c>
      <c r="E54" s="835" t="s">
        <v>678</v>
      </c>
      <c r="F54" s="254" t="s">
        <v>621</v>
      </c>
      <c r="G54" s="255"/>
      <c r="H54" s="256">
        <v>61</v>
      </c>
      <c r="I54" s="274">
        <f t="shared" si="3"/>
        <v>0</v>
      </c>
      <c r="J54" s="275">
        <f t="shared" si="6"/>
        <v>1384700</v>
      </c>
      <c r="K54" s="276"/>
      <c r="L54" s="277"/>
      <c r="M54" s="277"/>
      <c r="N54" s="277"/>
      <c r="O54" s="277"/>
      <c r="P54" s="279"/>
      <c r="Q54" s="279"/>
    </row>
    <row r="55" spans="1:17" s="229" customFormat="1" ht="27.75" hidden="1" customHeight="1" outlineLevel="2">
      <c r="A55" s="833" t="s">
        <v>642</v>
      </c>
      <c r="B55" s="251"/>
      <c r="C55" s="252" t="s">
        <v>618</v>
      </c>
      <c r="D55" s="834" t="s">
        <v>611</v>
      </c>
      <c r="E55" s="835" t="s">
        <v>679</v>
      </c>
      <c r="F55" s="254" t="s">
        <v>621</v>
      </c>
      <c r="G55" s="255"/>
      <c r="H55" s="256">
        <v>9</v>
      </c>
      <c r="I55" s="274">
        <f t="shared" si="3"/>
        <v>0</v>
      </c>
      <c r="J55" s="275">
        <f t="shared" si="6"/>
        <v>204300</v>
      </c>
      <c r="K55" s="276"/>
      <c r="L55" s="277"/>
      <c r="M55" s="277"/>
      <c r="N55" s="277"/>
      <c r="O55" s="277"/>
      <c r="P55" s="279"/>
      <c r="Q55" s="279"/>
    </row>
    <row r="56" spans="1:17" s="229" customFormat="1" ht="27.75" hidden="1" customHeight="1" outlineLevel="2">
      <c r="A56" s="833" t="s">
        <v>642</v>
      </c>
      <c r="B56" s="251"/>
      <c r="C56" s="252" t="s">
        <v>618</v>
      </c>
      <c r="D56" s="834" t="s">
        <v>611</v>
      </c>
      <c r="E56" s="835" t="s">
        <v>680</v>
      </c>
      <c r="F56" s="254" t="s">
        <v>621</v>
      </c>
      <c r="G56" s="255"/>
      <c r="H56" s="256">
        <v>32</v>
      </c>
      <c r="I56" s="274">
        <f t="shared" si="3"/>
        <v>0</v>
      </c>
      <c r="J56" s="275">
        <f t="shared" si="6"/>
        <v>726400</v>
      </c>
      <c r="K56" s="276"/>
      <c r="L56" s="277"/>
      <c r="M56" s="277"/>
      <c r="N56" s="277"/>
      <c r="O56" s="277"/>
      <c r="P56" s="279"/>
      <c r="Q56" s="279"/>
    </row>
    <row r="57" spans="1:17" s="229" customFormat="1" ht="27.75" hidden="1" customHeight="1" outlineLevel="2">
      <c r="A57" s="833" t="s">
        <v>642</v>
      </c>
      <c r="B57" s="251"/>
      <c r="C57" s="252" t="s">
        <v>618</v>
      </c>
      <c r="D57" s="834" t="s">
        <v>611</v>
      </c>
      <c r="E57" s="835" t="s">
        <v>681</v>
      </c>
      <c r="F57" s="254" t="s">
        <v>621</v>
      </c>
      <c r="G57" s="255"/>
      <c r="H57" s="256">
        <v>28</v>
      </c>
      <c r="I57" s="274">
        <f t="shared" ref="I57:I88" si="7">G57*$I$3</f>
        <v>0</v>
      </c>
      <c r="J57" s="275">
        <f t="shared" si="6"/>
        <v>635600</v>
      </c>
      <c r="K57" s="276"/>
      <c r="L57" s="277"/>
      <c r="M57" s="277"/>
      <c r="N57" s="277"/>
      <c r="O57" s="277"/>
      <c r="P57" s="279"/>
      <c r="Q57" s="279"/>
    </row>
    <row r="58" spans="1:17" s="229" customFormat="1" ht="27.75" hidden="1" customHeight="1" outlineLevel="2">
      <c r="A58" s="833" t="s">
        <v>642</v>
      </c>
      <c r="B58" s="251"/>
      <c r="C58" s="252" t="s">
        <v>618</v>
      </c>
      <c r="D58" s="834" t="s">
        <v>611</v>
      </c>
      <c r="E58" s="835" t="s">
        <v>682</v>
      </c>
      <c r="F58" s="254" t="s">
        <v>621</v>
      </c>
      <c r="G58" s="255"/>
      <c r="H58" s="256">
        <v>38</v>
      </c>
      <c r="I58" s="274">
        <f t="shared" si="7"/>
        <v>0</v>
      </c>
      <c r="J58" s="275">
        <f t="shared" si="6"/>
        <v>862600</v>
      </c>
      <c r="K58" s="276"/>
      <c r="L58" s="277"/>
      <c r="M58" s="277"/>
      <c r="N58" s="277"/>
      <c r="O58" s="277"/>
      <c r="P58" s="279"/>
      <c r="Q58" s="279"/>
    </row>
    <row r="59" spans="1:17" s="229" customFormat="1" ht="27.75" hidden="1" customHeight="1" outlineLevel="2">
      <c r="A59" s="833" t="s">
        <v>642</v>
      </c>
      <c r="B59" s="251"/>
      <c r="C59" s="252" t="s">
        <v>618</v>
      </c>
      <c r="D59" s="834" t="s">
        <v>611</v>
      </c>
      <c r="E59" s="835" t="s">
        <v>683</v>
      </c>
      <c r="F59" s="254" t="s">
        <v>621</v>
      </c>
      <c r="G59" s="255"/>
      <c r="H59" s="256">
        <v>40</v>
      </c>
      <c r="I59" s="274">
        <f t="shared" si="7"/>
        <v>0</v>
      </c>
      <c r="J59" s="275">
        <f t="shared" si="6"/>
        <v>908000</v>
      </c>
      <c r="K59" s="276"/>
      <c r="L59" s="277"/>
      <c r="M59" s="277"/>
      <c r="N59" s="277"/>
      <c r="O59" s="277"/>
      <c r="P59" s="279"/>
      <c r="Q59" s="279"/>
    </row>
    <row r="60" spans="1:17" s="229" customFormat="1" ht="27.75" hidden="1" customHeight="1" outlineLevel="2">
      <c r="A60" s="833" t="s">
        <v>642</v>
      </c>
      <c r="B60" s="251"/>
      <c r="C60" s="252" t="s">
        <v>618</v>
      </c>
      <c r="D60" s="834" t="s">
        <v>611</v>
      </c>
      <c r="E60" s="835" t="s">
        <v>684</v>
      </c>
      <c r="F60" s="254" t="s">
        <v>621</v>
      </c>
      <c r="G60" s="255"/>
      <c r="H60" s="256">
        <v>36</v>
      </c>
      <c r="I60" s="274">
        <f t="shared" si="7"/>
        <v>0</v>
      </c>
      <c r="J60" s="275">
        <f t="shared" si="6"/>
        <v>817200</v>
      </c>
      <c r="K60" s="276"/>
      <c r="L60" s="277"/>
      <c r="M60" s="277"/>
      <c r="N60" s="277"/>
      <c r="O60" s="277"/>
      <c r="P60" s="279"/>
      <c r="Q60" s="279"/>
    </row>
    <row r="61" spans="1:17" s="229" customFormat="1" ht="27.75" hidden="1" customHeight="1" outlineLevel="2">
      <c r="A61" s="833" t="s">
        <v>642</v>
      </c>
      <c r="B61" s="251"/>
      <c r="C61" s="252" t="s">
        <v>618</v>
      </c>
      <c r="D61" s="834" t="s">
        <v>611</v>
      </c>
      <c r="E61" s="835" t="s">
        <v>685</v>
      </c>
      <c r="F61" s="254" t="s">
        <v>621</v>
      </c>
      <c r="G61" s="255"/>
      <c r="H61" s="256">
        <v>23</v>
      </c>
      <c r="I61" s="274">
        <f t="shared" si="7"/>
        <v>0</v>
      </c>
      <c r="J61" s="275">
        <f t="shared" si="6"/>
        <v>522100</v>
      </c>
      <c r="K61" s="276"/>
      <c r="L61" s="277"/>
      <c r="M61" s="277"/>
      <c r="N61" s="277"/>
      <c r="O61" s="277"/>
      <c r="P61" s="279"/>
      <c r="Q61" s="279"/>
    </row>
    <row r="62" spans="1:17" s="229" customFormat="1" ht="27.75" hidden="1" customHeight="1" outlineLevel="2">
      <c r="A62" s="833" t="s">
        <v>642</v>
      </c>
      <c r="B62" s="251"/>
      <c r="C62" s="252" t="s">
        <v>618</v>
      </c>
      <c r="D62" s="834" t="s">
        <v>611</v>
      </c>
      <c r="E62" s="835" t="s">
        <v>686</v>
      </c>
      <c r="F62" s="254" t="s">
        <v>621</v>
      </c>
      <c r="G62" s="255"/>
      <c r="H62" s="256">
        <v>38</v>
      </c>
      <c r="I62" s="274">
        <f t="shared" si="7"/>
        <v>0</v>
      </c>
      <c r="J62" s="275">
        <f t="shared" si="6"/>
        <v>862600</v>
      </c>
      <c r="K62" s="276"/>
      <c r="L62" s="277"/>
      <c r="M62" s="277"/>
      <c r="N62" s="277"/>
      <c r="O62" s="277"/>
      <c r="P62" s="279"/>
      <c r="Q62" s="279"/>
    </row>
    <row r="63" spans="1:17" s="229" customFormat="1" ht="27.75" hidden="1" customHeight="1" outlineLevel="2">
      <c r="A63" s="833" t="s">
        <v>642</v>
      </c>
      <c r="B63" s="251"/>
      <c r="C63" s="252" t="s">
        <v>618</v>
      </c>
      <c r="D63" s="834" t="s">
        <v>611</v>
      </c>
      <c r="E63" s="835" t="s">
        <v>687</v>
      </c>
      <c r="F63" s="254" t="s">
        <v>621</v>
      </c>
      <c r="G63" s="255"/>
      <c r="H63" s="256">
        <v>44</v>
      </c>
      <c r="I63" s="274">
        <f t="shared" si="7"/>
        <v>0</v>
      </c>
      <c r="J63" s="275">
        <f t="shared" ref="J63:J77" si="8">H63*$I$3</f>
        <v>998800</v>
      </c>
      <c r="K63" s="276"/>
      <c r="L63" s="277"/>
      <c r="M63" s="277"/>
      <c r="N63" s="277"/>
      <c r="O63" s="277"/>
      <c r="P63" s="279"/>
      <c r="Q63" s="279"/>
    </row>
    <row r="64" spans="1:17" s="229" customFormat="1" ht="27" hidden="1" customHeight="1" outlineLevel="2">
      <c r="A64" s="833" t="s">
        <v>688</v>
      </c>
      <c r="B64" s="257"/>
      <c r="C64" s="258" t="s">
        <v>618</v>
      </c>
      <c r="D64" s="838" t="s">
        <v>635</v>
      </c>
      <c r="E64" s="837" t="s">
        <v>689</v>
      </c>
      <c r="F64" s="260" t="s">
        <v>621</v>
      </c>
      <c r="G64" s="255"/>
      <c r="H64" s="256">
        <v>17</v>
      </c>
      <c r="I64" s="274">
        <f t="shared" si="7"/>
        <v>0</v>
      </c>
      <c r="J64" s="275">
        <f t="shared" si="8"/>
        <v>385900</v>
      </c>
      <c r="K64" s="276"/>
      <c r="L64" s="277"/>
      <c r="M64" s="277"/>
      <c r="N64" s="277"/>
      <c r="O64" s="277"/>
      <c r="P64" s="279"/>
      <c r="Q64" s="279"/>
    </row>
    <row r="65" spans="1:17" s="229" customFormat="1" ht="27" hidden="1" customHeight="1" outlineLevel="2">
      <c r="A65" s="833" t="s">
        <v>688</v>
      </c>
      <c r="B65" s="257"/>
      <c r="C65" s="258" t="s">
        <v>618</v>
      </c>
      <c r="D65" s="838" t="s">
        <v>635</v>
      </c>
      <c r="E65" s="837" t="s">
        <v>690</v>
      </c>
      <c r="F65" s="260" t="s">
        <v>621</v>
      </c>
      <c r="G65" s="255"/>
      <c r="H65" s="256">
        <v>42</v>
      </c>
      <c r="I65" s="274">
        <f t="shared" si="7"/>
        <v>0</v>
      </c>
      <c r="J65" s="275">
        <f t="shared" si="8"/>
        <v>953400</v>
      </c>
      <c r="K65" s="276"/>
      <c r="L65" s="277"/>
      <c r="M65" s="277"/>
      <c r="N65" s="277"/>
      <c r="O65" s="277"/>
      <c r="P65" s="279"/>
      <c r="Q65" s="279"/>
    </row>
    <row r="66" spans="1:17" s="229" customFormat="1" ht="27" hidden="1" customHeight="1" outlineLevel="2">
      <c r="A66" s="833" t="s">
        <v>688</v>
      </c>
      <c r="B66" s="257"/>
      <c r="C66" s="258" t="s">
        <v>618</v>
      </c>
      <c r="D66" s="838" t="s">
        <v>635</v>
      </c>
      <c r="E66" s="837" t="s">
        <v>691</v>
      </c>
      <c r="F66" s="260" t="s">
        <v>621</v>
      </c>
      <c r="G66" s="255"/>
      <c r="H66" s="256">
        <v>25.9</v>
      </c>
      <c r="I66" s="274">
        <f t="shared" si="7"/>
        <v>0</v>
      </c>
      <c r="J66" s="275">
        <f t="shared" si="8"/>
        <v>587930</v>
      </c>
      <c r="K66" s="276"/>
      <c r="L66" s="277"/>
      <c r="M66" s="277"/>
      <c r="N66" s="277"/>
      <c r="O66" s="277"/>
      <c r="P66" s="279"/>
      <c r="Q66" s="279"/>
    </row>
    <row r="67" spans="1:17" s="229" customFormat="1" ht="27" hidden="1" customHeight="1" outlineLevel="2">
      <c r="A67" s="833" t="s">
        <v>688</v>
      </c>
      <c r="B67" s="257"/>
      <c r="C67" s="258" t="s">
        <v>618</v>
      </c>
      <c r="D67" s="838" t="s">
        <v>623</v>
      </c>
      <c r="E67" s="837" t="s">
        <v>692</v>
      </c>
      <c r="F67" s="260" t="s">
        <v>641</v>
      </c>
      <c r="G67" s="255"/>
      <c r="H67" s="256">
        <v>5.5</v>
      </c>
      <c r="I67" s="274">
        <f t="shared" si="7"/>
        <v>0</v>
      </c>
      <c r="J67" s="275">
        <f t="shared" si="8"/>
        <v>124850</v>
      </c>
      <c r="K67" s="276"/>
      <c r="L67" s="277"/>
      <c r="M67" s="277"/>
      <c r="N67" s="277"/>
      <c r="O67" s="277"/>
      <c r="P67" s="279"/>
      <c r="Q67" s="279"/>
    </row>
    <row r="68" spans="1:17" s="229" customFormat="1" ht="27" hidden="1" customHeight="1" outlineLevel="2">
      <c r="A68" s="833" t="s">
        <v>688</v>
      </c>
      <c r="B68" s="257"/>
      <c r="C68" s="258" t="s">
        <v>618</v>
      </c>
      <c r="D68" s="838" t="s">
        <v>623</v>
      </c>
      <c r="E68" s="837" t="s">
        <v>693</v>
      </c>
      <c r="F68" s="260" t="s">
        <v>641</v>
      </c>
      <c r="G68" s="255"/>
      <c r="H68" s="256">
        <v>0.5</v>
      </c>
      <c r="I68" s="274">
        <f t="shared" si="7"/>
        <v>0</v>
      </c>
      <c r="J68" s="275">
        <f t="shared" si="8"/>
        <v>11350</v>
      </c>
      <c r="K68" s="276"/>
      <c r="L68" s="277"/>
      <c r="M68" s="277"/>
      <c r="N68" s="277"/>
      <c r="O68" s="277"/>
      <c r="P68" s="279"/>
      <c r="Q68" s="279"/>
    </row>
    <row r="69" spans="1:17" s="229" customFormat="1" ht="27" hidden="1" customHeight="1" outlineLevel="2">
      <c r="A69" s="833" t="s">
        <v>688</v>
      </c>
      <c r="B69" s="257"/>
      <c r="C69" s="258" t="s">
        <v>618</v>
      </c>
      <c r="D69" s="838" t="s">
        <v>694</v>
      </c>
      <c r="E69" s="837" t="s">
        <v>695</v>
      </c>
      <c r="F69" s="260" t="s">
        <v>625</v>
      </c>
      <c r="G69" s="255"/>
      <c r="H69" s="256">
        <v>1.25</v>
      </c>
      <c r="I69" s="274">
        <f t="shared" si="7"/>
        <v>0</v>
      </c>
      <c r="J69" s="275">
        <f t="shared" si="8"/>
        <v>28375</v>
      </c>
      <c r="K69" s="276"/>
      <c r="L69" s="277"/>
      <c r="M69" s="277"/>
      <c r="N69" s="277"/>
      <c r="O69" s="277"/>
      <c r="P69" s="279"/>
      <c r="Q69" s="279"/>
    </row>
    <row r="70" spans="1:17" s="229" customFormat="1" ht="27" hidden="1" customHeight="1" outlineLevel="2">
      <c r="A70" s="833" t="s">
        <v>688</v>
      </c>
      <c r="B70" s="257"/>
      <c r="C70" s="258" t="s">
        <v>618</v>
      </c>
      <c r="D70" s="838" t="s">
        <v>694</v>
      </c>
      <c r="E70" s="837" t="s">
        <v>696</v>
      </c>
      <c r="F70" s="260" t="s">
        <v>625</v>
      </c>
      <c r="G70" s="255"/>
      <c r="H70" s="256">
        <v>4.5</v>
      </c>
      <c r="I70" s="274">
        <f t="shared" si="7"/>
        <v>0</v>
      </c>
      <c r="J70" s="275">
        <f t="shared" si="8"/>
        <v>102150</v>
      </c>
      <c r="K70" s="276"/>
      <c r="L70" s="277"/>
      <c r="M70" s="277"/>
      <c r="N70" s="277"/>
      <c r="O70" s="277"/>
      <c r="P70" s="279"/>
      <c r="Q70" s="279"/>
    </row>
    <row r="71" spans="1:17" s="229" customFormat="1" ht="27" hidden="1" customHeight="1" outlineLevel="2">
      <c r="A71" s="833" t="s">
        <v>688</v>
      </c>
      <c r="B71" s="257"/>
      <c r="C71" s="258" t="s">
        <v>618</v>
      </c>
      <c r="D71" s="838" t="s">
        <v>694</v>
      </c>
      <c r="E71" s="837" t="s">
        <v>697</v>
      </c>
      <c r="F71" s="260" t="s">
        <v>625</v>
      </c>
      <c r="G71" s="255"/>
      <c r="H71" s="256">
        <v>1.5</v>
      </c>
      <c r="I71" s="274">
        <f t="shared" si="7"/>
        <v>0</v>
      </c>
      <c r="J71" s="275">
        <f t="shared" si="8"/>
        <v>34050</v>
      </c>
      <c r="K71" s="276"/>
      <c r="L71" s="277"/>
      <c r="M71" s="277"/>
      <c r="N71" s="277"/>
      <c r="O71" s="277"/>
      <c r="P71" s="279"/>
      <c r="Q71" s="279"/>
    </row>
    <row r="72" spans="1:17" s="229" customFormat="1" ht="27" hidden="1" customHeight="1" outlineLevel="2">
      <c r="A72" s="833" t="s">
        <v>688</v>
      </c>
      <c r="B72" s="257"/>
      <c r="C72" s="258" t="s">
        <v>618</v>
      </c>
      <c r="D72" s="838" t="s">
        <v>694</v>
      </c>
      <c r="E72" s="837" t="s">
        <v>698</v>
      </c>
      <c r="F72" s="260" t="s">
        <v>625</v>
      </c>
      <c r="G72" s="255"/>
      <c r="H72" s="256">
        <v>1.9</v>
      </c>
      <c r="I72" s="274">
        <f t="shared" si="7"/>
        <v>0</v>
      </c>
      <c r="J72" s="275">
        <f t="shared" si="8"/>
        <v>43130</v>
      </c>
      <c r="K72" s="276"/>
      <c r="L72" s="277"/>
      <c r="M72" s="277"/>
      <c r="N72" s="277"/>
      <c r="O72" s="277"/>
      <c r="P72" s="279"/>
      <c r="Q72" s="279"/>
    </row>
    <row r="73" spans="1:17" s="229" customFormat="1" ht="27" hidden="1" customHeight="1" outlineLevel="2">
      <c r="A73" s="833" t="s">
        <v>688</v>
      </c>
      <c r="B73" s="257"/>
      <c r="C73" s="258" t="s">
        <v>618</v>
      </c>
      <c r="D73" s="838" t="s">
        <v>694</v>
      </c>
      <c r="E73" s="837" t="s">
        <v>699</v>
      </c>
      <c r="F73" s="260" t="s">
        <v>625</v>
      </c>
      <c r="G73" s="255"/>
      <c r="H73" s="256">
        <v>1.2</v>
      </c>
      <c r="I73" s="274">
        <f t="shared" si="7"/>
        <v>0</v>
      </c>
      <c r="J73" s="275">
        <f t="shared" si="8"/>
        <v>27240</v>
      </c>
      <c r="K73" s="276"/>
      <c r="L73" s="277"/>
      <c r="M73" s="277"/>
      <c r="N73" s="277"/>
      <c r="O73" s="277"/>
      <c r="P73" s="279"/>
      <c r="Q73" s="279"/>
    </row>
    <row r="74" spans="1:17" s="229" customFormat="1" ht="27" hidden="1" customHeight="1" outlineLevel="2">
      <c r="A74" s="833" t="s">
        <v>688</v>
      </c>
      <c r="B74" s="257"/>
      <c r="C74" s="258" t="s">
        <v>618</v>
      </c>
      <c r="D74" s="838" t="s">
        <v>694</v>
      </c>
      <c r="E74" s="837" t="s">
        <v>700</v>
      </c>
      <c r="F74" s="260" t="s">
        <v>625</v>
      </c>
      <c r="G74" s="255"/>
      <c r="H74" s="256">
        <v>1.5</v>
      </c>
      <c r="I74" s="274">
        <f t="shared" si="7"/>
        <v>0</v>
      </c>
      <c r="J74" s="275">
        <f t="shared" si="8"/>
        <v>34050</v>
      </c>
      <c r="K74" s="276"/>
      <c r="L74" s="277"/>
      <c r="M74" s="277"/>
      <c r="N74" s="277"/>
      <c r="O74" s="277"/>
      <c r="P74" s="279"/>
      <c r="Q74" s="279"/>
    </row>
    <row r="75" spans="1:17" s="229" customFormat="1" ht="27" hidden="1" customHeight="1" outlineLevel="2">
      <c r="A75" s="833" t="s">
        <v>688</v>
      </c>
      <c r="B75" s="257"/>
      <c r="C75" s="258" t="s">
        <v>618</v>
      </c>
      <c r="D75" s="838" t="s">
        <v>694</v>
      </c>
      <c r="E75" s="837" t="s">
        <v>701</v>
      </c>
      <c r="F75" s="260" t="s">
        <v>625</v>
      </c>
      <c r="G75" s="255"/>
      <c r="H75" s="256">
        <v>11.5</v>
      </c>
      <c r="I75" s="274">
        <f t="shared" si="7"/>
        <v>0</v>
      </c>
      <c r="J75" s="275">
        <f t="shared" si="8"/>
        <v>261050</v>
      </c>
      <c r="K75" s="276"/>
      <c r="L75" s="277"/>
      <c r="M75" s="277"/>
      <c r="N75" s="277"/>
      <c r="O75" s="277"/>
      <c r="P75" s="279"/>
      <c r="Q75" s="279"/>
    </row>
    <row r="76" spans="1:17" s="229" customFormat="1" ht="27" hidden="1" customHeight="1" outlineLevel="2">
      <c r="A76" s="833" t="s">
        <v>688</v>
      </c>
      <c r="B76" s="257"/>
      <c r="C76" s="258" t="s">
        <v>618</v>
      </c>
      <c r="D76" s="838" t="s">
        <v>694</v>
      </c>
      <c r="E76" s="837" t="s">
        <v>702</v>
      </c>
      <c r="F76" s="260" t="s">
        <v>625</v>
      </c>
      <c r="G76" s="255"/>
      <c r="H76" s="256">
        <v>3.5</v>
      </c>
      <c r="I76" s="274">
        <f t="shared" si="7"/>
        <v>0</v>
      </c>
      <c r="J76" s="275">
        <f t="shared" si="8"/>
        <v>79450</v>
      </c>
      <c r="K76" s="276"/>
      <c r="L76" s="277"/>
      <c r="M76" s="277"/>
      <c r="N76" s="277"/>
      <c r="O76" s="277"/>
      <c r="P76" s="279"/>
      <c r="Q76" s="279"/>
    </row>
    <row r="77" spans="1:17" s="229" customFormat="1" ht="27" hidden="1" customHeight="1" outlineLevel="2">
      <c r="A77" s="833" t="s">
        <v>688</v>
      </c>
      <c r="B77" s="257"/>
      <c r="C77" s="258" t="s">
        <v>618</v>
      </c>
      <c r="D77" s="838" t="s">
        <v>694</v>
      </c>
      <c r="E77" s="837" t="s">
        <v>703</v>
      </c>
      <c r="F77" s="260" t="s">
        <v>625</v>
      </c>
      <c r="G77" s="255"/>
      <c r="H77" s="256">
        <v>2</v>
      </c>
      <c r="I77" s="274">
        <f t="shared" si="7"/>
        <v>0</v>
      </c>
      <c r="J77" s="275">
        <f t="shared" si="8"/>
        <v>45400</v>
      </c>
      <c r="K77" s="276"/>
      <c r="L77" s="277"/>
      <c r="M77" s="277"/>
      <c r="N77" s="277"/>
      <c r="O77" s="277"/>
      <c r="P77" s="279"/>
      <c r="Q77" s="279"/>
    </row>
    <row r="78" spans="1:17" s="229" customFormat="1" ht="27" hidden="1" customHeight="1" outlineLevel="2">
      <c r="A78" s="833" t="s">
        <v>688</v>
      </c>
      <c r="B78" s="257"/>
      <c r="C78" s="258" t="s">
        <v>618</v>
      </c>
      <c r="D78" s="838" t="s">
        <v>611</v>
      </c>
      <c r="E78" s="837" t="s">
        <v>704</v>
      </c>
      <c r="F78" s="260" t="s">
        <v>621</v>
      </c>
      <c r="G78" s="255"/>
      <c r="H78" s="256">
        <v>1</v>
      </c>
      <c r="I78" s="274">
        <f t="shared" si="7"/>
        <v>0</v>
      </c>
      <c r="J78" s="275">
        <f t="shared" ref="J78:J89" si="9">H78*$I$3</f>
        <v>22700</v>
      </c>
      <c r="K78" s="276"/>
      <c r="L78" s="277"/>
      <c r="M78" s="277"/>
      <c r="N78" s="277"/>
      <c r="O78" s="277"/>
      <c r="P78" s="279"/>
      <c r="Q78" s="279"/>
    </row>
    <row r="79" spans="1:17" s="229" customFormat="1" ht="27" hidden="1" customHeight="1" outlineLevel="2">
      <c r="A79" s="833" t="s">
        <v>705</v>
      </c>
      <c r="B79" s="257"/>
      <c r="C79" s="258" t="s">
        <v>618</v>
      </c>
      <c r="D79" s="838" t="s">
        <v>706</v>
      </c>
      <c r="E79" s="839" t="s">
        <v>707</v>
      </c>
      <c r="F79" s="280"/>
      <c r="G79" s="281">
        <v>2000</v>
      </c>
      <c r="H79" s="256"/>
      <c r="I79" s="274">
        <f t="shared" si="7"/>
        <v>45400000</v>
      </c>
      <c r="J79" s="275">
        <f t="shared" si="9"/>
        <v>0</v>
      </c>
      <c r="K79" s="276"/>
      <c r="L79" s="277"/>
      <c r="M79" s="277"/>
      <c r="N79" s="277"/>
      <c r="O79" s="277"/>
      <c r="P79" s="279"/>
      <c r="Q79" s="279"/>
    </row>
    <row r="80" spans="1:17" s="229" customFormat="1" ht="27" hidden="1" customHeight="1" outlineLevel="2">
      <c r="A80" s="833" t="s">
        <v>705</v>
      </c>
      <c r="B80" s="257"/>
      <c r="C80" s="258" t="s">
        <v>618</v>
      </c>
      <c r="D80" s="838" t="s">
        <v>708</v>
      </c>
      <c r="E80" s="837" t="s">
        <v>709</v>
      </c>
      <c r="F80" s="260" t="s">
        <v>625</v>
      </c>
      <c r="G80" s="255"/>
      <c r="H80" s="256">
        <v>3000</v>
      </c>
      <c r="I80" s="274">
        <f t="shared" si="7"/>
        <v>0</v>
      </c>
      <c r="J80" s="275">
        <f t="shared" si="9"/>
        <v>68100000</v>
      </c>
      <c r="K80" s="276"/>
      <c r="L80" s="277"/>
      <c r="M80" s="277"/>
      <c r="N80" s="277"/>
      <c r="O80" s="277"/>
      <c r="P80" s="279"/>
      <c r="Q80" s="279"/>
    </row>
    <row r="81" spans="1:17" s="229" customFormat="1" ht="27" hidden="1" customHeight="1" outlineLevel="2">
      <c r="A81" s="833" t="s">
        <v>705</v>
      </c>
      <c r="B81" s="257"/>
      <c r="C81" s="258" t="s">
        <v>618</v>
      </c>
      <c r="D81" s="838" t="s">
        <v>635</v>
      </c>
      <c r="E81" s="837" t="s">
        <v>710</v>
      </c>
      <c r="F81" s="260" t="s">
        <v>711</v>
      </c>
      <c r="G81" s="255"/>
      <c r="H81" s="256">
        <v>46.1</v>
      </c>
      <c r="I81" s="274">
        <f t="shared" si="7"/>
        <v>0</v>
      </c>
      <c r="J81" s="275">
        <f t="shared" si="9"/>
        <v>1046470</v>
      </c>
      <c r="K81" s="276"/>
      <c r="L81" s="277"/>
      <c r="M81" s="277"/>
      <c r="N81" s="277"/>
      <c r="O81" s="277"/>
      <c r="P81" s="279"/>
      <c r="Q81" s="279"/>
    </row>
    <row r="82" spans="1:17" s="229" customFormat="1" ht="27" hidden="1" customHeight="1" outlineLevel="2">
      <c r="A82" s="833" t="s">
        <v>705</v>
      </c>
      <c r="B82" s="257"/>
      <c r="C82" s="258" t="s">
        <v>618</v>
      </c>
      <c r="D82" s="838" t="s">
        <v>635</v>
      </c>
      <c r="E82" s="837" t="s">
        <v>712</v>
      </c>
      <c r="F82" s="260" t="s">
        <v>711</v>
      </c>
      <c r="G82" s="255"/>
      <c r="H82" s="256">
        <v>14</v>
      </c>
      <c r="I82" s="274">
        <f t="shared" si="7"/>
        <v>0</v>
      </c>
      <c r="J82" s="275">
        <f t="shared" si="9"/>
        <v>317800</v>
      </c>
      <c r="K82" s="276"/>
      <c r="L82" s="277"/>
      <c r="M82" s="277"/>
      <c r="N82" s="277"/>
      <c r="O82" s="277"/>
      <c r="P82" s="279"/>
      <c r="Q82" s="279"/>
    </row>
    <row r="83" spans="1:17" s="229" customFormat="1" ht="27" hidden="1" customHeight="1" outlineLevel="2">
      <c r="A83" s="833" t="s">
        <v>705</v>
      </c>
      <c r="B83" s="257"/>
      <c r="C83" s="258" t="s">
        <v>618</v>
      </c>
      <c r="D83" s="838" t="s">
        <v>635</v>
      </c>
      <c r="E83" s="837" t="s">
        <v>713</v>
      </c>
      <c r="F83" s="260" t="s">
        <v>711</v>
      </c>
      <c r="G83" s="255"/>
      <c r="H83" s="256">
        <v>16</v>
      </c>
      <c r="I83" s="274">
        <f t="shared" si="7"/>
        <v>0</v>
      </c>
      <c r="J83" s="275">
        <f t="shared" si="9"/>
        <v>363200</v>
      </c>
      <c r="K83" s="276"/>
      <c r="L83" s="277"/>
      <c r="M83" s="277"/>
      <c r="N83" s="277"/>
      <c r="O83" s="277"/>
      <c r="P83" s="279"/>
      <c r="Q83" s="279"/>
    </row>
    <row r="84" spans="1:17" s="229" customFormat="1" ht="27" hidden="1" customHeight="1" outlineLevel="2">
      <c r="A84" s="833" t="s">
        <v>705</v>
      </c>
      <c r="B84" s="257"/>
      <c r="C84" s="258" t="s">
        <v>618</v>
      </c>
      <c r="D84" s="838" t="s">
        <v>714</v>
      </c>
      <c r="E84" s="837" t="s">
        <v>715</v>
      </c>
      <c r="F84" s="260" t="s">
        <v>625</v>
      </c>
      <c r="G84" s="255"/>
      <c r="H84" s="256">
        <v>1.88</v>
      </c>
      <c r="I84" s="274">
        <f t="shared" si="7"/>
        <v>0</v>
      </c>
      <c r="J84" s="275">
        <f t="shared" si="9"/>
        <v>42676</v>
      </c>
      <c r="K84" s="276"/>
      <c r="L84" s="277"/>
      <c r="M84" s="277"/>
      <c r="N84" s="277"/>
      <c r="O84" s="277"/>
      <c r="P84" s="279"/>
      <c r="Q84" s="279"/>
    </row>
    <row r="85" spans="1:17" s="229" customFormat="1" ht="27" hidden="1" customHeight="1" outlineLevel="2">
      <c r="A85" s="833" t="s">
        <v>716</v>
      </c>
      <c r="B85" s="257"/>
      <c r="C85" s="258" t="s">
        <v>618</v>
      </c>
      <c r="D85" s="838" t="s">
        <v>635</v>
      </c>
      <c r="E85" s="837" t="s">
        <v>717</v>
      </c>
      <c r="F85" s="260" t="s">
        <v>621</v>
      </c>
      <c r="G85" s="255"/>
      <c r="H85" s="256">
        <v>13</v>
      </c>
      <c r="I85" s="274">
        <f t="shared" si="7"/>
        <v>0</v>
      </c>
      <c r="J85" s="275">
        <f t="shared" si="9"/>
        <v>295100</v>
      </c>
      <c r="K85" s="276"/>
      <c r="L85" s="277"/>
      <c r="M85" s="277"/>
      <c r="N85" s="277"/>
      <c r="O85" s="277"/>
      <c r="P85" s="279"/>
      <c r="Q85" s="279"/>
    </row>
    <row r="86" spans="1:17" s="229" customFormat="1" ht="27" hidden="1" customHeight="1" outlineLevel="2">
      <c r="A86" s="833" t="s">
        <v>716</v>
      </c>
      <c r="B86" s="257"/>
      <c r="C86" s="258" t="s">
        <v>618</v>
      </c>
      <c r="D86" s="838" t="s">
        <v>623</v>
      </c>
      <c r="E86" s="837" t="s">
        <v>718</v>
      </c>
      <c r="F86" s="260" t="s">
        <v>625</v>
      </c>
      <c r="G86" s="255"/>
      <c r="H86" s="256">
        <v>32</v>
      </c>
      <c r="I86" s="274">
        <f t="shared" si="7"/>
        <v>0</v>
      </c>
      <c r="J86" s="275">
        <f t="shared" si="9"/>
        <v>726400</v>
      </c>
      <c r="K86" s="276"/>
      <c r="L86" s="277"/>
      <c r="M86" s="277"/>
      <c r="N86" s="277"/>
      <c r="O86" s="277"/>
      <c r="P86" s="279"/>
      <c r="Q86" s="279"/>
    </row>
    <row r="87" spans="1:17" s="229" customFormat="1" ht="27" hidden="1" customHeight="1" outlineLevel="2">
      <c r="A87" s="833" t="s">
        <v>716</v>
      </c>
      <c r="B87" s="257"/>
      <c r="C87" s="258" t="s">
        <v>618</v>
      </c>
      <c r="D87" s="838" t="s">
        <v>623</v>
      </c>
      <c r="E87" s="837" t="s">
        <v>719</v>
      </c>
      <c r="F87" s="260" t="s">
        <v>625</v>
      </c>
      <c r="G87" s="255"/>
      <c r="H87" s="256">
        <v>18</v>
      </c>
      <c r="I87" s="274">
        <f t="shared" si="7"/>
        <v>0</v>
      </c>
      <c r="J87" s="275">
        <f t="shared" si="9"/>
        <v>408600</v>
      </c>
      <c r="K87" s="276"/>
      <c r="L87" s="277"/>
      <c r="M87" s="277"/>
      <c r="N87" s="277"/>
      <c r="O87" s="277"/>
      <c r="P87" s="279"/>
      <c r="Q87" s="279"/>
    </row>
    <row r="88" spans="1:17" s="229" customFormat="1" ht="27" hidden="1" customHeight="1" outlineLevel="2">
      <c r="A88" s="833" t="s">
        <v>716</v>
      </c>
      <c r="B88" s="257"/>
      <c r="C88" s="258" t="s">
        <v>618</v>
      </c>
      <c r="D88" s="838" t="s">
        <v>623</v>
      </c>
      <c r="E88" s="837" t="s">
        <v>637</v>
      </c>
      <c r="F88" s="260" t="s">
        <v>625</v>
      </c>
      <c r="G88" s="255"/>
      <c r="H88" s="256">
        <v>1.8</v>
      </c>
      <c r="I88" s="274">
        <f t="shared" si="7"/>
        <v>0</v>
      </c>
      <c r="J88" s="275">
        <f t="shared" si="9"/>
        <v>40860</v>
      </c>
      <c r="K88" s="276"/>
      <c r="L88" s="277"/>
      <c r="M88" s="277"/>
      <c r="N88" s="277"/>
      <c r="O88" s="277"/>
      <c r="P88" s="279"/>
      <c r="Q88" s="279"/>
    </row>
    <row r="89" spans="1:17" s="229" customFormat="1" ht="27" hidden="1" customHeight="1" outlineLevel="2">
      <c r="A89" s="833" t="s">
        <v>716</v>
      </c>
      <c r="B89" s="257"/>
      <c r="C89" s="258" t="s">
        <v>618</v>
      </c>
      <c r="D89" s="838" t="s">
        <v>623</v>
      </c>
      <c r="E89" s="837" t="s">
        <v>720</v>
      </c>
      <c r="F89" s="260" t="s">
        <v>625</v>
      </c>
      <c r="G89" s="255"/>
      <c r="H89" s="256">
        <v>8.5</v>
      </c>
      <c r="I89" s="274">
        <f t="shared" ref="I89:I120" si="10">G89*$I$3</f>
        <v>0</v>
      </c>
      <c r="J89" s="275">
        <f t="shared" si="9"/>
        <v>192950</v>
      </c>
      <c r="K89" s="276"/>
      <c r="L89" s="277"/>
      <c r="M89" s="277"/>
      <c r="N89" s="277"/>
      <c r="O89" s="277"/>
      <c r="P89" s="279"/>
      <c r="Q89" s="279"/>
    </row>
    <row r="90" spans="1:17" s="229" customFormat="1" ht="27" hidden="1" customHeight="1" outlineLevel="2">
      <c r="A90" s="833" t="s">
        <v>716</v>
      </c>
      <c r="B90" s="257"/>
      <c r="C90" s="258" t="s">
        <v>618</v>
      </c>
      <c r="D90" s="838" t="s">
        <v>623</v>
      </c>
      <c r="E90" s="837" t="s">
        <v>720</v>
      </c>
      <c r="F90" s="260" t="s">
        <v>625</v>
      </c>
      <c r="G90" s="255"/>
      <c r="H90" s="256">
        <v>2.5</v>
      </c>
      <c r="I90" s="274">
        <f t="shared" si="10"/>
        <v>0</v>
      </c>
      <c r="J90" s="275">
        <f t="shared" ref="J90:J102" si="11">H90*$I$3</f>
        <v>56750</v>
      </c>
      <c r="K90" s="276"/>
      <c r="L90" s="277"/>
      <c r="M90" s="277"/>
      <c r="N90" s="277"/>
      <c r="O90" s="277"/>
      <c r="P90" s="279"/>
      <c r="Q90" s="279"/>
    </row>
    <row r="91" spans="1:17" s="229" customFormat="1" ht="27" hidden="1" customHeight="1" outlineLevel="2">
      <c r="A91" s="833" t="s">
        <v>716</v>
      </c>
      <c r="B91" s="257"/>
      <c r="C91" s="258" t="s">
        <v>618</v>
      </c>
      <c r="D91" s="838" t="s">
        <v>623</v>
      </c>
      <c r="E91" s="837" t="s">
        <v>702</v>
      </c>
      <c r="F91" s="260" t="s">
        <v>625</v>
      </c>
      <c r="G91" s="255"/>
      <c r="H91" s="256">
        <v>4</v>
      </c>
      <c r="I91" s="274">
        <f t="shared" si="10"/>
        <v>0</v>
      </c>
      <c r="J91" s="275">
        <f t="shared" si="11"/>
        <v>90800</v>
      </c>
      <c r="K91" s="276"/>
      <c r="L91" s="277"/>
      <c r="M91" s="277"/>
      <c r="N91" s="277"/>
      <c r="O91" s="277"/>
      <c r="P91" s="279"/>
      <c r="Q91" s="279"/>
    </row>
    <row r="92" spans="1:17" s="229" customFormat="1" ht="27" hidden="1" customHeight="1" outlineLevel="2">
      <c r="A92" s="833" t="s">
        <v>716</v>
      </c>
      <c r="B92" s="257"/>
      <c r="C92" s="258" t="s">
        <v>618</v>
      </c>
      <c r="D92" s="838" t="s">
        <v>623</v>
      </c>
      <c r="E92" s="837" t="s">
        <v>721</v>
      </c>
      <c r="F92" s="260" t="s">
        <v>625</v>
      </c>
      <c r="G92" s="255"/>
      <c r="H92" s="256">
        <v>0.8</v>
      </c>
      <c r="I92" s="274">
        <f t="shared" si="10"/>
        <v>0</v>
      </c>
      <c r="J92" s="275">
        <f t="shared" si="11"/>
        <v>18160</v>
      </c>
      <c r="K92" s="276"/>
      <c r="L92" s="277"/>
      <c r="M92" s="277"/>
      <c r="N92" s="277"/>
      <c r="O92" s="277"/>
      <c r="P92" s="279"/>
      <c r="Q92" s="279"/>
    </row>
    <row r="93" spans="1:17" s="229" customFormat="1" ht="27" hidden="1" customHeight="1" outlineLevel="2">
      <c r="A93" s="833" t="s">
        <v>716</v>
      </c>
      <c r="B93" s="257"/>
      <c r="C93" s="258" t="s">
        <v>618</v>
      </c>
      <c r="D93" s="838" t="s">
        <v>611</v>
      </c>
      <c r="E93" s="837" t="s">
        <v>704</v>
      </c>
      <c r="F93" s="260" t="s">
        <v>625</v>
      </c>
      <c r="G93" s="255"/>
      <c r="H93" s="256">
        <v>2</v>
      </c>
      <c r="I93" s="274">
        <f t="shared" si="10"/>
        <v>0</v>
      </c>
      <c r="J93" s="275">
        <f t="shared" si="11"/>
        <v>45400</v>
      </c>
      <c r="K93" s="276"/>
      <c r="L93" s="277"/>
      <c r="M93" s="277"/>
      <c r="N93" s="277"/>
      <c r="O93" s="277"/>
      <c r="P93" s="279"/>
      <c r="Q93" s="279"/>
    </row>
    <row r="94" spans="1:17" s="229" customFormat="1" ht="27" hidden="1" customHeight="1" outlineLevel="2">
      <c r="A94" s="833" t="s">
        <v>722</v>
      </c>
      <c r="B94" s="257"/>
      <c r="C94" s="258" t="s">
        <v>618</v>
      </c>
      <c r="D94" s="838" t="s">
        <v>723</v>
      </c>
      <c r="E94" s="837" t="s">
        <v>724</v>
      </c>
      <c r="F94" s="260" t="s">
        <v>621</v>
      </c>
      <c r="G94" s="255"/>
      <c r="H94" s="256">
        <v>23</v>
      </c>
      <c r="I94" s="274">
        <f t="shared" si="10"/>
        <v>0</v>
      </c>
      <c r="J94" s="275">
        <f t="shared" si="11"/>
        <v>522100</v>
      </c>
      <c r="K94" s="276"/>
      <c r="L94" s="277"/>
      <c r="M94" s="277"/>
      <c r="N94" s="277"/>
      <c r="O94" s="277"/>
      <c r="P94" s="279"/>
      <c r="Q94" s="279"/>
    </row>
    <row r="95" spans="1:17" s="229" customFormat="1" ht="27" hidden="1" customHeight="1" outlineLevel="2">
      <c r="A95" s="833" t="s">
        <v>722</v>
      </c>
      <c r="B95" s="257"/>
      <c r="C95" s="258" t="s">
        <v>618</v>
      </c>
      <c r="D95" s="838" t="s">
        <v>723</v>
      </c>
      <c r="E95" s="837" t="s">
        <v>620</v>
      </c>
      <c r="F95" s="260" t="s">
        <v>621</v>
      </c>
      <c r="G95" s="255"/>
      <c r="H95" s="256">
        <v>36</v>
      </c>
      <c r="I95" s="274">
        <f t="shared" si="10"/>
        <v>0</v>
      </c>
      <c r="J95" s="275">
        <f t="shared" si="11"/>
        <v>817200</v>
      </c>
      <c r="K95" s="276"/>
      <c r="L95" s="277"/>
      <c r="M95" s="277"/>
      <c r="N95" s="277"/>
      <c r="O95" s="277"/>
      <c r="P95" s="279"/>
      <c r="Q95" s="279"/>
    </row>
    <row r="96" spans="1:17" s="229" customFormat="1" ht="27" hidden="1" customHeight="1" outlineLevel="2">
      <c r="A96" s="833" t="s">
        <v>722</v>
      </c>
      <c r="B96" s="257"/>
      <c r="C96" s="258" t="s">
        <v>618</v>
      </c>
      <c r="D96" s="838" t="s">
        <v>723</v>
      </c>
      <c r="E96" s="837" t="s">
        <v>725</v>
      </c>
      <c r="F96" s="260" t="s">
        <v>621</v>
      </c>
      <c r="G96" s="255"/>
      <c r="H96" s="256">
        <v>10.1</v>
      </c>
      <c r="I96" s="274">
        <f t="shared" si="10"/>
        <v>0</v>
      </c>
      <c r="J96" s="275">
        <f t="shared" si="11"/>
        <v>229270</v>
      </c>
      <c r="K96" s="276"/>
      <c r="L96" s="277"/>
      <c r="M96" s="277"/>
      <c r="N96" s="277"/>
      <c r="O96" s="277"/>
      <c r="P96" s="279"/>
      <c r="Q96" s="279"/>
    </row>
    <row r="97" spans="1:17" s="229" customFormat="1" ht="27" hidden="1" customHeight="1" outlineLevel="2">
      <c r="A97" s="833" t="s">
        <v>722</v>
      </c>
      <c r="B97" s="257"/>
      <c r="C97" s="258" t="s">
        <v>618</v>
      </c>
      <c r="D97" s="838" t="s">
        <v>723</v>
      </c>
      <c r="E97" s="837" t="s">
        <v>726</v>
      </c>
      <c r="F97" s="260" t="s">
        <v>621</v>
      </c>
      <c r="G97" s="255"/>
      <c r="H97" s="256">
        <v>13.2</v>
      </c>
      <c r="I97" s="274">
        <f t="shared" si="10"/>
        <v>0</v>
      </c>
      <c r="J97" s="275">
        <f t="shared" si="11"/>
        <v>299640</v>
      </c>
      <c r="K97" s="276"/>
      <c r="L97" s="277"/>
      <c r="M97" s="277"/>
      <c r="N97" s="277"/>
      <c r="O97" s="277"/>
      <c r="P97" s="279"/>
      <c r="Q97" s="279"/>
    </row>
    <row r="98" spans="1:17" s="229" customFormat="1" ht="27" hidden="1" customHeight="1" outlineLevel="2">
      <c r="A98" s="833" t="s">
        <v>722</v>
      </c>
      <c r="B98" s="257"/>
      <c r="C98" s="258" t="s">
        <v>618</v>
      </c>
      <c r="D98" s="838" t="s">
        <v>723</v>
      </c>
      <c r="E98" s="837" t="s">
        <v>727</v>
      </c>
      <c r="F98" s="260" t="s">
        <v>621</v>
      </c>
      <c r="G98" s="255"/>
      <c r="H98" s="256">
        <v>10.29</v>
      </c>
      <c r="I98" s="274">
        <f t="shared" si="10"/>
        <v>0</v>
      </c>
      <c r="J98" s="275">
        <f t="shared" si="11"/>
        <v>233582.99999999997</v>
      </c>
      <c r="K98" s="276"/>
      <c r="L98" s="277"/>
      <c r="M98" s="277"/>
      <c r="N98" s="277"/>
      <c r="O98" s="277"/>
      <c r="P98" s="279"/>
      <c r="Q98" s="279"/>
    </row>
    <row r="99" spans="1:17" s="229" customFormat="1" ht="27" hidden="1" customHeight="1" outlineLevel="2">
      <c r="A99" s="833" t="s">
        <v>722</v>
      </c>
      <c r="B99" s="257"/>
      <c r="C99" s="258" t="s">
        <v>618</v>
      </c>
      <c r="D99" s="838" t="s">
        <v>723</v>
      </c>
      <c r="E99" s="837" t="s">
        <v>728</v>
      </c>
      <c r="F99" s="260" t="s">
        <v>621</v>
      </c>
      <c r="G99" s="255"/>
      <c r="H99" s="256">
        <v>6.5</v>
      </c>
      <c r="I99" s="274">
        <f t="shared" si="10"/>
        <v>0</v>
      </c>
      <c r="J99" s="275">
        <f t="shared" si="11"/>
        <v>147550</v>
      </c>
      <c r="K99" s="276"/>
      <c r="L99" s="277"/>
      <c r="M99" s="277"/>
      <c r="N99" s="277"/>
      <c r="O99" s="277"/>
      <c r="P99" s="279"/>
      <c r="Q99" s="279"/>
    </row>
    <row r="100" spans="1:17" s="229" customFormat="1" ht="27" hidden="1" customHeight="1" outlineLevel="2">
      <c r="A100" s="833" t="s">
        <v>722</v>
      </c>
      <c r="B100" s="257"/>
      <c r="C100" s="258" t="s">
        <v>618</v>
      </c>
      <c r="D100" s="838" t="s">
        <v>723</v>
      </c>
      <c r="E100" s="837" t="s">
        <v>729</v>
      </c>
      <c r="F100" s="260" t="s">
        <v>621</v>
      </c>
      <c r="G100" s="255"/>
      <c r="H100" s="256">
        <v>5.5</v>
      </c>
      <c r="I100" s="274">
        <f t="shared" si="10"/>
        <v>0</v>
      </c>
      <c r="J100" s="275">
        <f t="shared" si="11"/>
        <v>124850</v>
      </c>
      <c r="K100" s="276"/>
      <c r="L100" s="277"/>
      <c r="M100" s="277"/>
      <c r="N100" s="277"/>
      <c r="O100" s="277"/>
      <c r="P100" s="279"/>
      <c r="Q100" s="279"/>
    </row>
    <row r="101" spans="1:17" s="229" customFormat="1" ht="27" hidden="1" customHeight="1" outlineLevel="2">
      <c r="A101" s="833" t="s">
        <v>722</v>
      </c>
      <c r="B101" s="257"/>
      <c r="C101" s="258" t="s">
        <v>618</v>
      </c>
      <c r="D101" s="838" t="s">
        <v>723</v>
      </c>
      <c r="E101" s="837" t="s">
        <v>730</v>
      </c>
      <c r="F101" s="260" t="s">
        <v>621</v>
      </c>
      <c r="G101" s="255"/>
      <c r="H101" s="256">
        <v>3.5</v>
      </c>
      <c r="I101" s="274">
        <f t="shared" si="10"/>
        <v>0</v>
      </c>
      <c r="J101" s="275">
        <f t="shared" si="11"/>
        <v>79450</v>
      </c>
      <c r="K101" s="276"/>
      <c r="L101" s="277"/>
      <c r="M101" s="277"/>
      <c r="N101" s="277"/>
      <c r="O101" s="277"/>
      <c r="P101" s="279"/>
      <c r="Q101" s="279"/>
    </row>
    <row r="102" spans="1:17" s="229" customFormat="1" ht="27" hidden="1" customHeight="1" outlineLevel="2">
      <c r="A102" s="833" t="s">
        <v>722</v>
      </c>
      <c r="B102" s="257"/>
      <c r="C102" s="258" t="s">
        <v>618</v>
      </c>
      <c r="D102" s="838" t="s">
        <v>723</v>
      </c>
      <c r="E102" s="837" t="s">
        <v>637</v>
      </c>
      <c r="F102" s="260" t="s">
        <v>638</v>
      </c>
      <c r="G102" s="255"/>
      <c r="H102" s="256">
        <v>40</v>
      </c>
      <c r="I102" s="274">
        <f t="shared" si="10"/>
        <v>0</v>
      </c>
      <c r="J102" s="275">
        <f t="shared" si="11"/>
        <v>908000</v>
      </c>
      <c r="K102" s="276"/>
      <c r="L102" s="277"/>
      <c r="M102" s="277"/>
      <c r="N102" s="277"/>
      <c r="O102" s="277"/>
      <c r="P102" s="279"/>
      <c r="Q102" s="279"/>
    </row>
    <row r="103" spans="1:17" s="229" customFormat="1" ht="27" hidden="1" customHeight="1" outlineLevel="2">
      <c r="A103" s="833" t="s">
        <v>722</v>
      </c>
      <c r="B103" s="257"/>
      <c r="C103" s="258" t="s">
        <v>618</v>
      </c>
      <c r="D103" s="838" t="s">
        <v>619</v>
      </c>
      <c r="E103" s="837" t="s">
        <v>731</v>
      </c>
      <c r="F103" s="260" t="s">
        <v>621</v>
      </c>
      <c r="G103" s="255"/>
      <c r="H103" s="256">
        <v>24</v>
      </c>
      <c r="I103" s="274">
        <f t="shared" si="10"/>
        <v>0</v>
      </c>
      <c r="J103" s="275">
        <f t="shared" ref="J103:J115" si="12">H103*$I$3</f>
        <v>544800</v>
      </c>
      <c r="K103" s="276"/>
      <c r="L103" s="277"/>
      <c r="M103" s="277"/>
      <c r="N103" s="277"/>
      <c r="O103" s="277"/>
      <c r="P103" s="279"/>
      <c r="Q103" s="279"/>
    </row>
    <row r="104" spans="1:17" s="229" customFormat="1" ht="27" hidden="1" customHeight="1" outlineLevel="2">
      <c r="A104" s="833" t="s">
        <v>722</v>
      </c>
      <c r="B104" s="257"/>
      <c r="C104" s="258" t="s">
        <v>618</v>
      </c>
      <c r="D104" s="838" t="s">
        <v>694</v>
      </c>
      <c r="E104" s="837" t="s">
        <v>701</v>
      </c>
      <c r="F104" s="260" t="s">
        <v>625</v>
      </c>
      <c r="G104" s="255"/>
      <c r="H104" s="256">
        <v>33</v>
      </c>
      <c r="I104" s="274">
        <f t="shared" si="10"/>
        <v>0</v>
      </c>
      <c r="J104" s="275">
        <f t="shared" si="12"/>
        <v>749100</v>
      </c>
      <c r="K104" s="276"/>
      <c r="L104" s="277"/>
      <c r="M104" s="277"/>
      <c r="N104" s="277"/>
      <c r="O104" s="277"/>
      <c r="P104" s="279"/>
      <c r="Q104" s="279"/>
    </row>
    <row r="105" spans="1:17" s="229" customFormat="1" ht="27" hidden="1" customHeight="1" outlineLevel="2">
      <c r="A105" s="833" t="s">
        <v>722</v>
      </c>
      <c r="B105" s="257"/>
      <c r="C105" s="258" t="s">
        <v>618</v>
      </c>
      <c r="D105" s="838" t="s">
        <v>694</v>
      </c>
      <c r="E105" s="837" t="s">
        <v>732</v>
      </c>
      <c r="F105" s="260" t="s">
        <v>625</v>
      </c>
      <c r="G105" s="255"/>
      <c r="H105" s="256">
        <v>4</v>
      </c>
      <c r="I105" s="274">
        <f t="shared" si="10"/>
        <v>0</v>
      </c>
      <c r="J105" s="275">
        <f t="shared" si="12"/>
        <v>90800</v>
      </c>
      <c r="K105" s="276"/>
      <c r="L105" s="277"/>
      <c r="M105" s="277"/>
      <c r="N105" s="277"/>
      <c r="O105" s="277"/>
      <c r="P105" s="279"/>
      <c r="Q105" s="279"/>
    </row>
    <row r="106" spans="1:17" s="229" customFormat="1" ht="27" hidden="1" customHeight="1" outlineLevel="2">
      <c r="A106" s="833" t="s">
        <v>722</v>
      </c>
      <c r="B106" s="257"/>
      <c r="C106" s="258" t="s">
        <v>618</v>
      </c>
      <c r="D106" s="838" t="s">
        <v>694</v>
      </c>
      <c r="E106" s="837" t="s">
        <v>733</v>
      </c>
      <c r="F106" s="260" t="s">
        <v>625</v>
      </c>
      <c r="G106" s="255"/>
      <c r="H106" s="256">
        <v>3.5</v>
      </c>
      <c r="I106" s="274">
        <f t="shared" si="10"/>
        <v>0</v>
      </c>
      <c r="J106" s="275">
        <f t="shared" si="12"/>
        <v>79450</v>
      </c>
      <c r="K106" s="276"/>
      <c r="L106" s="277"/>
      <c r="M106" s="277"/>
      <c r="N106" s="277"/>
      <c r="O106" s="277"/>
      <c r="P106" s="279"/>
      <c r="Q106" s="279"/>
    </row>
    <row r="107" spans="1:17" s="229" customFormat="1" ht="27" hidden="1" customHeight="1" outlineLevel="2">
      <c r="A107" s="833" t="s">
        <v>734</v>
      </c>
      <c r="B107" s="257"/>
      <c r="C107" s="258" t="s">
        <v>618</v>
      </c>
      <c r="D107" s="838" t="s">
        <v>611</v>
      </c>
      <c r="E107" s="840" t="s">
        <v>735</v>
      </c>
      <c r="F107" s="282"/>
      <c r="G107" s="283">
        <v>500</v>
      </c>
      <c r="H107" s="256"/>
      <c r="I107" s="274">
        <f t="shared" si="10"/>
        <v>11350000</v>
      </c>
      <c r="J107" s="275">
        <f t="shared" si="12"/>
        <v>0</v>
      </c>
      <c r="K107" s="276"/>
      <c r="L107" s="277"/>
      <c r="M107" s="277"/>
      <c r="N107" s="277"/>
      <c r="O107" s="277"/>
      <c r="P107" s="279"/>
      <c r="Q107" s="279"/>
    </row>
    <row r="108" spans="1:17" s="229" customFormat="1" ht="27" hidden="1" customHeight="1" outlineLevel="2">
      <c r="A108" s="833" t="s">
        <v>734</v>
      </c>
      <c r="B108" s="257"/>
      <c r="C108" s="258" t="s">
        <v>618</v>
      </c>
      <c r="D108" s="838" t="s">
        <v>611</v>
      </c>
      <c r="E108" s="837" t="s">
        <v>736</v>
      </c>
      <c r="F108" s="260" t="s">
        <v>625</v>
      </c>
      <c r="G108" s="255"/>
      <c r="H108" s="256">
        <v>20.625</v>
      </c>
      <c r="I108" s="274">
        <f t="shared" si="10"/>
        <v>0</v>
      </c>
      <c r="J108" s="275">
        <f t="shared" si="12"/>
        <v>468187.5</v>
      </c>
      <c r="K108" s="276"/>
      <c r="L108" s="277"/>
      <c r="M108" s="277"/>
      <c r="N108" s="277"/>
      <c r="O108" s="277"/>
      <c r="P108" s="279"/>
      <c r="Q108" s="279"/>
    </row>
    <row r="109" spans="1:17" s="229" customFormat="1" ht="27" hidden="1" customHeight="1" outlineLevel="2">
      <c r="A109" s="833" t="s">
        <v>734</v>
      </c>
      <c r="B109" s="257"/>
      <c r="C109" s="258" t="s">
        <v>618</v>
      </c>
      <c r="D109" s="838" t="s">
        <v>611</v>
      </c>
      <c r="E109" s="837" t="s">
        <v>737</v>
      </c>
      <c r="F109" s="260" t="s">
        <v>625</v>
      </c>
      <c r="G109" s="255"/>
      <c r="H109" s="256">
        <v>3.75</v>
      </c>
      <c r="I109" s="274">
        <f t="shared" si="10"/>
        <v>0</v>
      </c>
      <c r="J109" s="275">
        <f t="shared" si="12"/>
        <v>85125</v>
      </c>
      <c r="K109" s="276"/>
      <c r="L109" s="277"/>
      <c r="M109" s="277"/>
      <c r="N109" s="277"/>
      <c r="O109" s="277"/>
      <c r="P109" s="279"/>
      <c r="Q109" s="279"/>
    </row>
    <row r="110" spans="1:17" s="229" customFormat="1" ht="27" hidden="1" customHeight="1" outlineLevel="2">
      <c r="A110" s="833" t="s">
        <v>734</v>
      </c>
      <c r="B110" s="257"/>
      <c r="C110" s="258" t="s">
        <v>618</v>
      </c>
      <c r="D110" s="838" t="s">
        <v>630</v>
      </c>
      <c r="E110" s="837" t="s">
        <v>738</v>
      </c>
      <c r="F110" s="260" t="s">
        <v>625</v>
      </c>
      <c r="G110" s="255"/>
      <c r="H110" s="256">
        <v>3.75</v>
      </c>
      <c r="I110" s="274">
        <f t="shared" si="10"/>
        <v>0</v>
      </c>
      <c r="J110" s="275">
        <f t="shared" si="12"/>
        <v>85125</v>
      </c>
      <c r="K110" s="276"/>
      <c r="L110" s="277"/>
      <c r="M110" s="277"/>
      <c r="N110" s="277"/>
      <c r="O110" s="277"/>
      <c r="P110" s="279"/>
      <c r="Q110" s="279"/>
    </row>
    <row r="111" spans="1:17" s="229" customFormat="1" ht="27" hidden="1" customHeight="1" outlineLevel="2">
      <c r="A111" s="833" t="s">
        <v>739</v>
      </c>
      <c r="B111" s="257"/>
      <c r="C111" s="258" t="s">
        <v>618</v>
      </c>
      <c r="D111" s="838" t="s">
        <v>619</v>
      </c>
      <c r="E111" s="837" t="s">
        <v>713</v>
      </c>
      <c r="F111" s="260" t="s">
        <v>621</v>
      </c>
      <c r="G111" s="255"/>
      <c r="H111" s="256">
        <v>6</v>
      </c>
      <c r="I111" s="274">
        <f t="shared" si="10"/>
        <v>0</v>
      </c>
      <c r="J111" s="275">
        <f t="shared" si="12"/>
        <v>136200</v>
      </c>
      <c r="K111" s="276"/>
      <c r="L111" s="277"/>
      <c r="M111" s="277"/>
      <c r="N111" s="277"/>
      <c r="O111" s="277"/>
      <c r="P111" s="279"/>
      <c r="Q111" s="279"/>
    </row>
    <row r="112" spans="1:17" s="229" customFormat="1" ht="27" hidden="1" customHeight="1" outlineLevel="2">
      <c r="A112" s="833" t="s">
        <v>739</v>
      </c>
      <c r="B112" s="257"/>
      <c r="C112" s="258" t="s">
        <v>618</v>
      </c>
      <c r="D112" s="838" t="s">
        <v>619</v>
      </c>
      <c r="E112" s="837" t="s">
        <v>740</v>
      </c>
      <c r="F112" s="260" t="s">
        <v>621</v>
      </c>
      <c r="G112" s="255"/>
      <c r="H112" s="256">
        <v>18</v>
      </c>
      <c r="I112" s="274">
        <f t="shared" si="10"/>
        <v>0</v>
      </c>
      <c r="J112" s="275">
        <f t="shared" si="12"/>
        <v>408600</v>
      </c>
      <c r="K112" s="276"/>
      <c r="L112" s="277"/>
      <c r="M112" s="277"/>
      <c r="N112" s="277"/>
      <c r="O112" s="277"/>
      <c r="P112" s="279"/>
      <c r="Q112" s="279"/>
    </row>
    <row r="113" spans="1:17" s="229" customFormat="1" ht="27" hidden="1" customHeight="1" outlineLevel="2">
      <c r="A113" s="833" t="s">
        <v>739</v>
      </c>
      <c r="B113" s="257"/>
      <c r="C113" s="258" t="s">
        <v>618</v>
      </c>
      <c r="D113" s="838" t="s">
        <v>619</v>
      </c>
      <c r="E113" s="837" t="s">
        <v>741</v>
      </c>
      <c r="F113" s="260" t="s">
        <v>641</v>
      </c>
      <c r="G113" s="255"/>
      <c r="H113" s="256">
        <v>15</v>
      </c>
      <c r="I113" s="274">
        <f t="shared" si="10"/>
        <v>0</v>
      </c>
      <c r="J113" s="275">
        <f t="shared" si="12"/>
        <v>340500</v>
      </c>
      <c r="K113" s="276"/>
      <c r="L113" s="277"/>
      <c r="M113" s="277"/>
      <c r="N113" s="277"/>
      <c r="O113" s="277"/>
      <c r="P113" s="279"/>
      <c r="Q113" s="279"/>
    </row>
    <row r="114" spans="1:17" s="229" customFormat="1" ht="27" hidden="1" customHeight="1" outlineLevel="2">
      <c r="A114" s="833" t="s">
        <v>739</v>
      </c>
      <c r="B114" s="257"/>
      <c r="C114" s="258" t="s">
        <v>618</v>
      </c>
      <c r="D114" s="838" t="s">
        <v>611</v>
      </c>
      <c r="E114" s="837" t="s">
        <v>640</v>
      </c>
      <c r="F114" s="260" t="s">
        <v>641</v>
      </c>
      <c r="G114" s="255"/>
      <c r="H114" s="256">
        <v>2</v>
      </c>
      <c r="I114" s="274">
        <f t="shared" si="10"/>
        <v>0</v>
      </c>
      <c r="J114" s="275">
        <f t="shared" si="12"/>
        <v>45400</v>
      </c>
      <c r="K114" s="276"/>
      <c r="L114" s="277"/>
      <c r="M114" s="277"/>
      <c r="N114" s="277"/>
      <c r="O114" s="277"/>
      <c r="P114" s="279"/>
      <c r="Q114" s="279"/>
    </row>
    <row r="115" spans="1:17" s="229" customFormat="1" ht="27" hidden="1" customHeight="1" outlineLevel="2">
      <c r="A115" s="833" t="s">
        <v>739</v>
      </c>
      <c r="B115" s="257"/>
      <c r="C115" s="258" t="s">
        <v>618</v>
      </c>
      <c r="D115" s="838" t="s">
        <v>632</v>
      </c>
      <c r="E115" s="837" t="s">
        <v>742</v>
      </c>
      <c r="F115" s="260" t="s">
        <v>743</v>
      </c>
      <c r="G115" s="255"/>
      <c r="H115" s="256">
        <v>3</v>
      </c>
      <c r="I115" s="274">
        <f t="shared" si="10"/>
        <v>0</v>
      </c>
      <c r="J115" s="275">
        <f t="shared" si="12"/>
        <v>68100</v>
      </c>
      <c r="K115" s="276"/>
      <c r="L115" s="277"/>
      <c r="M115" s="277"/>
      <c r="N115" s="277"/>
      <c r="O115" s="277"/>
      <c r="P115" s="279"/>
      <c r="Q115" s="279"/>
    </row>
    <row r="116" spans="1:17" s="229" customFormat="1" ht="27" hidden="1" customHeight="1" outlineLevel="2">
      <c r="A116" s="833" t="s">
        <v>739</v>
      </c>
      <c r="B116" s="257"/>
      <c r="C116" s="258" t="s">
        <v>618</v>
      </c>
      <c r="D116" s="838" t="s">
        <v>744</v>
      </c>
      <c r="E116" s="837" t="s">
        <v>745</v>
      </c>
      <c r="F116" s="260" t="s">
        <v>743</v>
      </c>
      <c r="G116" s="255"/>
      <c r="H116" s="256">
        <v>9</v>
      </c>
      <c r="I116" s="274">
        <f t="shared" si="10"/>
        <v>0</v>
      </c>
      <c r="J116" s="275">
        <f t="shared" ref="J116:J127" si="13">H116*$I$3</f>
        <v>204300</v>
      </c>
      <c r="K116" s="276"/>
      <c r="L116" s="277"/>
      <c r="M116" s="277"/>
      <c r="N116" s="277"/>
      <c r="O116" s="277"/>
      <c r="P116" s="279"/>
      <c r="Q116" s="279"/>
    </row>
    <row r="117" spans="1:17" s="229" customFormat="1" ht="27" hidden="1" customHeight="1" outlineLevel="2">
      <c r="A117" s="833" t="s">
        <v>739</v>
      </c>
      <c r="B117" s="257"/>
      <c r="C117" s="258" t="s">
        <v>618</v>
      </c>
      <c r="D117" s="838" t="s">
        <v>744</v>
      </c>
      <c r="E117" s="837" t="s">
        <v>746</v>
      </c>
      <c r="F117" s="260" t="s">
        <v>743</v>
      </c>
      <c r="G117" s="255"/>
      <c r="H117" s="256">
        <v>4</v>
      </c>
      <c r="I117" s="274">
        <f t="shared" si="10"/>
        <v>0</v>
      </c>
      <c r="J117" s="275">
        <f t="shared" si="13"/>
        <v>90800</v>
      </c>
      <c r="K117" s="276"/>
      <c r="L117" s="277"/>
      <c r="M117" s="277"/>
      <c r="N117" s="277"/>
      <c r="O117" s="277"/>
      <c r="P117" s="279"/>
      <c r="Q117" s="279"/>
    </row>
    <row r="118" spans="1:17" s="229" customFormat="1" ht="27.75" hidden="1" customHeight="1" outlineLevel="2">
      <c r="A118" s="833" t="s">
        <v>747</v>
      </c>
      <c r="B118" s="257"/>
      <c r="C118" s="258" t="s">
        <v>618</v>
      </c>
      <c r="D118" s="838" t="s">
        <v>619</v>
      </c>
      <c r="E118" s="841" t="s">
        <v>735</v>
      </c>
      <c r="F118" s="284"/>
      <c r="G118" s="283">
        <v>500</v>
      </c>
      <c r="H118" s="256"/>
      <c r="I118" s="274">
        <f t="shared" si="10"/>
        <v>11350000</v>
      </c>
      <c r="J118" s="275">
        <f t="shared" si="13"/>
        <v>0</v>
      </c>
      <c r="K118" s="276"/>
      <c r="L118" s="277"/>
      <c r="M118" s="277"/>
      <c r="N118" s="277"/>
      <c r="O118" s="277"/>
      <c r="P118" s="279"/>
      <c r="Q118" s="279"/>
    </row>
    <row r="119" spans="1:17" s="229" customFormat="1" ht="27.75" hidden="1" customHeight="1" outlineLevel="2">
      <c r="A119" s="833" t="s">
        <v>747</v>
      </c>
      <c r="B119" s="257"/>
      <c r="C119" s="258" t="s">
        <v>618</v>
      </c>
      <c r="D119" s="838" t="s">
        <v>619</v>
      </c>
      <c r="E119" s="835" t="s">
        <v>748</v>
      </c>
      <c r="F119" s="254" t="s">
        <v>621</v>
      </c>
      <c r="G119" s="255"/>
      <c r="H119" s="256">
        <v>29</v>
      </c>
      <c r="I119" s="274">
        <f t="shared" si="10"/>
        <v>0</v>
      </c>
      <c r="J119" s="275">
        <f t="shared" si="13"/>
        <v>658300</v>
      </c>
      <c r="K119" s="276"/>
      <c r="L119" s="277"/>
      <c r="M119" s="277"/>
      <c r="N119" s="277"/>
      <c r="O119" s="277"/>
      <c r="P119" s="279"/>
      <c r="Q119" s="279"/>
    </row>
    <row r="120" spans="1:17" s="229" customFormat="1" ht="27.75" hidden="1" customHeight="1" outlineLevel="2">
      <c r="A120" s="833" t="s">
        <v>747</v>
      </c>
      <c r="B120" s="257"/>
      <c r="C120" s="258" t="s">
        <v>618</v>
      </c>
      <c r="D120" s="838" t="s">
        <v>619</v>
      </c>
      <c r="E120" s="835" t="s">
        <v>749</v>
      </c>
      <c r="F120" s="254" t="s">
        <v>621</v>
      </c>
      <c r="G120" s="255"/>
      <c r="H120" s="256">
        <v>226.9</v>
      </c>
      <c r="I120" s="274">
        <f t="shared" si="10"/>
        <v>0</v>
      </c>
      <c r="J120" s="275">
        <f t="shared" si="13"/>
        <v>5150630</v>
      </c>
      <c r="K120" s="276"/>
      <c r="L120" s="277"/>
      <c r="M120" s="277"/>
      <c r="N120" s="277"/>
      <c r="O120" s="277"/>
      <c r="P120" s="279"/>
      <c r="Q120" s="279"/>
    </row>
    <row r="121" spans="1:17" s="229" customFormat="1" ht="27.75" hidden="1" customHeight="1" outlineLevel="2">
      <c r="A121" s="833" t="s">
        <v>747</v>
      </c>
      <c r="B121" s="257"/>
      <c r="C121" s="258" t="s">
        <v>618</v>
      </c>
      <c r="D121" s="838" t="s">
        <v>619</v>
      </c>
      <c r="E121" s="835" t="s">
        <v>750</v>
      </c>
      <c r="F121" s="254" t="s">
        <v>621</v>
      </c>
      <c r="G121" s="255"/>
      <c r="H121" s="256">
        <v>20</v>
      </c>
      <c r="I121" s="274">
        <f t="shared" ref="I121:I152" si="14">G121*$I$3</f>
        <v>0</v>
      </c>
      <c r="J121" s="275">
        <f t="shared" si="13"/>
        <v>454000</v>
      </c>
      <c r="K121" s="276"/>
      <c r="L121" s="277"/>
      <c r="M121" s="277"/>
      <c r="N121" s="277"/>
      <c r="O121" s="277"/>
      <c r="P121" s="279"/>
      <c r="Q121" s="279"/>
    </row>
    <row r="122" spans="1:17" s="229" customFormat="1" ht="27.75" hidden="1" customHeight="1" outlineLevel="2">
      <c r="A122" s="833" t="s">
        <v>747</v>
      </c>
      <c r="B122" s="257"/>
      <c r="C122" s="258" t="s">
        <v>618</v>
      </c>
      <c r="D122" s="838" t="s">
        <v>619</v>
      </c>
      <c r="E122" s="835" t="s">
        <v>622</v>
      </c>
      <c r="F122" s="254" t="s">
        <v>621</v>
      </c>
      <c r="G122" s="255"/>
      <c r="H122" s="256">
        <v>16</v>
      </c>
      <c r="I122" s="274">
        <f t="shared" si="14"/>
        <v>0</v>
      </c>
      <c r="J122" s="275">
        <f t="shared" si="13"/>
        <v>363200</v>
      </c>
      <c r="K122" s="276"/>
      <c r="L122" s="277"/>
      <c r="M122" s="277"/>
      <c r="N122" s="277"/>
      <c r="O122" s="277"/>
      <c r="P122" s="279"/>
      <c r="Q122" s="279"/>
    </row>
    <row r="123" spans="1:17" s="229" customFormat="1" ht="27.75" hidden="1" customHeight="1" outlineLevel="2">
      <c r="A123" s="833" t="s">
        <v>747</v>
      </c>
      <c r="B123" s="257"/>
      <c r="C123" s="258" t="s">
        <v>618</v>
      </c>
      <c r="D123" s="838" t="s">
        <v>751</v>
      </c>
      <c r="E123" s="835" t="s">
        <v>752</v>
      </c>
      <c r="F123" s="254" t="s">
        <v>641</v>
      </c>
      <c r="G123" s="255"/>
      <c r="H123" s="256">
        <v>50</v>
      </c>
      <c r="I123" s="274">
        <f t="shared" si="14"/>
        <v>0</v>
      </c>
      <c r="J123" s="275">
        <f t="shared" si="13"/>
        <v>1135000</v>
      </c>
      <c r="K123" s="276"/>
      <c r="L123" s="277"/>
      <c r="M123" s="277"/>
      <c r="N123" s="277"/>
      <c r="O123" s="277"/>
      <c r="P123" s="279"/>
      <c r="Q123" s="279"/>
    </row>
    <row r="124" spans="1:17" s="229" customFormat="1" ht="27.75" hidden="1" customHeight="1" outlineLevel="2">
      <c r="A124" s="833" t="s">
        <v>747</v>
      </c>
      <c r="B124" s="257"/>
      <c r="C124" s="258" t="s">
        <v>618</v>
      </c>
      <c r="D124" s="838" t="s">
        <v>751</v>
      </c>
      <c r="E124" s="835" t="s">
        <v>753</v>
      </c>
      <c r="F124" s="254" t="s">
        <v>621</v>
      </c>
      <c r="G124" s="255"/>
      <c r="H124" s="256">
        <v>35</v>
      </c>
      <c r="I124" s="274">
        <f t="shared" si="14"/>
        <v>0</v>
      </c>
      <c r="J124" s="275">
        <f t="shared" si="13"/>
        <v>794500</v>
      </c>
      <c r="K124" s="276"/>
      <c r="L124" s="277"/>
      <c r="M124" s="277"/>
      <c r="N124" s="277"/>
      <c r="O124" s="277"/>
      <c r="P124" s="279"/>
      <c r="Q124" s="279"/>
    </row>
    <row r="125" spans="1:17" s="229" customFormat="1" ht="27.75" hidden="1" customHeight="1" outlineLevel="2">
      <c r="A125" s="833" t="s">
        <v>747</v>
      </c>
      <c r="B125" s="257"/>
      <c r="C125" s="258" t="s">
        <v>618</v>
      </c>
      <c r="D125" s="838" t="s">
        <v>751</v>
      </c>
      <c r="E125" s="835" t="s">
        <v>754</v>
      </c>
      <c r="F125" s="254" t="s">
        <v>621</v>
      </c>
      <c r="G125" s="255"/>
      <c r="H125" s="256">
        <v>40</v>
      </c>
      <c r="I125" s="274">
        <f t="shared" si="14"/>
        <v>0</v>
      </c>
      <c r="J125" s="275">
        <f t="shared" si="13"/>
        <v>908000</v>
      </c>
      <c r="K125" s="276"/>
      <c r="L125" s="277"/>
      <c r="M125" s="277"/>
      <c r="N125" s="277"/>
      <c r="O125" s="277"/>
      <c r="P125" s="279"/>
      <c r="Q125" s="279"/>
    </row>
    <row r="126" spans="1:17" s="229" customFormat="1" ht="27.75" hidden="1" customHeight="1" outlineLevel="2">
      <c r="A126" s="833" t="s">
        <v>747</v>
      </c>
      <c r="B126" s="257"/>
      <c r="C126" s="258" t="s">
        <v>618</v>
      </c>
      <c r="D126" s="838" t="s">
        <v>751</v>
      </c>
      <c r="E126" s="835" t="s">
        <v>755</v>
      </c>
      <c r="F126" s="254" t="s">
        <v>621</v>
      </c>
      <c r="G126" s="255"/>
      <c r="H126" s="256">
        <v>8.4</v>
      </c>
      <c r="I126" s="274">
        <f t="shared" si="14"/>
        <v>0</v>
      </c>
      <c r="J126" s="275">
        <f t="shared" si="13"/>
        <v>190680</v>
      </c>
      <c r="K126" s="276"/>
      <c r="L126" s="277"/>
      <c r="M126" s="277"/>
      <c r="N126" s="277"/>
      <c r="O126" s="277"/>
      <c r="P126" s="279"/>
      <c r="Q126" s="279"/>
    </row>
    <row r="127" spans="1:17" s="229" customFormat="1" ht="27.75" hidden="1" customHeight="1" outlineLevel="2">
      <c r="A127" s="833" t="s">
        <v>747</v>
      </c>
      <c r="B127" s="257"/>
      <c r="C127" s="258" t="s">
        <v>618</v>
      </c>
      <c r="D127" s="838" t="s">
        <v>751</v>
      </c>
      <c r="E127" s="835" t="s">
        <v>756</v>
      </c>
      <c r="F127" s="254" t="s">
        <v>621</v>
      </c>
      <c r="G127" s="255"/>
      <c r="H127" s="256">
        <v>51</v>
      </c>
      <c r="I127" s="274">
        <f t="shared" si="14"/>
        <v>0</v>
      </c>
      <c r="J127" s="275">
        <f t="shared" si="13"/>
        <v>1157700</v>
      </c>
      <c r="K127" s="276"/>
      <c r="L127" s="277"/>
      <c r="M127" s="277"/>
      <c r="N127" s="277"/>
      <c r="O127" s="277"/>
      <c r="P127" s="279"/>
      <c r="Q127" s="279"/>
    </row>
    <row r="128" spans="1:17" s="229" customFormat="1" ht="27.75" hidden="1" customHeight="1" outlineLevel="2">
      <c r="A128" s="833" t="s">
        <v>747</v>
      </c>
      <c r="B128" s="257"/>
      <c r="C128" s="258" t="s">
        <v>618</v>
      </c>
      <c r="D128" s="838" t="s">
        <v>611</v>
      </c>
      <c r="E128" s="835" t="s">
        <v>757</v>
      </c>
      <c r="F128" s="254" t="s">
        <v>641</v>
      </c>
      <c r="G128" s="255"/>
      <c r="H128" s="256">
        <v>13</v>
      </c>
      <c r="I128" s="274">
        <f t="shared" si="14"/>
        <v>0</v>
      </c>
      <c r="J128" s="275">
        <f t="shared" ref="J128:J139" si="15">H128*$I$3</f>
        <v>295100</v>
      </c>
      <c r="K128" s="276"/>
      <c r="L128" s="277"/>
      <c r="M128" s="277"/>
      <c r="N128" s="277"/>
      <c r="O128" s="277"/>
      <c r="P128" s="279"/>
      <c r="Q128" s="279"/>
    </row>
    <row r="129" spans="1:17" s="229" customFormat="1" ht="27.75" hidden="1" customHeight="1" outlineLevel="2">
      <c r="A129" s="833" t="s">
        <v>747</v>
      </c>
      <c r="B129" s="257"/>
      <c r="C129" s="258" t="s">
        <v>618</v>
      </c>
      <c r="D129" s="838" t="s">
        <v>714</v>
      </c>
      <c r="E129" s="835" t="s">
        <v>758</v>
      </c>
      <c r="F129" s="254" t="s">
        <v>625</v>
      </c>
      <c r="G129" s="255"/>
      <c r="H129" s="256">
        <v>5</v>
      </c>
      <c r="I129" s="274">
        <f t="shared" si="14"/>
        <v>0</v>
      </c>
      <c r="J129" s="275">
        <f t="shared" si="15"/>
        <v>113500</v>
      </c>
      <c r="K129" s="276"/>
      <c r="L129" s="277"/>
      <c r="M129" s="277"/>
      <c r="N129" s="277"/>
      <c r="O129" s="277"/>
      <c r="P129" s="279"/>
      <c r="Q129" s="279"/>
    </row>
    <row r="130" spans="1:17" s="229" customFormat="1" ht="27.75" hidden="1" customHeight="1" outlineLevel="2">
      <c r="A130" s="833" t="s">
        <v>747</v>
      </c>
      <c r="B130" s="257"/>
      <c r="C130" s="258" t="s">
        <v>618</v>
      </c>
      <c r="D130" s="838" t="s">
        <v>714</v>
      </c>
      <c r="E130" s="835" t="s">
        <v>701</v>
      </c>
      <c r="F130" s="254" t="s">
        <v>625</v>
      </c>
      <c r="G130" s="255"/>
      <c r="H130" s="256">
        <v>3.8</v>
      </c>
      <c r="I130" s="274">
        <f t="shared" si="14"/>
        <v>0</v>
      </c>
      <c r="J130" s="275">
        <f t="shared" si="15"/>
        <v>86260</v>
      </c>
      <c r="K130" s="276"/>
      <c r="L130" s="277"/>
      <c r="M130" s="277"/>
      <c r="N130" s="277"/>
      <c r="O130" s="277"/>
      <c r="P130" s="279"/>
      <c r="Q130" s="279"/>
    </row>
    <row r="131" spans="1:17" s="229" customFormat="1" ht="27.75" hidden="1" customHeight="1" outlineLevel="2">
      <c r="A131" s="833" t="s">
        <v>759</v>
      </c>
      <c r="B131" s="257"/>
      <c r="C131" s="258" t="s">
        <v>618</v>
      </c>
      <c r="D131" s="838" t="s">
        <v>635</v>
      </c>
      <c r="E131" s="835" t="s">
        <v>760</v>
      </c>
      <c r="F131" s="254" t="s">
        <v>621</v>
      </c>
      <c r="G131" s="255"/>
      <c r="H131" s="256">
        <v>20.5</v>
      </c>
      <c r="I131" s="274">
        <f t="shared" si="14"/>
        <v>0</v>
      </c>
      <c r="J131" s="275">
        <f t="shared" si="15"/>
        <v>465350</v>
      </c>
      <c r="K131" s="276"/>
      <c r="L131" s="277"/>
      <c r="M131" s="277"/>
      <c r="N131" s="277"/>
      <c r="O131" s="277"/>
      <c r="P131" s="279"/>
      <c r="Q131" s="279"/>
    </row>
    <row r="132" spans="1:17" s="229" customFormat="1" ht="27.75" hidden="1" customHeight="1" outlineLevel="2">
      <c r="A132" s="833" t="s">
        <v>759</v>
      </c>
      <c r="B132" s="257"/>
      <c r="C132" s="258" t="s">
        <v>618</v>
      </c>
      <c r="D132" s="838" t="s">
        <v>635</v>
      </c>
      <c r="E132" s="835" t="s">
        <v>713</v>
      </c>
      <c r="F132" s="254" t="s">
        <v>621</v>
      </c>
      <c r="G132" s="255"/>
      <c r="H132" s="256">
        <v>53</v>
      </c>
      <c r="I132" s="274">
        <f t="shared" si="14"/>
        <v>0</v>
      </c>
      <c r="J132" s="275">
        <f t="shared" si="15"/>
        <v>1203100</v>
      </c>
      <c r="K132" s="276"/>
      <c r="L132" s="277"/>
      <c r="M132" s="277"/>
      <c r="N132" s="277"/>
      <c r="O132" s="277"/>
      <c r="P132" s="279"/>
      <c r="Q132" s="279"/>
    </row>
    <row r="133" spans="1:17" s="229" customFormat="1" ht="27.75" hidden="1" customHeight="1" outlineLevel="2">
      <c r="A133" s="833" t="s">
        <v>759</v>
      </c>
      <c r="B133" s="257"/>
      <c r="C133" s="258" t="s">
        <v>618</v>
      </c>
      <c r="D133" s="838" t="s">
        <v>635</v>
      </c>
      <c r="E133" s="835" t="s">
        <v>637</v>
      </c>
      <c r="F133" s="254" t="s">
        <v>638</v>
      </c>
      <c r="G133" s="255"/>
      <c r="H133" s="256">
        <v>5</v>
      </c>
      <c r="I133" s="274">
        <f t="shared" si="14"/>
        <v>0</v>
      </c>
      <c r="J133" s="275">
        <f t="shared" si="15"/>
        <v>113500</v>
      </c>
      <c r="K133" s="276"/>
      <c r="L133" s="277"/>
      <c r="M133" s="277"/>
      <c r="N133" s="277"/>
      <c r="O133" s="277"/>
      <c r="P133" s="279"/>
      <c r="Q133" s="279"/>
    </row>
    <row r="134" spans="1:17" s="229" customFormat="1" ht="27.75" hidden="1" customHeight="1" outlineLevel="2">
      <c r="A134" s="833" t="s">
        <v>759</v>
      </c>
      <c r="B134" s="257"/>
      <c r="C134" s="258" t="s">
        <v>618</v>
      </c>
      <c r="D134" s="838" t="s">
        <v>632</v>
      </c>
      <c r="E134" s="835" t="s">
        <v>761</v>
      </c>
      <c r="F134" s="254" t="s">
        <v>625</v>
      </c>
      <c r="G134" s="255"/>
      <c r="H134" s="256">
        <v>2</v>
      </c>
      <c r="I134" s="274">
        <f t="shared" si="14"/>
        <v>0</v>
      </c>
      <c r="J134" s="275">
        <f t="shared" si="15"/>
        <v>45400</v>
      </c>
      <c r="K134" s="276"/>
      <c r="L134" s="277"/>
      <c r="M134" s="277"/>
      <c r="N134" s="277"/>
      <c r="O134" s="277"/>
      <c r="P134" s="279"/>
      <c r="Q134" s="279"/>
    </row>
    <row r="135" spans="1:17" s="229" customFormat="1" ht="27.75" hidden="1" customHeight="1" outlineLevel="2">
      <c r="A135" s="833" t="s">
        <v>759</v>
      </c>
      <c r="B135" s="257"/>
      <c r="C135" s="258" t="s">
        <v>618</v>
      </c>
      <c r="D135" s="838" t="s">
        <v>632</v>
      </c>
      <c r="E135" s="835" t="s">
        <v>762</v>
      </c>
      <c r="F135" s="254" t="s">
        <v>625</v>
      </c>
      <c r="G135" s="255"/>
      <c r="H135" s="256">
        <v>5</v>
      </c>
      <c r="I135" s="274">
        <f t="shared" si="14"/>
        <v>0</v>
      </c>
      <c r="J135" s="275">
        <f t="shared" si="15"/>
        <v>113500</v>
      </c>
      <c r="K135" s="276"/>
      <c r="L135" s="277"/>
      <c r="M135" s="277"/>
      <c r="N135" s="277"/>
      <c r="O135" s="277"/>
      <c r="P135" s="279"/>
      <c r="Q135" s="279"/>
    </row>
    <row r="136" spans="1:17" s="229" customFormat="1" ht="27.75" hidden="1" customHeight="1" outlineLevel="2">
      <c r="A136" s="833" t="s">
        <v>759</v>
      </c>
      <c r="B136" s="257"/>
      <c r="C136" s="258" t="s">
        <v>618</v>
      </c>
      <c r="D136" s="838" t="s">
        <v>611</v>
      </c>
      <c r="E136" s="835" t="s">
        <v>763</v>
      </c>
      <c r="F136" s="254" t="s">
        <v>641</v>
      </c>
      <c r="G136" s="255"/>
      <c r="H136" s="256">
        <v>5</v>
      </c>
      <c r="I136" s="274">
        <f t="shared" si="14"/>
        <v>0</v>
      </c>
      <c r="J136" s="275">
        <f t="shared" si="15"/>
        <v>113500</v>
      </c>
      <c r="K136" s="276"/>
      <c r="L136" s="277"/>
      <c r="M136" s="277"/>
      <c r="N136" s="277"/>
      <c r="O136" s="277"/>
      <c r="P136" s="279"/>
      <c r="Q136" s="279"/>
    </row>
    <row r="137" spans="1:17" s="229" customFormat="1" ht="27.75" hidden="1" customHeight="1" outlineLevel="2">
      <c r="A137" s="833" t="s">
        <v>764</v>
      </c>
      <c r="B137" s="257"/>
      <c r="C137" s="258" t="s">
        <v>618</v>
      </c>
      <c r="D137" s="838" t="s">
        <v>635</v>
      </c>
      <c r="E137" s="835" t="s">
        <v>765</v>
      </c>
      <c r="F137" s="254" t="s">
        <v>621</v>
      </c>
      <c r="G137" s="255"/>
      <c r="H137" s="256">
        <v>40</v>
      </c>
      <c r="I137" s="274">
        <f t="shared" si="14"/>
        <v>0</v>
      </c>
      <c r="J137" s="275">
        <f t="shared" si="15"/>
        <v>908000</v>
      </c>
      <c r="K137" s="276"/>
      <c r="L137" s="277"/>
      <c r="M137" s="277"/>
      <c r="N137" s="277"/>
      <c r="O137" s="277"/>
      <c r="P137" s="279"/>
      <c r="Q137" s="279"/>
    </row>
    <row r="138" spans="1:17" s="229" customFormat="1" ht="27.75" hidden="1" customHeight="1" outlineLevel="2">
      <c r="A138" s="833" t="s">
        <v>764</v>
      </c>
      <c r="B138" s="257"/>
      <c r="C138" s="258" t="s">
        <v>618</v>
      </c>
      <c r="D138" s="838" t="s">
        <v>635</v>
      </c>
      <c r="E138" s="835" t="s">
        <v>766</v>
      </c>
      <c r="F138" s="254" t="s">
        <v>621</v>
      </c>
      <c r="G138" s="255"/>
      <c r="H138" s="256">
        <v>16</v>
      </c>
      <c r="I138" s="274">
        <f t="shared" si="14"/>
        <v>0</v>
      </c>
      <c r="J138" s="275">
        <f t="shared" si="15"/>
        <v>363200</v>
      </c>
      <c r="K138" s="276"/>
      <c r="L138" s="277"/>
      <c r="M138" s="277"/>
      <c r="N138" s="277"/>
      <c r="O138" s="277"/>
      <c r="P138" s="279"/>
      <c r="Q138" s="279"/>
    </row>
    <row r="139" spans="1:17" s="229" customFormat="1" ht="27.75" hidden="1" customHeight="1" outlineLevel="2">
      <c r="A139" s="833" t="s">
        <v>764</v>
      </c>
      <c r="B139" s="257"/>
      <c r="C139" s="258" t="s">
        <v>618</v>
      </c>
      <c r="D139" s="838" t="s">
        <v>635</v>
      </c>
      <c r="E139" s="835" t="s">
        <v>637</v>
      </c>
      <c r="F139" s="254" t="s">
        <v>638</v>
      </c>
      <c r="G139" s="255"/>
      <c r="H139" s="256">
        <v>20</v>
      </c>
      <c r="I139" s="274">
        <f t="shared" si="14"/>
        <v>0</v>
      </c>
      <c r="J139" s="275">
        <f t="shared" si="15"/>
        <v>454000</v>
      </c>
      <c r="K139" s="276"/>
      <c r="L139" s="277"/>
      <c r="M139" s="277"/>
      <c r="N139" s="277"/>
      <c r="O139" s="277"/>
      <c r="P139" s="279"/>
      <c r="Q139" s="279"/>
    </row>
    <row r="140" spans="1:17" s="229" customFormat="1" ht="27.75" hidden="1" customHeight="1" outlineLevel="2">
      <c r="A140" s="833" t="s">
        <v>764</v>
      </c>
      <c r="B140" s="257"/>
      <c r="C140" s="258" t="s">
        <v>618</v>
      </c>
      <c r="D140" s="838" t="s">
        <v>611</v>
      </c>
      <c r="E140" s="835" t="s">
        <v>767</v>
      </c>
      <c r="F140" s="254" t="s">
        <v>641</v>
      </c>
      <c r="G140" s="255"/>
      <c r="H140" s="256">
        <v>29.65</v>
      </c>
      <c r="I140" s="274">
        <f t="shared" si="14"/>
        <v>0</v>
      </c>
      <c r="J140" s="275">
        <f t="shared" ref="J140:J148" si="16">H140*$I$3</f>
        <v>673055</v>
      </c>
      <c r="K140" s="276"/>
      <c r="L140" s="277"/>
      <c r="M140" s="277"/>
      <c r="N140" s="277"/>
      <c r="O140" s="277"/>
      <c r="P140" s="279"/>
      <c r="Q140" s="279"/>
    </row>
    <row r="141" spans="1:17" s="229" customFormat="1" ht="27.75" hidden="1" customHeight="1" outlineLevel="2">
      <c r="A141" s="833" t="s">
        <v>764</v>
      </c>
      <c r="B141" s="257"/>
      <c r="C141" s="258" t="s">
        <v>618</v>
      </c>
      <c r="D141" s="838" t="s">
        <v>611</v>
      </c>
      <c r="E141" s="835" t="s">
        <v>640</v>
      </c>
      <c r="F141" s="254" t="s">
        <v>641</v>
      </c>
      <c r="G141" s="255"/>
      <c r="H141" s="256">
        <v>2</v>
      </c>
      <c r="I141" s="274">
        <f t="shared" si="14"/>
        <v>0</v>
      </c>
      <c r="J141" s="275">
        <f t="shared" si="16"/>
        <v>45400</v>
      </c>
      <c r="K141" s="276"/>
      <c r="L141" s="277"/>
      <c r="M141" s="277"/>
      <c r="N141" s="277"/>
      <c r="O141" s="277"/>
      <c r="P141" s="279"/>
      <c r="Q141" s="279"/>
    </row>
    <row r="142" spans="1:17" s="229" customFormat="1" ht="27.75" hidden="1" customHeight="1" outlineLevel="2">
      <c r="A142" s="833" t="s">
        <v>764</v>
      </c>
      <c r="B142" s="257"/>
      <c r="C142" s="258" t="s">
        <v>618</v>
      </c>
      <c r="D142" s="838" t="s">
        <v>630</v>
      </c>
      <c r="E142" s="835" t="s">
        <v>768</v>
      </c>
      <c r="F142" s="254" t="s">
        <v>625</v>
      </c>
      <c r="G142" s="255"/>
      <c r="H142" s="256">
        <v>45</v>
      </c>
      <c r="I142" s="274">
        <f t="shared" si="14"/>
        <v>0</v>
      </c>
      <c r="J142" s="275">
        <f t="shared" si="16"/>
        <v>1021500</v>
      </c>
      <c r="K142" s="276"/>
      <c r="L142" s="277"/>
      <c r="M142" s="277"/>
      <c r="N142" s="277"/>
      <c r="O142" s="277"/>
      <c r="P142" s="279"/>
      <c r="Q142" s="279"/>
    </row>
    <row r="143" spans="1:17" s="229" customFormat="1" ht="27.75" hidden="1" customHeight="1" outlineLevel="2">
      <c r="A143" s="833" t="s">
        <v>769</v>
      </c>
      <c r="B143" s="257"/>
      <c r="C143" s="258" t="s">
        <v>618</v>
      </c>
      <c r="D143" s="838" t="s">
        <v>630</v>
      </c>
      <c r="E143" s="835" t="s">
        <v>770</v>
      </c>
      <c r="F143" s="254" t="s">
        <v>625</v>
      </c>
      <c r="G143" s="255"/>
      <c r="H143" s="256">
        <v>1</v>
      </c>
      <c r="I143" s="274">
        <f t="shared" si="14"/>
        <v>0</v>
      </c>
      <c r="J143" s="275">
        <f t="shared" si="16"/>
        <v>22700</v>
      </c>
      <c r="K143" s="276"/>
      <c r="L143" s="277"/>
      <c r="M143" s="277"/>
      <c r="N143" s="277"/>
      <c r="O143" s="277"/>
      <c r="P143" s="279"/>
      <c r="Q143" s="279"/>
    </row>
    <row r="144" spans="1:17" s="229" customFormat="1" ht="27.75" hidden="1" customHeight="1" outlineLevel="2">
      <c r="A144" s="833" t="s">
        <v>771</v>
      </c>
      <c r="B144" s="257"/>
      <c r="C144" s="258" t="s">
        <v>618</v>
      </c>
      <c r="D144" s="838" t="s">
        <v>619</v>
      </c>
      <c r="E144" s="839" t="s">
        <v>735</v>
      </c>
      <c r="F144" s="280"/>
      <c r="G144" s="281">
        <v>500</v>
      </c>
      <c r="H144" s="256"/>
      <c r="I144" s="274">
        <f t="shared" si="14"/>
        <v>11350000</v>
      </c>
      <c r="J144" s="275">
        <f t="shared" si="16"/>
        <v>0</v>
      </c>
      <c r="K144" s="276"/>
      <c r="L144" s="277"/>
      <c r="M144" s="277"/>
      <c r="N144" s="277"/>
      <c r="O144" s="277"/>
      <c r="P144" s="279"/>
      <c r="Q144" s="279"/>
    </row>
    <row r="145" spans="1:17" s="229" customFormat="1" ht="27.75" hidden="1" customHeight="1" outlineLevel="2">
      <c r="A145" s="833" t="s">
        <v>771</v>
      </c>
      <c r="B145" s="257"/>
      <c r="C145" s="258" t="s">
        <v>618</v>
      </c>
      <c r="D145" s="838" t="s">
        <v>619</v>
      </c>
      <c r="E145" s="835" t="s">
        <v>772</v>
      </c>
      <c r="F145" s="254" t="s">
        <v>621</v>
      </c>
      <c r="G145" s="255"/>
      <c r="H145" s="256">
        <v>136</v>
      </c>
      <c r="I145" s="274">
        <f t="shared" si="14"/>
        <v>0</v>
      </c>
      <c r="J145" s="275">
        <f t="shared" si="16"/>
        <v>3087200</v>
      </c>
      <c r="K145" s="276"/>
      <c r="L145" s="277"/>
      <c r="M145" s="277"/>
      <c r="N145" s="277"/>
      <c r="O145" s="277"/>
      <c r="P145" s="279"/>
      <c r="Q145" s="279"/>
    </row>
    <row r="146" spans="1:17" s="229" customFormat="1" ht="27.75" hidden="1" customHeight="1" outlineLevel="2">
      <c r="A146" s="833" t="s">
        <v>771</v>
      </c>
      <c r="B146" s="257"/>
      <c r="C146" s="258" t="s">
        <v>618</v>
      </c>
      <c r="D146" s="838" t="s">
        <v>630</v>
      </c>
      <c r="E146" s="835" t="s">
        <v>773</v>
      </c>
      <c r="F146" s="254" t="s">
        <v>625</v>
      </c>
      <c r="G146" s="255"/>
      <c r="H146" s="256">
        <v>2.5</v>
      </c>
      <c r="I146" s="274">
        <f t="shared" si="14"/>
        <v>0</v>
      </c>
      <c r="J146" s="275">
        <f t="shared" si="16"/>
        <v>56750</v>
      </c>
      <c r="K146" s="276"/>
      <c r="L146" s="277"/>
      <c r="M146" s="277"/>
      <c r="N146" s="277"/>
      <c r="O146" s="277"/>
      <c r="P146" s="279"/>
      <c r="Q146" s="279"/>
    </row>
    <row r="147" spans="1:17" s="229" customFormat="1" ht="27.75" hidden="1" customHeight="1" outlineLevel="2">
      <c r="A147" s="833" t="s">
        <v>771</v>
      </c>
      <c r="B147" s="257"/>
      <c r="C147" s="258" t="s">
        <v>618</v>
      </c>
      <c r="D147" s="838" t="s">
        <v>632</v>
      </c>
      <c r="E147" s="835" t="s">
        <v>774</v>
      </c>
      <c r="F147" s="254" t="s">
        <v>625</v>
      </c>
      <c r="G147" s="255"/>
      <c r="H147" s="256">
        <v>4</v>
      </c>
      <c r="I147" s="274">
        <f t="shared" si="14"/>
        <v>0</v>
      </c>
      <c r="J147" s="275">
        <f t="shared" si="16"/>
        <v>90800</v>
      </c>
      <c r="K147" s="276"/>
      <c r="L147" s="277"/>
      <c r="M147" s="277"/>
      <c r="N147" s="277"/>
      <c r="O147" s="277"/>
      <c r="P147" s="279"/>
      <c r="Q147" s="279"/>
    </row>
    <row r="148" spans="1:17" s="229" customFormat="1" ht="27.75" hidden="1" customHeight="1" outlineLevel="2">
      <c r="A148" s="833" t="s">
        <v>771</v>
      </c>
      <c r="B148" s="257"/>
      <c r="C148" s="258" t="s">
        <v>618</v>
      </c>
      <c r="D148" s="838" t="s">
        <v>611</v>
      </c>
      <c r="E148" s="835" t="s">
        <v>640</v>
      </c>
      <c r="F148" s="254" t="s">
        <v>641</v>
      </c>
      <c r="G148" s="255"/>
      <c r="H148" s="256">
        <v>10.5</v>
      </c>
      <c r="I148" s="274">
        <f t="shared" si="14"/>
        <v>0</v>
      </c>
      <c r="J148" s="275">
        <f t="shared" si="16"/>
        <v>238350</v>
      </c>
      <c r="K148" s="276"/>
      <c r="L148" s="277"/>
      <c r="M148" s="277"/>
      <c r="N148" s="277"/>
      <c r="O148" s="277"/>
      <c r="P148" s="279"/>
      <c r="Q148" s="279"/>
    </row>
    <row r="149" spans="1:17" s="229" customFormat="1" ht="27.75" hidden="1" customHeight="1" outlineLevel="2">
      <c r="A149" s="833" t="s">
        <v>775</v>
      </c>
      <c r="B149" s="257"/>
      <c r="C149" s="258" t="s">
        <v>618</v>
      </c>
      <c r="D149" s="838" t="s">
        <v>635</v>
      </c>
      <c r="E149" s="835" t="s">
        <v>637</v>
      </c>
      <c r="F149" s="254" t="s">
        <v>638</v>
      </c>
      <c r="G149" s="255"/>
      <c r="H149" s="256">
        <v>30</v>
      </c>
      <c r="I149" s="274">
        <f t="shared" si="14"/>
        <v>0</v>
      </c>
      <c r="J149" s="275">
        <f t="shared" ref="J149:J154" si="17">H149*$I$3</f>
        <v>681000</v>
      </c>
      <c r="K149" s="276"/>
      <c r="L149" s="277"/>
      <c r="M149" s="277"/>
      <c r="N149" s="277"/>
      <c r="O149" s="277"/>
      <c r="P149" s="279"/>
      <c r="Q149" s="279"/>
    </row>
    <row r="150" spans="1:17" s="229" customFormat="1" ht="27.75" hidden="1" customHeight="1" outlineLevel="2">
      <c r="A150" s="833" t="s">
        <v>775</v>
      </c>
      <c r="B150" s="257"/>
      <c r="C150" s="258" t="s">
        <v>618</v>
      </c>
      <c r="D150" s="838" t="s">
        <v>714</v>
      </c>
      <c r="E150" s="835" t="s">
        <v>758</v>
      </c>
      <c r="F150" s="254" t="s">
        <v>625</v>
      </c>
      <c r="G150" s="255"/>
      <c r="H150" s="256">
        <v>2.5</v>
      </c>
      <c r="I150" s="274">
        <f t="shared" si="14"/>
        <v>0</v>
      </c>
      <c r="J150" s="275">
        <f t="shared" si="17"/>
        <v>56750</v>
      </c>
      <c r="K150" s="276"/>
      <c r="L150" s="277"/>
      <c r="M150" s="277"/>
      <c r="N150" s="277"/>
      <c r="O150" s="277"/>
      <c r="P150" s="279"/>
      <c r="Q150" s="279"/>
    </row>
    <row r="151" spans="1:17" s="229" customFormat="1" ht="27.75" hidden="1" customHeight="1" outlineLevel="2">
      <c r="A151" s="833" t="s">
        <v>776</v>
      </c>
      <c r="B151" s="257"/>
      <c r="C151" s="258" t="s">
        <v>618</v>
      </c>
      <c r="D151" s="838" t="s">
        <v>619</v>
      </c>
      <c r="E151" s="839" t="s">
        <v>735</v>
      </c>
      <c r="F151" s="280"/>
      <c r="G151" s="281">
        <v>5000</v>
      </c>
      <c r="H151" s="256"/>
      <c r="I151" s="274">
        <f t="shared" si="14"/>
        <v>113500000</v>
      </c>
      <c r="J151" s="275">
        <f t="shared" si="17"/>
        <v>0</v>
      </c>
      <c r="K151" s="276"/>
      <c r="L151" s="277"/>
      <c r="M151" s="277"/>
      <c r="N151" s="277"/>
      <c r="O151" s="277"/>
      <c r="P151" s="279"/>
      <c r="Q151" s="279"/>
    </row>
    <row r="152" spans="1:17" s="229" customFormat="1" ht="27.75" hidden="1" customHeight="1" outlineLevel="2">
      <c r="A152" s="833" t="s">
        <v>776</v>
      </c>
      <c r="B152" s="257"/>
      <c r="C152" s="258" t="s">
        <v>618</v>
      </c>
      <c r="D152" s="838" t="s">
        <v>619</v>
      </c>
      <c r="E152" s="835" t="s">
        <v>777</v>
      </c>
      <c r="F152" s="254" t="s">
        <v>627</v>
      </c>
      <c r="G152" s="255"/>
      <c r="H152" s="256">
        <v>10</v>
      </c>
      <c r="I152" s="274">
        <f t="shared" si="14"/>
        <v>0</v>
      </c>
      <c r="J152" s="275">
        <f t="shared" si="17"/>
        <v>227000</v>
      </c>
      <c r="K152" s="276"/>
      <c r="L152" s="277"/>
      <c r="M152" s="277"/>
      <c r="N152" s="277"/>
      <c r="O152" s="277"/>
      <c r="P152" s="279"/>
      <c r="Q152" s="279"/>
    </row>
    <row r="153" spans="1:17" s="229" customFormat="1" ht="27.75" hidden="1" customHeight="1" outlineLevel="2">
      <c r="A153" s="833" t="s">
        <v>776</v>
      </c>
      <c r="B153" s="257"/>
      <c r="C153" s="258" t="s">
        <v>618</v>
      </c>
      <c r="D153" s="838" t="s">
        <v>778</v>
      </c>
      <c r="E153" s="835" t="s">
        <v>779</v>
      </c>
      <c r="F153" s="254" t="s">
        <v>780</v>
      </c>
      <c r="G153" s="255"/>
      <c r="H153" s="256">
        <v>3887.96</v>
      </c>
      <c r="I153" s="274">
        <f t="shared" ref="I153:I184" si="18">G153*$I$3</f>
        <v>0</v>
      </c>
      <c r="J153" s="275">
        <f t="shared" si="17"/>
        <v>88256692</v>
      </c>
      <c r="K153" s="276"/>
      <c r="L153" s="277"/>
      <c r="M153" s="277"/>
      <c r="N153" s="277"/>
      <c r="O153" s="277"/>
      <c r="P153" s="279"/>
      <c r="Q153" s="279"/>
    </row>
    <row r="154" spans="1:17" s="229" customFormat="1" ht="27.75" hidden="1" customHeight="1" outlineLevel="2">
      <c r="A154" s="833" t="s">
        <v>776</v>
      </c>
      <c r="B154" s="257"/>
      <c r="C154" s="258" t="s">
        <v>618</v>
      </c>
      <c r="D154" s="838" t="s">
        <v>778</v>
      </c>
      <c r="E154" s="835" t="s">
        <v>781</v>
      </c>
      <c r="F154" s="254" t="s">
        <v>782</v>
      </c>
      <c r="G154" s="255"/>
      <c r="H154" s="256">
        <v>115</v>
      </c>
      <c r="I154" s="274">
        <f t="shared" si="18"/>
        <v>0</v>
      </c>
      <c r="J154" s="275">
        <f t="shared" si="17"/>
        <v>2610500</v>
      </c>
      <c r="K154" s="276"/>
      <c r="L154" s="277"/>
      <c r="M154" s="277"/>
      <c r="N154" s="277"/>
      <c r="O154" s="277"/>
      <c r="P154" s="279"/>
      <c r="Q154" s="279"/>
    </row>
    <row r="155" spans="1:17" s="229" customFormat="1" ht="27.75" hidden="1" customHeight="1" outlineLevel="2">
      <c r="A155" s="833" t="s">
        <v>776</v>
      </c>
      <c r="B155" s="257"/>
      <c r="C155" s="258" t="s">
        <v>618</v>
      </c>
      <c r="D155" s="838" t="s">
        <v>778</v>
      </c>
      <c r="E155" s="835" t="s">
        <v>783</v>
      </c>
      <c r="F155" s="254" t="s">
        <v>784</v>
      </c>
      <c r="G155" s="255"/>
      <c r="H155" s="256">
        <v>220</v>
      </c>
      <c r="I155" s="274">
        <f t="shared" si="18"/>
        <v>0</v>
      </c>
      <c r="J155" s="275">
        <f t="shared" ref="J155:J167" si="19">H155*$I$3</f>
        <v>4994000</v>
      </c>
      <c r="K155" s="276"/>
      <c r="L155" s="277"/>
      <c r="M155" s="277"/>
      <c r="N155" s="277"/>
      <c r="O155" s="277"/>
      <c r="P155" s="279"/>
      <c r="Q155" s="279"/>
    </row>
    <row r="156" spans="1:17" s="229" customFormat="1" ht="27" hidden="1" customHeight="1" outlineLevel="2">
      <c r="A156" s="833" t="s">
        <v>776</v>
      </c>
      <c r="B156" s="257"/>
      <c r="C156" s="258" t="s">
        <v>618</v>
      </c>
      <c r="D156" s="838" t="s">
        <v>785</v>
      </c>
      <c r="E156" s="835" t="s">
        <v>786</v>
      </c>
      <c r="F156" s="254" t="s">
        <v>625</v>
      </c>
      <c r="G156" s="255"/>
      <c r="H156" s="256">
        <v>18</v>
      </c>
      <c r="I156" s="274">
        <f t="shared" si="18"/>
        <v>0</v>
      </c>
      <c r="J156" s="275">
        <f t="shared" si="19"/>
        <v>408600</v>
      </c>
      <c r="K156" s="276"/>
      <c r="L156" s="277"/>
      <c r="M156" s="277"/>
      <c r="N156" s="277"/>
      <c r="O156" s="277"/>
      <c r="P156" s="279"/>
      <c r="Q156" s="279"/>
    </row>
    <row r="157" spans="1:17" s="229" customFormat="1" ht="27.75" hidden="1" customHeight="1" outlineLevel="2">
      <c r="A157" s="833" t="s">
        <v>776</v>
      </c>
      <c r="B157" s="257"/>
      <c r="C157" s="258" t="s">
        <v>618</v>
      </c>
      <c r="D157" s="838" t="s">
        <v>778</v>
      </c>
      <c r="E157" s="835" t="s">
        <v>763</v>
      </c>
      <c r="F157" s="254" t="s">
        <v>641</v>
      </c>
      <c r="G157" s="255"/>
      <c r="H157" s="256">
        <v>5</v>
      </c>
      <c r="I157" s="274">
        <f t="shared" si="18"/>
        <v>0</v>
      </c>
      <c r="J157" s="275">
        <f t="shared" si="19"/>
        <v>113500</v>
      </c>
      <c r="K157" s="276"/>
      <c r="L157" s="277"/>
      <c r="M157" s="277"/>
      <c r="N157" s="277"/>
      <c r="O157" s="277"/>
      <c r="P157" s="279"/>
      <c r="Q157" s="279"/>
    </row>
    <row r="158" spans="1:17" s="229" customFormat="1" ht="27.75" hidden="1" customHeight="1" outlineLevel="2">
      <c r="A158" s="833" t="s">
        <v>776</v>
      </c>
      <c r="B158" s="257"/>
      <c r="C158" s="258" t="s">
        <v>618</v>
      </c>
      <c r="D158" s="838" t="s">
        <v>778</v>
      </c>
      <c r="E158" s="835" t="s">
        <v>640</v>
      </c>
      <c r="F158" s="254" t="s">
        <v>641</v>
      </c>
      <c r="G158" s="255"/>
      <c r="H158" s="256">
        <v>2</v>
      </c>
      <c r="I158" s="274">
        <f t="shared" si="18"/>
        <v>0</v>
      </c>
      <c r="J158" s="275">
        <f t="shared" si="19"/>
        <v>45400</v>
      </c>
      <c r="K158" s="276"/>
      <c r="L158" s="277"/>
      <c r="M158" s="277"/>
      <c r="N158" s="277"/>
      <c r="O158" s="277"/>
      <c r="P158" s="279"/>
      <c r="Q158" s="279"/>
    </row>
    <row r="159" spans="1:17" s="229" customFormat="1" ht="27.75" hidden="1" customHeight="1" outlineLevel="2">
      <c r="A159" s="833" t="s">
        <v>787</v>
      </c>
      <c r="B159" s="251"/>
      <c r="C159" s="252" t="s">
        <v>618</v>
      </c>
      <c r="D159" s="842" t="s">
        <v>635</v>
      </c>
      <c r="E159" s="253" t="s">
        <v>788</v>
      </c>
      <c r="F159" s="254"/>
      <c r="G159" s="254">
        <v>51056</v>
      </c>
      <c r="H159" s="256"/>
      <c r="I159" s="274">
        <f t="shared" si="18"/>
        <v>1158971200</v>
      </c>
      <c r="J159" s="275">
        <f t="shared" si="19"/>
        <v>0</v>
      </c>
      <c r="K159" s="276"/>
      <c r="L159" s="277"/>
      <c r="M159" s="277"/>
      <c r="N159" s="277"/>
      <c r="O159" s="277"/>
      <c r="P159" s="279"/>
      <c r="Q159" s="279"/>
    </row>
    <row r="160" spans="1:17" s="229" customFormat="1" ht="28.5" hidden="1" customHeight="1" outlineLevel="2">
      <c r="A160" s="833" t="s">
        <v>787</v>
      </c>
      <c r="B160" s="251"/>
      <c r="C160" s="252" t="s">
        <v>618</v>
      </c>
      <c r="D160" s="834" t="s">
        <v>635</v>
      </c>
      <c r="E160" s="253" t="s">
        <v>789</v>
      </c>
      <c r="F160" s="254" t="s">
        <v>790</v>
      </c>
      <c r="G160" s="254"/>
      <c r="H160" s="256">
        <v>8500</v>
      </c>
      <c r="I160" s="274">
        <f t="shared" si="18"/>
        <v>0</v>
      </c>
      <c r="J160" s="275">
        <f t="shared" si="19"/>
        <v>192950000</v>
      </c>
      <c r="K160" s="276"/>
      <c r="L160" s="277"/>
      <c r="M160" s="277"/>
      <c r="N160" s="277"/>
      <c r="O160" s="277"/>
      <c r="P160" s="279"/>
      <c r="Q160" s="279"/>
    </row>
    <row r="161" spans="1:17" s="229" customFormat="1" ht="27.75" hidden="1" customHeight="1" outlineLevel="2">
      <c r="A161" s="833" t="s">
        <v>787</v>
      </c>
      <c r="B161" s="251"/>
      <c r="C161" s="252" t="s">
        <v>618</v>
      </c>
      <c r="D161" s="834" t="s">
        <v>635</v>
      </c>
      <c r="E161" s="253" t="s">
        <v>713</v>
      </c>
      <c r="F161" s="254" t="s">
        <v>621</v>
      </c>
      <c r="G161" s="254"/>
      <c r="H161" s="256">
        <v>7</v>
      </c>
      <c r="I161" s="274">
        <f t="shared" si="18"/>
        <v>0</v>
      </c>
      <c r="J161" s="275">
        <f t="shared" si="19"/>
        <v>158900</v>
      </c>
      <c r="K161" s="276"/>
      <c r="L161" s="277"/>
      <c r="M161" s="277"/>
      <c r="N161" s="277"/>
      <c r="O161" s="277"/>
      <c r="P161" s="279"/>
      <c r="Q161" s="279"/>
    </row>
    <row r="162" spans="1:17" s="229" customFormat="1" ht="27.75" hidden="1" customHeight="1" outlineLevel="2">
      <c r="A162" s="833" t="s">
        <v>787</v>
      </c>
      <c r="B162" s="251"/>
      <c r="C162" s="252" t="s">
        <v>618</v>
      </c>
      <c r="D162" s="834" t="s">
        <v>635</v>
      </c>
      <c r="E162" s="253" t="s">
        <v>791</v>
      </c>
      <c r="F162" s="254" t="s">
        <v>644</v>
      </c>
      <c r="G162" s="254"/>
      <c r="H162" s="256">
        <v>400</v>
      </c>
      <c r="I162" s="274">
        <f t="shared" si="18"/>
        <v>0</v>
      </c>
      <c r="J162" s="275">
        <f t="shared" si="19"/>
        <v>9080000</v>
      </c>
      <c r="K162" s="276"/>
      <c r="L162" s="277"/>
      <c r="M162" s="277"/>
      <c r="N162" s="277"/>
      <c r="O162" s="277"/>
      <c r="P162" s="279"/>
      <c r="Q162" s="279"/>
    </row>
    <row r="163" spans="1:17" s="229" customFormat="1" ht="27.75" hidden="1" customHeight="1" outlineLevel="2">
      <c r="A163" s="833" t="s">
        <v>787</v>
      </c>
      <c r="B163" s="251"/>
      <c r="C163" s="252" t="s">
        <v>618</v>
      </c>
      <c r="D163" s="834" t="s">
        <v>792</v>
      </c>
      <c r="E163" s="253" t="s">
        <v>793</v>
      </c>
      <c r="F163" s="254" t="s">
        <v>644</v>
      </c>
      <c r="G163" s="254"/>
      <c r="H163" s="256">
        <v>5101.3599999999997</v>
      </c>
      <c r="I163" s="274">
        <f t="shared" si="18"/>
        <v>0</v>
      </c>
      <c r="J163" s="275">
        <f t="shared" si="19"/>
        <v>115800872</v>
      </c>
      <c r="K163" s="276"/>
      <c r="L163" s="277"/>
      <c r="M163" s="277"/>
      <c r="N163" s="277"/>
      <c r="O163" s="277"/>
      <c r="P163" s="279"/>
      <c r="Q163" s="279"/>
    </row>
    <row r="164" spans="1:17" s="229" customFormat="1" ht="27.75" hidden="1" customHeight="1" outlineLevel="2">
      <c r="A164" s="833" t="s">
        <v>787</v>
      </c>
      <c r="B164" s="257"/>
      <c r="C164" s="258" t="s">
        <v>618</v>
      </c>
      <c r="D164" s="838" t="s">
        <v>611</v>
      </c>
      <c r="E164" s="835" t="s">
        <v>794</v>
      </c>
      <c r="F164" s="254" t="s">
        <v>625</v>
      </c>
      <c r="G164" s="254"/>
      <c r="H164" s="256">
        <v>11</v>
      </c>
      <c r="I164" s="274">
        <f t="shared" si="18"/>
        <v>0</v>
      </c>
      <c r="J164" s="275">
        <f t="shared" si="19"/>
        <v>249700</v>
      </c>
      <c r="K164" s="276"/>
      <c r="L164" s="277"/>
      <c r="M164" s="277"/>
      <c r="N164" s="277"/>
      <c r="O164" s="277"/>
      <c r="P164" s="279"/>
      <c r="Q164" s="279"/>
    </row>
    <row r="165" spans="1:17" s="229" customFormat="1" ht="27.75" hidden="1" customHeight="1" outlineLevel="2">
      <c r="A165" s="833" t="s">
        <v>787</v>
      </c>
      <c r="B165" s="257"/>
      <c r="C165" s="258" t="s">
        <v>618</v>
      </c>
      <c r="D165" s="838" t="s">
        <v>611</v>
      </c>
      <c r="E165" s="835" t="s">
        <v>795</v>
      </c>
      <c r="F165" s="254" t="s">
        <v>625</v>
      </c>
      <c r="G165" s="254"/>
      <c r="H165" s="256">
        <v>7</v>
      </c>
      <c r="I165" s="274">
        <f t="shared" si="18"/>
        <v>0</v>
      </c>
      <c r="J165" s="275">
        <f t="shared" si="19"/>
        <v>158900</v>
      </c>
      <c r="K165" s="276"/>
      <c r="L165" s="277"/>
      <c r="M165" s="277"/>
      <c r="N165" s="277"/>
      <c r="O165" s="277"/>
      <c r="P165" s="279"/>
      <c r="Q165" s="279"/>
    </row>
    <row r="166" spans="1:17" s="229" customFormat="1" ht="27.75" hidden="1" customHeight="1" outlineLevel="2">
      <c r="A166" s="833" t="s">
        <v>787</v>
      </c>
      <c r="B166" s="257"/>
      <c r="C166" s="258" t="s">
        <v>618</v>
      </c>
      <c r="D166" s="838" t="s">
        <v>611</v>
      </c>
      <c r="E166" s="835" t="s">
        <v>796</v>
      </c>
      <c r="F166" s="254" t="s">
        <v>625</v>
      </c>
      <c r="G166" s="254"/>
      <c r="H166" s="256">
        <v>50</v>
      </c>
      <c r="I166" s="274">
        <f t="shared" si="18"/>
        <v>0</v>
      </c>
      <c r="J166" s="275">
        <f t="shared" si="19"/>
        <v>1135000</v>
      </c>
      <c r="K166" s="276"/>
      <c r="L166" s="277"/>
      <c r="M166" s="277"/>
      <c r="N166" s="277"/>
      <c r="O166" s="277"/>
      <c r="P166" s="279"/>
      <c r="Q166" s="279"/>
    </row>
    <row r="167" spans="1:17" s="229" customFormat="1" ht="27.75" hidden="1" customHeight="1" outlineLevel="2">
      <c r="A167" s="833" t="s">
        <v>787</v>
      </c>
      <c r="B167" s="257"/>
      <c r="C167" s="258" t="s">
        <v>618</v>
      </c>
      <c r="D167" s="838" t="s">
        <v>611</v>
      </c>
      <c r="E167" s="835" t="s">
        <v>797</v>
      </c>
      <c r="F167" s="254" t="s">
        <v>625</v>
      </c>
      <c r="G167" s="254"/>
      <c r="H167" s="256">
        <v>12.5</v>
      </c>
      <c r="I167" s="274">
        <f t="shared" si="18"/>
        <v>0</v>
      </c>
      <c r="J167" s="275">
        <f t="shared" si="19"/>
        <v>283750</v>
      </c>
      <c r="K167" s="276"/>
      <c r="L167" s="277"/>
      <c r="M167" s="277"/>
      <c r="N167" s="277"/>
      <c r="O167" s="277"/>
      <c r="P167" s="279"/>
      <c r="Q167" s="279"/>
    </row>
    <row r="168" spans="1:17" s="229" customFormat="1" ht="27.75" hidden="1" customHeight="1" outlineLevel="2">
      <c r="A168" s="833" t="s">
        <v>787</v>
      </c>
      <c r="B168" s="257"/>
      <c r="C168" s="258" t="s">
        <v>618</v>
      </c>
      <c r="D168" s="838" t="s">
        <v>611</v>
      </c>
      <c r="E168" s="835" t="s">
        <v>798</v>
      </c>
      <c r="F168" s="254" t="s">
        <v>625</v>
      </c>
      <c r="G168" s="254"/>
      <c r="H168" s="256">
        <v>1</v>
      </c>
      <c r="I168" s="274">
        <f t="shared" si="18"/>
        <v>0</v>
      </c>
      <c r="J168" s="275">
        <f t="shared" ref="J168:J179" si="20">H168*$I$3</f>
        <v>22700</v>
      </c>
      <c r="K168" s="276"/>
      <c r="L168" s="277"/>
      <c r="M168" s="277"/>
      <c r="N168" s="277"/>
      <c r="O168" s="277"/>
      <c r="P168" s="279"/>
      <c r="Q168" s="279"/>
    </row>
    <row r="169" spans="1:17" s="229" customFormat="1" ht="27.75" hidden="1" customHeight="1" outlineLevel="2">
      <c r="A169" s="833" t="s">
        <v>787</v>
      </c>
      <c r="B169" s="257"/>
      <c r="C169" s="258" t="s">
        <v>618</v>
      </c>
      <c r="D169" s="838" t="s">
        <v>611</v>
      </c>
      <c r="E169" s="835" t="s">
        <v>665</v>
      </c>
      <c r="F169" s="254" t="s">
        <v>625</v>
      </c>
      <c r="G169" s="254"/>
      <c r="H169" s="256">
        <v>2.5</v>
      </c>
      <c r="I169" s="274">
        <f t="shared" si="18"/>
        <v>0</v>
      </c>
      <c r="J169" s="275">
        <f t="shared" si="20"/>
        <v>56750</v>
      </c>
      <c r="K169" s="276"/>
      <c r="L169" s="277"/>
      <c r="M169" s="277"/>
      <c r="N169" s="277"/>
      <c r="O169" s="277"/>
      <c r="P169" s="279"/>
      <c r="Q169" s="279"/>
    </row>
    <row r="170" spans="1:17" s="229" customFormat="1" ht="27.75" hidden="1" customHeight="1" outlineLevel="2">
      <c r="A170" s="833" t="s">
        <v>787</v>
      </c>
      <c r="B170" s="257"/>
      <c r="C170" s="258" t="s">
        <v>618</v>
      </c>
      <c r="D170" s="838" t="s">
        <v>611</v>
      </c>
      <c r="E170" s="835" t="s">
        <v>799</v>
      </c>
      <c r="F170" s="254" t="s">
        <v>625</v>
      </c>
      <c r="G170" s="254"/>
      <c r="H170" s="256">
        <v>3.6</v>
      </c>
      <c r="I170" s="274">
        <f t="shared" si="18"/>
        <v>0</v>
      </c>
      <c r="J170" s="275">
        <f t="shared" si="20"/>
        <v>81720</v>
      </c>
      <c r="K170" s="276"/>
      <c r="L170" s="277"/>
      <c r="M170" s="277"/>
      <c r="N170" s="277"/>
      <c r="O170" s="277"/>
      <c r="P170" s="279"/>
      <c r="Q170" s="279"/>
    </row>
    <row r="171" spans="1:17" s="229" customFormat="1" ht="27.75" hidden="1" customHeight="1" outlineLevel="2">
      <c r="A171" s="833" t="s">
        <v>787</v>
      </c>
      <c r="B171" s="257"/>
      <c r="C171" s="258" t="s">
        <v>618</v>
      </c>
      <c r="D171" s="838" t="s">
        <v>611</v>
      </c>
      <c r="E171" s="835" t="s">
        <v>800</v>
      </c>
      <c r="F171" s="254" t="s">
        <v>625</v>
      </c>
      <c r="G171" s="254"/>
      <c r="H171" s="256">
        <v>8</v>
      </c>
      <c r="I171" s="274">
        <f t="shared" si="18"/>
        <v>0</v>
      </c>
      <c r="J171" s="275">
        <f t="shared" si="20"/>
        <v>181600</v>
      </c>
      <c r="K171" s="276"/>
      <c r="L171" s="277"/>
      <c r="M171" s="277"/>
      <c r="N171" s="277"/>
      <c r="O171" s="277"/>
      <c r="P171" s="279"/>
      <c r="Q171" s="279"/>
    </row>
    <row r="172" spans="1:17" s="229" customFormat="1" ht="27.75" hidden="1" customHeight="1" outlineLevel="2">
      <c r="A172" s="833" t="s">
        <v>787</v>
      </c>
      <c r="B172" s="257"/>
      <c r="C172" s="258" t="s">
        <v>618</v>
      </c>
      <c r="D172" s="838" t="s">
        <v>611</v>
      </c>
      <c r="E172" s="835" t="s">
        <v>801</v>
      </c>
      <c r="F172" s="254" t="s">
        <v>625</v>
      </c>
      <c r="G172" s="254"/>
      <c r="H172" s="256">
        <v>12.5</v>
      </c>
      <c r="I172" s="274">
        <f t="shared" si="18"/>
        <v>0</v>
      </c>
      <c r="J172" s="275">
        <f t="shared" si="20"/>
        <v>283750</v>
      </c>
      <c r="K172" s="276"/>
      <c r="L172" s="277"/>
      <c r="M172" s="277"/>
      <c r="N172" s="277"/>
      <c r="O172" s="277"/>
      <c r="P172" s="279"/>
      <c r="Q172" s="279"/>
    </row>
    <row r="173" spans="1:17" s="229" customFormat="1" ht="27.75" hidden="1" customHeight="1" outlineLevel="2">
      <c r="A173" s="833" t="s">
        <v>787</v>
      </c>
      <c r="B173" s="257"/>
      <c r="C173" s="258" t="s">
        <v>618</v>
      </c>
      <c r="D173" s="838" t="s">
        <v>611</v>
      </c>
      <c r="E173" s="835" t="s">
        <v>802</v>
      </c>
      <c r="F173" s="254" t="s">
        <v>625</v>
      </c>
      <c r="G173" s="254"/>
      <c r="H173" s="256">
        <v>40</v>
      </c>
      <c r="I173" s="274">
        <f t="shared" si="18"/>
        <v>0</v>
      </c>
      <c r="J173" s="275">
        <f t="shared" si="20"/>
        <v>908000</v>
      </c>
      <c r="K173" s="276"/>
      <c r="L173" s="277"/>
      <c r="M173" s="277"/>
      <c r="N173" s="277"/>
      <c r="O173" s="277"/>
      <c r="P173" s="279"/>
      <c r="Q173" s="279"/>
    </row>
    <row r="174" spans="1:17" s="229" customFormat="1" ht="27.75" hidden="1" customHeight="1" outlineLevel="2">
      <c r="A174" s="833" t="s">
        <v>787</v>
      </c>
      <c r="B174" s="257"/>
      <c r="C174" s="258" t="s">
        <v>618</v>
      </c>
      <c r="D174" s="838" t="s">
        <v>611</v>
      </c>
      <c r="E174" s="835" t="s">
        <v>803</v>
      </c>
      <c r="F174" s="254" t="s">
        <v>625</v>
      </c>
      <c r="G174" s="254"/>
      <c r="H174" s="256">
        <v>50</v>
      </c>
      <c r="I174" s="274">
        <f t="shared" si="18"/>
        <v>0</v>
      </c>
      <c r="J174" s="275">
        <f t="shared" si="20"/>
        <v>1135000</v>
      </c>
      <c r="K174" s="276"/>
      <c r="L174" s="277"/>
      <c r="M174" s="277"/>
      <c r="N174" s="277"/>
      <c r="O174" s="277"/>
      <c r="P174" s="279"/>
      <c r="Q174" s="279"/>
    </row>
    <row r="175" spans="1:17" s="229" customFormat="1" ht="27.75" hidden="1" customHeight="1" outlineLevel="2">
      <c r="A175" s="833" t="s">
        <v>787</v>
      </c>
      <c r="B175" s="257"/>
      <c r="C175" s="258" t="s">
        <v>618</v>
      </c>
      <c r="D175" s="838" t="s">
        <v>611</v>
      </c>
      <c r="E175" s="835" t="s">
        <v>804</v>
      </c>
      <c r="F175" s="254" t="s">
        <v>625</v>
      </c>
      <c r="G175" s="254"/>
      <c r="H175" s="256">
        <v>50</v>
      </c>
      <c r="I175" s="274">
        <f t="shared" si="18"/>
        <v>0</v>
      </c>
      <c r="J175" s="275">
        <f t="shared" si="20"/>
        <v>1135000</v>
      </c>
      <c r="K175" s="276"/>
      <c r="L175" s="277"/>
      <c r="M175" s="277"/>
      <c r="N175" s="277"/>
      <c r="O175" s="277"/>
      <c r="P175" s="279"/>
      <c r="Q175" s="279"/>
    </row>
    <row r="176" spans="1:17" s="229" customFormat="1" ht="27.75" hidden="1" customHeight="1" outlineLevel="2">
      <c r="A176" s="833" t="s">
        <v>787</v>
      </c>
      <c r="B176" s="257"/>
      <c r="C176" s="258" t="s">
        <v>618</v>
      </c>
      <c r="D176" s="838" t="s">
        <v>611</v>
      </c>
      <c r="E176" s="835" t="s">
        <v>805</v>
      </c>
      <c r="F176" s="254" t="s">
        <v>625</v>
      </c>
      <c r="G176" s="254"/>
      <c r="H176" s="256">
        <v>10.5</v>
      </c>
      <c r="I176" s="274">
        <f t="shared" si="18"/>
        <v>0</v>
      </c>
      <c r="J176" s="275">
        <f t="shared" si="20"/>
        <v>238350</v>
      </c>
      <c r="K176" s="276"/>
      <c r="L176" s="277"/>
      <c r="M176" s="277"/>
      <c r="N176" s="277"/>
      <c r="O176" s="277"/>
      <c r="P176" s="279"/>
      <c r="Q176" s="279"/>
    </row>
    <row r="177" spans="1:17" s="229" customFormat="1" ht="27.75" hidden="1" customHeight="1" outlineLevel="2">
      <c r="A177" s="833" t="s">
        <v>787</v>
      </c>
      <c r="B177" s="257"/>
      <c r="C177" s="258" t="s">
        <v>618</v>
      </c>
      <c r="D177" s="838" t="s">
        <v>611</v>
      </c>
      <c r="E177" s="835" t="s">
        <v>806</v>
      </c>
      <c r="F177" s="254" t="s">
        <v>625</v>
      </c>
      <c r="G177" s="254"/>
      <c r="H177" s="256">
        <v>10</v>
      </c>
      <c r="I177" s="274">
        <f t="shared" si="18"/>
        <v>0</v>
      </c>
      <c r="J177" s="275">
        <f t="shared" si="20"/>
        <v>227000</v>
      </c>
      <c r="K177" s="276"/>
      <c r="L177" s="277"/>
      <c r="M177" s="277"/>
      <c r="N177" s="277"/>
      <c r="O177" s="277"/>
      <c r="P177" s="279"/>
      <c r="Q177" s="279"/>
    </row>
    <row r="178" spans="1:17" s="229" customFormat="1" ht="27.75" hidden="1" customHeight="1" outlineLevel="2">
      <c r="A178" s="833" t="s">
        <v>787</v>
      </c>
      <c r="B178" s="257"/>
      <c r="C178" s="258" t="s">
        <v>618</v>
      </c>
      <c r="D178" s="838" t="s">
        <v>611</v>
      </c>
      <c r="E178" s="835" t="s">
        <v>807</v>
      </c>
      <c r="F178" s="254" t="s">
        <v>625</v>
      </c>
      <c r="G178" s="254"/>
      <c r="H178" s="256">
        <v>30</v>
      </c>
      <c r="I178" s="274">
        <f t="shared" si="18"/>
        <v>0</v>
      </c>
      <c r="J178" s="275">
        <f t="shared" si="20"/>
        <v>681000</v>
      </c>
      <c r="K178" s="276"/>
      <c r="L178" s="277"/>
      <c r="M178" s="277"/>
      <c r="N178" s="277"/>
      <c r="O178" s="277"/>
      <c r="P178" s="279"/>
      <c r="Q178" s="279"/>
    </row>
    <row r="179" spans="1:17" s="229" customFormat="1" ht="27.75" hidden="1" customHeight="1" outlineLevel="2">
      <c r="A179" s="833" t="s">
        <v>787</v>
      </c>
      <c r="B179" s="257"/>
      <c r="C179" s="258" t="s">
        <v>618</v>
      </c>
      <c r="D179" s="838" t="s">
        <v>611</v>
      </c>
      <c r="E179" s="835" t="s">
        <v>808</v>
      </c>
      <c r="F179" s="254" t="s">
        <v>625</v>
      </c>
      <c r="G179" s="254"/>
      <c r="H179" s="256">
        <v>17.5</v>
      </c>
      <c r="I179" s="274">
        <f t="shared" si="18"/>
        <v>0</v>
      </c>
      <c r="J179" s="275">
        <f t="shared" si="20"/>
        <v>397250</v>
      </c>
      <c r="K179" s="276"/>
      <c r="L179" s="277"/>
      <c r="M179" s="277"/>
      <c r="N179" s="277"/>
      <c r="O179" s="277"/>
      <c r="P179" s="279"/>
      <c r="Q179" s="279"/>
    </row>
    <row r="180" spans="1:17" s="229" customFormat="1" ht="27.75" hidden="1" customHeight="1" outlineLevel="2">
      <c r="A180" s="833" t="s">
        <v>787</v>
      </c>
      <c r="B180" s="257"/>
      <c r="C180" s="258" t="s">
        <v>618</v>
      </c>
      <c r="D180" s="838" t="s">
        <v>611</v>
      </c>
      <c r="E180" s="835" t="s">
        <v>809</v>
      </c>
      <c r="F180" s="254" t="s">
        <v>625</v>
      </c>
      <c r="G180" s="254"/>
      <c r="H180" s="256">
        <v>19.5</v>
      </c>
      <c r="I180" s="274">
        <f t="shared" si="18"/>
        <v>0</v>
      </c>
      <c r="J180" s="275">
        <f t="shared" ref="J180:J187" si="21">H180*$I$3</f>
        <v>442650</v>
      </c>
      <c r="K180" s="276"/>
      <c r="L180" s="277"/>
      <c r="M180" s="277"/>
      <c r="N180" s="277"/>
      <c r="O180" s="277"/>
      <c r="P180" s="279"/>
      <c r="Q180" s="279"/>
    </row>
    <row r="181" spans="1:17" s="229" customFormat="1" ht="27.75" hidden="1" customHeight="1" outlineLevel="2">
      <c r="A181" s="833" t="s">
        <v>787</v>
      </c>
      <c r="B181" s="257"/>
      <c r="C181" s="258" t="s">
        <v>618</v>
      </c>
      <c r="D181" s="838" t="s">
        <v>611</v>
      </c>
      <c r="E181" s="835" t="s">
        <v>810</v>
      </c>
      <c r="F181" s="254" t="s">
        <v>625</v>
      </c>
      <c r="G181" s="254"/>
      <c r="H181" s="256">
        <v>12.5</v>
      </c>
      <c r="I181" s="274">
        <f t="shared" si="18"/>
        <v>0</v>
      </c>
      <c r="J181" s="275">
        <f t="shared" si="21"/>
        <v>283750</v>
      </c>
      <c r="K181" s="276"/>
      <c r="L181" s="277"/>
      <c r="M181" s="277"/>
      <c r="N181" s="277"/>
      <c r="O181" s="277"/>
      <c r="P181" s="279"/>
      <c r="Q181" s="279"/>
    </row>
    <row r="182" spans="1:17" s="229" customFormat="1" ht="27.75" hidden="1" customHeight="1" outlineLevel="2">
      <c r="A182" s="833" t="s">
        <v>787</v>
      </c>
      <c r="B182" s="257"/>
      <c r="C182" s="258" t="s">
        <v>618</v>
      </c>
      <c r="D182" s="838" t="s">
        <v>611</v>
      </c>
      <c r="E182" s="835" t="s">
        <v>665</v>
      </c>
      <c r="F182" s="254" t="s">
        <v>625</v>
      </c>
      <c r="G182" s="254"/>
      <c r="H182" s="256">
        <v>2.5</v>
      </c>
      <c r="I182" s="274">
        <f t="shared" si="18"/>
        <v>0</v>
      </c>
      <c r="J182" s="275">
        <f t="shared" si="21"/>
        <v>56750</v>
      </c>
      <c r="K182" s="276"/>
      <c r="L182" s="277"/>
      <c r="M182" s="277"/>
      <c r="N182" s="277"/>
      <c r="O182" s="277"/>
      <c r="P182" s="279"/>
      <c r="Q182" s="279"/>
    </row>
    <row r="183" spans="1:17" s="229" customFormat="1" ht="27.75" hidden="1" customHeight="1" outlineLevel="2">
      <c r="A183" s="833" t="s">
        <v>787</v>
      </c>
      <c r="B183" s="257"/>
      <c r="C183" s="258" t="s">
        <v>618</v>
      </c>
      <c r="D183" s="838" t="s">
        <v>611</v>
      </c>
      <c r="E183" s="835" t="s">
        <v>811</v>
      </c>
      <c r="F183" s="254" t="s">
        <v>625</v>
      </c>
      <c r="G183" s="254"/>
      <c r="H183" s="256">
        <v>27.5</v>
      </c>
      <c r="I183" s="274">
        <f t="shared" si="18"/>
        <v>0</v>
      </c>
      <c r="J183" s="275">
        <f t="shared" si="21"/>
        <v>624250</v>
      </c>
      <c r="K183" s="276"/>
      <c r="L183" s="277"/>
      <c r="M183" s="277"/>
      <c r="N183" s="277"/>
      <c r="O183" s="277"/>
      <c r="P183" s="279"/>
      <c r="Q183" s="279"/>
    </row>
    <row r="184" spans="1:17" s="229" customFormat="1" ht="27.75" hidden="1" customHeight="1" outlineLevel="2">
      <c r="A184" s="833" t="s">
        <v>787</v>
      </c>
      <c r="B184" s="257"/>
      <c r="C184" s="258" t="s">
        <v>618</v>
      </c>
      <c r="D184" s="838" t="s">
        <v>611</v>
      </c>
      <c r="E184" s="835" t="s">
        <v>812</v>
      </c>
      <c r="F184" s="254" t="s">
        <v>625</v>
      </c>
      <c r="G184" s="254"/>
      <c r="H184" s="256">
        <v>13.5</v>
      </c>
      <c r="I184" s="274">
        <f t="shared" si="18"/>
        <v>0</v>
      </c>
      <c r="J184" s="275">
        <f t="shared" si="21"/>
        <v>306450</v>
      </c>
      <c r="K184" s="276"/>
      <c r="L184" s="277"/>
      <c r="M184" s="277"/>
      <c r="N184" s="277"/>
      <c r="O184" s="277"/>
      <c r="P184" s="279"/>
      <c r="Q184" s="279"/>
    </row>
    <row r="185" spans="1:17" s="229" customFormat="1" ht="27.75" hidden="1" customHeight="1" outlineLevel="2">
      <c r="A185" s="833" t="s">
        <v>787</v>
      </c>
      <c r="B185" s="257"/>
      <c r="C185" s="258" t="s">
        <v>618</v>
      </c>
      <c r="D185" s="838" t="s">
        <v>611</v>
      </c>
      <c r="E185" s="835" t="s">
        <v>813</v>
      </c>
      <c r="F185" s="254" t="s">
        <v>625</v>
      </c>
      <c r="G185" s="254"/>
      <c r="H185" s="256">
        <v>3</v>
      </c>
      <c r="I185" s="274">
        <f t="shared" ref="I185:I214" si="22">G185*$I$3</f>
        <v>0</v>
      </c>
      <c r="J185" s="275">
        <f t="shared" si="21"/>
        <v>68100</v>
      </c>
      <c r="K185" s="276"/>
      <c r="L185" s="277"/>
      <c r="M185" s="277"/>
      <c r="N185" s="277"/>
      <c r="O185" s="277"/>
      <c r="P185" s="279"/>
      <c r="Q185" s="279"/>
    </row>
    <row r="186" spans="1:17" s="229" customFormat="1" ht="27.75" hidden="1" customHeight="1" outlineLevel="2">
      <c r="A186" s="833" t="s">
        <v>787</v>
      </c>
      <c r="B186" s="257"/>
      <c r="C186" s="258" t="s">
        <v>618</v>
      </c>
      <c r="D186" s="838" t="s">
        <v>611</v>
      </c>
      <c r="E186" s="835" t="s">
        <v>665</v>
      </c>
      <c r="F186" s="254" t="s">
        <v>625</v>
      </c>
      <c r="G186" s="254"/>
      <c r="H186" s="256">
        <v>2.5</v>
      </c>
      <c r="I186" s="274">
        <f t="shared" si="22"/>
        <v>0</v>
      </c>
      <c r="J186" s="275">
        <f t="shared" si="21"/>
        <v>56750</v>
      </c>
      <c r="K186" s="276"/>
      <c r="L186" s="277"/>
      <c r="M186" s="277"/>
      <c r="N186" s="277"/>
      <c r="O186" s="277"/>
      <c r="P186" s="279"/>
      <c r="Q186" s="279"/>
    </row>
    <row r="187" spans="1:17" s="229" customFormat="1" ht="27.75" hidden="1" customHeight="1" outlineLevel="2">
      <c r="A187" s="833" t="s">
        <v>787</v>
      </c>
      <c r="B187" s="257"/>
      <c r="C187" s="258" t="s">
        <v>618</v>
      </c>
      <c r="D187" s="838" t="s">
        <v>611</v>
      </c>
      <c r="E187" s="835" t="s">
        <v>814</v>
      </c>
      <c r="F187" s="254" t="s">
        <v>625</v>
      </c>
      <c r="G187" s="254"/>
      <c r="H187" s="256">
        <v>6</v>
      </c>
      <c r="I187" s="274">
        <f t="shared" si="22"/>
        <v>0</v>
      </c>
      <c r="J187" s="275">
        <f t="shared" si="21"/>
        <v>136200</v>
      </c>
      <c r="K187" s="276"/>
      <c r="L187" s="277"/>
      <c r="M187" s="277"/>
      <c r="N187" s="277"/>
      <c r="O187" s="277"/>
      <c r="P187" s="279"/>
      <c r="Q187" s="279"/>
    </row>
    <row r="188" spans="1:17" s="229" customFormat="1" ht="27.75" hidden="1" customHeight="1" outlineLevel="2">
      <c r="A188" s="843" t="s">
        <v>787</v>
      </c>
      <c r="B188" s="285"/>
      <c r="C188" s="286" t="s">
        <v>618</v>
      </c>
      <c r="D188" s="844" t="s">
        <v>611</v>
      </c>
      <c r="E188" s="835" t="s">
        <v>815</v>
      </c>
      <c r="F188" s="254" t="s">
        <v>625</v>
      </c>
      <c r="G188" s="254"/>
      <c r="H188" s="256">
        <v>19.5</v>
      </c>
      <c r="I188" s="274">
        <f t="shared" si="22"/>
        <v>0</v>
      </c>
      <c r="J188" s="275">
        <f t="shared" ref="J188:J200" si="23">H188*$I$3</f>
        <v>442650</v>
      </c>
      <c r="K188" s="276"/>
      <c r="L188" s="277"/>
      <c r="M188" s="277"/>
      <c r="N188" s="277"/>
      <c r="O188" s="277"/>
      <c r="P188" s="279"/>
      <c r="Q188" s="279"/>
    </row>
    <row r="189" spans="1:17" s="229" customFormat="1" ht="27.75" hidden="1" customHeight="1" outlineLevel="2">
      <c r="A189" s="833" t="s">
        <v>787</v>
      </c>
      <c r="B189" s="257"/>
      <c r="C189" s="258" t="s">
        <v>618</v>
      </c>
      <c r="D189" s="838" t="s">
        <v>611</v>
      </c>
      <c r="E189" s="835" t="s">
        <v>816</v>
      </c>
      <c r="F189" s="254" t="s">
        <v>625</v>
      </c>
      <c r="G189" s="254"/>
      <c r="H189" s="256">
        <v>17.5</v>
      </c>
      <c r="I189" s="274">
        <f t="shared" si="22"/>
        <v>0</v>
      </c>
      <c r="J189" s="275">
        <f t="shared" si="23"/>
        <v>397250</v>
      </c>
      <c r="K189" s="276"/>
      <c r="L189" s="277"/>
      <c r="M189" s="277"/>
      <c r="N189" s="277"/>
      <c r="O189" s="277"/>
      <c r="P189" s="279"/>
      <c r="Q189" s="279"/>
    </row>
    <row r="190" spans="1:17" s="229" customFormat="1" ht="27.75" hidden="1" customHeight="1" outlineLevel="2">
      <c r="A190" s="833" t="s">
        <v>787</v>
      </c>
      <c r="B190" s="257"/>
      <c r="C190" s="258" t="s">
        <v>618</v>
      </c>
      <c r="D190" s="838" t="s">
        <v>611</v>
      </c>
      <c r="E190" s="835" t="s">
        <v>817</v>
      </c>
      <c r="F190" s="254" t="s">
        <v>625</v>
      </c>
      <c r="G190" s="254"/>
      <c r="H190" s="256">
        <v>16.5</v>
      </c>
      <c r="I190" s="274">
        <f t="shared" si="22"/>
        <v>0</v>
      </c>
      <c r="J190" s="275">
        <f t="shared" si="23"/>
        <v>374550</v>
      </c>
      <c r="K190" s="276"/>
      <c r="L190" s="277"/>
      <c r="M190" s="277"/>
      <c r="N190" s="277"/>
      <c r="O190" s="277"/>
      <c r="P190" s="279"/>
      <c r="Q190" s="279"/>
    </row>
    <row r="191" spans="1:17" s="229" customFormat="1" ht="27.75" hidden="1" customHeight="1" outlineLevel="2">
      <c r="A191" s="833" t="s">
        <v>787</v>
      </c>
      <c r="B191" s="257"/>
      <c r="C191" s="258" t="s">
        <v>618</v>
      </c>
      <c r="D191" s="838" t="s">
        <v>611</v>
      </c>
      <c r="E191" s="835" t="s">
        <v>818</v>
      </c>
      <c r="F191" s="254" t="s">
        <v>625</v>
      </c>
      <c r="G191" s="254"/>
      <c r="H191" s="256">
        <v>7</v>
      </c>
      <c r="I191" s="274">
        <f t="shared" si="22"/>
        <v>0</v>
      </c>
      <c r="J191" s="275">
        <f t="shared" si="23"/>
        <v>158900</v>
      </c>
      <c r="K191" s="276"/>
      <c r="L191" s="277"/>
      <c r="M191" s="277"/>
      <c r="N191" s="277"/>
      <c r="O191" s="277"/>
      <c r="P191" s="279"/>
      <c r="Q191" s="279"/>
    </row>
    <row r="192" spans="1:17" s="229" customFormat="1" ht="27.75" hidden="1" customHeight="1" outlineLevel="2">
      <c r="A192" s="833" t="s">
        <v>787</v>
      </c>
      <c r="B192" s="257"/>
      <c r="C192" s="258" t="s">
        <v>618</v>
      </c>
      <c r="D192" s="838" t="s">
        <v>611</v>
      </c>
      <c r="E192" s="835" t="s">
        <v>665</v>
      </c>
      <c r="F192" s="254" t="s">
        <v>625</v>
      </c>
      <c r="G192" s="254"/>
      <c r="H192" s="256">
        <v>2.5</v>
      </c>
      <c r="I192" s="274">
        <f t="shared" si="22"/>
        <v>0</v>
      </c>
      <c r="J192" s="275">
        <f t="shared" si="23"/>
        <v>56750</v>
      </c>
      <c r="K192" s="276"/>
      <c r="L192" s="277"/>
      <c r="M192" s="277"/>
      <c r="N192" s="277"/>
      <c r="O192" s="277"/>
      <c r="P192" s="279"/>
      <c r="Q192" s="279"/>
    </row>
    <row r="193" spans="1:17" s="229" customFormat="1" ht="27.75" hidden="1" customHeight="1" outlineLevel="2">
      <c r="A193" s="833" t="s">
        <v>787</v>
      </c>
      <c r="B193" s="257"/>
      <c r="C193" s="258" t="s">
        <v>618</v>
      </c>
      <c r="D193" s="838" t="s">
        <v>611</v>
      </c>
      <c r="E193" s="835" t="s">
        <v>819</v>
      </c>
      <c r="F193" s="254" t="s">
        <v>625</v>
      </c>
      <c r="G193" s="254"/>
      <c r="H193" s="256">
        <v>50</v>
      </c>
      <c r="I193" s="274">
        <f t="shared" si="22"/>
        <v>0</v>
      </c>
      <c r="J193" s="275">
        <f t="shared" si="23"/>
        <v>1135000</v>
      </c>
      <c r="K193" s="276"/>
      <c r="L193" s="277"/>
      <c r="M193" s="277"/>
      <c r="N193" s="277"/>
      <c r="O193" s="277"/>
      <c r="P193" s="279"/>
      <c r="Q193" s="279"/>
    </row>
    <row r="194" spans="1:17" s="229" customFormat="1" ht="27.75" hidden="1" customHeight="1" outlineLevel="2">
      <c r="A194" s="833" t="s">
        <v>787</v>
      </c>
      <c r="B194" s="257"/>
      <c r="C194" s="258" t="s">
        <v>618</v>
      </c>
      <c r="D194" s="838" t="s">
        <v>611</v>
      </c>
      <c r="E194" s="835" t="s">
        <v>820</v>
      </c>
      <c r="F194" s="254" t="s">
        <v>625</v>
      </c>
      <c r="G194" s="254"/>
      <c r="H194" s="256">
        <v>6</v>
      </c>
      <c r="I194" s="274">
        <f t="shared" si="22"/>
        <v>0</v>
      </c>
      <c r="J194" s="275">
        <f t="shared" si="23"/>
        <v>136200</v>
      </c>
      <c r="K194" s="276"/>
      <c r="L194" s="277"/>
      <c r="M194" s="277"/>
      <c r="N194" s="277"/>
      <c r="O194" s="277"/>
      <c r="P194" s="279"/>
      <c r="Q194" s="279"/>
    </row>
    <row r="195" spans="1:17" s="229" customFormat="1" ht="27.75" hidden="1" customHeight="1" outlineLevel="2">
      <c r="A195" s="833" t="s">
        <v>787</v>
      </c>
      <c r="B195" s="257"/>
      <c r="C195" s="258" t="s">
        <v>618</v>
      </c>
      <c r="D195" s="838" t="s">
        <v>611</v>
      </c>
      <c r="E195" s="835" t="s">
        <v>821</v>
      </c>
      <c r="F195" s="254" t="s">
        <v>625</v>
      </c>
      <c r="G195" s="254"/>
      <c r="H195" s="256">
        <v>3.5</v>
      </c>
      <c r="I195" s="274">
        <f t="shared" si="22"/>
        <v>0</v>
      </c>
      <c r="J195" s="275">
        <f t="shared" si="23"/>
        <v>79450</v>
      </c>
      <c r="K195" s="276"/>
      <c r="L195" s="277"/>
      <c r="M195" s="277"/>
      <c r="N195" s="277"/>
      <c r="O195" s="277"/>
      <c r="P195" s="279"/>
      <c r="Q195" s="279"/>
    </row>
    <row r="196" spans="1:17" s="229" customFormat="1" ht="27.75" hidden="1" customHeight="1" outlineLevel="2">
      <c r="A196" s="833" t="s">
        <v>787</v>
      </c>
      <c r="B196" s="257"/>
      <c r="C196" s="258" t="s">
        <v>618</v>
      </c>
      <c r="D196" s="838" t="s">
        <v>611</v>
      </c>
      <c r="E196" s="835" t="s">
        <v>822</v>
      </c>
      <c r="F196" s="254" t="s">
        <v>625</v>
      </c>
      <c r="G196" s="254"/>
      <c r="H196" s="256">
        <v>17.5</v>
      </c>
      <c r="I196" s="274">
        <f t="shared" si="22"/>
        <v>0</v>
      </c>
      <c r="J196" s="275">
        <f t="shared" si="23"/>
        <v>397250</v>
      </c>
      <c r="K196" s="276"/>
      <c r="L196" s="277"/>
      <c r="M196" s="277"/>
      <c r="N196" s="277"/>
      <c r="O196" s="277"/>
      <c r="P196" s="279"/>
      <c r="Q196" s="279"/>
    </row>
    <row r="197" spans="1:17" s="229" customFormat="1" ht="27.75" hidden="1" customHeight="1" outlineLevel="2">
      <c r="A197" s="833" t="s">
        <v>787</v>
      </c>
      <c r="B197" s="257"/>
      <c r="C197" s="258" t="s">
        <v>618</v>
      </c>
      <c r="D197" s="838" t="s">
        <v>611</v>
      </c>
      <c r="E197" s="835" t="s">
        <v>665</v>
      </c>
      <c r="F197" s="254" t="s">
        <v>625</v>
      </c>
      <c r="G197" s="254"/>
      <c r="H197" s="256">
        <v>2.5</v>
      </c>
      <c r="I197" s="274">
        <f t="shared" si="22"/>
        <v>0</v>
      </c>
      <c r="J197" s="275">
        <f t="shared" si="23"/>
        <v>56750</v>
      </c>
      <c r="K197" s="276"/>
      <c r="L197" s="277"/>
      <c r="M197" s="277"/>
      <c r="N197" s="277"/>
      <c r="O197" s="277"/>
      <c r="P197" s="279"/>
      <c r="Q197" s="279"/>
    </row>
    <row r="198" spans="1:17" s="229" customFormat="1" ht="27.75" hidden="1" customHeight="1" outlineLevel="2">
      <c r="A198" s="833" t="s">
        <v>787</v>
      </c>
      <c r="B198" s="257"/>
      <c r="C198" s="258" t="s">
        <v>618</v>
      </c>
      <c r="D198" s="838" t="s">
        <v>611</v>
      </c>
      <c r="E198" s="835" t="s">
        <v>823</v>
      </c>
      <c r="F198" s="254" t="s">
        <v>621</v>
      </c>
      <c r="G198" s="254"/>
      <c r="H198" s="256">
        <v>33</v>
      </c>
      <c r="I198" s="274">
        <f t="shared" si="22"/>
        <v>0</v>
      </c>
      <c r="J198" s="275">
        <f t="shared" si="23"/>
        <v>749100</v>
      </c>
      <c r="K198" s="276"/>
      <c r="L198" s="277"/>
      <c r="M198" s="277"/>
      <c r="N198" s="277"/>
      <c r="O198" s="277"/>
      <c r="P198" s="279"/>
      <c r="Q198" s="279"/>
    </row>
    <row r="199" spans="1:17" s="229" customFormat="1" ht="27.75" hidden="1" customHeight="1" outlineLevel="2">
      <c r="A199" s="833" t="s">
        <v>787</v>
      </c>
      <c r="B199" s="257"/>
      <c r="C199" s="258" t="s">
        <v>618</v>
      </c>
      <c r="D199" s="838" t="s">
        <v>611</v>
      </c>
      <c r="E199" s="835" t="s">
        <v>824</v>
      </c>
      <c r="F199" s="254" t="s">
        <v>621</v>
      </c>
      <c r="G199" s="254"/>
      <c r="H199" s="256">
        <v>34</v>
      </c>
      <c r="I199" s="274">
        <f t="shared" si="22"/>
        <v>0</v>
      </c>
      <c r="J199" s="275">
        <f t="shared" si="23"/>
        <v>771800</v>
      </c>
      <c r="K199" s="276"/>
      <c r="L199" s="277"/>
      <c r="M199" s="277"/>
      <c r="N199" s="277"/>
      <c r="O199" s="277"/>
      <c r="P199" s="279"/>
      <c r="Q199" s="279"/>
    </row>
    <row r="200" spans="1:17" s="229" customFormat="1" ht="27.75" hidden="1" customHeight="1" outlineLevel="2">
      <c r="A200" s="833" t="s">
        <v>787</v>
      </c>
      <c r="B200" s="257"/>
      <c r="C200" s="258" t="s">
        <v>618</v>
      </c>
      <c r="D200" s="838" t="s">
        <v>611</v>
      </c>
      <c r="E200" s="835" t="s">
        <v>825</v>
      </c>
      <c r="F200" s="254" t="s">
        <v>621</v>
      </c>
      <c r="G200" s="254"/>
      <c r="H200" s="256">
        <v>22</v>
      </c>
      <c r="I200" s="274">
        <f t="shared" si="22"/>
        <v>0</v>
      </c>
      <c r="J200" s="275">
        <f t="shared" si="23"/>
        <v>499400</v>
      </c>
      <c r="K200" s="276"/>
      <c r="L200" s="277"/>
      <c r="M200" s="277"/>
      <c r="N200" s="277"/>
      <c r="O200" s="277"/>
      <c r="P200" s="279"/>
      <c r="Q200" s="279"/>
    </row>
    <row r="201" spans="1:17" s="229" customFormat="1" ht="27.75" hidden="1" customHeight="1" outlineLevel="2">
      <c r="A201" s="833" t="s">
        <v>787</v>
      </c>
      <c r="B201" s="257"/>
      <c r="C201" s="258" t="s">
        <v>618</v>
      </c>
      <c r="D201" s="838" t="s">
        <v>611</v>
      </c>
      <c r="E201" s="835" t="s">
        <v>826</v>
      </c>
      <c r="F201" s="254" t="s">
        <v>621</v>
      </c>
      <c r="G201" s="254"/>
      <c r="H201" s="256">
        <v>27</v>
      </c>
      <c r="I201" s="274">
        <f t="shared" si="22"/>
        <v>0</v>
      </c>
      <c r="J201" s="275">
        <f t="shared" ref="J201:J215" si="24">H201*$I$3</f>
        <v>612900</v>
      </c>
      <c r="K201" s="276"/>
      <c r="L201" s="277"/>
      <c r="M201" s="277"/>
      <c r="N201" s="277"/>
      <c r="O201" s="277"/>
      <c r="P201" s="279"/>
      <c r="Q201" s="279"/>
    </row>
    <row r="202" spans="1:17" s="229" customFormat="1" ht="27.75" hidden="1" customHeight="1" outlineLevel="2">
      <c r="A202" s="833" t="s">
        <v>787</v>
      </c>
      <c r="B202" s="257"/>
      <c r="C202" s="258" t="s">
        <v>618</v>
      </c>
      <c r="D202" s="838" t="s">
        <v>611</v>
      </c>
      <c r="E202" s="835" t="s">
        <v>827</v>
      </c>
      <c r="F202" s="254" t="s">
        <v>621</v>
      </c>
      <c r="G202" s="254"/>
      <c r="H202" s="256">
        <v>7</v>
      </c>
      <c r="I202" s="274">
        <f t="shared" si="22"/>
        <v>0</v>
      </c>
      <c r="J202" s="275">
        <f t="shared" si="24"/>
        <v>158900</v>
      </c>
      <c r="K202" s="276"/>
      <c r="L202" s="277"/>
      <c r="M202" s="277"/>
      <c r="N202" s="277"/>
      <c r="O202" s="277"/>
      <c r="P202" s="279"/>
      <c r="Q202" s="279"/>
    </row>
    <row r="203" spans="1:17" s="229" customFormat="1" ht="27.75" hidden="1" customHeight="1" outlineLevel="2">
      <c r="A203" s="833" t="s">
        <v>144</v>
      </c>
      <c r="B203" s="257"/>
      <c r="C203" s="258" t="s">
        <v>618</v>
      </c>
      <c r="D203" s="838" t="s">
        <v>785</v>
      </c>
      <c r="E203" s="835" t="s">
        <v>828</v>
      </c>
      <c r="F203" s="254" t="s">
        <v>625</v>
      </c>
      <c r="G203" s="254"/>
      <c r="H203" s="256">
        <v>5000</v>
      </c>
      <c r="I203" s="274">
        <f t="shared" si="22"/>
        <v>0</v>
      </c>
      <c r="J203" s="275">
        <f t="shared" si="24"/>
        <v>113500000</v>
      </c>
      <c r="K203" s="276"/>
      <c r="L203" s="277"/>
      <c r="M203" s="277"/>
      <c r="N203" s="277"/>
      <c r="O203" s="277"/>
      <c r="P203" s="279"/>
      <c r="Q203" s="279"/>
    </row>
    <row r="204" spans="1:17" s="229" customFormat="1" ht="27.75" hidden="1" customHeight="1" outlineLevel="2">
      <c r="A204" s="833" t="s">
        <v>144</v>
      </c>
      <c r="B204" s="257"/>
      <c r="C204" s="258" t="s">
        <v>618</v>
      </c>
      <c r="D204" s="838" t="s">
        <v>694</v>
      </c>
      <c r="E204" s="835" t="s">
        <v>829</v>
      </c>
      <c r="F204" s="254" t="s">
        <v>625</v>
      </c>
      <c r="G204" s="254"/>
      <c r="H204" s="256">
        <v>12</v>
      </c>
      <c r="I204" s="274">
        <f t="shared" si="22"/>
        <v>0</v>
      </c>
      <c r="J204" s="275">
        <f t="shared" si="24"/>
        <v>272400</v>
      </c>
      <c r="K204" s="276"/>
      <c r="L204" s="277"/>
      <c r="M204" s="277"/>
      <c r="N204" s="277"/>
      <c r="O204" s="277"/>
      <c r="P204" s="279"/>
      <c r="Q204" s="279"/>
    </row>
    <row r="205" spans="1:17" s="229" customFormat="1" ht="27.75" hidden="1" customHeight="1" outlineLevel="2">
      <c r="A205" s="833" t="s">
        <v>144</v>
      </c>
      <c r="B205" s="257"/>
      <c r="C205" s="258" t="s">
        <v>618</v>
      </c>
      <c r="D205" s="838" t="s">
        <v>611</v>
      </c>
      <c r="E205" s="835" t="s">
        <v>704</v>
      </c>
      <c r="F205" s="254" t="s">
        <v>830</v>
      </c>
      <c r="G205" s="254"/>
      <c r="H205" s="256">
        <v>1</v>
      </c>
      <c r="I205" s="274">
        <f t="shared" si="22"/>
        <v>0</v>
      </c>
      <c r="J205" s="275">
        <f t="shared" si="24"/>
        <v>22700</v>
      </c>
      <c r="K205" s="276"/>
      <c r="L205" s="277"/>
      <c r="M205" s="277"/>
      <c r="N205" s="277"/>
      <c r="O205" s="277"/>
      <c r="P205" s="279"/>
      <c r="Q205" s="279"/>
    </row>
    <row r="206" spans="1:17" s="229" customFormat="1" ht="27" hidden="1" customHeight="1" outlineLevel="2">
      <c r="A206" s="833" t="s">
        <v>159</v>
      </c>
      <c r="B206" s="257"/>
      <c r="C206" s="258" t="s">
        <v>618</v>
      </c>
      <c r="D206" s="838" t="s">
        <v>635</v>
      </c>
      <c r="E206" s="835" t="s">
        <v>831</v>
      </c>
      <c r="F206" s="254" t="s">
        <v>621</v>
      </c>
      <c r="G206" s="254"/>
      <c r="H206" s="256">
        <v>6</v>
      </c>
      <c r="I206" s="274">
        <f t="shared" si="22"/>
        <v>0</v>
      </c>
      <c r="J206" s="275">
        <f t="shared" si="24"/>
        <v>136200</v>
      </c>
      <c r="K206" s="276"/>
      <c r="L206" s="277"/>
      <c r="M206" s="277"/>
      <c r="N206" s="277"/>
      <c r="O206" s="277"/>
      <c r="P206" s="279"/>
      <c r="Q206" s="279"/>
    </row>
    <row r="207" spans="1:17" s="229" customFormat="1" ht="27" hidden="1" customHeight="1" outlineLevel="2">
      <c r="A207" s="833" t="s">
        <v>159</v>
      </c>
      <c r="B207" s="257"/>
      <c r="C207" s="258" t="s">
        <v>618</v>
      </c>
      <c r="D207" s="838" t="s">
        <v>635</v>
      </c>
      <c r="E207" s="835" t="s">
        <v>832</v>
      </c>
      <c r="F207" s="254" t="s">
        <v>621</v>
      </c>
      <c r="G207" s="254"/>
      <c r="H207" s="256">
        <v>29</v>
      </c>
      <c r="I207" s="274">
        <f t="shared" si="22"/>
        <v>0</v>
      </c>
      <c r="J207" s="275">
        <f t="shared" si="24"/>
        <v>658300</v>
      </c>
      <c r="K207" s="276"/>
      <c r="L207" s="277"/>
      <c r="M207" s="277"/>
      <c r="N207" s="277"/>
      <c r="O207" s="277"/>
      <c r="P207" s="279"/>
      <c r="Q207" s="279"/>
    </row>
    <row r="208" spans="1:17" s="229" customFormat="1" ht="27" hidden="1" customHeight="1" outlineLevel="2">
      <c r="A208" s="833" t="s">
        <v>159</v>
      </c>
      <c r="B208" s="257"/>
      <c r="C208" s="258" t="s">
        <v>618</v>
      </c>
      <c r="D208" s="838" t="s">
        <v>635</v>
      </c>
      <c r="E208" s="835" t="s">
        <v>833</v>
      </c>
      <c r="F208" s="254" t="s">
        <v>641</v>
      </c>
      <c r="G208" s="254"/>
      <c r="H208" s="256">
        <v>15</v>
      </c>
      <c r="I208" s="274">
        <f t="shared" si="22"/>
        <v>0</v>
      </c>
      <c r="J208" s="275">
        <f t="shared" si="24"/>
        <v>340500</v>
      </c>
      <c r="K208" s="276"/>
      <c r="L208" s="277"/>
      <c r="M208" s="277"/>
      <c r="N208" s="277"/>
      <c r="O208" s="277"/>
      <c r="P208" s="279"/>
      <c r="Q208" s="279"/>
    </row>
    <row r="209" spans="1:17" s="229" customFormat="1" ht="27.75" hidden="1" customHeight="1" outlineLevel="2" collapsed="1">
      <c r="A209" s="833" t="s">
        <v>834</v>
      </c>
      <c r="B209" s="257"/>
      <c r="C209" s="258" t="s">
        <v>618</v>
      </c>
      <c r="D209" s="838" t="s">
        <v>694</v>
      </c>
      <c r="E209" s="835" t="s">
        <v>701</v>
      </c>
      <c r="F209" s="254" t="s">
        <v>625</v>
      </c>
      <c r="G209" s="254"/>
      <c r="H209" s="256">
        <v>11</v>
      </c>
      <c r="I209" s="274">
        <f t="shared" si="22"/>
        <v>0</v>
      </c>
      <c r="J209" s="275">
        <f t="shared" si="24"/>
        <v>249700</v>
      </c>
      <c r="K209" s="276"/>
      <c r="L209" s="277"/>
      <c r="M209" s="277"/>
      <c r="N209" s="277"/>
      <c r="O209" s="277"/>
      <c r="P209" s="279"/>
      <c r="Q209" s="279"/>
    </row>
    <row r="210" spans="1:17" s="229" customFormat="1" ht="27.75" hidden="1" customHeight="1" outlineLevel="2">
      <c r="A210" s="833" t="s">
        <v>834</v>
      </c>
      <c r="B210" s="257"/>
      <c r="C210" s="258" t="s">
        <v>618</v>
      </c>
      <c r="D210" s="838" t="s">
        <v>694</v>
      </c>
      <c r="E210" s="835" t="s">
        <v>770</v>
      </c>
      <c r="F210" s="254" t="s">
        <v>625</v>
      </c>
      <c r="G210" s="254"/>
      <c r="H210" s="256">
        <v>1</v>
      </c>
      <c r="I210" s="274">
        <f t="shared" si="22"/>
        <v>0</v>
      </c>
      <c r="J210" s="275">
        <f t="shared" si="24"/>
        <v>22700</v>
      </c>
      <c r="K210" s="276"/>
      <c r="L210" s="277"/>
      <c r="M210" s="277"/>
      <c r="N210" s="277"/>
      <c r="O210" s="277"/>
      <c r="P210" s="279"/>
      <c r="Q210" s="279"/>
    </row>
    <row r="211" spans="1:17" s="229" customFormat="1" ht="27.75" hidden="1" customHeight="1" outlineLevel="2">
      <c r="A211" s="833" t="s">
        <v>834</v>
      </c>
      <c r="B211" s="257"/>
      <c r="C211" s="258" t="s">
        <v>618</v>
      </c>
      <c r="D211" s="838" t="s">
        <v>694</v>
      </c>
      <c r="E211" s="835" t="s">
        <v>835</v>
      </c>
      <c r="F211" s="254" t="s">
        <v>625</v>
      </c>
      <c r="G211" s="254"/>
      <c r="H211" s="256">
        <v>3</v>
      </c>
      <c r="I211" s="274">
        <f t="shared" si="22"/>
        <v>0</v>
      </c>
      <c r="J211" s="275">
        <f t="shared" si="24"/>
        <v>68100</v>
      </c>
      <c r="K211" s="276"/>
      <c r="L211" s="277"/>
      <c r="M211" s="277"/>
      <c r="N211" s="277"/>
      <c r="O211" s="277"/>
      <c r="P211" s="279"/>
      <c r="Q211" s="279"/>
    </row>
    <row r="212" spans="1:17" s="229" customFormat="1" ht="27.75" hidden="1" customHeight="1" outlineLevel="2">
      <c r="A212" s="833" t="s">
        <v>834</v>
      </c>
      <c r="B212" s="257"/>
      <c r="C212" s="258" t="s">
        <v>618</v>
      </c>
      <c r="D212" s="838" t="s">
        <v>694</v>
      </c>
      <c r="E212" s="835" t="s">
        <v>836</v>
      </c>
      <c r="F212" s="254" t="s">
        <v>625</v>
      </c>
      <c r="G212" s="254"/>
      <c r="H212" s="256">
        <v>0.8</v>
      </c>
      <c r="I212" s="274">
        <f t="shared" si="22"/>
        <v>0</v>
      </c>
      <c r="J212" s="275">
        <f t="shared" si="24"/>
        <v>18160</v>
      </c>
      <c r="K212" s="276"/>
      <c r="L212" s="277"/>
      <c r="M212" s="277"/>
      <c r="N212" s="277"/>
      <c r="O212" s="277"/>
      <c r="P212" s="279"/>
      <c r="Q212" s="279"/>
    </row>
    <row r="213" spans="1:17" s="229" customFormat="1" ht="27.75" hidden="1" customHeight="1" outlineLevel="2">
      <c r="A213" s="833" t="s">
        <v>169</v>
      </c>
      <c r="B213" s="257"/>
      <c r="C213" s="258" t="s">
        <v>618</v>
      </c>
      <c r="D213" s="838" t="s">
        <v>611</v>
      </c>
      <c r="E213" s="835" t="s">
        <v>704</v>
      </c>
      <c r="F213" s="254" t="s">
        <v>830</v>
      </c>
      <c r="G213" s="254"/>
      <c r="H213" s="256">
        <v>10.5</v>
      </c>
      <c r="I213" s="274">
        <f t="shared" si="22"/>
        <v>0</v>
      </c>
      <c r="J213" s="275">
        <f t="shared" si="24"/>
        <v>238350</v>
      </c>
      <c r="K213" s="276"/>
      <c r="L213" s="277"/>
      <c r="M213" s="277"/>
      <c r="N213" s="277"/>
      <c r="O213" s="277"/>
      <c r="P213" s="279"/>
      <c r="Q213" s="279"/>
    </row>
    <row r="214" spans="1:17" s="229" customFormat="1" ht="27.75" hidden="1" customHeight="1" outlineLevel="2">
      <c r="A214" s="845" t="s">
        <v>837</v>
      </c>
      <c r="B214" s="287"/>
      <c r="C214" s="258" t="s">
        <v>618</v>
      </c>
      <c r="D214" s="846" t="s">
        <v>630</v>
      </c>
      <c r="E214" s="837" t="s">
        <v>701</v>
      </c>
      <c r="F214" s="288" t="s">
        <v>743</v>
      </c>
      <c r="G214" s="288"/>
      <c r="H214" s="289">
        <v>22</v>
      </c>
      <c r="I214" s="310">
        <f t="shared" si="22"/>
        <v>0</v>
      </c>
      <c r="J214" s="311">
        <f t="shared" si="24"/>
        <v>499400</v>
      </c>
      <c r="K214" s="276"/>
      <c r="L214" s="277"/>
      <c r="M214" s="277"/>
      <c r="N214" s="277"/>
      <c r="O214" s="277"/>
      <c r="P214" s="279"/>
      <c r="Q214" s="279"/>
    </row>
    <row r="215" spans="1:17" s="227" customFormat="1" ht="27" hidden="1" customHeight="1" outlineLevel="1" collapsed="1">
      <c r="A215" s="290" t="s">
        <v>38</v>
      </c>
      <c r="B215" s="291"/>
      <c r="C215" s="292" t="s">
        <v>618</v>
      </c>
      <c r="D215" s="293"/>
      <c r="E215" s="294" t="s">
        <v>175</v>
      </c>
      <c r="F215" s="295"/>
      <c r="G215" s="296">
        <f>SUM(G5:G214)</f>
        <v>76244.14</v>
      </c>
      <c r="H215" s="297">
        <f>SUM(H6:H214)</f>
        <v>43802.295000000006</v>
      </c>
      <c r="I215" s="312">
        <f>G215*I3</f>
        <v>1730741978</v>
      </c>
      <c r="J215" s="313">
        <f t="shared" si="24"/>
        <v>994312096.50000012</v>
      </c>
      <c r="K215" s="314"/>
      <c r="L215" s="315"/>
      <c r="M215" s="315"/>
      <c r="N215" s="315"/>
      <c r="O215" s="315"/>
      <c r="P215" s="320"/>
      <c r="Q215" s="320"/>
    </row>
    <row r="216" spans="1:17" s="227" customFormat="1" ht="27" hidden="1" customHeight="1" outlineLevel="1">
      <c r="A216" s="298" t="s">
        <v>616</v>
      </c>
      <c r="B216" s="299"/>
      <c r="C216" s="300"/>
      <c r="D216" s="301"/>
      <c r="E216" s="302"/>
      <c r="F216" s="303"/>
      <c r="G216" s="304">
        <f>G215-H215</f>
        <v>32441.844999999994</v>
      </c>
      <c r="H216" s="305"/>
      <c r="I216" s="316">
        <f>G216*$I$3</f>
        <v>736429881.49999988</v>
      </c>
      <c r="J216" s="317"/>
      <c r="K216" s="314"/>
      <c r="L216" s="315"/>
      <c r="M216" s="315"/>
      <c r="N216" s="315"/>
      <c r="O216" s="315"/>
      <c r="P216" s="320"/>
      <c r="Q216" s="320"/>
    </row>
    <row r="217" spans="1:17" s="229" customFormat="1" ht="27.75" hidden="1" customHeight="1" outlineLevel="2">
      <c r="A217" s="833" t="s">
        <v>838</v>
      </c>
      <c r="B217" s="257"/>
      <c r="C217" s="258" t="s">
        <v>618</v>
      </c>
      <c r="D217" s="838" t="s">
        <v>751</v>
      </c>
      <c r="E217" s="835" t="s">
        <v>770</v>
      </c>
      <c r="F217" s="254" t="s">
        <v>638</v>
      </c>
      <c r="G217" s="254"/>
      <c r="H217" s="256">
        <v>40</v>
      </c>
      <c r="I217" s="274"/>
      <c r="J217" s="275">
        <f>H217*$I$3</f>
        <v>908000</v>
      </c>
      <c r="K217" s="276"/>
      <c r="L217" s="277"/>
      <c r="M217" s="277"/>
      <c r="N217" s="277"/>
      <c r="O217" s="277"/>
      <c r="P217" s="279"/>
      <c r="Q217" s="279"/>
    </row>
    <row r="218" spans="1:17" s="229" customFormat="1" ht="27.75" hidden="1" customHeight="1" outlineLevel="2">
      <c r="A218" s="833" t="s">
        <v>838</v>
      </c>
      <c r="B218" s="257"/>
      <c r="C218" s="258" t="s">
        <v>618</v>
      </c>
      <c r="D218" s="838" t="s">
        <v>751</v>
      </c>
      <c r="E218" s="835" t="s">
        <v>839</v>
      </c>
      <c r="F218" s="254" t="s">
        <v>621</v>
      </c>
      <c r="G218" s="254"/>
      <c r="H218" s="256">
        <v>24</v>
      </c>
      <c r="I218" s="274"/>
      <c r="J218" s="275">
        <f t="shared" ref="J218:J232" si="25">H218*$I$3</f>
        <v>544800</v>
      </c>
      <c r="K218" s="276"/>
      <c r="L218" s="277"/>
      <c r="M218" s="277"/>
      <c r="N218" s="277"/>
      <c r="O218" s="277"/>
      <c r="P218" s="279"/>
      <c r="Q218" s="279"/>
    </row>
    <row r="219" spans="1:17" s="229" customFormat="1" ht="27.75" hidden="1" customHeight="1" outlineLevel="2">
      <c r="A219" s="833" t="s">
        <v>838</v>
      </c>
      <c r="B219" s="257"/>
      <c r="C219" s="258" t="s">
        <v>618</v>
      </c>
      <c r="D219" s="838" t="s">
        <v>751</v>
      </c>
      <c r="E219" s="835" t="s">
        <v>840</v>
      </c>
      <c r="F219" s="254" t="s">
        <v>621</v>
      </c>
      <c r="G219" s="254"/>
      <c r="H219" s="256">
        <v>5</v>
      </c>
      <c r="I219" s="274"/>
      <c r="J219" s="275">
        <f t="shared" si="25"/>
        <v>113500</v>
      </c>
      <c r="K219" s="276"/>
      <c r="L219" s="277"/>
      <c r="M219" s="277"/>
      <c r="N219" s="277"/>
      <c r="O219" s="277"/>
      <c r="P219" s="279"/>
      <c r="Q219" s="279"/>
    </row>
    <row r="220" spans="1:17" s="229" customFormat="1" ht="27.75" hidden="1" customHeight="1" outlineLevel="2">
      <c r="A220" s="833" t="s">
        <v>838</v>
      </c>
      <c r="B220" s="257"/>
      <c r="C220" s="258" t="s">
        <v>618</v>
      </c>
      <c r="D220" s="838" t="s">
        <v>751</v>
      </c>
      <c r="E220" s="835" t="s">
        <v>841</v>
      </c>
      <c r="F220" s="254" t="s">
        <v>621</v>
      </c>
      <c r="G220" s="254"/>
      <c r="H220" s="256">
        <v>24</v>
      </c>
      <c r="I220" s="274"/>
      <c r="J220" s="275">
        <f t="shared" si="25"/>
        <v>544800</v>
      </c>
      <c r="K220" s="276"/>
      <c r="L220" s="277"/>
      <c r="M220" s="277"/>
      <c r="N220" s="277"/>
      <c r="O220" s="277"/>
      <c r="P220" s="279"/>
      <c r="Q220" s="279"/>
    </row>
    <row r="221" spans="1:17" s="229" customFormat="1" ht="27.75" hidden="1" customHeight="1" outlineLevel="2">
      <c r="A221" s="833" t="s">
        <v>838</v>
      </c>
      <c r="B221" s="257"/>
      <c r="C221" s="258" t="s">
        <v>618</v>
      </c>
      <c r="D221" s="838" t="s">
        <v>751</v>
      </c>
      <c r="E221" s="835" t="s">
        <v>842</v>
      </c>
      <c r="F221" s="254" t="s">
        <v>621</v>
      </c>
      <c r="G221" s="254"/>
      <c r="H221" s="256">
        <v>4.5999999999999996</v>
      </c>
      <c r="I221" s="274"/>
      <c r="J221" s="275">
        <f t="shared" si="25"/>
        <v>104419.99999999999</v>
      </c>
      <c r="K221" s="276"/>
      <c r="L221" s="277"/>
      <c r="M221" s="277"/>
      <c r="N221" s="277"/>
      <c r="O221" s="277"/>
      <c r="P221" s="279"/>
      <c r="Q221" s="279"/>
    </row>
    <row r="222" spans="1:17" s="229" customFormat="1" ht="27.75" hidden="1" customHeight="1" outlineLevel="2">
      <c r="A222" s="833" t="s">
        <v>838</v>
      </c>
      <c r="B222" s="257"/>
      <c r="C222" s="258" t="s">
        <v>618</v>
      </c>
      <c r="D222" s="838" t="s">
        <v>751</v>
      </c>
      <c r="E222" s="835" t="s">
        <v>843</v>
      </c>
      <c r="F222" s="254" t="s">
        <v>627</v>
      </c>
      <c r="G222" s="254"/>
      <c r="H222" s="256">
        <v>5</v>
      </c>
      <c r="I222" s="274"/>
      <c r="J222" s="275">
        <f t="shared" si="25"/>
        <v>113500</v>
      </c>
      <c r="K222" s="276"/>
      <c r="L222" s="277"/>
      <c r="M222" s="277"/>
      <c r="N222" s="277"/>
      <c r="O222" s="277"/>
      <c r="P222" s="279"/>
      <c r="Q222" s="279"/>
    </row>
    <row r="223" spans="1:17" s="229" customFormat="1" ht="27.75" hidden="1" customHeight="1" outlineLevel="2">
      <c r="A223" s="833" t="s">
        <v>838</v>
      </c>
      <c r="B223" s="257"/>
      <c r="C223" s="258" t="s">
        <v>618</v>
      </c>
      <c r="D223" s="838" t="s">
        <v>751</v>
      </c>
      <c r="E223" s="835" t="s">
        <v>844</v>
      </c>
      <c r="F223" s="254" t="s">
        <v>621</v>
      </c>
      <c r="G223" s="254"/>
      <c r="H223" s="256">
        <v>7</v>
      </c>
      <c r="I223" s="274"/>
      <c r="J223" s="275">
        <f t="shared" si="25"/>
        <v>158900</v>
      </c>
      <c r="K223" s="276"/>
      <c r="L223" s="277"/>
      <c r="M223" s="277"/>
      <c r="N223" s="277"/>
      <c r="O223" s="277"/>
      <c r="P223" s="279"/>
      <c r="Q223" s="279"/>
    </row>
    <row r="224" spans="1:17" s="229" customFormat="1" ht="27.75" hidden="1" customHeight="1" outlineLevel="2">
      <c r="A224" s="833" t="s">
        <v>838</v>
      </c>
      <c r="B224" s="257"/>
      <c r="C224" s="258" t="s">
        <v>618</v>
      </c>
      <c r="D224" s="838" t="s">
        <v>751</v>
      </c>
      <c r="E224" s="835" t="s">
        <v>845</v>
      </c>
      <c r="F224" s="254" t="s">
        <v>621</v>
      </c>
      <c r="G224" s="254"/>
      <c r="H224" s="256">
        <v>5.5</v>
      </c>
      <c r="I224" s="274"/>
      <c r="J224" s="275">
        <f t="shared" si="25"/>
        <v>124850</v>
      </c>
      <c r="K224" s="276"/>
      <c r="L224" s="277"/>
      <c r="M224" s="277"/>
      <c r="N224" s="277"/>
      <c r="O224" s="277"/>
      <c r="P224" s="279"/>
      <c r="Q224" s="279"/>
    </row>
    <row r="225" spans="1:17" s="229" customFormat="1" ht="27.75" hidden="1" customHeight="1" outlineLevel="2">
      <c r="A225" s="833" t="s">
        <v>838</v>
      </c>
      <c r="B225" s="257"/>
      <c r="C225" s="258" t="s">
        <v>618</v>
      </c>
      <c r="D225" s="838" t="s">
        <v>778</v>
      </c>
      <c r="E225" s="835" t="s">
        <v>704</v>
      </c>
      <c r="F225" s="254" t="s">
        <v>641</v>
      </c>
      <c r="G225" s="254"/>
      <c r="H225" s="256">
        <v>3</v>
      </c>
      <c r="I225" s="274"/>
      <c r="J225" s="275">
        <f t="shared" si="25"/>
        <v>68100</v>
      </c>
      <c r="K225" s="276"/>
      <c r="L225" s="277"/>
      <c r="M225" s="277"/>
      <c r="N225" s="277"/>
      <c r="O225" s="277"/>
      <c r="P225" s="279"/>
      <c r="Q225" s="279"/>
    </row>
    <row r="226" spans="1:17" s="229" customFormat="1" ht="27.75" hidden="1" customHeight="1" outlineLevel="2">
      <c r="A226" s="833" t="s">
        <v>838</v>
      </c>
      <c r="B226" s="257"/>
      <c r="C226" s="258" t="s">
        <v>618</v>
      </c>
      <c r="D226" s="838" t="s">
        <v>778</v>
      </c>
      <c r="E226" s="835" t="s">
        <v>846</v>
      </c>
      <c r="F226" s="254" t="s">
        <v>641</v>
      </c>
      <c r="G226" s="254"/>
      <c r="H226" s="256">
        <v>3.8</v>
      </c>
      <c r="I226" s="274"/>
      <c r="J226" s="275">
        <f t="shared" si="25"/>
        <v>86260</v>
      </c>
      <c r="K226" s="276"/>
      <c r="L226" s="277"/>
      <c r="M226" s="277"/>
      <c r="N226" s="277"/>
      <c r="O226" s="277"/>
      <c r="P226" s="279"/>
      <c r="Q226" s="279"/>
    </row>
    <row r="227" spans="1:17" s="229" customFormat="1" ht="27.75" hidden="1" customHeight="1" outlineLevel="2">
      <c r="A227" s="833" t="s">
        <v>847</v>
      </c>
      <c r="B227" s="257"/>
      <c r="C227" s="258" t="s">
        <v>618</v>
      </c>
      <c r="D227" s="838" t="s">
        <v>751</v>
      </c>
      <c r="E227" s="835" t="s">
        <v>848</v>
      </c>
      <c r="F227" s="254" t="s">
        <v>644</v>
      </c>
      <c r="G227" s="254"/>
      <c r="H227" s="256">
        <v>5000</v>
      </c>
      <c r="I227" s="274"/>
      <c r="J227" s="275">
        <f t="shared" si="25"/>
        <v>113500000</v>
      </c>
      <c r="K227" s="276"/>
      <c r="L227" s="277"/>
      <c r="M227" s="277"/>
      <c r="N227" s="277"/>
      <c r="O227" s="277"/>
      <c r="P227" s="279"/>
      <c r="Q227" s="279"/>
    </row>
    <row r="228" spans="1:17" s="229" customFormat="1" ht="27.75" hidden="1" customHeight="1" outlineLevel="2">
      <c r="A228" s="833" t="s">
        <v>847</v>
      </c>
      <c r="B228" s="257"/>
      <c r="C228" s="258" t="s">
        <v>618</v>
      </c>
      <c r="D228" s="838" t="s">
        <v>751</v>
      </c>
      <c r="E228" s="835" t="s">
        <v>849</v>
      </c>
      <c r="F228" s="254" t="s">
        <v>644</v>
      </c>
      <c r="G228" s="254"/>
      <c r="H228" s="256">
        <v>8000</v>
      </c>
      <c r="I228" s="274"/>
      <c r="J228" s="275">
        <f t="shared" si="25"/>
        <v>181600000</v>
      </c>
      <c r="K228" s="276"/>
      <c r="L228" s="277"/>
      <c r="M228" s="277"/>
      <c r="N228" s="277"/>
      <c r="O228" s="277"/>
      <c r="P228" s="279"/>
      <c r="Q228" s="279"/>
    </row>
    <row r="229" spans="1:17" s="229" customFormat="1" ht="27.75" hidden="1" customHeight="1" outlineLevel="2">
      <c r="A229" s="833" t="s">
        <v>847</v>
      </c>
      <c r="B229" s="257"/>
      <c r="C229" s="258" t="s">
        <v>618</v>
      </c>
      <c r="D229" s="838" t="s">
        <v>751</v>
      </c>
      <c r="E229" s="835" t="s">
        <v>850</v>
      </c>
      <c r="F229" s="254" t="s">
        <v>641</v>
      </c>
      <c r="G229" s="254"/>
      <c r="H229" s="256">
        <v>500</v>
      </c>
      <c r="I229" s="274"/>
      <c r="J229" s="275">
        <f t="shared" si="25"/>
        <v>11350000</v>
      </c>
      <c r="K229" s="276"/>
      <c r="L229" s="277"/>
      <c r="M229" s="277"/>
      <c r="N229" s="277"/>
      <c r="O229" s="277"/>
      <c r="P229" s="279"/>
      <c r="Q229" s="279"/>
    </row>
    <row r="230" spans="1:17" s="229" customFormat="1" ht="27.75" hidden="1" customHeight="1" outlineLevel="2">
      <c r="A230" s="833" t="s">
        <v>847</v>
      </c>
      <c r="B230" s="257"/>
      <c r="C230" s="258" t="s">
        <v>618</v>
      </c>
      <c r="D230" s="838" t="s">
        <v>751</v>
      </c>
      <c r="E230" s="835" t="s">
        <v>851</v>
      </c>
      <c r="F230" s="254" t="s">
        <v>641</v>
      </c>
      <c r="G230" s="254"/>
      <c r="H230" s="256">
        <v>100</v>
      </c>
      <c r="I230" s="274"/>
      <c r="J230" s="275">
        <f t="shared" si="25"/>
        <v>2270000</v>
      </c>
      <c r="K230" s="276"/>
      <c r="L230" s="277"/>
      <c r="M230" s="277"/>
      <c r="N230" s="277"/>
      <c r="O230" s="277"/>
      <c r="P230" s="279"/>
      <c r="Q230" s="279"/>
    </row>
    <row r="231" spans="1:17" s="229" customFormat="1" ht="27.75" hidden="1" customHeight="1" outlineLevel="2">
      <c r="A231" s="833" t="s">
        <v>847</v>
      </c>
      <c r="B231" s="257"/>
      <c r="C231" s="258" t="s">
        <v>618</v>
      </c>
      <c r="D231" s="838" t="s">
        <v>751</v>
      </c>
      <c r="E231" s="835" t="s">
        <v>852</v>
      </c>
      <c r="F231" s="254" t="s">
        <v>621</v>
      </c>
      <c r="G231" s="254"/>
      <c r="H231" s="256">
        <v>28.5</v>
      </c>
      <c r="I231" s="274"/>
      <c r="J231" s="275">
        <f t="shared" si="25"/>
        <v>646950</v>
      </c>
      <c r="K231" s="276"/>
      <c r="L231" s="277"/>
      <c r="M231" s="277"/>
      <c r="N231" s="277"/>
      <c r="O231" s="277"/>
      <c r="P231" s="279"/>
      <c r="Q231" s="279"/>
    </row>
    <row r="232" spans="1:17" s="229" customFormat="1" ht="27.75" hidden="1" customHeight="1" outlineLevel="2">
      <c r="A232" s="833" t="s">
        <v>847</v>
      </c>
      <c r="B232" s="257"/>
      <c r="C232" s="258" t="s">
        <v>618</v>
      </c>
      <c r="D232" s="838" t="s">
        <v>751</v>
      </c>
      <c r="E232" s="835" t="s">
        <v>853</v>
      </c>
      <c r="F232" s="254" t="s">
        <v>621</v>
      </c>
      <c r="G232" s="254"/>
      <c r="H232" s="256">
        <v>8</v>
      </c>
      <c r="I232" s="274"/>
      <c r="J232" s="275">
        <f t="shared" si="25"/>
        <v>181600</v>
      </c>
      <c r="K232" s="276"/>
      <c r="L232" s="277"/>
      <c r="M232" s="277"/>
      <c r="N232" s="277"/>
      <c r="O232" s="277"/>
      <c r="P232" s="279"/>
      <c r="Q232" s="279"/>
    </row>
    <row r="233" spans="1:17" s="229" customFormat="1" ht="27.75" hidden="1" customHeight="1" outlineLevel="2">
      <c r="A233" s="833" t="s">
        <v>847</v>
      </c>
      <c r="B233" s="257"/>
      <c r="C233" s="258" t="s">
        <v>618</v>
      </c>
      <c r="D233" s="838" t="s">
        <v>751</v>
      </c>
      <c r="E233" s="835" t="s">
        <v>854</v>
      </c>
      <c r="F233" s="254" t="s">
        <v>621</v>
      </c>
      <c r="G233" s="254"/>
      <c r="H233" s="256">
        <v>9</v>
      </c>
      <c r="I233" s="274"/>
      <c r="J233" s="275">
        <f t="shared" ref="J233:J241" si="26">H233*$I$3</f>
        <v>204300</v>
      </c>
      <c r="K233" s="276"/>
      <c r="L233" s="277"/>
      <c r="M233" s="277"/>
      <c r="N233" s="277"/>
      <c r="O233" s="277"/>
      <c r="P233" s="279"/>
      <c r="Q233" s="279"/>
    </row>
    <row r="234" spans="1:17" s="229" customFormat="1" ht="27.75" hidden="1" customHeight="1" outlineLevel="2">
      <c r="A234" s="833" t="s">
        <v>847</v>
      </c>
      <c r="B234" s="257"/>
      <c r="C234" s="258" t="s">
        <v>618</v>
      </c>
      <c r="D234" s="838" t="s">
        <v>751</v>
      </c>
      <c r="E234" s="835" t="s">
        <v>855</v>
      </c>
      <c r="F234" s="254" t="s">
        <v>621</v>
      </c>
      <c r="G234" s="254"/>
      <c r="H234" s="256">
        <v>47</v>
      </c>
      <c r="I234" s="274"/>
      <c r="J234" s="275">
        <f t="shared" si="26"/>
        <v>1066900</v>
      </c>
      <c r="K234" s="276"/>
      <c r="L234" s="277"/>
      <c r="M234" s="277"/>
      <c r="N234" s="277"/>
      <c r="O234" s="277"/>
      <c r="P234" s="279"/>
      <c r="Q234" s="279"/>
    </row>
    <row r="235" spans="1:17" s="229" customFormat="1" ht="27.75" hidden="1" customHeight="1" outlineLevel="2">
      <c r="A235" s="833" t="s">
        <v>847</v>
      </c>
      <c r="B235" s="257"/>
      <c r="C235" s="258" t="s">
        <v>618</v>
      </c>
      <c r="D235" s="838" t="s">
        <v>751</v>
      </c>
      <c r="E235" s="835" t="s">
        <v>856</v>
      </c>
      <c r="F235" s="254" t="s">
        <v>621</v>
      </c>
      <c r="G235" s="254"/>
      <c r="H235" s="256">
        <v>23.9</v>
      </c>
      <c r="I235" s="274"/>
      <c r="J235" s="275">
        <f t="shared" si="26"/>
        <v>542530</v>
      </c>
      <c r="K235" s="276"/>
      <c r="L235" s="277"/>
      <c r="M235" s="277"/>
      <c r="N235" s="277"/>
      <c r="O235" s="277"/>
      <c r="P235" s="279"/>
      <c r="Q235" s="279"/>
    </row>
    <row r="236" spans="1:17" s="229" customFormat="1" ht="27.75" hidden="1" customHeight="1" outlineLevel="2">
      <c r="A236" s="833" t="s">
        <v>847</v>
      </c>
      <c r="B236" s="257"/>
      <c r="C236" s="258" t="s">
        <v>618</v>
      </c>
      <c r="D236" s="838" t="s">
        <v>751</v>
      </c>
      <c r="E236" s="835" t="s">
        <v>857</v>
      </c>
      <c r="F236" s="254" t="s">
        <v>858</v>
      </c>
      <c r="G236" s="254"/>
      <c r="H236" s="256">
        <v>650</v>
      </c>
      <c r="I236" s="274"/>
      <c r="J236" s="275">
        <f t="shared" si="26"/>
        <v>14755000</v>
      </c>
      <c r="K236" s="276"/>
      <c r="L236" s="277"/>
      <c r="M236" s="277"/>
      <c r="N236" s="277"/>
      <c r="O236" s="277"/>
      <c r="P236" s="279"/>
      <c r="Q236" s="279"/>
    </row>
    <row r="237" spans="1:17" s="229" customFormat="1" ht="27.75" hidden="1" customHeight="1" outlineLevel="2">
      <c r="A237" s="833" t="s">
        <v>847</v>
      </c>
      <c r="B237" s="257"/>
      <c r="C237" s="258" t="s">
        <v>618</v>
      </c>
      <c r="D237" s="838" t="s">
        <v>751</v>
      </c>
      <c r="E237" s="835" t="s">
        <v>859</v>
      </c>
      <c r="F237" s="254" t="s">
        <v>858</v>
      </c>
      <c r="G237" s="254"/>
      <c r="H237" s="256">
        <v>460</v>
      </c>
      <c r="I237" s="274"/>
      <c r="J237" s="275">
        <f t="shared" si="26"/>
        <v>10442000</v>
      </c>
      <c r="K237" s="276"/>
      <c r="L237" s="277"/>
      <c r="M237" s="277"/>
      <c r="N237" s="277"/>
      <c r="O237" s="277"/>
      <c r="P237" s="279"/>
      <c r="Q237" s="279"/>
    </row>
    <row r="238" spans="1:17" s="229" customFormat="1" ht="27.75" hidden="1" customHeight="1" outlineLevel="2">
      <c r="A238" s="833" t="s">
        <v>847</v>
      </c>
      <c r="B238" s="257"/>
      <c r="C238" s="258" t="s">
        <v>618</v>
      </c>
      <c r="D238" s="838" t="s">
        <v>611</v>
      </c>
      <c r="E238" s="835" t="s">
        <v>860</v>
      </c>
      <c r="F238" s="254" t="s">
        <v>627</v>
      </c>
      <c r="G238" s="254"/>
      <c r="H238" s="256">
        <v>15</v>
      </c>
      <c r="I238" s="274"/>
      <c r="J238" s="275">
        <f t="shared" si="26"/>
        <v>340500</v>
      </c>
      <c r="K238" s="276"/>
      <c r="L238" s="277"/>
      <c r="M238" s="277"/>
      <c r="N238" s="277"/>
      <c r="O238" s="277"/>
      <c r="P238" s="279"/>
      <c r="Q238" s="279"/>
    </row>
    <row r="239" spans="1:17" s="229" customFormat="1" ht="27.75" hidden="1" customHeight="1" outlineLevel="2">
      <c r="A239" s="833" t="s">
        <v>847</v>
      </c>
      <c r="B239" s="257"/>
      <c r="C239" s="258" t="s">
        <v>618</v>
      </c>
      <c r="D239" s="838" t="s">
        <v>611</v>
      </c>
      <c r="E239" s="835" t="s">
        <v>861</v>
      </c>
      <c r="F239" s="254" t="s">
        <v>627</v>
      </c>
      <c r="G239" s="254"/>
      <c r="H239" s="256">
        <v>5</v>
      </c>
      <c r="I239" s="274"/>
      <c r="J239" s="275">
        <f t="shared" si="26"/>
        <v>113500</v>
      </c>
      <c r="K239" s="276"/>
      <c r="L239" s="277"/>
      <c r="M239" s="277"/>
      <c r="N239" s="277"/>
      <c r="O239" s="277"/>
      <c r="P239" s="279"/>
      <c r="Q239" s="279"/>
    </row>
    <row r="240" spans="1:17" s="229" customFormat="1" ht="27.75" hidden="1" customHeight="1" outlineLevel="2">
      <c r="A240" s="833" t="s">
        <v>847</v>
      </c>
      <c r="B240" s="257"/>
      <c r="C240" s="258" t="s">
        <v>618</v>
      </c>
      <c r="D240" s="838" t="s">
        <v>714</v>
      </c>
      <c r="E240" s="835" t="s">
        <v>862</v>
      </c>
      <c r="F240" s="254" t="s">
        <v>625</v>
      </c>
      <c r="G240" s="254"/>
      <c r="H240" s="256">
        <v>7.5</v>
      </c>
      <c r="I240" s="274"/>
      <c r="J240" s="275">
        <f t="shared" si="26"/>
        <v>170250</v>
      </c>
      <c r="K240" s="276"/>
      <c r="L240" s="277"/>
      <c r="M240" s="277"/>
      <c r="N240" s="277"/>
      <c r="O240" s="277"/>
      <c r="P240" s="279"/>
      <c r="Q240" s="279"/>
    </row>
    <row r="241" spans="1:17" s="229" customFormat="1" ht="27.75" hidden="1" customHeight="1" outlineLevel="2">
      <c r="A241" s="845" t="s">
        <v>847</v>
      </c>
      <c r="B241" s="287"/>
      <c r="C241" s="258" t="s">
        <v>618</v>
      </c>
      <c r="D241" s="846" t="s">
        <v>630</v>
      </c>
      <c r="E241" s="837" t="s">
        <v>701</v>
      </c>
      <c r="F241" s="288" t="s">
        <v>625</v>
      </c>
      <c r="G241" s="288"/>
      <c r="H241" s="289">
        <v>23</v>
      </c>
      <c r="I241" s="310"/>
      <c r="J241" s="311">
        <f t="shared" si="26"/>
        <v>522100</v>
      </c>
      <c r="K241" s="276"/>
      <c r="L241" s="277"/>
      <c r="M241" s="277"/>
      <c r="N241" s="277"/>
      <c r="O241" s="277"/>
      <c r="P241" s="279"/>
      <c r="Q241" s="279"/>
    </row>
    <row r="242" spans="1:17" s="229" customFormat="1" ht="27.75" hidden="1" customHeight="1" outlineLevel="2">
      <c r="A242" s="847" t="s">
        <v>863</v>
      </c>
      <c r="B242" s="306"/>
      <c r="C242" s="307" t="s">
        <v>618</v>
      </c>
      <c r="D242" s="848" t="s">
        <v>635</v>
      </c>
      <c r="E242" s="849" t="s">
        <v>864</v>
      </c>
      <c r="F242" s="308" t="s">
        <v>621</v>
      </c>
      <c r="G242" s="308"/>
      <c r="H242" s="309">
        <v>22.8</v>
      </c>
      <c r="I242" s="318"/>
      <c r="J242" s="311">
        <f t="shared" ref="J242:J247" si="27">H242*$I$3</f>
        <v>517560</v>
      </c>
      <c r="K242" s="276"/>
      <c r="L242" s="277"/>
      <c r="M242" s="277"/>
      <c r="N242" s="277"/>
      <c r="O242" s="277"/>
      <c r="P242" s="279"/>
      <c r="Q242" s="279"/>
    </row>
    <row r="243" spans="1:17" s="229" customFormat="1" ht="27.75" hidden="1" customHeight="1" outlineLevel="2">
      <c r="A243" s="833" t="s">
        <v>863</v>
      </c>
      <c r="B243" s="257"/>
      <c r="C243" s="258" t="s">
        <v>618</v>
      </c>
      <c r="D243" s="838" t="s">
        <v>635</v>
      </c>
      <c r="E243" s="835" t="s">
        <v>865</v>
      </c>
      <c r="F243" s="254" t="s">
        <v>621</v>
      </c>
      <c r="G243" s="254"/>
      <c r="H243" s="256">
        <v>22.35</v>
      </c>
      <c r="I243" s="274"/>
      <c r="J243" s="311">
        <f t="shared" si="27"/>
        <v>507345.00000000006</v>
      </c>
      <c r="K243" s="276"/>
      <c r="L243" s="277"/>
      <c r="M243" s="277"/>
      <c r="N243" s="277"/>
      <c r="O243" s="277"/>
      <c r="P243" s="279"/>
      <c r="Q243" s="279"/>
    </row>
    <row r="244" spans="1:17" s="229" customFormat="1" ht="27.75" hidden="1" customHeight="1" outlineLevel="2">
      <c r="A244" s="833" t="s">
        <v>863</v>
      </c>
      <c r="B244" s="257"/>
      <c r="C244" s="258" t="s">
        <v>618</v>
      </c>
      <c r="D244" s="838" t="s">
        <v>635</v>
      </c>
      <c r="E244" s="835" t="s">
        <v>866</v>
      </c>
      <c r="F244" s="254" t="s">
        <v>621</v>
      </c>
      <c r="G244" s="254"/>
      <c r="H244" s="256">
        <v>15</v>
      </c>
      <c r="I244" s="274"/>
      <c r="J244" s="311">
        <f t="shared" si="27"/>
        <v>340500</v>
      </c>
      <c r="K244" s="276"/>
      <c r="L244" s="277"/>
      <c r="M244" s="277"/>
      <c r="N244" s="277"/>
      <c r="O244" s="277"/>
      <c r="P244" s="279"/>
      <c r="Q244" s="279"/>
    </row>
    <row r="245" spans="1:17" s="229" customFormat="1" ht="27.75" hidden="1" customHeight="1" outlineLevel="2">
      <c r="A245" s="833" t="s">
        <v>863</v>
      </c>
      <c r="B245" s="257"/>
      <c r="C245" s="258" t="s">
        <v>618</v>
      </c>
      <c r="D245" s="838" t="s">
        <v>611</v>
      </c>
      <c r="E245" s="835" t="s">
        <v>640</v>
      </c>
      <c r="F245" s="254" t="s">
        <v>641</v>
      </c>
      <c r="G245" s="254"/>
      <c r="H245" s="256">
        <v>10.5</v>
      </c>
      <c r="I245" s="274"/>
      <c r="J245" s="311">
        <f t="shared" si="27"/>
        <v>238350</v>
      </c>
      <c r="K245" s="276"/>
      <c r="L245" s="277"/>
      <c r="M245" s="277"/>
      <c r="N245" s="277"/>
      <c r="O245" s="277"/>
      <c r="P245" s="279"/>
      <c r="Q245" s="279"/>
    </row>
    <row r="246" spans="1:17" s="229" customFormat="1" ht="27.75" hidden="1" customHeight="1" outlineLevel="2">
      <c r="A246" s="833" t="s">
        <v>863</v>
      </c>
      <c r="B246" s="257"/>
      <c r="C246" s="258" t="s">
        <v>618</v>
      </c>
      <c r="D246" s="838" t="s">
        <v>714</v>
      </c>
      <c r="E246" s="835" t="s">
        <v>867</v>
      </c>
      <c r="F246" s="254" t="s">
        <v>627</v>
      </c>
      <c r="G246" s="254"/>
      <c r="H246" s="256">
        <v>10</v>
      </c>
      <c r="I246" s="274"/>
      <c r="J246" s="311">
        <f t="shared" si="27"/>
        <v>227000</v>
      </c>
      <c r="K246" s="276"/>
      <c r="L246" s="277"/>
      <c r="M246" s="277"/>
      <c r="N246" s="277"/>
      <c r="O246" s="277"/>
      <c r="P246" s="279"/>
      <c r="Q246" s="279"/>
    </row>
    <row r="247" spans="1:17" s="229" customFormat="1" ht="27.75" hidden="1" customHeight="1" outlineLevel="2">
      <c r="A247" s="845" t="s">
        <v>863</v>
      </c>
      <c r="B247" s="287"/>
      <c r="C247" s="258" t="s">
        <v>618</v>
      </c>
      <c r="D247" s="846" t="s">
        <v>630</v>
      </c>
      <c r="E247" s="837" t="s">
        <v>868</v>
      </c>
      <c r="F247" s="288" t="s">
        <v>627</v>
      </c>
      <c r="G247" s="288"/>
      <c r="H247" s="289">
        <v>10</v>
      </c>
      <c r="I247" s="310"/>
      <c r="J247" s="311">
        <f t="shared" si="27"/>
        <v>227000</v>
      </c>
      <c r="K247" s="276"/>
      <c r="L247" s="277"/>
      <c r="M247" s="277"/>
      <c r="N247" s="277"/>
      <c r="O247" s="277"/>
      <c r="P247" s="279"/>
      <c r="Q247" s="279"/>
    </row>
    <row r="248" spans="1:17" s="229" customFormat="1" ht="27.75" hidden="1" customHeight="1" outlineLevel="2">
      <c r="A248" s="847" t="s">
        <v>869</v>
      </c>
      <c r="B248" s="306"/>
      <c r="C248" s="307" t="s">
        <v>618</v>
      </c>
      <c r="D248" s="848" t="s">
        <v>635</v>
      </c>
      <c r="E248" s="849" t="s">
        <v>870</v>
      </c>
      <c r="F248" s="308" t="s">
        <v>644</v>
      </c>
      <c r="G248" s="308"/>
      <c r="H248" s="309">
        <v>2116.8619791666702</v>
      </c>
      <c r="I248" s="318"/>
      <c r="J248" s="319">
        <f t="shared" ref="J248:J267" si="28">H248*$I$3</f>
        <v>48052766.92708341</v>
      </c>
      <c r="K248" s="276"/>
      <c r="L248" s="277"/>
      <c r="M248" s="277"/>
      <c r="N248" s="277"/>
      <c r="O248" s="277"/>
      <c r="P248" s="279"/>
      <c r="Q248" s="279"/>
    </row>
    <row r="249" spans="1:17" s="229" customFormat="1" ht="27.75" hidden="1" customHeight="1" outlineLevel="2">
      <c r="A249" s="833" t="s">
        <v>869</v>
      </c>
      <c r="B249" s="257"/>
      <c r="C249" s="258" t="s">
        <v>618</v>
      </c>
      <c r="D249" s="838" t="s">
        <v>635</v>
      </c>
      <c r="E249" s="835" t="s">
        <v>871</v>
      </c>
      <c r="F249" s="254" t="s">
        <v>644</v>
      </c>
      <c r="G249" s="254"/>
      <c r="H249" s="256">
        <v>2046.63</v>
      </c>
      <c r="I249" s="274"/>
      <c r="J249" s="311">
        <f t="shared" si="28"/>
        <v>46458501</v>
      </c>
      <c r="K249" s="276"/>
      <c r="L249" s="277"/>
      <c r="M249" s="277"/>
      <c r="N249" s="277"/>
      <c r="O249" s="277"/>
      <c r="P249" s="279"/>
      <c r="Q249" s="279"/>
    </row>
    <row r="250" spans="1:17" s="229" customFormat="1" ht="27.75" hidden="1" customHeight="1" outlineLevel="2">
      <c r="A250" s="833" t="s">
        <v>869</v>
      </c>
      <c r="B250" s="257"/>
      <c r="C250" s="258" t="s">
        <v>618</v>
      </c>
      <c r="D250" s="838" t="s">
        <v>635</v>
      </c>
      <c r="E250" s="835" t="s">
        <v>872</v>
      </c>
      <c r="F250" s="254" t="s">
        <v>621</v>
      </c>
      <c r="G250" s="254"/>
      <c r="H250" s="256">
        <v>50.36</v>
      </c>
      <c r="I250" s="274"/>
      <c r="J250" s="311">
        <f t="shared" si="28"/>
        <v>1143172</v>
      </c>
      <c r="K250" s="276"/>
      <c r="L250" s="277"/>
      <c r="M250" s="277"/>
      <c r="N250" s="277"/>
      <c r="O250" s="277"/>
      <c r="P250" s="279"/>
      <c r="Q250" s="279"/>
    </row>
    <row r="251" spans="1:17" s="229" customFormat="1" ht="27.75" hidden="1" customHeight="1" outlineLevel="2">
      <c r="A251" s="833" t="s">
        <v>869</v>
      </c>
      <c r="B251" s="257"/>
      <c r="C251" s="258" t="s">
        <v>618</v>
      </c>
      <c r="D251" s="838" t="s">
        <v>635</v>
      </c>
      <c r="E251" s="835" t="s">
        <v>873</v>
      </c>
      <c r="F251" s="254" t="s">
        <v>621</v>
      </c>
      <c r="G251" s="254"/>
      <c r="H251" s="256">
        <v>107.9</v>
      </c>
      <c r="I251" s="274"/>
      <c r="J251" s="311">
        <f t="shared" si="28"/>
        <v>2449330</v>
      </c>
      <c r="K251" s="276"/>
      <c r="L251" s="277"/>
      <c r="M251" s="277"/>
      <c r="N251" s="277"/>
      <c r="O251" s="277"/>
      <c r="P251" s="279"/>
      <c r="Q251" s="279"/>
    </row>
    <row r="252" spans="1:17" s="229" customFormat="1" ht="27.75" hidden="1" customHeight="1" outlineLevel="2">
      <c r="A252" s="833" t="s">
        <v>869</v>
      </c>
      <c r="B252" s="257"/>
      <c r="C252" s="258" t="s">
        <v>618</v>
      </c>
      <c r="D252" s="838" t="s">
        <v>635</v>
      </c>
      <c r="E252" s="835" t="s">
        <v>874</v>
      </c>
      <c r="F252" s="254" t="s">
        <v>621</v>
      </c>
      <c r="G252" s="254"/>
      <c r="H252" s="256">
        <v>10.78</v>
      </c>
      <c r="I252" s="274"/>
      <c r="J252" s="311">
        <f t="shared" si="28"/>
        <v>244706</v>
      </c>
      <c r="K252" s="276"/>
      <c r="L252" s="277"/>
      <c r="M252" s="277"/>
      <c r="N252" s="277"/>
      <c r="O252" s="277"/>
      <c r="P252" s="279"/>
      <c r="Q252" s="279"/>
    </row>
    <row r="253" spans="1:17" s="229" customFormat="1" ht="27.75" hidden="1" customHeight="1" outlineLevel="2">
      <c r="A253" s="833" t="s">
        <v>869</v>
      </c>
      <c r="B253" s="257"/>
      <c r="C253" s="258" t="s">
        <v>618</v>
      </c>
      <c r="D253" s="838" t="s">
        <v>635</v>
      </c>
      <c r="E253" s="835" t="s">
        <v>637</v>
      </c>
      <c r="F253" s="254" t="s">
        <v>638</v>
      </c>
      <c r="G253" s="254"/>
      <c r="H253" s="256">
        <v>40</v>
      </c>
      <c r="I253" s="274"/>
      <c r="J253" s="311">
        <f t="shared" si="28"/>
        <v>908000</v>
      </c>
      <c r="K253" s="276"/>
      <c r="L253" s="277"/>
      <c r="M253" s="277"/>
      <c r="N253" s="277"/>
      <c r="O253" s="277"/>
      <c r="P253" s="279"/>
      <c r="Q253" s="279"/>
    </row>
    <row r="254" spans="1:17" s="229" customFormat="1" ht="27.75" hidden="1" customHeight="1" outlineLevel="2">
      <c r="A254" s="833" t="s">
        <v>869</v>
      </c>
      <c r="B254" s="257"/>
      <c r="C254" s="258" t="s">
        <v>618</v>
      </c>
      <c r="D254" s="838" t="s">
        <v>635</v>
      </c>
      <c r="E254" s="835" t="s">
        <v>875</v>
      </c>
      <c r="F254" s="254" t="s">
        <v>784</v>
      </c>
      <c r="G254" s="254"/>
      <c r="H254" s="256">
        <v>2200</v>
      </c>
      <c r="I254" s="274"/>
      <c r="J254" s="311">
        <f t="shared" si="28"/>
        <v>49940000</v>
      </c>
      <c r="K254" s="276"/>
      <c r="L254" s="277"/>
      <c r="M254" s="277"/>
      <c r="N254" s="277"/>
      <c r="O254" s="277"/>
      <c r="P254" s="279"/>
      <c r="Q254" s="279"/>
    </row>
    <row r="255" spans="1:17" s="229" customFormat="1" ht="27.75" hidden="1" customHeight="1" outlineLevel="2">
      <c r="A255" s="833" t="s">
        <v>869</v>
      </c>
      <c r="B255" s="257"/>
      <c r="C255" s="258" t="s">
        <v>618</v>
      </c>
      <c r="D255" s="838" t="s">
        <v>635</v>
      </c>
      <c r="E255" s="835" t="s">
        <v>876</v>
      </c>
      <c r="F255" s="254" t="s">
        <v>780</v>
      </c>
      <c r="G255" s="254"/>
      <c r="H255" s="256">
        <v>1674.2</v>
      </c>
      <c r="I255" s="274"/>
      <c r="J255" s="311">
        <f t="shared" si="28"/>
        <v>38004340</v>
      </c>
      <c r="K255" s="276"/>
      <c r="L255" s="277"/>
      <c r="M255" s="277"/>
      <c r="N255" s="277"/>
      <c r="O255" s="277"/>
      <c r="P255" s="279"/>
      <c r="Q255" s="279"/>
    </row>
    <row r="256" spans="1:17" s="229" customFormat="1" ht="27.75" hidden="1" customHeight="1" outlineLevel="2">
      <c r="A256" s="833" t="s">
        <v>869</v>
      </c>
      <c r="B256" s="257"/>
      <c r="C256" s="258" t="s">
        <v>618</v>
      </c>
      <c r="D256" s="838" t="s">
        <v>611</v>
      </c>
      <c r="E256" s="835" t="s">
        <v>877</v>
      </c>
      <c r="F256" s="254" t="s">
        <v>625</v>
      </c>
      <c r="G256" s="254"/>
      <c r="H256" s="256">
        <v>50</v>
      </c>
      <c r="I256" s="274"/>
      <c r="J256" s="311">
        <f t="shared" si="28"/>
        <v>1135000</v>
      </c>
      <c r="K256" s="276"/>
      <c r="L256" s="277"/>
      <c r="M256" s="277"/>
      <c r="N256" s="277"/>
      <c r="O256" s="277"/>
      <c r="P256" s="279"/>
      <c r="Q256" s="279"/>
    </row>
    <row r="257" spans="1:17" s="229" customFormat="1" ht="27.75" hidden="1" customHeight="1" outlineLevel="2">
      <c r="A257" s="833" t="s">
        <v>869</v>
      </c>
      <c r="B257" s="257"/>
      <c r="C257" s="258" t="s">
        <v>618</v>
      </c>
      <c r="D257" s="838" t="s">
        <v>611</v>
      </c>
      <c r="E257" s="835" t="s">
        <v>878</v>
      </c>
      <c r="F257" s="254" t="s">
        <v>625</v>
      </c>
      <c r="G257" s="254"/>
      <c r="H257" s="256">
        <v>22.5</v>
      </c>
      <c r="I257" s="274"/>
      <c r="J257" s="311">
        <f t="shared" si="28"/>
        <v>510750</v>
      </c>
      <c r="K257" s="276"/>
      <c r="L257" s="277"/>
      <c r="M257" s="277"/>
      <c r="N257" s="277"/>
      <c r="O257" s="277"/>
      <c r="P257" s="279"/>
      <c r="Q257" s="279"/>
    </row>
    <row r="258" spans="1:17" s="229" customFormat="1" ht="27.75" hidden="1" customHeight="1" outlineLevel="2">
      <c r="A258" s="833" t="s">
        <v>869</v>
      </c>
      <c r="B258" s="257"/>
      <c r="C258" s="258" t="s">
        <v>618</v>
      </c>
      <c r="D258" s="838" t="s">
        <v>611</v>
      </c>
      <c r="E258" s="835" t="s">
        <v>879</v>
      </c>
      <c r="F258" s="254" t="s">
        <v>625</v>
      </c>
      <c r="G258" s="254"/>
      <c r="H258" s="256">
        <v>11</v>
      </c>
      <c r="I258" s="274"/>
      <c r="J258" s="311">
        <f t="shared" si="28"/>
        <v>249700</v>
      </c>
      <c r="K258" s="276"/>
      <c r="L258" s="277"/>
      <c r="M258" s="277"/>
      <c r="N258" s="277"/>
      <c r="O258" s="277"/>
      <c r="P258" s="279"/>
      <c r="Q258" s="279"/>
    </row>
    <row r="259" spans="1:17" s="229" customFormat="1" ht="27.75" hidden="1" customHeight="1" outlineLevel="2">
      <c r="A259" s="833" t="s">
        <v>869</v>
      </c>
      <c r="B259" s="257"/>
      <c r="C259" s="258" t="s">
        <v>618</v>
      </c>
      <c r="D259" s="838" t="s">
        <v>611</v>
      </c>
      <c r="E259" s="835" t="s">
        <v>880</v>
      </c>
      <c r="F259" s="254" t="s">
        <v>625</v>
      </c>
      <c r="G259" s="254"/>
      <c r="H259" s="256">
        <v>1</v>
      </c>
      <c r="I259" s="274"/>
      <c r="J259" s="311">
        <f t="shared" si="28"/>
        <v>22700</v>
      </c>
      <c r="K259" s="276"/>
      <c r="L259" s="277"/>
      <c r="M259" s="277"/>
      <c r="N259" s="277"/>
      <c r="O259" s="277"/>
      <c r="P259" s="279"/>
      <c r="Q259" s="279"/>
    </row>
    <row r="260" spans="1:17" s="229" customFormat="1" ht="27.75" hidden="1" customHeight="1" outlineLevel="2">
      <c r="A260" s="833" t="s">
        <v>869</v>
      </c>
      <c r="B260" s="257"/>
      <c r="C260" s="258" t="s">
        <v>618</v>
      </c>
      <c r="D260" s="838" t="s">
        <v>611</v>
      </c>
      <c r="E260" s="835" t="s">
        <v>881</v>
      </c>
      <c r="F260" s="254" t="s">
        <v>625</v>
      </c>
      <c r="G260" s="254"/>
      <c r="H260" s="256">
        <v>6</v>
      </c>
      <c r="I260" s="274"/>
      <c r="J260" s="311">
        <f t="shared" si="28"/>
        <v>136200</v>
      </c>
      <c r="K260" s="276"/>
      <c r="L260" s="277"/>
      <c r="M260" s="277"/>
      <c r="N260" s="277"/>
      <c r="O260" s="277"/>
      <c r="P260" s="279"/>
      <c r="Q260" s="279"/>
    </row>
    <row r="261" spans="1:17" s="229" customFormat="1" ht="27.75" hidden="1" customHeight="1" outlineLevel="2">
      <c r="A261" s="833" t="s">
        <v>869</v>
      </c>
      <c r="B261" s="257"/>
      <c r="C261" s="258" t="s">
        <v>618</v>
      </c>
      <c r="D261" s="838" t="s">
        <v>611</v>
      </c>
      <c r="E261" s="835" t="s">
        <v>882</v>
      </c>
      <c r="F261" s="254" t="s">
        <v>625</v>
      </c>
      <c r="G261" s="254"/>
      <c r="H261" s="256">
        <v>10.5</v>
      </c>
      <c r="I261" s="274"/>
      <c r="J261" s="311">
        <f t="shared" si="28"/>
        <v>238350</v>
      </c>
      <c r="K261" s="276"/>
      <c r="L261" s="277"/>
      <c r="M261" s="277"/>
      <c r="N261" s="277"/>
      <c r="O261" s="277"/>
      <c r="P261" s="279"/>
      <c r="Q261" s="279"/>
    </row>
    <row r="262" spans="1:17" s="229" customFormat="1" ht="27.75" hidden="1" customHeight="1" outlineLevel="2">
      <c r="A262" s="833" t="s">
        <v>869</v>
      </c>
      <c r="B262" s="257"/>
      <c r="C262" s="258" t="s">
        <v>618</v>
      </c>
      <c r="D262" s="838" t="s">
        <v>611</v>
      </c>
      <c r="E262" s="835" t="s">
        <v>883</v>
      </c>
      <c r="F262" s="254" t="s">
        <v>625</v>
      </c>
      <c r="G262" s="254"/>
      <c r="H262" s="256">
        <v>7</v>
      </c>
      <c r="I262" s="274"/>
      <c r="J262" s="311">
        <f t="shared" si="28"/>
        <v>158900</v>
      </c>
      <c r="K262" s="276"/>
      <c r="L262" s="277"/>
      <c r="M262" s="277"/>
      <c r="N262" s="277"/>
      <c r="O262" s="277"/>
      <c r="P262" s="279"/>
      <c r="Q262" s="279"/>
    </row>
    <row r="263" spans="1:17" s="229" customFormat="1" ht="27.75" hidden="1" customHeight="1" outlineLevel="2">
      <c r="A263" s="833" t="s">
        <v>869</v>
      </c>
      <c r="B263" s="257"/>
      <c r="C263" s="258" t="s">
        <v>618</v>
      </c>
      <c r="D263" s="838" t="s">
        <v>611</v>
      </c>
      <c r="E263" s="835" t="s">
        <v>884</v>
      </c>
      <c r="F263" s="254" t="s">
        <v>625</v>
      </c>
      <c r="G263" s="254"/>
      <c r="H263" s="256">
        <v>2.5</v>
      </c>
      <c r="I263" s="274"/>
      <c r="J263" s="311">
        <f t="shared" si="28"/>
        <v>56750</v>
      </c>
      <c r="K263" s="276"/>
      <c r="L263" s="277"/>
      <c r="M263" s="277"/>
      <c r="N263" s="277"/>
      <c r="O263" s="277"/>
      <c r="P263" s="279"/>
      <c r="Q263" s="279"/>
    </row>
    <row r="264" spans="1:17" s="229" customFormat="1" ht="27.75" hidden="1" customHeight="1" outlineLevel="2">
      <c r="A264" s="833" t="s">
        <v>869</v>
      </c>
      <c r="B264" s="257"/>
      <c r="C264" s="258" t="s">
        <v>618</v>
      </c>
      <c r="D264" s="838" t="s">
        <v>611</v>
      </c>
      <c r="E264" s="835" t="s">
        <v>885</v>
      </c>
      <c r="F264" s="254" t="s">
        <v>621</v>
      </c>
      <c r="G264" s="254"/>
      <c r="H264" s="256">
        <v>13</v>
      </c>
      <c r="I264" s="274"/>
      <c r="J264" s="311">
        <f t="shared" si="28"/>
        <v>295100</v>
      </c>
      <c r="K264" s="276"/>
      <c r="L264" s="277"/>
      <c r="M264" s="277"/>
      <c r="N264" s="277"/>
      <c r="O264" s="277"/>
      <c r="P264" s="279"/>
      <c r="Q264" s="279"/>
    </row>
    <row r="265" spans="1:17" s="229" customFormat="1" ht="27.75" hidden="1" customHeight="1" outlineLevel="2">
      <c r="A265" s="833" t="s">
        <v>869</v>
      </c>
      <c r="B265" s="257"/>
      <c r="C265" s="258" t="s">
        <v>618</v>
      </c>
      <c r="D265" s="838" t="s">
        <v>611</v>
      </c>
      <c r="E265" s="835" t="s">
        <v>886</v>
      </c>
      <c r="F265" s="254" t="s">
        <v>621</v>
      </c>
      <c r="G265" s="254"/>
      <c r="H265" s="256">
        <v>9</v>
      </c>
      <c r="I265" s="274"/>
      <c r="J265" s="311">
        <f t="shared" si="28"/>
        <v>204300</v>
      </c>
      <c r="K265" s="276"/>
      <c r="L265" s="277"/>
      <c r="M265" s="277"/>
      <c r="N265" s="277"/>
      <c r="O265" s="277"/>
      <c r="P265" s="279"/>
      <c r="Q265" s="279"/>
    </row>
    <row r="266" spans="1:17" s="229" customFormat="1" ht="27.75" hidden="1" customHeight="1" outlineLevel="2">
      <c r="A266" s="833" t="s">
        <v>869</v>
      </c>
      <c r="B266" s="257"/>
      <c r="C266" s="258" t="s">
        <v>618</v>
      </c>
      <c r="D266" s="838" t="s">
        <v>611</v>
      </c>
      <c r="E266" s="835" t="s">
        <v>887</v>
      </c>
      <c r="F266" s="254" t="s">
        <v>621</v>
      </c>
      <c r="G266" s="254"/>
      <c r="H266" s="256">
        <v>12</v>
      </c>
      <c r="I266" s="274"/>
      <c r="J266" s="311">
        <f t="shared" si="28"/>
        <v>272400</v>
      </c>
      <c r="K266" s="276"/>
      <c r="L266" s="277"/>
      <c r="M266" s="277"/>
      <c r="N266" s="277"/>
      <c r="O266" s="277"/>
      <c r="P266" s="279"/>
      <c r="Q266" s="279"/>
    </row>
    <row r="267" spans="1:17" s="229" customFormat="1" ht="27.75" hidden="1" customHeight="1" outlineLevel="2">
      <c r="A267" s="833" t="s">
        <v>869</v>
      </c>
      <c r="B267" s="257"/>
      <c r="C267" s="258" t="s">
        <v>618</v>
      </c>
      <c r="D267" s="838" t="s">
        <v>611</v>
      </c>
      <c r="E267" s="835" t="s">
        <v>888</v>
      </c>
      <c r="F267" s="254" t="s">
        <v>621</v>
      </c>
      <c r="G267" s="254"/>
      <c r="H267" s="256">
        <v>6</v>
      </c>
      <c r="I267" s="274"/>
      <c r="J267" s="311">
        <f t="shared" si="28"/>
        <v>136200</v>
      </c>
      <c r="K267" s="276"/>
      <c r="L267" s="277"/>
      <c r="M267" s="277"/>
      <c r="N267" s="277"/>
      <c r="O267" s="277"/>
      <c r="P267" s="279"/>
      <c r="Q267" s="279"/>
    </row>
    <row r="268" spans="1:17" s="229" customFormat="1" ht="27.75" hidden="1" customHeight="1" outlineLevel="2">
      <c r="A268" s="850" t="s">
        <v>869</v>
      </c>
      <c r="B268" s="231"/>
      <c r="C268" s="321" t="s">
        <v>618</v>
      </c>
      <c r="D268" s="851" t="s">
        <v>694</v>
      </c>
      <c r="E268" s="852" t="s">
        <v>889</v>
      </c>
      <c r="F268" s="322" t="s">
        <v>890</v>
      </c>
      <c r="G268" s="322"/>
      <c r="H268" s="323">
        <v>95</v>
      </c>
      <c r="I268" s="329"/>
      <c r="J268" s="311">
        <f t="shared" ref="J268:J277" si="29">H268*$I$3</f>
        <v>2156500</v>
      </c>
      <c r="K268" s="276"/>
      <c r="L268" s="277"/>
      <c r="M268" s="277"/>
      <c r="N268" s="277"/>
      <c r="O268" s="277"/>
      <c r="P268" s="279"/>
      <c r="Q268" s="279"/>
    </row>
    <row r="269" spans="1:17" s="229" customFormat="1" ht="27.75" hidden="1" customHeight="1" outlineLevel="2">
      <c r="A269" s="847" t="s">
        <v>891</v>
      </c>
      <c r="B269" s="306"/>
      <c r="C269" s="307" t="s">
        <v>618</v>
      </c>
      <c r="D269" s="848" t="s">
        <v>751</v>
      </c>
      <c r="E269" s="849" t="s">
        <v>892</v>
      </c>
      <c r="F269" s="308" t="s">
        <v>621</v>
      </c>
      <c r="G269" s="308"/>
      <c r="H269" s="309">
        <v>16</v>
      </c>
      <c r="I269" s="318"/>
      <c r="J269" s="311">
        <f t="shared" si="29"/>
        <v>363200</v>
      </c>
      <c r="K269" s="276"/>
      <c r="L269" s="277"/>
      <c r="M269" s="277"/>
      <c r="N269" s="277"/>
      <c r="O269" s="277"/>
      <c r="P269" s="279"/>
      <c r="Q269" s="279"/>
    </row>
    <row r="270" spans="1:17" s="229" customFormat="1" ht="27.75" hidden="1" customHeight="1" outlineLevel="2">
      <c r="A270" s="833" t="s">
        <v>891</v>
      </c>
      <c r="B270" s="257"/>
      <c r="C270" s="258" t="s">
        <v>618</v>
      </c>
      <c r="D270" s="838" t="s">
        <v>751</v>
      </c>
      <c r="E270" s="835" t="s">
        <v>893</v>
      </c>
      <c r="F270" s="254" t="s">
        <v>621</v>
      </c>
      <c r="G270" s="254"/>
      <c r="H270" s="256">
        <v>10</v>
      </c>
      <c r="I270" s="274"/>
      <c r="J270" s="311">
        <f t="shared" si="29"/>
        <v>227000</v>
      </c>
      <c r="K270" s="276"/>
      <c r="L270" s="277"/>
      <c r="M270" s="277"/>
      <c r="N270" s="277"/>
      <c r="O270" s="277"/>
      <c r="P270" s="279"/>
      <c r="Q270" s="279"/>
    </row>
    <row r="271" spans="1:17" s="229" customFormat="1" ht="27.75" hidden="1" customHeight="1" outlineLevel="2">
      <c r="A271" s="833" t="s">
        <v>891</v>
      </c>
      <c r="B271" s="257"/>
      <c r="C271" s="258" t="s">
        <v>618</v>
      </c>
      <c r="D271" s="838" t="s">
        <v>751</v>
      </c>
      <c r="E271" s="835" t="s">
        <v>894</v>
      </c>
      <c r="F271" s="254" t="s">
        <v>621</v>
      </c>
      <c r="G271" s="254"/>
      <c r="H271" s="256">
        <v>35.299999999999997</v>
      </c>
      <c r="I271" s="274"/>
      <c r="J271" s="311">
        <f t="shared" si="29"/>
        <v>801309.99999999988</v>
      </c>
      <c r="K271" s="276"/>
      <c r="L271" s="277"/>
      <c r="M271" s="277"/>
      <c r="N271" s="277"/>
      <c r="O271" s="277"/>
      <c r="P271" s="279"/>
      <c r="Q271" s="279"/>
    </row>
    <row r="272" spans="1:17" s="229" customFormat="1" ht="27.75" hidden="1" customHeight="1" outlineLevel="2">
      <c r="A272" s="833" t="s">
        <v>891</v>
      </c>
      <c r="B272" s="257"/>
      <c r="C272" s="258" t="s">
        <v>618</v>
      </c>
      <c r="D272" s="838" t="s">
        <v>751</v>
      </c>
      <c r="E272" s="835" t="s">
        <v>895</v>
      </c>
      <c r="F272" s="254" t="s">
        <v>621</v>
      </c>
      <c r="G272" s="254"/>
      <c r="H272" s="256">
        <v>24</v>
      </c>
      <c r="I272" s="274"/>
      <c r="J272" s="311">
        <f t="shared" si="29"/>
        <v>544800</v>
      </c>
      <c r="K272" s="276"/>
      <c r="L272" s="277"/>
      <c r="M272" s="277"/>
      <c r="N272" s="277"/>
      <c r="O272" s="277"/>
      <c r="P272" s="279"/>
      <c r="Q272" s="279"/>
    </row>
    <row r="273" spans="1:17" s="229" customFormat="1" ht="27.75" hidden="1" customHeight="1" outlineLevel="2">
      <c r="A273" s="833" t="s">
        <v>891</v>
      </c>
      <c r="B273" s="257"/>
      <c r="C273" s="258" t="s">
        <v>618</v>
      </c>
      <c r="D273" s="838" t="s">
        <v>648</v>
      </c>
      <c r="E273" s="835" t="s">
        <v>896</v>
      </c>
      <c r="F273" s="254" t="s">
        <v>625</v>
      </c>
      <c r="G273" s="254"/>
      <c r="H273" s="256">
        <v>4500</v>
      </c>
      <c r="I273" s="274"/>
      <c r="J273" s="311">
        <f t="shared" si="29"/>
        <v>102150000</v>
      </c>
      <c r="K273" s="276"/>
      <c r="L273" s="277"/>
      <c r="M273" s="277"/>
      <c r="N273" s="277"/>
      <c r="O273" s="277"/>
      <c r="P273" s="279"/>
      <c r="Q273" s="279"/>
    </row>
    <row r="274" spans="1:17" s="229" customFormat="1" ht="27.75" hidden="1" customHeight="1" outlineLevel="2">
      <c r="A274" s="833" t="s">
        <v>891</v>
      </c>
      <c r="B274" s="257"/>
      <c r="C274" s="258" t="s">
        <v>618</v>
      </c>
      <c r="D274" s="838" t="s">
        <v>611</v>
      </c>
      <c r="E274" s="835" t="s">
        <v>897</v>
      </c>
      <c r="F274" s="254" t="s">
        <v>625</v>
      </c>
      <c r="G274" s="254"/>
      <c r="H274" s="256">
        <v>9</v>
      </c>
      <c r="I274" s="274"/>
      <c r="J274" s="311">
        <f t="shared" si="29"/>
        <v>204300</v>
      </c>
      <c r="K274" s="276"/>
      <c r="L274" s="277"/>
      <c r="M274" s="277"/>
      <c r="N274" s="277"/>
      <c r="O274" s="277"/>
      <c r="P274" s="279"/>
      <c r="Q274" s="279"/>
    </row>
    <row r="275" spans="1:17" s="229" customFormat="1" ht="27.75" hidden="1" customHeight="1" outlineLevel="2">
      <c r="A275" s="833" t="s">
        <v>891</v>
      </c>
      <c r="B275" s="257"/>
      <c r="C275" s="258" t="s">
        <v>618</v>
      </c>
      <c r="D275" s="838" t="s">
        <v>611</v>
      </c>
      <c r="E275" s="835" t="s">
        <v>898</v>
      </c>
      <c r="F275" s="254" t="s">
        <v>625</v>
      </c>
      <c r="G275" s="254"/>
      <c r="H275" s="256">
        <v>28</v>
      </c>
      <c r="I275" s="274"/>
      <c r="J275" s="311">
        <f t="shared" si="29"/>
        <v>635600</v>
      </c>
      <c r="K275" s="276"/>
      <c r="L275" s="277"/>
      <c r="M275" s="277"/>
      <c r="N275" s="277"/>
      <c r="O275" s="277"/>
      <c r="P275" s="279"/>
      <c r="Q275" s="279"/>
    </row>
    <row r="276" spans="1:17" s="229" customFormat="1" ht="27.75" hidden="1" customHeight="1" outlineLevel="2">
      <c r="A276" s="833" t="s">
        <v>891</v>
      </c>
      <c r="B276" s="257"/>
      <c r="C276" s="258" t="s">
        <v>618</v>
      </c>
      <c r="D276" s="838" t="s">
        <v>611</v>
      </c>
      <c r="E276" s="835" t="s">
        <v>757</v>
      </c>
      <c r="F276" s="254" t="s">
        <v>625</v>
      </c>
      <c r="G276" s="254"/>
      <c r="H276" s="256">
        <v>27</v>
      </c>
      <c r="I276" s="274"/>
      <c r="J276" s="311">
        <f t="shared" si="29"/>
        <v>612900</v>
      </c>
      <c r="K276" s="276"/>
      <c r="L276" s="277"/>
      <c r="M276" s="277"/>
      <c r="N276" s="277"/>
      <c r="O276" s="277"/>
      <c r="P276" s="279"/>
      <c r="Q276" s="279"/>
    </row>
    <row r="277" spans="1:17" s="229" customFormat="1" ht="27.75" hidden="1" customHeight="1" outlineLevel="2">
      <c r="A277" s="833" t="s">
        <v>891</v>
      </c>
      <c r="B277" s="257"/>
      <c r="C277" s="258" t="s">
        <v>618</v>
      </c>
      <c r="D277" s="838" t="s">
        <v>611</v>
      </c>
      <c r="E277" s="835" t="s">
        <v>861</v>
      </c>
      <c r="F277" s="254" t="s">
        <v>641</v>
      </c>
      <c r="G277" s="254"/>
      <c r="H277" s="256">
        <v>5</v>
      </c>
      <c r="I277" s="274"/>
      <c r="J277" s="311">
        <f t="shared" si="29"/>
        <v>113500</v>
      </c>
      <c r="K277" s="276"/>
      <c r="L277" s="277"/>
      <c r="M277" s="277"/>
      <c r="N277" s="277"/>
      <c r="O277" s="277"/>
      <c r="P277" s="279"/>
      <c r="Q277" s="279"/>
    </row>
    <row r="278" spans="1:17" s="229" customFormat="1" ht="27.75" hidden="1" customHeight="1" outlineLevel="2">
      <c r="A278" s="850" t="s">
        <v>891</v>
      </c>
      <c r="B278" s="231"/>
      <c r="C278" s="321" t="s">
        <v>618</v>
      </c>
      <c r="D278" s="851" t="s">
        <v>630</v>
      </c>
      <c r="E278" s="852" t="s">
        <v>899</v>
      </c>
      <c r="F278" s="322" t="s">
        <v>625</v>
      </c>
      <c r="G278" s="322"/>
      <c r="H278" s="323">
        <v>14</v>
      </c>
      <c r="I278" s="329"/>
      <c r="J278" s="311">
        <f t="shared" ref="J278:J290" si="30">H278*$I$3</f>
        <v>317800</v>
      </c>
      <c r="K278" s="276"/>
      <c r="L278" s="277"/>
      <c r="M278" s="277"/>
      <c r="N278" s="277"/>
      <c r="O278" s="277"/>
      <c r="P278" s="279"/>
      <c r="Q278" s="279"/>
    </row>
    <row r="279" spans="1:17" s="229" customFormat="1" ht="27.75" hidden="1" customHeight="1" outlineLevel="2">
      <c r="A279" s="847" t="s">
        <v>900</v>
      </c>
      <c r="B279" s="306"/>
      <c r="C279" s="307" t="s">
        <v>618</v>
      </c>
      <c r="D279" s="848" t="s">
        <v>635</v>
      </c>
      <c r="E279" s="849" t="s">
        <v>901</v>
      </c>
      <c r="F279" s="308" t="s">
        <v>621</v>
      </c>
      <c r="G279" s="308"/>
      <c r="H279" s="309">
        <v>39.450000000000003</v>
      </c>
      <c r="I279" s="318"/>
      <c r="J279" s="311">
        <f t="shared" si="30"/>
        <v>895515.00000000012</v>
      </c>
      <c r="K279" s="276"/>
      <c r="L279" s="277"/>
      <c r="M279" s="277"/>
      <c r="N279" s="277"/>
      <c r="O279" s="277"/>
      <c r="P279" s="279"/>
      <c r="Q279" s="279"/>
    </row>
    <row r="280" spans="1:17" s="229" customFormat="1" ht="27.75" hidden="1" customHeight="1" outlineLevel="2">
      <c r="A280" s="850" t="s">
        <v>900</v>
      </c>
      <c r="B280" s="231"/>
      <c r="C280" s="321" t="s">
        <v>618</v>
      </c>
      <c r="D280" s="851" t="s">
        <v>635</v>
      </c>
      <c r="E280" s="852" t="s">
        <v>902</v>
      </c>
      <c r="F280" s="322" t="s">
        <v>780</v>
      </c>
      <c r="G280" s="322"/>
      <c r="H280" s="323">
        <v>16.3</v>
      </c>
      <c r="I280" s="329"/>
      <c r="J280" s="311">
        <f t="shared" si="30"/>
        <v>370010</v>
      </c>
      <c r="K280" s="276"/>
      <c r="L280" s="277"/>
      <c r="M280" s="277"/>
      <c r="N280" s="277"/>
      <c r="O280" s="277"/>
      <c r="P280" s="279"/>
      <c r="Q280" s="279"/>
    </row>
    <row r="281" spans="1:17" s="229" customFormat="1" ht="27.75" hidden="1" customHeight="1" outlineLevel="2">
      <c r="A281" s="847" t="s">
        <v>903</v>
      </c>
      <c r="B281" s="306"/>
      <c r="C281" s="307" t="s">
        <v>618</v>
      </c>
      <c r="D281" s="848" t="s">
        <v>635</v>
      </c>
      <c r="E281" s="849" t="s">
        <v>904</v>
      </c>
      <c r="F281" s="308" t="s">
        <v>641</v>
      </c>
      <c r="G281" s="308"/>
      <c r="H281" s="309">
        <v>500</v>
      </c>
      <c r="I281" s="318"/>
      <c r="J281" s="311">
        <f t="shared" si="30"/>
        <v>11350000</v>
      </c>
      <c r="K281" s="276"/>
      <c r="L281" s="277"/>
      <c r="M281" s="277"/>
      <c r="N281" s="277"/>
      <c r="O281" s="277"/>
      <c r="P281" s="279"/>
      <c r="Q281" s="279"/>
    </row>
    <row r="282" spans="1:17" s="229" customFormat="1" ht="27.75" hidden="1" customHeight="1" outlineLevel="2">
      <c r="A282" s="833" t="s">
        <v>903</v>
      </c>
      <c r="B282" s="257"/>
      <c r="C282" s="258" t="s">
        <v>618</v>
      </c>
      <c r="D282" s="838" t="s">
        <v>635</v>
      </c>
      <c r="E282" s="835" t="s">
        <v>904</v>
      </c>
      <c r="F282" s="254" t="s">
        <v>641</v>
      </c>
      <c r="G282" s="254"/>
      <c r="H282" s="256">
        <v>280</v>
      </c>
      <c r="I282" s="274"/>
      <c r="J282" s="311">
        <f t="shared" si="30"/>
        <v>6356000</v>
      </c>
      <c r="K282" s="276"/>
      <c r="L282" s="277"/>
      <c r="M282" s="277"/>
      <c r="N282" s="277"/>
      <c r="O282" s="277"/>
      <c r="P282" s="279"/>
      <c r="Q282" s="279"/>
    </row>
    <row r="283" spans="1:17" s="229" customFormat="1" ht="27.75" hidden="1" customHeight="1" outlineLevel="2">
      <c r="A283" s="833" t="s">
        <v>903</v>
      </c>
      <c r="B283" s="257"/>
      <c r="C283" s="258" t="s">
        <v>618</v>
      </c>
      <c r="D283" s="838" t="s">
        <v>635</v>
      </c>
      <c r="E283" s="835" t="s">
        <v>704</v>
      </c>
      <c r="F283" s="254" t="s">
        <v>641</v>
      </c>
      <c r="G283" s="254"/>
      <c r="H283" s="256">
        <v>9</v>
      </c>
      <c r="I283" s="274"/>
      <c r="J283" s="311">
        <f t="shared" si="30"/>
        <v>204300</v>
      </c>
      <c r="K283" s="276"/>
      <c r="L283" s="277"/>
      <c r="M283" s="277"/>
      <c r="N283" s="277"/>
      <c r="O283" s="277"/>
      <c r="P283" s="279"/>
      <c r="Q283" s="279"/>
    </row>
    <row r="284" spans="1:17" s="229" customFormat="1" ht="27.75" hidden="1" customHeight="1" outlineLevel="2">
      <c r="A284" s="850" t="s">
        <v>903</v>
      </c>
      <c r="B284" s="231"/>
      <c r="C284" s="321" t="s">
        <v>618</v>
      </c>
      <c r="D284" s="851" t="s">
        <v>635</v>
      </c>
      <c r="E284" s="852" t="s">
        <v>905</v>
      </c>
      <c r="F284" s="322" t="s">
        <v>621</v>
      </c>
      <c r="G284" s="322"/>
      <c r="H284" s="323">
        <v>18</v>
      </c>
      <c r="I284" s="329"/>
      <c r="J284" s="311">
        <f t="shared" si="30"/>
        <v>408600</v>
      </c>
      <c r="K284" s="276"/>
      <c r="L284" s="277"/>
      <c r="M284" s="277"/>
      <c r="N284" s="277"/>
      <c r="O284" s="277"/>
      <c r="P284" s="279"/>
      <c r="Q284" s="279"/>
    </row>
    <row r="285" spans="1:17" s="229" customFormat="1" ht="27.75" hidden="1" customHeight="1" outlineLevel="2">
      <c r="A285" s="833" t="s">
        <v>906</v>
      </c>
      <c r="B285" s="257"/>
      <c r="C285" s="258" t="s">
        <v>618</v>
      </c>
      <c r="D285" s="838" t="s">
        <v>635</v>
      </c>
      <c r="E285" s="835" t="s">
        <v>907</v>
      </c>
      <c r="F285" s="254" t="s">
        <v>621</v>
      </c>
      <c r="G285" s="254"/>
      <c r="H285" s="256">
        <v>3.5</v>
      </c>
      <c r="I285" s="274"/>
      <c r="J285" s="311">
        <f t="shared" si="30"/>
        <v>79450</v>
      </c>
      <c r="K285" s="276"/>
      <c r="L285" s="277"/>
      <c r="M285" s="277"/>
      <c r="N285" s="277"/>
      <c r="O285" s="277"/>
      <c r="P285" s="279"/>
      <c r="Q285" s="279"/>
    </row>
    <row r="286" spans="1:17" s="229" customFormat="1" ht="27.75" hidden="1" customHeight="1" outlineLevel="2">
      <c r="A286" s="833" t="s">
        <v>906</v>
      </c>
      <c r="B286" s="257"/>
      <c r="C286" s="258" t="s">
        <v>618</v>
      </c>
      <c r="D286" s="838" t="s">
        <v>611</v>
      </c>
      <c r="E286" s="835" t="s">
        <v>908</v>
      </c>
      <c r="F286" s="254" t="s">
        <v>909</v>
      </c>
      <c r="G286" s="254"/>
      <c r="H286" s="256">
        <v>153.08000000000001</v>
      </c>
      <c r="I286" s="274"/>
      <c r="J286" s="311">
        <f t="shared" si="30"/>
        <v>3474916.0000000005</v>
      </c>
      <c r="K286" s="276"/>
      <c r="L286" s="277"/>
      <c r="M286" s="277"/>
      <c r="N286" s="277"/>
      <c r="O286" s="277"/>
      <c r="P286" s="279"/>
      <c r="Q286" s="279"/>
    </row>
    <row r="287" spans="1:17" s="229" customFormat="1" ht="27.75" hidden="1" customHeight="1" outlineLevel="2">
      <c r="A287" s="833" t="s">
        <v>906</v>
      </c>
      <c r="B287" s="257"/>
      <c r="C287" s="258" t="s">
        <v>618</v>
      </c>
      <c r="D287" s="838" t="s">
        <v>611</v>
      </c>
      <c r="E287" s="835" t="s">
        <v>910</v>
      </c>
      <c r="F287" s="254" t="s">
        <v>780</v>
      </c>
      <c r="G287" s="254"/>
      <c r="H287" s="256">
        <v>110</v>
      </c>
      <c r="I287" s="274"/>
      <c r="J287" s="311">
        <f t="shared" si="30"/>
        <v>2497000</v>
      </c>
      <c r="K287" s="276"/>
      <c r="L287" s="277"/>
      <c r="M287" s="277"/>
      <c r="N287" s="277"/>
      <c r="O287" s="277"/>
      <c r="P287" s="279"/>
      <c r="Q287" s="279"/>
    </row>
    <row r="288" spans="1:17" s="229" customFormat="1" ht="27.75" hidden="1" customHeight="1" outlineLevel="2">
      <c r="A288" s="833" t="s">
        <v>906</v>
      </c>
      <c r="B288" s="257"/>
      <c r="C288" s="258" t="s">
        <v>618</v>
      </c>
      <c r="D288" s="838" t="s">
        <v>611</v>
      </c>
      <c r="E288" s="835" t="s">
        <v>911</v>
      </c>
      <c r="F288" s="254" t="s">
        <v>780</v>
      </c>
      <c r="G288" s="254"/>
      <c r="H288" s="256">
        <v>40</v>
      </c>
      <c r="I288" s="274"/>
      <c r="J288" s="311">
        <f t="shared" si="30"/>
        <v>908000</v>
      </c>
      <c r="K288" s="276"/>
      <c r="L288" s="277"/>
      <c r="M288" s="277"/>
      <c r="N288" s="277"/>
      <c r="O288" s="277"/>
      <c r="P288" s="279"/>
      <c r="Q288" s="279"/>
    </row>
    <row r="289" spans="1:17" s="229" customFormat="1" ht="27.75" hidden="1" customHeight="1" outlineLevel="2">
      <c r="A289" s="833" t="s">
        <v>906</v>
      </c>
      <c r="B289" s="257"/>
      <c r="C289" s="258" t="s">
        <v>618</v>
      </c>
      <c r="D289" s="838" t="s">
        <v>611</v>
      </c>
      <c r="E289" s="835" t="s">
        <v>704</v>
      </c>
      <c r="F289" s="254" t="s">
        <v>641</v>
      </c>
      <c r="G289" s="254"/>
      <c r="H289" s="256">
        <v>10.5</v>
      </c>
      <c r="I289" s="274"/>
      <c r="J289" s="311">
        <f t="shared" si="30"/>
        <v>238350</v>
      </c>
      <c r="K289" s="276"/>
      <c r="L289" s="277"/>
      <c r="M289" s="277"/>
      <c r="N289" s="277"/>
      <c r="O289" s="277"/>
      <c r="P289" s="279"/>
      <c r="Q289" s="279"/>
    </row>
    <row r="290" spans="1:17" s="229" customFormat="1" ht="27.75" hidden="1" customHeight="1" outlineLevel="2">
      <c r="A290" s="833" t="s">
        <v>906</v>
      </c>
      <c r="B290" s="257"/>
      <c r="C290" s="258" t="s">
        <v>618</v>
      </c>
      <c r="D290" s="838" t="s">
        <v>611</v>
      </c>
      <c r="E290" s="835" t="s">
        <v>912</v>
      </c>
      <c r="F290" s="254" t="s">
        <v>627</v>
      </c>
      <c r="G290" s="254"/>
      <c r="H290" s="256">
        <v>5</v>
      </c>
      <c r="I290" s="274"/>
      <c r="J290" s="311">
        <f t="shared" si="30"/>
        <v>113500</v>
      </c>
      <c r="K290" s="276"/>
      <c r="L290" s="277"/>
      <c r="M290" s="277"/>
      <c r="N290" s="277"/>
      <c r="O290" s="277"/>
      <c r="P290" s="279"/>
      <c r="Q290" s="279"/>
    </row>
    <row r="291" spans="1:17" s="229" customFormat="1" ht="27.75" hidden="1" customHeight="1" outlineLevel="2">
      <c r="A291" s="833" t="s">
        <v>913</v>
      </c>
      <c r="B291" s="257"/>
      <c r="C291" s="258" t="s">
        <v>618</v>
      </c>
      <c r="D291" s="838" t="s">
        <v>635</v>
      </c>
      <c r="E291" s="835" t="s">
        <v>770</v>
      </c>
      <c r="F291" s="254" t="s">
        <v>638</v>
      </c>
      <c r="G291" s="254"/>
      <c r="H291" s="256">
        <v>40</v>
      </c>
      <c r="I291" s="274"/>
      <c r="J291" s="311">
        <f t="shared" ref="J291:J300" si="31">H291*$I$3</f>
        <v>908000</v>
      </c>
      <c r="K291" s="276"/>
      <c r="L291" s="277"/>
      <c r="M291" s="277"/>
      <c r="N291" s="277"/>
      <c r="O291" s="277"/>
      <c r="P291" s="279"/>
      <c r="Q291" s="279"/>
    </row>
    <row r="292" spans="1:17" s="229" customFormat="1" ht="27.75" hidden="1" customHeight="1" outlineLevel="2">
      <c r="A292" s="833" t="s">
        <v>913</v>
      </c>
      <c r="B292" s="257"/>
      <c r="C292" s="258" t="s">
        <v>618</v>
      </c>
      <c r="D292" s="838" t="s">
        <v>635</v>
      </c>
      <c r="E292" s="835" t="s">
        <v>914</v>
      </c>
      <c r="F292" s="254" t="s">
        <v>621</v>
      </c>
      <c r="G292" s="254"/>
      <c r="H292" s="256">
        <v>100</v>
      </c>
      <c r="I292" s="274"/>
      <c r="J292" s="311">
        <f t="shared" si="31"/>
        <v>2270000</v>
      </c>
      <c r="K292" s="276"/>
      <c r="L292" s="277"/>
      <c r="M292" s="277"/>
      <c r="N292" s="277"/>
      <c r="O292" s="277"/>
      <c r="P292" s="279"/>
      <c r="Q292" s="279"/>
    </row>
    <row r="293" spans="1:17" s="229" customFormat="1" ht="27.75" hidden="1" customHeight="1" outlineLevel="2">
      <c r="A293" s="833" t="s">
        <v>913</v>
      </c>
      <c r="B293" s="257"/>
      <c r="C293" s="258" t="s">
        <v>618</v>
      </c>
      <c r="D293" s="838" t="s">
        <v>635</v>
      </c>
      <c r="E293" s="835" t="s">
        <v>915</v>
      </c>
      <c r="F293" s="254" t="s">
        <v>621</v>
      </c>
      <c r="G293" s="254"/>
      <c r="H293" s="256">
        <v>44</v>
      </c>
      <c r="I293" s="274"/>
      <c r="J293" s="311">
        <f t="shared" si="31"/>
        <v>998800</v>
      </c>
      <c r="K293" s="276"/>
      <c r="L293" s="277"/>
      <c r="M293" s="277"/>
      <c r="N293" s="277"/>
      <c r="O293" s="277"/>
      <c r="P293" s="279"/>
      <c r="Q293" s="279"/>
    </row>
    <row r="294" spans="1:17" s="229" customFormat="1" ht="27.75" hidden="1" customHeight="1" outlineLevel="2">
      <c r="A294" s="833" t="s">
        <v>913</v>
      </c>
      <c r="B294" s="257"/>
      <c r="C294" s="258" t="s">
        <v>618</v>
      </c>
      <c r="D294" s="838" t="s">
        <v>630</v>
      </c>
      <c r="E294" s="835" t="s">
        <v>916</v>
      </c>
      <c r="F294" s="254" t="s">
        <v>625</v>
      </c>
      <c r="G294" s="254"/>
      <c r="H294" s="256">
        <v>10</v>
      </c>
      <c r="I294" s="274"/>
      <c r="J294" s="311">
        <f t="shared" si="31"/>
        <v>227000</v>
      </c>
      <c r="K294" s="276"/>
      <c r="L294" s="277"/>
      <c r="M294" s="277"/>
      <c r="N294" s="277"/>
      <c r="O294" s="277"/>
      <c r="P294" s="279"/>
      <c r="Q294" s="279"/>
    </row>
    <row r="295" spans="1:17" s="229" customFormat="1" ht="27.75" hidden="1" customHeight="1" outlineLevel="2">
      <c r="A295" s="833" t="s">
        <v>913</v>
      </c>
      <c r="B295" s="257"/>
      <c r="C295" s="258" t="s">
        <v>618</v>
      </c>
      <c r="D295" s="838" t="s">
        <v>630</v>
      </c>
      <c r="E295" s="835" t="s">
        <v>917</v>
      </c>
      <c r="F295" s="254" t="s">
        <v>625</v>
      </c>
      <c r="G295" s="254"/>
      <c r="H295" s="324">
        <v>15</v>
      </c>
      <c r="I295" s="274"/>
      <c r="J295" s="311">
        <f t="shared" si="31"/>
        <v>340500</v>
      </c>
      <c r="K295" s="276"/>
      <c r="L295" s="277"/>
      <c r="M295" s="277"/>
      <c r="N295" s="277"/>
      <c r="O295" s="277"/>
      <c r="P295" s="279"/>
      <c r="Q295" s="279"/>
    </row>
    <row r="296" spans="1:17" s="229" customFormat="1" ht="27.75" hidden="1" customHeight="1" outlineLevel="2">
      <c r="A296" s="833" t="s">
        <v>913</v>
      </c>
      <c r="B296" s="257"/>
      <c r="C296" s="258" t="s">
        <v>618</v>
      </c>
      <c r="D296" s="838" t="s">
        <v>630</v>
      </c>
      <c r="E296" s="835" t="s">
        <v>761</v>
      </c>
      <c r="F296" s="254" t="s">
        <v>625</v>
      </c>
      <c r="G296" s="254"/>
      <c r="H296" s="324">
        <v>5</v>
      </c>
      <c r="I296" s="274"/>
      <c r="J296" s="311">
        <f t="shared" si="31"/>
        <v>113500</v>
      </c>
      <c r="K296" s="276"/>
      <c r="L296" s="277"/>
      <c r="M296" s="277"/>
      <c r="N296" s="277"/>
      <c r="O296" s="277"/>
      <c r="P296" s="279"/>
      <c r="Q296" s="279"/>
    </row>
    <row r="297" spans="1:17" s="229" customFormat="1" ht="27.75" hidden="1" customHeight="1" outlineLevel="2">
      <c r="A297" s="833" t="s">
        <v>913</v>
      </c>
      <c r="B297" s="257"/>
      <c r="C297" s="258" t="s">
        <v>618</v>
      </c>
      <c r="D297" s="838" t="s">
        <v>630</v>
      </c>
      <c r="E297" s="835" t="s">
        <v>918</v>
      </c>
      <c r="F297" s="254" t="s">
        <v>625</v>
      </c>
      <c r="G297" s="254"/>
      <c r="H297" s="324">
        <v>5</v>
      </c>
      <c r="I297" s="274"/>
      <c r="J297" s="311">
        <f t="shared" si="31"/>
        <v>113500</v>
      </c>
      <c r="K297" s="276"/>
      <c r="L297" s="277"/>
      <c r="M297" s="277"/>
      <c r="N297" s="277"/>
      <c r="O297" s="277"/>
      <c r="P297" s="279"/>
      <c r="Q297" s="279"/>
    </row>
    <row r="298" spans="1:17" s="229" customFormat="1" ht="27.75" hidden="1" customHeight="1" outlineLevel="2">
      <c r="A298" s="833" t="s">
        <v>913</v>
      </c>
      <c r="B298" s="257"/>
      <c r="C298" s="258" t="s">
        <v>618</v>
      </c>
      <c r="D298" s="838" t="s">
        <v>630</v>
      </c>
      <c r="E298" s="835" t="s">
        <v>919</v>
      </c>
      <c r="F298" s="254" t="s">
        <v>890</v>
      </c>
      <c r="G298" s="254"/>
      <c r="H298" s="324">
        <v>20.25</v>
      </c>
      <c r="I298" s="274"/>
      <c r="J298" s="311">
        <f t="shared" si="31"/>
        <v>459675</v>
      </c>
      <c r="K298" s="276"/>
      <c r="L298" s="277"/>
      <c r="M298" s="277"/>
      <c r="N298" s="277"/>
      <c r="O298" s="277"/>
      <c r="P298" s="279"/>
      <c r="Q298" s="279"/>
    </row>
    <row r="299" spans="1:17" s="229" customFormat="1" ht="27.75" hidden="1" customHeight="1" outlineLevel="2">
      <c r="A299" s="845" t="s">
        <v>913</v>
      </c>
      <c r="B299" s="287"/>
      <c r="C299" s="258" t="s">
        <v>618</v>
      </c>
      <c r="D299" s="846" t="s">
        <v>611</v>
      </c>
      <c r="E299" s="837" t="s">
        <v>920</v>
      </c>
      <c r="F299" s="288" t="s">
        <v>625</v>
      </c>
      <c r="G299" s="288"/>
      <c r="H299" s="325">
        <v>6</v>
      </c>
      <c r="I299" s="310"/>
      <c r="J299" s="311">
        <f t="shared" si="31"/>
        <v>136200</v>
      </c>
      <c r="K299" s="276"/>
      <c r="L299" s="277"/>
      <c r="M299" s="277"/>
      <c r="N299" s="277"/>
      <c r="O299" s="277"/>
      <c r="P299" s="279"/>
      <c r="Q299" s="279"/>
    </row>
    <row r="300" spans="1:17" s="229" customFormat="1" ht="27.75" hidden="1" customHeight="1" outlineLevel="2">
      <c r="A300" s="847" t="s">
        <v>921</v>
      </c>
      <c r="B300" s="306"/>
      <c r="C300" s="307" t="s">
        <v>618</v>
      </c>
      <c r="D300" s="848" t="s">
        <v>635</v>
      </c>
      <c r="E300" s="849" t="s">
        <v>922</v>
      </c>
      <c r="F300" s="308" t="s">
        <v>621</v>
      </c>
      <c r="G300" s="308"/>
      <c r="H300" s="309">
        <v>7</v>
      </c>
      <c r="I300" s="318"/>
      <c r="J300" s="311">
        <f t="shared" si="31"/>
        <v>158900</v>
      </c>
      <c r="K300" s="276"/>
      <c r="L300" s="277"/>
      <c r="M300" s="277"/>
      <c r="N300" s="277"/>
      <c r="O300" s="277"/>
      <c r="P300" s="279"/>
      <c r="Q300" s="279"/>
    </row>
    <row r="301" spans="1:17" s="229" customFormat="1" ht="27.75" hidden="1" customHeight="1" outlineLevel="2">
      <c r="A301" s="833" t="s">
        <v>921</v>
      </c>
      <c r="B301" s="257"/>
      <c r="C301" s="258" t="s">
        <v>618</v>
      </c>
      <c r="D301" s="838" t="s">
        <v>635</v>
      </c>
      <c r="E301" s="835" t="s">
        <v>923</v>
      </c>
      <c r="F301" s="254" t="s">
        <v>621</v>
      </c>
      <c r="G301" s="254"/>
      <c r="H301" s="256">
        <v>25.87</v>
      </c>
      <c r="I301" s="274"/>
      <c r="J301" s="311">
        <f t="shared" ref="J301:J307" si="32">H301*$I$3</f>
        <v>587249</v>
      </c>
      <c r="K301" s="276"/>
      <c r="L301" s="277"/>
      <c r="M301" s="277"/>
      <c r="N301" s="277"/>
      <c r="O301" s="277"/>
      <c r="P301" s="279"/>
      <c r="Q301" s="279"/>
    </row>
    <row r="302" spans="1:17" s="229" customFormat="1" ht="27.75" hidden="1" customHeight="1" outlineLevel="2">
      <c r="A302" s="833" t="s">
        <v>921</v>
      </c>
      <c r="B302" s="257"/>
      <c r="C302" s="258" t="s">
        <v>618</v>
      </c>
      <c r="D302" s="838" t="s">
        <v>635</v>
      </c>
      <c r="E302" s="835" t="s">
        <v>924</v>
      </c>
      <c r="F302" s="254" t="s">
        <v>621</v>
      </c>
      <c r="G302" s="254"/>
      <c r="H302" s="256">
        <v>3.5</v>
      </c>
      <c r="I302" s="274"/>
      <c r="J302" s="311">
        <f t="shared" si="32"/>
        <v>79450</v>
      </c>
      <c r="K302" s="276"/>
      <c r="L302" s="277"/>
      <c r="M302" s="277"/>
      <c r="N302" s="277"/>
      <c r="O302" s="277"/>
      <c r="P302" s="279"/>
      <c r="Q302" s="279"/>
    </row>
    <row r="303" spans="1:17" s="229" customFormat="1" ht="27.75" hidden="1" customHeight="1" outlineLevel="2">
      <c r="A303" s="833" t="s">
        <v>921</v>
      </c>
      <c r="B303" s="257"/>
      <c r="C303" s="258" t="s">
        <v>618</v>
      </c>
      <c r="D303" s="838" t="s">
        <v>635</v>
      </c>
      <c r="E303" s="835" t="s">
        <v>713</v>
      </c>
      <c r="F303" s="254" t="s">
        <v>621</v>
      </c>
      <c r="G303" s="254"/>
      <c r="H303" s="256">
        <v>7</v>
      </c>
      <c r="I303" s="274"/>
      <c r="J303" s="311">
        <f t="shared" si="32"/>
        <v>158900</v>
      </c>
      <c r="K303" s="276"/>
      <c r="L303" s="277"/>
      <c r="M303" s="277"/>
      <c r="N303" s="277"/>
      <c r="O303" s="277"/>
      <c r="P303" s="279"/>
      <c r="Q303" s="279"/>
    </row>
    <row r="304" spans="1:17" s="229" customFormat="1" ht="27.75" hidden="1" customHeight="1" outlineLevel="2">
      <c r="A304" s="833" t="s">
        <v>921</v>
      </c>
      <c r="B304" s="257"/>
      <c r="C304" s="258" t="s">
        <v>618</v>
      </c>
      <c r="D304" s="838" t="s">
        <v>635</v>
      </c>
      <c r="E304" s="835" t="s">
        <v>925</v>
      </c>
      <c r="F304" s="254" t="s">
        <v>621</v>
      </c>
      <c r="G304" s="254"/>
      <c r="H304" s="256">
        <v>37.5</v>
      </c>
      <c r="I304" s="274"/>
      <c r="J304" s="311">
        <f t="shared" si="32"/>
        <v>851250</v>
      </c>
      <c r="K304" s="276"/>
      <c r="L304" s="277"/>
      <c r="M304" s="277"/>
      <c r="N304" s="277"/>
      <c r="O304" s="277"/>
      <c r="P304" s="279"/>
      <c r="Q304" s="279"/>
    </row>
    <row r="305" spans="1:17" s="229" customFormat="1" ht="27.75" hidden="1" customHeight="1" outlineLevel="2">
      <c r="A305" s="833" t="s">
        <v>921</v>
      </c>
      <c r="B305" s="257"/>
      <c r="C305" s="258" t="s">
        <v>618</v>
      </c>
      <c r="D305" s="838" t="s">
        <v>630</v>
      </c>
      <c r="E305" s="835" t="s">
        <v>926</v>
      </c>
      <c r="F305" s="254" t="s">
        <v>625</v>
      </c>
      <c r="G305" s="254"/>
      <c r="H305" s="256">
        <v>10</v>
      </c>
      <c r="I305" s="274"/>
      <c r="J305" s="311">
        <f t="shared" si="32"/>
        <v>227000</v>
      </c>
      <c r="K305" s="276"/>
      <c r="L305" s="277"/>
      <c r="M305" s="277"/>
      <c r="N305" s="277"/>
      <c r="O305" s="277"/>
      <c r="P305" s="279"/>
      <c r="Q305" s="279"/>
    </row>
    <row r="306" spans="1:17" s="229" customFormat="1" ht="27.75" hidden="1" customHeight="1" outlineLevel="2">
      <c r="A306" s="833" t="s">
        <v>921</v>
      </c>
      <c r="B306" s="257"/>
      <c r="C306" s="258" t="s">
        <v>618</v>
      </c>
      <c r="D306" s="838" t="s">
        <v>611</v>
      </c>
      <c r="E306" s="835" t="s">
        <v>861</v>
      </c>
      <c r="F306" s="254" t="s">
        <v>641</v>
      </c>
      <c r="G306" s="254"/>
      <c r="H306" s="256">
        <v>5</v>
      </c>
      <c r="I306" s="274"/>
      <c r="J306" s="311">
        <f t="shared" si="32"/>
        <v>113500</v>
      </c>
      <c r="K306" s="276"/>
      <c r="L306" s="277"/>
      <c r="M306" s="277"/>
      <c r="N306" s="277"/>
      <c r="O306" s="277"/>
      <c r="P306" s="279"/>
      <c r="Q306" s="279"/>
    </row>
    <row r="307" spans="1:17" s="229" customFormat="1" ht="27.75" hidden="1" customHeight="1" outlineLevel="2">
      <c r="A307" s="833" t="s">
        <v>921</v>
      </c>
      <c r="B307" s="257"/>
      <c r="C307" s="258" t="s">
        <v>618</v>
      </c>
      <c r="D307" s="838" t="s">
        <v>714</v>
      </c>
      <c r="E307" s="835" t="s">
        <v>637</v>
      </c>
      <c r="F307" s="254" t="s">
        <v>625</v>
      </c>
      <c r="G307" s="254"/>
      <c r="H307" s="256">
        <v>1</v>
      </c>
      <c r="I307" s="274"/>
      <c r="J307" s="311">
        <f t="shared" si="32"/>
        <v>22700</v>
      </c>
      <c r="K307" s="276"/>
      <c r="L307" s="277"/>
      <c r="M307" s="277"/>
      <c r="N307" s="277"/>
      <c r="O307" s="277"/>
      <c r="P307" s="279"/>
      <c r="Q307" s="279"/>
    </row>
    <row r="308" spans="1:17" s="229" customFormat="1" ht="27.75" hidden="1" customHeight="1" outlineLevel="2">
      <c r="A308" s="845" t="s">
        <v>921</v>
      </c>
      <c r="B308" s="287"/>
      <c r="C308" s="258" t="s">
        <v>618</v>
      </c>
      <c r="D308" s="846" t="s">
        <v>714</v>
      </c>
      <c r="E308" s="837" t="s">
        <v>758</v>
      </c>
      <c r="F308" s="288" t="s">
        <v>625</v>
      </c>
      <c r="G308" s="288"/>
      <c r="H308" s="289">
        <v>5</v>
      </c>
      <c r="I308" s="310"/>
      <c r="J308" s="311">
        <f t="shared" ref="J308:J314" si="33">H308*$I$3</f>
        <v>113500</v>
      </c>
      <c r="K308" s="276"/>
      <c r="L308" s="277"/>
      <c r="M308" s="277"/>
      <c r="N308" s="277"/>
      <c r="O308" s="277"/>
      <c r="P308" s="279"/>
      <c r="Q308" s="279"/>
    </row>
    <row r="309" spans="1:17" s="229" customFormat="1" ht="27.75" hidden="1" customHeight="1" outlineLevel="2">
      <c r="A309" s="847" t="s">
        <v>927</v>
      </c>
      <c r="B309" s="306"/>
      <c r="C309" s="307" t="s">
        <v>618</v>
      </c>
      <c r="D309" s="848" t="s">
        <v>635</v>
      </c>
      <c r="E309" s="849" t="s">
        <v>928</v>
      </c>
      <c r="F309" s="308" t="s">
        <v>641</v>
      </c>
      <c r="G309" s="308"/>
      <c r="H309" s="309">
        <v>15</v>
      </c>
      <c r="I309" s="318"/>
      <c r="J309" s="319">
        <f t="shared" si="33"/>
        <v>340500</v>
      </c>
      <c r="K309" s="276"/>
      <c r="L309" s="277"/>
      <c r="M309" s="277"/>
      <c r="N309" s="277"/>
      <c r="O309" s="277"/>
      <c r="P309" s="279"/>
      <c r="Q309" s="279"/>
    </row>
    <row r="310" spans="1:17" s="229" customFormat="1" ht="27.75" hidden="1" customHeight="1" outlineLevel="2">
      <c r="A310" s="850" t="s">
        <v>927</v>
      </c>
      <c r="B310" s="231"/>
      <c r="C310" s="321" t="s">
        <v>618</v>
      </c>
      <c r="D310" s="851" t="s">
        <v>611</v>
      </c>
      <c r="E310" s="852" t="s">
        <v>436</v>
      </c>
      <c r="F310" s="322" t="s">
        <v>641</v>
      </c>
      <c r="G310" s="322"/>
      <c r="H310" s="323">
        <v>5.9</v>
      </c>
      <c r="I310" s="329"/>
      <c r="J310" s="330">
        <f t="shared" si="33"/>
        <v>133930</v>
      </c>
      <c r="K310" s="276"/>
      <c r="L310" s="277"/>
      <c r="M310" s="277"/>
      <c r="N310" s="277"/>
      <c r="O310" s="277"/>
      <c r="P310" s="279"/>
      <c r="Q310" s="279"/>
    </row>
    <row r="311" spans="1:17" s="229" customFormat="1" ht="27.75" hidden="1" customHeight="1" outlineLevel="2">
      <c r="A311" s="833" t="s">
        <v>929</v>
      </c>
      <c r="B311" s="257"/>
      <c r="C311" s="326" t="s">
        <v>618</v>
      </c>
      <c r="D311" s="838" t="s">
        <v>635</v>
      </c>
      <c r="E311" s="853" t="s">
        <v>930</v>
      </c>
      <c r="F311" s="327" t="s">
        <v>621</v>
      </c>
      <c r="G311" s="327"/>
      <c r="H311" s="328">
        <v>27</v>
      </c>
      <c r="I311" s="331"/>
      <c r="J311" s="332">
        <f t="shared" si="33"/>
        <v>612900</v>
      </c>
      <c r="K311" s="276"/>
      <c r="L311" s="277"/>
      <c r="M311" s="277"/>
      <c r="N311" s="277"/>
      <c r="O311" s="277"/>
      <c r="P311" s="279"/>
      <c r="Q311" s="279"/>
    </row>
    <row r="312" spans="1:17" s="229" customFormat="1" ht="27.75" hidden="1" customHeight="1" outlineLevel="2">
      <c r="A312" s="833" t="s">
        <v>929</v>
      </c>
      <c r="B312" s="257"/>
      <c r="C312" s="258" t="s">
        <v>618</v>
      </c>
      <c r="D312" s="838" t="s">
        <v>630</v>
      </c>
      <c r="E312" s="835" t="s">
        <v>917</v>
      </c>
      <c r="F312" s="254" t="s">
        <v>743</v>
      </c>
      <c r="G312" s="254"/>
      <c r="H312" s="256">
        <v>20</v>
      </c>
      <c r="I312" s="274"/>
      <c r="J312" s="311">
        <f t="shared" si="33"/>
        <v>454000</v>
      </c>
      <c r="K312" s="276"/>
      <c r="L312" s="277"/>
      <c r="M312" s="277"/>
      <c r="N312" s="277"/>
      <c r="O312" s="277"/>
      <c r="P312" s="279"/>
      <c r="Q312" s="279"/>
    </row>
    <row r="313" spans="1:17" s="229" customFormat="1" ht="27.75" hidden="1" customHeight="1" outlineLevel="2">
      <c r="A313" s="833" t="s">
        <v>929</v>
      </c>
      <c r="B313" s="257"/>
      <c r="C313" s="258" t="s">
        <v>618</v>
      </c>
      <c r="D313" s="838" t="s">
        <v>611</v>
      </c>
      <c r="E313" s="835" t="s">
        <v>897</v>
      </c>
      <c r="F313" s="254" t="s">
        <v>743</v>
      </c>
      <c r="G313" s="254"/>
      <c r="H313" s="256">
        <v>4</v>
      </c>
      <c r="I313" s="274"/>
      <c r="J313" s="311">
        <f t="shared" si="33"/>
        <v>90800</v>
      </c>
      <c r="K313" s="276"/>
      <c r="L313" s="277"/>
      <c r="M313" s="277"/>
      <c r="N313" s="277"/>
      <c r="O313" s="277"/>
      <c r="P313" s="279"/>
      <c r="Q313" s="279"/>
    </row>
    <row r="314" spans="1:17" s="229" customFormat="1" ht="27.75" hidden="1" customHeight="1" outlineLevel="2">
      <c r="A314" s="833" t="s">
        <v>931</v>
      </c>
      <c r="B314" s="257"/>
      <c r="C314" s="258" t="s">
        <v>618</v>
      </c>
      <c r="D314" s="838" t="s">
        <v>630</v>
      </c>
      <c r="E314" s="835" t="s">
        <v>932</v>
      </c>
      <c r="F314" s="254" t="s">
        <v>625</v>
      </c>
      <c r="G314" s="254"/>
      <c r="H314" s="256">
        <v>4.5</v>
      </c>
      <c r="I314" s="274"/>
      <c r="J314" s="311">
        <f t="shared" si="33"/>
        <v>102150</v>
      </c>
      <c r="K314" s="276"/>
      <c r="L314" s="277"/>
      <c r="M314" s="277"/>
      <c r="N314" s="277"/>
      <c r="O314" s="277"/>
      <c r="P314" s="279"/>
      <c r="Q314" s="279"/>
    </row>
    <row r="315" spans="1:17" s="229" customFormat="1" ht="27.75" hidden="1" customHeight="1" outlineLevel="2">
      <c r="A315" s="833" t="s">
        <v>933</v>
      </c>
      <c r="B315" s="257"/>
      <c r="C315" s="258" t="s">
        <v>618</v>
      </c>
      <c r="D315" s="838" t="s">
        <v>630</v>
      </c>
      <c r="E315" s="835" t="s">
        <v>934</v>
      </c>
      <c r="F315" s="254" t="s">
        <v>625</v>
      </c>
      <c r="G315" s="254"/>
      <c r="H315" s="256">
        <v>18</v>
      </c>
      <c r="I315" s="274"/>
      <c r="J315" s="311">
        <f t="shared" ref="J315:J325" si="34">H315*$I$3</f>
        <v>408600</v>
      </c>
      <c r="K315" s="276"/>
      <c r="L315" s="277"/>
      <c r="M315" s="277"/>
      <c r="N315" s="277"/>
      <c r="O315" s="277"/>
      <c r="P315" s="279"/>
      <c r="Q315" s="279"/>
    </row>
    <row r="316" spans="1:17" s="229" customFormat="1" ht="27.75" hidden="1" customHeight="1" outlineLevel="2">
      <c r="A316" s="833" t="s">
        <v>935</v>
      </c>
      <c r="B316" s="257"/>
      <c r="C316" s="258" t="s">
        <v>618</v>
      </c>
      <c r="D316" s="838" t="s">
        <v>635</v>
      </c>
      <c r="E316" s="835" t="s">
        <v>936</v>
      </c>
      <c r="F316" s="254" t="s">
        <v>621</v>
      </c>
      <c r="G316" s="254"/>
      <c r="H316" s="256">
        <v>27</v>
      </c>
      <c r="I316" s="274"/>
      <c r="J316" s="311">
        <f t="shared" si="34"/>
        <v>612900</v>
      </c>
      <c r="K316" s="276"/>
      <c r="L316" s="277"/>
      <c r="M316" s="277"/>
      <c r="N316" s="277"/>
      <c r="O316" s="277"/>
      <c r="P316" s="279"/>
      <c r="Q316" s="279"/>
    </row>
    <row r="317" spans="1:17" s="229" customFormat="1" ht="27.75" hidden="1" customHeight="1" outlineLevel="2">
      <c r="A317" s="833" t="s">
        <v>935</v>
      </c>
      <c r="B317" s="257"/>
      <c r="C317" s="258" t="s">
        <v>618</v>
      </c>
      <c r="D317" s="838" t="s">
        <v>635</v>
      </c>
      <c r="E317" s="835" t="s">
        <v>937</v>
      </c>
      <c r="F317" s="254" t="s">
        <v>621</v>
      </c>
      <c r="G317" s="254"/>
      <c r="H317" s="256">
        <v>20</v>
      </c>
      <c r="I317" s="274"/>
      <c r="J317" s="311">
        <f t="shared" si="34"/>
        <v>454000</v>
      </c>
      <c r="K317" s="276"/>
      <c r="L317" s="277"/>
      <c r="M317" s="277"/>
      <c r="N317" s="277"/>
      <c r="O317" s="277"/>
      <c r="P317" s="279"/>
      <c r="Q317" s="279"/>
    </row>
    <row r="318" spans="1:17" s="229" customFormat="1" ht="27.75" hidden="1" customHeight="1" outlineLevel="2">
      <c r="A318" s="833" t="s">
        <v>935</v>
      </c>
      <c r="B318" s="257"/>
      <c r="C318" s="258" t="s">
        <v>618</v>
      </c>
      <c r="D318" s="838" t="s">
        <v>635</v>
      </c>
      <c r="E318" s="835" t="s">
        <v>938</v>
      </c>
      <c r="F318" s="254" t="s">
        <v>621</v>
      </c>
      <c r="G318" s="254"/>
      <c r="H318" s="256">
        <v>8</v>
      </c>
      <c r="I318" s="274"/>
      <c r="J318" s="311">
        <f t="shared" si="34"/>
        <v>181600</v>
      </c>
      <c r="K318" s="276"/>
      <c r="L318" s="277"/>
      <c r="M318" s="277"/>
      <c r="N318" s="277"/>
      <c r="O318" s="277"/>
      <c r="P318" s="279"/>
      <c r="Q318" s="279"/>
    </row>
    <row r="319" spans="1:17" s="229" customFormat="1" ht="27.75" hidden="1" customHeight="1" outlineLevel="2">
      <c r="A319" s="833" t="s">
        <v>935</v>
      </c>
      <c r="B319" s="257"/>
      <c r="C319" s="258" t="s">
        <v>618</v>
      </c>
      <c r="D319" s="838" t="s">
        <v>635</v>
      </c>
      <c r="E319" s="835" t="s">
        <v>866</v>
      </c>
      <c r="F319" s="254" t="s">
        <v>621</v>
      </c>
      <c r="G319" s="254"/>
      <c r="H319" s="256">
        <v>6</v>
      </c>
      <c r="I319" s="274"/>
      <c r="J319" s="311">
        <f t="shared" si="34"/>
        <v>136200</v>
      </c>
      <c r="K319" s="276"/>
      <c r="L319" s="277"/>
      <c r="M319" s="277"/>
      <c r="N319" s="277"/>
      <c r="O319" s="277"/>
      <c r="P319" s="279"/>
      <c r="Q319" s="279"/>
    </row>
    <row r="320" spans="1:17" s="229" customFormat="1" ht="27.75" hidden="1" customHeight="1" outlineLevel="2">
      <c r="A320" s="833" t="s">
        <v>935</v>
      </c>
      <c r="B320" s="257"/>
      <c r="C320" s="258" t="s">
        <v>618</v>
      </c>
      <c r="D320" s="838" t="s">
        <v>635</v>
      </c>
      <c r="E320" s="835" t="s">
        <v>907</v>
      </c>
      <c r="F320" s="254" t="s">
        <v>621</v>
      </c>
      <c r="G320" s="254"/>
      <c r="H320" s="256">
        <v>9</v>
      </c>
      <c r="I320" s="274"/>
      <c r="J320" s="311">
        <f t="shared" si="34"/>
        <v>204300</v>
      </c>
      <c r="K320" s="276"/>
      <c r="L320" s="277"/>
      <c r="M320" s="277"/>
      <c r="N320" s="277"/>
      <c r="O320" s="277"/>
      <c r="P320" s="279"/>
      <c r="Q320" s="279"/>
    </row>
    <row r="321" spans="1:17" s="229" customFormat="1" ht="27.75" hidden="1" customHeight="1" outlineLevel="2">
      <c r="A321" s="833" t="s">
        <v>935</v>
      </c>
      <c r="B321" s="257"/>
      <c r="C321" s="258" t="s">
        <v>618</v>
      </c>
      <c r="D321" s="838" t="s">
        <v>611</v>
      </c>
      <c r="E321" s="835" t="s">
        <v>897</v>
      </c>
      <c r="F321" s="254" t="s">
        <v>625</v>
      </c>
      <c r="G321" s="254"/>
      <c r="H321" s="256">
        <v>10</v>
      </c>
      <c r="I321" s="274"/>
      <c r="J321" s="311">
        <f t="shared" si="34"/>
        <v>227000</v>
      </c>
      <c r="K321" s="276"/>
      <c r="L321" s="277"/>
      <c r="M321" s="277"/>
      <c r="N321" s="277"/>
      <c r="O321" s="277"/>
      <c r="P321" s="279"/>
      <c r="Q321" s="279"/>
    </row>
    <row r="322" spans="1:17" s="229" customFormat="1" ht="27.75" hidden="1" customHeight="1" outlineLevel="2">
      <c r="A322" s="833" t="s">
        <v>935</v>
      </c>
      <c r="B322" s="257"/>
      <c r="C322" s="258" t="s">
        <v>618</v>
      </c>
      <c r="D322" s="838" t="s">
        <v>611</v>
      </c>
      <c r="E322" s="835" t="s">
        <v>939</v>
      </c>
      <c r="F322" s="254" t="s">
        <v>830</v>
      </c>
      <c r="G322" s="254"/>
      <c r="H322" s="256">
        <v>5</v>
      </c>
      <c r="I322" s="274"/>
      <c r="J322" s="311">
        <f t="shared" si="34"/>
        <v>113500</v>
      </c>
      <c r="K322" s="276"/>
      <c r="L322" s="277"/>
      <c r="M322" s="277"/>
      <c r="N322" s="277"/>
      <c r="O322" s="277"/>
      <c r="P322" s="279"/>
      <c r="Q322" s="279"/>
    </row>
    <row r="323" spans="1:17" s="229" customFormat="1" ht="27.75" hidden="1" customHeight="1" outlineLevel="2">
      <c r="A323" s="833" t="s">
        <v>935</v>
      </c>
      <c r="B323" s="257"/>
      <c r="C323" s="258" t="s">
        <v>618</v>
      </c>
      <c r="D323" s="838" t="s">
        <v>694</v>
      </c>
      <c r="E323" s="835" t="s">
        <v>940</v>
      </c>
      <c r="F323" s="254" t="s">
        <v>625</v>
      </c>
      <c r="G323" s="254"/>
      <c r="H323" s="256">
        <v>25</v>
      </c>
      <c r="I323" s="274"/>
      <c r="J323" s="311">
        <f t="shared" si="34"/>
        <v>567500</v>
      </c>
      <c r="K323" s="276"/>
      <c r="L323" s="277"/>
      <c r="M323" s="277"/>
      <c r="N323" s="277"/>
      <c r="O323" s="277"/>
      <c r="P323" s="279"/>
      <c r="Q323" s="279"/>
    </row>
    <row r="324" spans="1:17" s="229" customFormat="1" ht="27.75" hidden="1" customHeight="1" outlineLevel="2">
      <c r="A324" s="845" t="s">
        <v>935</v>
      </c>
      <c r="B324" s="287"/>
      <c r="C324" s="258" t="s">
        <v>618</v>
      </c>
      <c r="D324" s="846" t="s">
        <v>694</v>
      </c>
      <c r="E324" s="837" t="s">
        <v>941</v>
      </c>
      <c r="F324" s="288" t="s">
        <v>625</v>
      </c>
      <c r="G324" s="288"/>
      <c r="H324" s="289">
        <v>50</v>
      </c>
      <c r="I324" s="310"/>
      <c r="J324" s="311">
        <f t="shared" si="34"/>
        <v>1135000</v>
      </c>
      <c r="K324" s="276"/>
      <c r="L324" s="277"/>
      <c r="M324" s="277"/>
      <c r="N324" s="277"/>
      <c r="O324" s="277"/>
      <c r="P324" s="279"/>
      <c r="Q324" s="279"/>
    </row>
    <row r="325" spans="1:17" s="230" customFormat="1" ht="27.75" hidden="1" customHeight="1" outlineLevel="2">
      <c r="A325" s="854" t="s">
        <v>942</v>
      </c>
      <c r="B325" s="333"/>
      <c r="C325" s="334" t="s">
        <v>618</v>
      </c>
      <c r="D325" s="855" t="s">
        <v>635</v>
      </c>
      <c r="E325" s="856" t="s">
        <v>735</v>
      </c>
      <c r="F325" s="335"/>
      <c r="G325" s="335">
        <v>8000</v>
      </c>
      <c r="H325" s="336"/>
      <c r="I325" s="349">
        <f>G325*$I$3</f>
        <v>181600000</v>
      </c>
      <c r="J325" s="350">
        <f t="shared" si="34"/>
        <v>0</v>
      </c>
      <c r="K325" s="351"/>
      <c r="L325" s="352"/>
      <c r="M325" s="352"/>
      <c r="N325" s="352"/>
      <c r="O325" s="352"/>
      <c r="P325" s="363"/>
      <c r="Q325" s="363"/>
    </row>
    <row r="326" spans="1:17" s="229" customFormat="1" ht="27.75" hidden="1" customHeight="1" outlineLevel="2">
      <c r="A326" s="857" t="s">
        <v>942</v>
      </c>
      <c r="B326" s="337"/>
      <c r="C326" s="338" t="s">
        <v>618</v>
      </c>
      <c r="D326" s="858" t="s">
        <v>635</v>
      </c>
      <c r="E326" s="859" t="s">
        <v>770</v>
      </c>
      <c r="F326" s="339" t="s">
        <v>638</v>
      </c>
      <c r="G326" s="339"/>
      <c r="H326" s="340">
        <v>40</v>
      </c>
      <c r="I326" s="353">
        <f t="shared" ref="I326:I357" si="35">G326*$I$3</f>
        <v>0</v>
      </c>
      <c r="J326" s="354">
        <f t="shared" ref="J326:J357" si="36">H326*$I$3</f>
        <v>908000</v>
      </c>
      <c r="K326" s="276"/>
      <c r="L326" s="277"/>
      <c r="M326" s="277"/>
      <c r="N326" s="277"/>
      <c r="O326" s="277"/>
      <c r="P326" s="279"/>
      <c r="Q326" s="279"/>
    </row>
    <row r="327" spans="1:17" s="229" customFormat="1" ht="27.75" hidden="1" customHeight="1" outlineLevel="2">
      <c r="A327" s="857" t="s">
        <v>942</v>
      </c>
      <c r="B327" s="337"/>
      <c r="C327" s="338" t="s">
        <v>618</v>
      </c>
      <c r="D327" s="858" t="s">
        <v>635</v>
      </c>
      <c r="E327" s="859" t="s">
        <v>943</v>
      </c>
      <c r="F327" s="339" t="s">
        <v>621</v>
      </c>
      <c r="G327" s="339"/>
      <c r="H327" s="340">
        <v>13.48</v>
      </c>
      <c r="I327" s="353">
        <f t="shared" si="35"/>
        <v>0</v>
      </c>
      <c r="J327" s="354">
        <f t="shared" si="36"/>
        <v>305996</v>
      </c>
      <c r="K327" s="276"/>
      <c r="L327" s="277"/>
      <c r="M327" s="277"/>
      <c r="N327" s="277"/>
      <c r="O327" s="277"/>
      <c r="P327" s="279"/>
      <c r="Q327" s="279"/>
    </row>
    <row r="328" spans="1:17" s="229" customFormat="1" ht="27.75" hidden="1" customHeight="1" outlineLevel="2">
      <c r="A328" s="857" t="s">
        <v>942</v>
      </c>
      <c r="B328" s="337"/>
      <c r="C328" s="338" t="s">
        <v>618</v>
      </c>
      <c r="D328" s="858" t="s">
        <v>635</v>
      </c>
      <c r="E328" s="859" t="s">
        <v>944</v>
      </c>
      <c r="F328" s="339" t="s">
        <v>621</v>
      </c>
      <c r="G328" s="339"/>
      <c r="H328" s="340">
        <v>98.5</v>
      </c>
      <c r="I328" s="353">
        <f t="shared" si="35"/>
        <v>0</v>
      </c>
      <c r="J328" s="354">
        <f t="shared" si="36"/>
        <v>2235950</v>
      </c>
      <c r="K328" s="276"/>
      <c r="L328" s="277"/>
      <c r="M328" s="277"/>
      <c r="N328" s="277"/>
      <c r="O328" s="277"/>
      <c r="P328" s="279"/>
      <c r="Q328" s="279"/>
    </row>
    <row r="329" spans="1:17" s="229" customFormat="1" ht="27.75" hidden="1" customHeight="1" outlineLevel="2">
      <c r="A329" s="857" t="s">
        <v>942</v>
      </c>
      <c r="B329" s="337"/>
      <c r="C329" s="338" t="s">
        <v>618</v>
      </c>
      <c r="D329" s="858" t="s">
        <v>635</v>
      </c>
      <c r="E329" s="859" t="s">
        <v>945</v>
      </c>
      <c r="F329" s="339" t="s">
        <v>621</v>
      </c>
      <c r="G329" s="339"/>
      <c r="H329" s="340">
        <v>14</v>
      </c>
      <c r="I329" s="353">
        <f t="shared" si="35"/>
        <v>0</v>
      </c>
      <c r="J329" s="354">
        <f t="shared" si="36"/>
        <v>317800</v>
      </c>
      <c r="K329" s="276"/>
      <c r="L329" s="277"/>
      <c r="M329" s="277"/>
      <c r="N329" s="277"/>
      <c r="O329" s="277"/>
      <c r="P329" s="279"/>
      <c r="Q329" s="279"/>
    </row>
    <row r="330" spans="1:17" s="229" customFormat="1" ht="27.75" hidden="1" customHeight="1" outlineLevel="2">
      <c r="A330" s="857" t="s">
        <v>942</v>
      </c>
      <c r="B330" s="337"/>
      <c r="C330" s="338" t="s">
        <v>618</v>
      </c>
      <c r="D330" s="858" t="s">
        <v>635</v>
      </c>
      <c r="E330" s="859" t="s">
        <v>946</v>
      </c>
      <c r="F330" s="339" t="s">
        <v>621</v>
      </c>
      <c r="G330" s="339"/>
      <c r="H330" s="340">
        <v>42</v>
      </c>
      <c r="I330" s="353">
        <f t="shared" si="35"/>
        <v>0</v>
      </c>
      <c r="J330" s="354">
        <f t="shared" si="36"/>
        <v>953400</v>
      </c>
      <c r="K330" s="276"/>
      <c r="L330" s="277"/>
      <c r="M330" s="277"/>
      <c r="N330" s="277"/>
      <c r="O330" s="277"/>
      <c r="P330" s="279"/>
      <c r="Q330" s="279"/>
    </row>
    <row r="331" spans="1:17" s="229" customFormat="1" ht="27.75" hidden="1" customHeight="1" outlineLevel="2">
      <c r="A331" s="857" t="s">
        <v>942</v>
      </c>
      <c r="B331" s="337"/>
      <c r="C331" s="338" t="s">
        <v>618</v>
      </c>
      <c r="D331" s="858" t="s">
        <v>635</v>
      </c>
      <c r="E331" s="859" t="s">
        <v>947</v>
      </c>
      <c r="F331" s="339" t="s">
        <v>621</v>
      </c>
      <c r="G331" s="339"/>
      <c r="H331" s="340">
        <v>42</v>
      </c>
      <c r="I331" s="353">
        <f t="shared" si="35"/>
        <v>0</v>
      </c>
      <c r="J331" s="354">
        <f t="shared" si="36"/>
        <v>953400</v>
      </c>
      <c r="K331" s="276"/>
      <c r="L331" s="277"/>
      <c r="M331" s="277"/>
      <c r="N331" s="277"/>
      <c r="O331" s="277"/>
      <c r="P331" s="279"/>
      <c r="Q331" s="279"/>
    </row>
    <row r="332" spans="1:17" s="229" customFormat="1" ht="27.75" hidden="1" customHeight="1" outlineLevel="2">
      <c r="A332" s="857" t="s">
        <v>942</v>
      </c>
      <c r="B332" s="337"/>
      <c r="C332" s="338" t="s">
        <v>618</v>
      </c>
      <c r="D332" s="858" t="s">
        <v>635</v>
      </c>
      <c r="E332" s="859" t="s">
        <v>948</v>
      </c>
      <c r="F332" s="339" t="s">
        <v>621</v>
      </c>
      <c r="G332" s="339"/>
      <c r="H332" s="340">
        <v>13.5</v>
      </c>
      <c r="I332" s="353">
        <f t="shared" si="35"/>
        <v>0</v>
      </c>
      <c r="J332" s="354">
        <f t="shared" si="36"/>
        <v>306450</v>
      </c>
      <c r="K332" s="276"/>
      <c r="L332" s="277"/>
      <c r="M332" s="277"/>
      <c r="N332" s="277"/>
      <c r="O332" s="277"/>
      <c r="P332" s="279"/>
      <c r="Q332" s="279"/>
    </row>
    <row r="333" spans="1:17" s="229" customFormat="1" ht="27.75" hidden="1" customHeight="1" outlineLevel="2">
      <c r="A333" s="857" t="s">
        <v>942</v>
      </c>
      <c r="B333" s="337"/>
      <c r="C333" s="338" t="s">
        <v>618</v>
      </c>
      <c r="D333" s="858" t="s">
        <v>635</v>
      </c>
      <c r="E333" s="859" t="s">
        <v>949</v>
      </c>
      <c r="F333" s="339" t="s">
        <v>780</v>
      </c>
      <c r="G333" s="339"/>
      <c r="H333" s="340">
        <v>5404.83</v>
      </c>
      <c r="I333" s="353">
        <f t="shared" si="35"/>
        <v>0</v>
      </c>
      <c r="J333" s="354">
        <f t="shared" si="36"/>
        <v>122689641</v>
      </c>
      <c r="K333" s="276"/>
      <c r="L333" s="277"/>
      <c r="M333" s="277"/>
      <c r="N333" s="277"/>
      <c r="O333" s="277"/>
      <c r="P333" s="279"/>
      <c r="Q333" s="279"/>
    </row>
    <row r="334" spans="1:17" s="229" customFormat="1" ht="27.75" hidden="1" customHeight="1" outlineLevel="2">
      <c r="A334" s="857" t="s">
        <v>942</v>
      </c>
      <c r="B334" s="337"/>
      <c r="C334" s="338" t="s">
        <v>618</v>
      </c>
      <c r="D334" s="858" t="s">
        <v>635</v>
      </c>
      <c r="E334" s="859" t="s">
        <v>950</v>
      </c>
      <c r="F334" s="339" t="s">
        <v>782</v>
      </c>
      <c r="G334" s="339"/>
      <c r="H334" s="340">
        <v>115</v>
      </c>
      <c r="I334" s="353">
        <f t="shared" si="35"/>
        <v>0</v>
      </c>
      <c r="J334" s="354">
        <f t="shared" si="36"/>
        <v>2610500</v>
      </c>
      <c r="K334" s="276"/>
      <c r="L334" s="277"/>
      <c r="M334" s="277"/>
      <c r="N334" s="277"/>
      <c r="O334" s="277"/>
      <c r="P334" s="279"/>
      <c r="Q334" s="279"/>
    </row>
    <row r="335" spans="1:17" s="229" customFormat="1" ht="27.75" hidden="1" customHeight="1" outlineLevel="2">
      <c r="A335" s="857" t="s">
        <v>942</v>
      </c>
      <c r="B335" s="337"/>
      <c r="C335" s="338" t="s">
        <v>618</v>
      </c>
      <c r="D335" s="858" t="s">
        <v>635</v>
      </c>
      <c r="E335" s="859" t="s">
        <v>951</v>
      </c>
      <c r="F335" s="339" t="s">
        <v>952</v>
      </c>
      <c r="G335" s="339"/>
      <c r="H335" s="340">
        <v>220</v>
      </c>
      <c r="I335" s="353">
        <f t="shared" si="35"/>
        <v>0</v>
      </c>
      <c r="J335" s="354">
        <f t="shared" si="36"/>
        <v>4994000</v>
      </c>
      <c r="K335" s="276"/>
      <c r="L335" s="277"/>
      <c r="M335" s="277"/>
      <c r="N335" s="277"/>
      <c r="O335" s="277"/>
      <c r="P335" s="279"/>
      <c r="Q335" s="279"/>
    </row>
    <row r="336" spans="1:17" s="229" customFormat="1" ht="27.75" hidden="1" customHeight="1" outlineLevel="2">
      <c r="A336" s="857" t="s">
        <v>942</v>
      </c>
      <c r="B336" s="337"/>
      <c r="C336" s="338" t="s">
        <v>618</v>
      </c>
      <c r="D336" s="858" t="s">
        <v>635</v>
      </c>
      <c r="E336" s="859" t="s">
        <v>953</v>
      </c>
      <c r="F336" s="339" t="s">
        <v>954</v>
      </c>
      <c r="G336" s="339"/>
      <c r="H336" s="340">
        <v>28</v>
      </c>
      <c r="I336" s="353">
        <f t="shared" si="35"/>
        <v>0</v>
      </c>
      <c r="J336" s="354">
        <f t="shared" si="36"/>
        <v>635600</v>
      </c>
      <c r="K336" s="276"/>
      <c r="L336" s="277"/>
      <c r="M336" s="277"/>
      <c r="N336" s="277"/>
      <c r="O336" s="277"/>
      <c r="P336" s="279"/>
      <c r="Q336" s="279"/>
    </row>
    <row r="337" spans="1:17" s="229" customFormat="1" ht="27.75" hidden="1" customHeight="1" outlineLevel="2">
      <c r="A337" s="857" t="s">
        <v>942</v>
      </c>
      <c r="B337" s="337"/>
      <c r="C337" s="338" t="s">
        <v>618</v>
      </c>
      <c r="D337" s="858" t="s">
        <v>635</v>
      </c>
      <c r="E337" s="859" t="s">
        <v>955</v>
      </c>
      <c r="F337" s="339" t="s">
        <v>954</v>
      </c>
      <c r="G337" s="339"/>
      <c r="H337" s="340">
        <v>112</v>
      </c>
      <c r="I337" s="353">
        <f t="shared" si="35"/>
        <v>0</v>
      </c>
      <c r="J337" s="354">
        <f t="shared" si="36"/>
        <v>2542400</v>
      </c>
      <c r="K337" s="276"/>
      <c r="L337" s="277"/>
      <c r="M337" s="277"/>
      <c r="N337" s="277"/>
      <c r="O337" s="277"/>
      <c r="P337" s="279"/>
      <c r="Q337" s="279"/>
    </row>
    <row r="338" spans="1:17" s="229" customFormat="1" ht="27.75" hidden="1" customHeight="1" outlineLevel="2">
      <c r="A338" s="857" t="s">
        <v>942</v>
      </c>
      <c r="B338" s="337"/>
      <c r="C338" s="338" t="s">
        <v>618</v>
      </c>
      <c r="D338" s="858" t="s">
        <v>611</v>
      </c>
      <c r="E338" s="859" t="s">
        <v>956</v>
      </c>
      <c r="F338" s="339" t="s">
        <v>625</v>
      </c>
      <c r="G338" s="339"/>
      <c r="H338" s="340">
        <v>5</v>
      </c>
      <c r="I338" s="353">
        <f t="shared" si="35"/>
        <v>0</v>
      </c>
      <c r="J338" s="354">
        <f t="shared" si="36"/>
        <v>113500</v>
      </c>
      <c r="K338" s="276"/>
      <c r="L338" s="277"/>
      <c r="M338" s="277"/>
      <c r="N338" s="277"/>
      <c r="O338" s="277"/>
      <c r="P338" s="279"/>
      <c r="Q338" s="279"/>
    </row>
    <row r="339" spans="1:17" s="229" customFormat="1" ht="27.75" hidden="1" customHeight="1" outlineLevel="2">
      <c r="A339" s="857" t="s">
        <v>942</v>
      </c>
      <c r="B339" s="337"/>
      <c r="C339" s="338" t="s">
        <v>618</v>
      </c>
      <c r="D339" s="858" t="s">
        <v>611</v>
      </c>
      <c r="E339" s="859" t="s">
        <v>956</v>
      </c>
      <c r="F339" s="339" t="s">
        <v>625</v>
      </c>
      <c r="G339" s="339"/>
      <c r="H339" s="340">
        <v>40</v>
      </c>
      <c r="I339" s="353">
        <f t="shared" si="35"/>
        <v>0</v>
      </c>
      <c r="J339" s="354">
        <f t="shared" si="36"/>
        <v>908000</v>
      </c>
      <c r="K339" s="276"/>
      <c r="L339" s="277"/>
      <c r="M339" s="277"/>
      <c r="N339" s="277"/>
      <c r="O339" s="277"/>
      <c r="P339" s="279"/>
      <c r="Q339" s="279"/>
    </row>
    <row r="340" spans="1:17" s="229" customFormat="1" ht="27.75" hidden="1" customHeight="1" outlineLevel="2">
      <c r="A340" s="857" t="s">
        <v>942</v>
      </c>
      <c r="B340" s="337"/>
      <c r="C340" s="338" t="s">
        <v>618</v>
      </c>
      <c r="D340" s="858" t="s">
        <v>611</v>
      </c>
      <c r="E340" s="859" t="s">
        <v>956</v>
      </c>
      <c r="F340" s="339" t="s">
        <v>625</v>
      </c>
      <c r="G340" s="339"/>
      <c r="H340" s="340">
        <v>6</v>
      </c>
      <c r="I340" s="353">
        <f t="shared" si="35"/>
        <v>0</v>
      </c>
      <c r="J340" s="354">
        <f t="shared" si="36"/>
        <v>136200</v>
      </c>
      <c r="K340" s="276"/>
      <c r="L340" s="277"/>
      <c r="M340" s="277"/>
      <c r="N340" s="277"/>
      <c r="O340" s="277"/>
      <c r="P340" s="279"/>
      <c r="Q340" s="279"/>
    </row>
    <row r="341" spans="1:17" s="229" customFormat="1" ht="27.75" hidden="1" customHeight="1" outlineLevel="2">
      <c r="A341" s="857" t="s">
        <v>942</v>
      </c>
      <c r="B341" s="337"/>
      <c r="C341" s="338" t="s">
        <v>618</v>
      </c>
      <c r="D341" s="858" t="s">
        <v>611</v>
      </c>
      <c r="E341" s="859" t="s">
        <v>665</v>
      </c>
      <c r="F341" s="339" t="s">
        <v>625</v>
      </c>
      <c r="G341" s="339"/>
      <c r="H341" s="340">
        <v>5</v>
      </c>
      <c r="I341" s="353">
        <f t="shared" si="35"/>
        <v>0</v>
      </c>
      <c r="J341" s="354">
        <f t="shared" si="36"/>
        <v>113500</v>
      </c>
      <c r="K341" s="276"/>
      <c r="L341" s="277"/>
      <c r="M341" s="277"/>
      <c r="N341" s="277"/>
      <c r="O341" s="277"/>
      <c r="P341" s="279"/>
      <c r="Q341" s="279"/>
    </row>
    <row r="342" spans="1:17" s="229" customFormat="1" ht="27.75" hidden="1" customHeight="1" outlineLevel="2">
      <c r="A342" s="857" t="s">
        <v>942</v>
      </c>
      <c r="B342" s="337"/>
      <c r="C342" s="338" t="s">
        <v>618</v>
      </c>
      <c r="D342" s="858" t="s">
        <v>611</v>
      </c>
      <c r="E342" s="859" t="s">
        <v>957</v>
      </c>
      <c r="F342" s="339" t="s">
        <v>625</v>
      </c>
      <c r="G342" s="339"/>
      <c r="H342" s="340">
        <v>16.5</v>
      </c>
      <c r="I342" s="353">
        <f t="shared" si="35"/>
        <v>0</v>
      </c>
      <c r="J342" s="354">
        <f t="shared" si="36"/>
        <v>374550</v>
      </c>
      <c r="K342" s="276"/>
      <c r="L342" s="277"/>
      <c r="M342" s="277"/>
      <c r="N342" s="277"/>
      <c r="O342" s="277"/>
      <c r="P342" s="279"/>
      <c r="Q342" s="279"/>
    </row>
    <row r="343" spans="1:17" s="229" customFormat="1" ht="27.75" hidden="1" customHeight="1" outlineLevel="2">
      <c r="A343" s="857" t="s">
        <v>942</v>
      </c>
      <c r="B343" s="337"/>
      <c r="C343" s="338" t="s">
        <v>618</v>
      </c>
      <c r="D343" s="858" t="s">
        <v>611</v>
      </c>
      <c r="E343" s="859" t="s">
        <v>958</v>
      </c>
      <c r="F343" s="339" t="s">
        <v>625</v>
      </c>
      <c r="G343" s="339"/>
      <c r="H343" s="340">
        <v>22.5</v>
      </c>
      <c r="I343" s="353">
        <f t="shared" si="35"/>
        <v>0</v>
      </c>
      <c r="J343" s="354">
        <f t="shared" si="36"/>
        <v>510750</v>
      </c>
      <c r="K343" s="276"/>
      <c r="L343" s="277"/>
      <c r="M343" s="277"/>
      <c r="N343" s="277"/>
      <c r="O343" s="277"/>
      <c r="P343" s="279"/>
      <c r="Q343" s="279"/>
    </row>
    <row r="344" spans="1:17" s="229" customFormat="1" ht="27.75" hidden="1" customHeight="1" outlineLevel="2">
      <c r="A344" s="857" t="s">
        <v>942</v>
      </c>
      <c r="B344" s="337"/>
      <c r="C344" s="338" t="s">
        <v>618</v>
      </c>
      <c r="D344" s="858" t="s">
        <v>611</v>
      </c>
      <c r="E344" s="859" t="s">
        <v>959</v>
      </c>
      <c r="F344" s="339" t="s">
        <v>625</v>
      </c>
      <c r="G344" s="339"/>
      <c r="H344" s="340">
        <v>12.5</v>
      </c>
      <c r="I344" s="353">
        <f t="shared" si="35"/>
        <v>0</v>
      </c>
      <c r="J344" s="354">
        <f t="shared" si="36"/>
        <v>283750</v>
      </c>
      <c r="K344" s="276"/>
      <c r="L344" s="277"/>
      <c r="M344" s="277"/>
      <c r="N344" s="277"/>
      <c r="O344" s="277"/>
      <c r="P344" s="279"/>
      <c r="Q344" s="279"/>
    </row>
    <row r="345" spans="1:17" s="229" customFormat="1" ht="27.75" hidden="1" customHeight="1" outlineLevel="2">
      <c r="A345" s="857" t="s">
        <v>942</v>
      </c>
      <c r="B345" s="337"/>
      <c r="C345" s="338" t="s">
        <v>618</v>
      </c>
      <c r="D345" s="858" t="s">
        <v>611</v>
      </c>
      <c r="E345" s="859" t="s">
        <v>960</v>
      </c>
      <c r="F345" s="339" t="s">
        <v>625</v>
      </c>
      <c r="G345" s="339"/>
      <c r="H345" s="340">
        <v>6</v>
      </c>
      <c r="I345" s="353">
        <f t="shared" si="35"/>
        <v>0</v>
      </c>
      <c r="J345" s="354">
        <f t="shared" si="36"/>
        <v>136200</v>
      </c>
      <c r="K345" s="276"/>
      <c r="L345" s="277"/>
      <c r="M345" s="277"/>
      <c r="N345" s="277"/>
      <c r="O345" s="277"/>
      <c r="P345" s="279"/>
      <c r="Q345" s="279"/>
    </row>
    <row r="346" spans="1:17" s="229" customFormat="1" ht="27.75" hidden="1" customHeight="1" outlineLevel="2">
      <c r="A346" s="857" t="s">
        <v>942</v>
      </c>
      <c r="B346" s="337"/>
      <c r="C346" s="338" t="s">
        <v>618</v>
      </c>
      <c r="D346" s="858" t="s">
        <v>611</v>
      </c>
      <c r="E346" s="859" t="s">
        <v>665</v>
      </c>
      <c r="F346" s="339" t="s">
        <v>625</v>
      </c>
      <c r="G346" s="339"/>
      <c r="H346" s="340">
        <v>2.5</v>
      </c>
      <c r="I346" s="353">
        <f t="shared" si="35"/>
        <v>0</v>
      </c>
      <c r="J346" s="354">
        <f t="shared" si="36"/>
        <v>56750</v>
      </c>
      <c r="K346" s="276"/>
      <c r="L346" s="277"/>
      <c r="M346" s="277"/>
      <c r="N346" s="277"/>
      <c r="O346" s="277"/>
      <c r="P346" s="279"/>
      <c r="Q346" s="279"/>
    </row>
    <row r="347" spans="1:17" s="229" customFormat="1" ht="27.75" hidden="1" customHeight="1" outlineLevel="2">
      <c r="A347" s="857" t="s">
        <v>942</v>
      </c>
      <c r="B347" s="337"/>
      <c r="C347" s="338" t="s">
        <v>618</v>
      </c>
      <c r="D347" s="858" t="s">
        <v>611</v>
      </c>
      <c r="E347" s="859" t="s">
        <v>961</v>
      </c>
      <c r="F347" s="339" t="s">
        <v>625</v>
      </c>
      <c r="G347" s="339"/>
      <c r="H347" s="340">
        <v>37.5</v>
      </c>
      <c r="I347" s="353">
        <f t="shared" si="35"/>
        <v>0</v>
      </c>
      <c r="J347" s="354">
        <f t="shared" si="36"/>
        <v>851250</v>
      </c>
      <c r="K347" s="276"/>
      <c r="L347" s="277"/>
      <c r="M347" s="277"/>
      <c r="N347" s="277"/>
      <c r="O347" s="277"/>
      <c r="P347" s="279"/>
      <c r="Q347" s="279"/>
    </row>
    <row r="348" spans="1:17" s="229" customFormat="1" ht="27.75" hidden="1" customHeight="1" outlineLevel="2">
      <c r="A348" s="857" t="s">
        <v>942</v>
      </c>
      <c r="B348" s="337"/>
      <c r="C348" s="338" t="s">
        <v>618</v>
      </c>
      <c r="D348" s="858" t="s">
        <v>611</v>
      </c>
      <c r="E348" s="859" t="s">
        <v>962</v>
      </c>
      <c r="F348" s="339" t="s">
        <v>625</v>
      </c>
      <c r="G348" s="339"/>
      <c r="H348" s="340">
        <v>70</v>
      </c>
      <c r="I348" s="353">
        <f t="shared" si="35"/>
        <v>0</v>
      </c>
      <c r="J348" s="354">
        <f t="shared" si="36"/>
        <v>1589000</v>
      </c>
      <c r="K348" s="276"/>
      <c r="L348" s="277"/>
      <c r="M348" s="277"/>
      <c r="N348" s="277"/>
      <c r="O348" s="277"/>
      <c r="P348" s="279"/>
      <c r="Q348" s="279"/>
    </row>
    <row r="349" spans="1:17" s="229" customFormat="1" ht="27.75" hidden="1" customHeight="1" outlineLevel="2">
      <c r="A349" s="857" t="s">
        <v>942</v>
      </c>
      <c r="B349" s="337"/>
      <c r="C349" s="338" t="s">
        <v>618</v>
      </c>
      <c r="D349" s="858" t="s">
        <v>611</v>
      </c>
      <c r="E349" s="859" t="s">
        <v>963</v>
      </c>
      <c r="F349" s="339" t="s">
        <v>625</v>
      </c>
      <c r="G349" s="339"/>
      <c r="H349" s="340">
        <v>7</v>
      </c>
      <c r="I349" s="353">
        <f t="shared" si="35"/>
        <v>0</v>
      </c>
      <c r="J349" s="354">
        <f t="shared" si="36"/>
        <v>158900</v>
      </c>
      <c r="K349" s="276"/>
      <c r="L349" s="277"/>
      <c r="M349" s="277"/>
      <c r="N349" s="277"/>
      <c r="O349" s="277"/>
      <c r="P349" s="279"/>
      <c r="Q349" s="279"/>
    </row>
    <row r="350" spans="1:17" s="229" customFormat="1" ht="27.75" hidden="1" customHeight="1" outlineLevel="2">
      <c r="A350" s="857" t="s">
        <v>942</v>
      </c>
      <c r="B350" s="337"/>
      <c r="C350" s="338" t="s">
        <v>618</v>
      </c>
      <c r="D350" s="858" t="s">
        <v>611</v>
      </c>
      <c r="E350" s="859" t="s">
        <v>964</v>
      </c>
      <c r="F350" s="339" t="s">
        <v>625</v>
      </c>
      <c r="G350" s="339"/>
      <c r="H350" s="340">
        <v>15</v>
      </c>
      <c r="I350" s="353">
        <f t="shared" si="35"/>
        <v>0</v>
      </c>
      <c r="J350" s="354">
        <f t="shared" si="36"/>
        <v>340500</v>
      </c>
      <c r="K350" s="276"/>
      <c r="L350" s="277"/>
      <c r="M350" s="277"/>
      <c r="N350" s="277"/>
      <c r="O350" s="277"/>
      <c r="P350" s="279"/>
      <c r="Q350" s="279"/>
    </row>
    <row r="351" spans="1:17" s="229" customFormat="1" ht="27.75" hidden="1" customHeight="1" outlineLevel="2">
      <c r="A351" s="857" t="s">
        <v>942</v>
      </c>
      <c r="B351" s="337"/>
      <c r="C351" s="338" t="s">
        <v>618</v>
      </c>
      <c r="D351" s="858" t="s">
        <v>611</v>
      </c>
      <c r="E351" s="859" t="s">
        <v>965</v>
      </c>
      <c r="F351" s="339" t="s">
        <v>625</v>
      </c>
      <c r="G351" s="339"/>
      <c r="H351" s="340">
        <v>19.5</v>
      </c>
      <c r="I351" s="353">
        <f t="shared" si="35"/>
        <v>0</v>
      </c>
      <c r="J351" s="354">
        <f t="shared" si="36"/>
        <v>442650</v>
      </c>
      <c r="K351" s="276"/>
      <c r="L351" s="277"/>
      <c r="M351" s="277"/>
      <c r="N351" s="277"/>
      <c r="O351" s="277"/>
      <c r="P351" s="279"/>
      <c r="Q351" s="279"/>
    </row>
    <row r="352" spans="1:17" s="229" customFormat="1" ht="27.75" hidden="1" customHeight="1" outlineLevel="2">
      <c r="A352" s="857" t="s">
        <v>942</v>
      </c>
      <c r="B352" s="337"/>
      <c r="C352" s="338" t="s">
        <v>618</v>
      </c>
      <c r="D352" s="858" t="s">
        <v>611</v>
      </c>
      <c r="E352" s="859" t="s">
        <v>665</v>
      </c>
      <c r="F352" s="339" t="s">
        <v>625</v>
      </c>
      <c r="G352" s="339"/>
      <c r="H352" s="340">
        <v>2.5</v>
      </c>
      <c r="I352" s="353">
        <f t="shared" si="35"/>
        <v>0</v>
      </c>
      <c r="J352" s="354">
        <f t="shared" si="36"/>
        <v>56750</v>
      </c>
      <c r="K352" s="276"/>
      <c r="L352" s="277"/>
      <c r="M352" s="277"/>
      <c r="N352" s="277"/>
      <c r="O352" s="277"/>
      <c r="P352" s="279"/>
      <c r="Q352" s="279"/>
    </row>
    <row r="353" spans="1:17" s="229" customFormat="1" ht="27.75" hidden="1" customHeight="1" outlineLevel="2">
      <c r="A353" s="857" t="s">
        <v>942</v>
      </c>
      <c r="B353" s="337"/>
      <c r="C353" s="338" t="s">
        <v>618</v>
      </c>
      <c r="D353" s="858" t="s">
        <v>611</v>
      </c>
      <c r="E353" s="859" t="s">
        <v>966</v>
      </c>
      <c r="F353" s="339" t="s">
        <v>625</v>
      </c>
      <c r="G353" s="339"/>
      <c r="H353" s="340">
        <v>5</v>
      </c>
      <c r="I353" s="353">
        <f t="shared" si="35"/>
        <v>0</v>
      </c>
      <c r="J353" s="354">
        <f t="shared" si="36"/>
        <v>113500</v>
      </c>
      <c r="K353" s="276"/>
      <c r="L353" s="277"/>
      <c r="M353" s="277"/>
      <c r="N353" s="277"/>
      <c r="O353" s="277"/>
      <c r="P353" s="279"/>
      <c r="Q353" s="279"/>
    </row>
    <row r="354" spans="1:17" s="229" customFormat="1" ht="27.75" hidden="1" customHeight="1" outlineLevel="2">
      <c r="A354" s="857" t="s">
        <v>942</v>
      </c>
      <c r="B354" s="337"/>
      <c r="C354" s="338" t="s">
        <v>618</v>
      </c>
      <c r="D354" s="858" t="s">
        <v>611</v>
      </c>
      <c r="E354" s="859" t="s">
        <v>967</v>
      </c>
      <c r="F354" s="339" t="s">
        <v>625</v>
      </c>
      <c r="G354" s="339"/>
      <c r="H354" s="340">
        <v>35</v>
      </c>
      <c r="I354" s="353">
        <f t="shared" si="35"/>
        <v>0</v>
      </c>
      <c r="J354" s="354">
        <f t="shared" si="36"/>
        <v>794500</v>
      </c>
      <c r="K354" s="276"/>
      <c r="L354" s="277"/>
      <c r="M354" s="277"/>
      <c r="N354" s="277"/>
      <c r="O354" s="277"/>
      <c r="P354" s="279"/>
      <c r="Q354" s="279"/>
    </row>
    <row r="355" spans="1:17" s="229" customFormat="1" ht="27.75" hidden="1" customHeight="1" outlineLevel="2">
      <c r="A355" s="857" t="s">
        <v>942</v>
      </c>
      <c r="B355" s="337"/>
      <c r="C355" s="338" t="s">
        <v>618</v>
      </c>
      <c r="D355" s="858" t="s">
        <v>611</v>
      </c>
      <c r="E355" s="859" t="s">
        <v>968</v>
      </c>
      <c r="F355" s="339" t="s">
        <v>625</v>
      </c>
      <c r="G355" s="339"/>
      <c r="H355" s="340">
        <v>5</v>
      </c>
      <c r="I355" s="353">
        <f t="shared" si="35"/>
        <v>0</v>
      </c>
      <c r="J355" s="354">
        <f t="shared" si="36"/>
        <v>113500</v>
      </c>
      <c r="K355" s="276"/>
      <c r="L355" s="277"/>
      <c r="M355" s="277"/>
      <c r="N355" s="277"/>
      <c r="O355" s="277"/>
      <c r="P355" s="279"/>
      <c r="Q355" s="279"/>
    </row>
    <row r="356" spans="1:17" s="229" customFormat="1" ht="27.75" hidden="1" customHeight="1" outlineLevel="2">
      <c r="A356" s="857" t="s">
        <v>942</v>
      </c>
      <c r="B356" s="337"/>
      <c r="C356" s="338" t="s">
        <v>618</v>
      </c>
      <c r="D356" s="858" t="s">
        <v>611</v>
      </c>
      <c r="E356" s="859" t="s">
        <v>969</v>
      </c>
      <c r="F356" s="339" t="s">
        <v>625</v>
      </c>
      <c r="G356" s="339"/>
      <c r="H356" s="340">
        <v>2.5</v>
      </c>
      <c r="I356" s="353">
        <f t="shared" si="35"/>
        <v>0</v>
      </c>
      <c r="J356" s="354">
        <f t="shared" si="36"/>
        <v>56750</v>
      </c>
      <c r="K356" s="276"/>
      <c r="L356" s="277"/>
      <c r="M356" s="277"/>
      <c r="N356" s="277"/>
      <c r="O356" s="277"/>
      <c r="P356" s="279"/>
      <c r="Q356" s="279"/>
    </row>
    <row r="357" spans="1:17" s="229" customFormat="1" ht="27.75" hidden="1" customHeight="1" outlineLevel="2">
      <c r="A357" s="857" t="s">
        <v>942</v>
      </c>
      <c r="B357" s="337"/>
      <c r="C357" s="338" t="s">
        <v>618</v>
      </c>
      <c r="D357" s="858" t="s">
        <v>611</v>
      </c>
      <c r="E357" s="859" t="s">
        <v>970</v>
      </c>
      <c r="F357" s="339" t="s">
        <v>625</v>
      </c>
      <c r="G357" s="339"/>
      <c r="H357" s="340">
        <v>16.5</v>
      </c>
      <c r="I357" s="353">
        <f t="shared" si="35"/>
        <v>0</v>
      </c>
      <c r="J357" s="354">
        <f t="shared" si="36"/>
        <v>374550</v>
      </c>
      <c r="K357" s="276"/>
      <c r="L357" s="277"/>
      <c r="M357" s="277"/>
      <c r="N357" s="277"/>
      <c r="O357" s="277"/>
      <c r="P357" s="279"/>
      <c r="Q357" s="279"/>
    </row>
    <row r="358" spans="1:17" s="229" customFormat="1" ht="27.75" hidden="1" customHeight="1" outlineLevel="2">
      <c r="A358" s="857" t="s">
        <v>942</v>
      </c>
      <c r="B358" s="337"/>
      <c r="C358" s="338" t="s">
        <v>618</v>
      </c>
      <c r="D358" s="858" t="s">
        <v>611</v>
      </c>
      <c r="E358" s="859" t="s">
        <v>971</v>
      </c>
      <c r="F358" s="339" t="s">
        <v>625</v>
      </c>
      <c r="G358" s="339"/>
      <c r="H358" s="340">
        <v>13.5</v>
      </c>
      <c r="I358" s="353">
        <f t="shared" ref="I358:I379" si="37">G358*$I$3</f>
        <v>0</v>
      </c>
      <c r="J358" s="354">
        <f t="shared" ref="J358:J379" si="38">H358*$I$3</f>
        <v>306450</v>
      </c>
      <c r="K358" s="276"/>
      <c r="L358" s="277"/>
      <c r="M358" s="277"/>
      <c r="N358" s="277"/>
      <c r="O358" s="277"/>
      <c r="P358" s="279"/>
      <c r="Q358" s="279"/>
    </row>
    <row r="359" spans="1:17" s="229" customFormat="1" ht="27.75" hidden="1" customHeight="1" outlineLevel="2">
      <c r="A359" s="857" t="s">
        <v>942</v>
      </c>
      <c r="B359" s="337"/>
      <c r="C359" s="338" t="s">
        <v>618</v>
      </c>
      <c r="D359" s="858" t="s">
        <v>611</v>
      </c>
      <c r="E359" s="859" t="s">
        <v>972</v>
      </c>
      <c r="F359" s="339" t="s">
        <v>625</v>
      </c>
      <c r="G359" s="339"/>
      <c r="H359" s="340">
        <v>2.5</v>
      </c>
      <c r="I359" s="353">
        <f t="shared" si="37"/>
        <v>0</v>
      </c>
      <c r="J359" s="354">
        <f t="shared" si="38"/>
        <v>56750</v>
      </c>
      <c r="K359" s="276"/>
      <c r="L359" s="277"/>
      <c r="M359" s="277"/>
      <c r="N359" s="277"/>
      <c r="O359" s="277"/>
      <c r="P359" s="279"/>
      <c r="Q359" s="279"/>
    </row>
    <row r="360" spans="1:17" s="229" customFormat="1" ht="27.75" hidden="1" customHeight="1" outlineLevel="2">
      <c r="A360" s="857" t="s">
        <v>942</v>
      </c>
      <c r="B360" s="337"/>
      <c r="C360" s="338" t="s">
        <v>618</v>
      </c>
      <c r="D360" s="858" t="s">
        <v>611</v>
      </c>
      <c r="E360" s="859" t="s">
        <v>973</v>
      </c>
      <c r="F360" s="339" t="s">
        <v>625</v>
      </c>
      <c r="G360" s="339"/>
      <c r="H360" s="340">
        <v>22.5</v>
      </c>
      <c r="I360" s="353">
        <f t="shared" si="37"/>
        <v>0</v>
      </c>
      <c r="J360" s="354">
        <f t="shared" si="38"/>
        <v>510750</v>
      </c>
      <c r="K360" s="276"/>
      <c r="L360" s="277"/>
      <c r="M360" s="277"/>
      <c r="N360" s="277"/>
      <c r="O360" s="277"/>
      <c r="P360" s="279"/>
      <c r="Q360" s="279"/>
    </row>
    <row r="361" spans="1:17" s="229" customFormat="1" ht="27.75" hidden="1" customHeight="1" outlineLevel="2">
      <c r="A361" s="857" t="s">
        <v>942</v>
      </c>
      <c r="B361" s="337"/>
      <c r="C361" s="338" t="s">
        <v>618</v>
      </c>
      <c r="D361" s="858" t="s">
        <v>611</v>
      </c>
      <c r="E361" s="859" t="s">
        <v>974</v>
      </c>
      <c r="F361" s="339" t="s">
        <v>625</v>
      </c>
      <c r="G361" s="339"/>
      <c r="H361" s="340">
        <v>22</v>
      </c>
      <c r="I361" s="353">
        <f t="shared" si="37"/>
        <v>0</v>
      </c>
      <c r="J361" s="354">
        <f t="shared" si="38"/>
        <v>499400</v>
      </c>
      <c r="K361" s="276"/>
      <c r="L361" s="277"/>
      <c r="M361" s="277"/>
      <c r="N361" s="277"/>
      <c r="O361" s="277"/>
      <c r="P361" s="279"/>
      <c r="Q361" s="279"/>
    </row>
    <row r="362" spans="1:17" s="229" customFormat="1" ht="27.75" hidden="1" customHeight="1" outlineLevel="2">
      <c r="A362" s="857" t="s">
        <v>942</v>
      </c>
      <c r="B362" s="337"/>
      <c r="C362" s="338" t="s">
        <v>618</v>
      </c>
      <c r="D362" s="858" t="s">
        <v>611</v>
      </c>
      <c r="E362" s="859" t="s">
        <v>975</v>
      </c>
      <c r="F362" s="339" t="s">
        <v>625</v>
      </c>
      <c r="G362" s="339"/>
      <c r="H362" s="340">
        <v>15</v>
      </c>
      <c r="I362" s="353">
        <f t="shared" si="37"/>
        <v>0</v>
      </c>
      <c r="J362" s="354">
        <f t="shared" si="38"/>
        <v>340500</v>
      </c>
      <c r="K362" s="276"/>
      <c r="L362" s="277"/>
      <c r="M362" s="277"/>
      <c r="N362" s="277"/>
      <c r="O362" s="277"/>
      <c r="P362" s="279"/>
      <c r="Q362" s="279"/>
    </row>
    <row r="363" spans="1:17" s="229" customFormat="1" ht="27.75" hidden="1" customHeight="1" outlineLevel="2">
      <c r="A363" s="857" t="s">
        <v>942</v>
      </c>
      <c r="B363" s="337"/>
      <c r="C363" s="338" t="s">
        <v>618</v>
      </c>
      <c r="D363" s="858" t="s">
        <v>611</v>
      </c>
      <c r="E363" s="859" t="s">
        <v>665</v>
      </c>
      <c r="F363" s="339" t="s">
        <v>625</v>
      </c>
      <c r="G363" s="339"/>
      <c r="H363" s="340">
        <v>2.5</v>
      </c>
      <c r="I363" s="353">
        <f t="shared" si="37"/>
        <v>0</v>
      </c>
      <c r="J363" s="354">
        <f t="shared" si="38"/>
        <v>56750</v>
      </c>
      <c r="K363" s="276"/>
      <c r="L363" s="277"/>
      <c r="M363" s="277"/>
      <c r="N363" s="277"/>
      <c r="O363" s="277"/>
      <c r="P363" s="279"/>
      <c r="Q363" s="279"/>
    </row>
    <row r="364" spans="1:17" s="229" customFormat="1" ht="27.75" hidden="1" customHeight="1" outlineLevel="2">
      <c r="A364" s="857" t="s">
        <v>942</v>
      </c>
      <c r="B364" s="337"/>
      <c r="C364" s="338" t="s">
        <v>618</v>
      </c>
      <c r="D364" s="858" t="s">
        <v>611</v>
      </c>
      <c r="E364" s="859" t="s">
        <v>976</v>
      </c>
      <c r="F364" s="339" t="s">
        <v>621</v>
      </c>
      <c r="G364" s="339"/>
      <c r="H364" s="340">
        <v>7</v>
      </c>
      <c r="I364" s="353">
        <f t="shared" si="37"/>
        <v>0</v>
      </c>
      <c r="J364" s="354">
        <f t="shared" si="38"/>
        <v>158900</v>
      </c>
      <c r="K364" s="276"/>
      <c r="L364" s="277"/>
      <c r="M364" s="277"/>
      <c r="N364" s="277"/>
      <c r="O364" s="277"/>
      <c r="P364" s="279"/>
      <c r="Q364" s="279"/>
    </row>
    <row r="365" spans="1:17" s="229" customFormat="1" ht="27.75" hidden="1" customHeight="1" outlineLevel="2">
      <c r="A365" s="857" t="s">
        <v>942</v>
      </c>
      <c r="B365" s="337"/>
      <c r="C365" s="338" t="s">
        <v>618</v>
      </c>
      <c r="D365" s="858" t="s">
        <v>611</v>
      </c>
      <c r="E365" s="859" t="s">
        <v>977</v>
      </c>
      <c r="F365" s="339" t="s">
        <v>621</v>
      </c>
      <c r="G365" s="339"/>
      <c r="H365" s="340">
        <v>22</v>
      </c>
      <c r="I365" s="353">
        <f t="shared" si="37"/>
        <v>0</v>
      </c>
      <c r="J365" s="354">
        <f t="shared" si="38"/>
        <v>499400</v>
      </c>
      <c r="K365" s="276"/>
      <c r="L365" s="277"/>
      <c r="M365" s="277"/>
      <c r="N365" s="277"/>
      <c r="O365" s="277"/>
      <c r="P365" s="279"/>
      <c r="Q365" s="279"/>
    </row>
    <row r="366" spans="1:17" s="229" customFormat="1" ht="27.75" hidden="1" customHeight="1" outlineLevel="2">
      <c r="A366" s="857" t="s">
        <v>942</v>
      </c>
      <c r="B366" s="337"/>
      <c r="C366" s="338" t="s">
        <v>618</v>
      </c>
      <c r="D366" s="858" t="s">
        <v>611</v>
      </c>
      <c r="E366" s="859" t="s">
        <v>978</v>
      </c>
      <c r="F366" s="339" t="s">
        <v>621</v>
      </c>
      <c r="G366" s="339"/>
      <c r="H366" s="340">
        <v>5</v>
      </c>
      <c r="I366" s="353">
        <f t="shared" si="37"/>
        <v>0</v>
      </c>
      <c r="J366" s="354">
        <f t="shared" si="38"/>
        <v>113500</v>
      </c>
      <c r="K366" s="276"/>
      <c r="L366" s="277"/>
      <c r="M366" s="277"/>
      <c r="N366" s="277"/>
      <c r="O366" s="277"/>
      <c r="P366" s="279"/>
      <c r="Q366" s="279"/>
    </row>
    <row r="367" spans="1:17" s="229" customFormat="1" ht="27.75" hidden="1" customHeight="1" outlineLevel="2">
      <c r="A367" s="857" t="s">
        <v>942</v>
      </c>
      <c r="B367" s="337"/>
      <c r="C367" s="338" t="s">
        <v>618</v>
      </c>
      <c r="D367" s="858" t="s">
        <v>611</v>
      </c>
      <c r="E367" s="859" t="s">
        <v>979</v>
      </c>
      <c r="F367" s="339" t="s">
        <v>621</v>
      </c>
      <c r="G367" s="339"/>
      <c r="H367" s="340">
        <v>20</v>
      </c>
      <c r="I367" s="353">
        <f t="shared" si="37"/>
        <v>0</v>
      </c>
      <c r="J367" s="354">
        <f t="shared" si="38"/>
        <v>454000</v>
      </c>
      <c r="K367" s="276"/>
      <c r="L367" s="277"/>
      <c r="M367" s="277"/>
      <c r="N367" s="277"/>
      <c r="O367" s="277"/>
      <c r="P367" s="279"/>
      <c r="Q367" s="279"/>
    </row>
    <row r="368" spans="1:17" s="229" customFormat="1" ht="27.75" hidden="1" customHeight="1" outlineLevel="2">
      <c r="A368" s="857" t="s">
        <v>942</v>
      </c>
      <c r="B368" s="337"/>
      <c r="C368" s="338" t="s">
        <v>618</v>
      </c>
      <c r="D368" s="858" t="s">
        <v>611</v>
      </c>
      <c r="E368" s="859" t="s">
        <v>980</v>
      </c>
      <c r="F368" s="339" t="s">
        <v>621</v>
      </c>
      <c r="G368" s="339"/>
      <c r="H368" s="340">
        <v>5</v>
      </c>
      <c r="I368" s="353">
        <f t="shared" si="37"/>
        <v>0</v>
      </c>
      <c r="J368" s="354">
        <f t="shared" si="38"/>
        <v>113500</v>
      </c>
      <c r="K368" s="276"/>
      <c r="L368" s="277"/>
      <c r="M368" s="277"/>
      <c r="N368" s="277"/>
      <c r="O368" s="277"/>
      <c r="P368" s="279"/>
      <c r="Q368" s="279"/>
    </row>
    <row r="369" spans="1:17" s="229" customFormat="1" ht="27.75" hidden="1" customHeight="1" outlineLevel="2">
      <c r="A369" s="857" t="s">
        <v>942</v>
      </c>
      <c r="B369" s="337"/>
      <c r="C369" s="338" t="s">
        <v>618</v>
      </c>
      <c r="D369" s="858" t="s">
        <v>611</v>
      </c>
      <c r="E369" s="859" t="s">
        <v>981</v>
      </c>
      <c r="F369" s="339" t="s">
        <v>621</v>
      </c>
      <c r="G369" s="339"/>
      <c r="H369" s="340">
        <v>8</v>
      </c>
      <c r="I369" s="353">
        <f t="shared" si="37"/>
        <v>0</v>
      </c>
      <c r="J369" s="354">
        <f t="shared" si="38"/>
        <v>181600</v>
      </c>
      <c r="K369" s="276"/>
      <c r="L369" s="277"/>
      <c r="M369" s="277"/>
      <c r="N369" s="277"/>
      <c r="O369" s="277"/>
      <c r="P369" s="279"/>
      <c r="Q369" s="279"/>
    </row>
    <row r="370" spans="1:17" s="229" customFormat="1" ht="27.75" hidden="1" customHeight="1" outlineLevel="2">
      <c r="A370" s="857" t="s">
        <v>942</v>
      </c>
      <c r="B370" s="337"/>
      <c r="C370" s="338" t="s">
        <v>618</v>
      </c>
      <c r="D370" s="858" t="s">
        <v>611</v>
      </c>
      <c r="E370" s="859" t="s">
        <v>982</v>
      </c>
      <c r="F370" s="339" t="s">
        <v>621</v>
      </c>
      <c r="G370" s="339"/>
      <c r="H370" s="340">
        <v>10</v>
      </c>
      <c r="I370" s="353">
        <f t="shared" si="37"/>
        <v>0</v>
      </c>
      <c r="J370" s="354">
        <f t="shared" si="38"/>
        <v>227000</v>
      </c>
      <c r="K370" s="276"/>
      <c r="L370" s="277"/>
      <c r="M370" s="277"/>
      <c r="N370" s="277"/>
      <c r="O370" s="277"/>
      <c r="P370" s="279"/>
      <c r="Q370" s="279"/>
    </row>
    <row r="371" spans="1:17" s="229" customFormat="1" ht="27.75" hidden="1" customHeight="1" outlineLevel="2">
      <c r="A371" s="857" t="s">
        <v>942</v>
      </c>
      <c r="B371" s="337"/>
      <c r="C371" s="338" t="s">
        <v>618</v>
      </c>
      <c r="D371" s="858" t="s">
        <v>611</v>
      </c>
      <c r="E371" s="859" t="s">
        <v>983</v>
      </c>
      <c r="F371" s="339" t="s">
        <v>621</v>
      </c>
      <c r="G371" s="339"/>
      <c r="H371" s="340">
        <v>26</v>
      </c>
      <c r="I371" s="353">
        <f t="shared" si="37"/>
        <v>0</v>
      </c>
      <c r="J371" s="354">
        <f t="shared" si="38"/>
        <v>590200</v>
      </c>
      <c r="K371" s="276"/>
      <c r="L371" s="277"/>
      <c r="M371" s="277"/>
      <c r="N371" s="277"/>
      <c r="O371" s="277"/>
      <c r="P371" s="279"/>
      <c r="Q371" s="279"/>
    </row>
    <row r="372" spans="1:17" s="229" customFormat="1" ht="27.75" hidden="1" customHeight="1" outlineLevel="2">
      <c r="A372" s="857" t="s">
        <v>942</v>
      </c>
      <c r="B372" s="337"/>
      <c r="C372" s="338" t="s">
        <v>618</v>
      </c>
      <c r="D372" s="858" t="s">
        <v>694</v>
      </c>
      <c r="E372" s="859" t="s">
        <v>984</v>
      </c>
      <c r="F372" s="339" t="s">
        <v>625</v>
      </c>
      <c r="G372" s="339"/>
      <c r="H372" s="340">
        <v>10</v>
      </c>
      <c r="I372" s="353">
        <f t="shared" si="37"/>
        <v>0</v>
      </c>
      <c r="J372" s="354">
        <f t="shared" si="38"/>
        <v>227000</v>
      </c>
      <c r="K372" s="276"/>
      <c r="L372" s="277"/>
      <c r="M372" s="277"/>
      <c r="N372" s="277"/>
      <c r="O372" s="277"/>
      <c r="P372" s="279"/>
      <c r="Q372" s="279"/>
    </row>
    <row r="373" spans="1:17" s="231" customFormat="1" ht="27.75" hidden="1" customHeight="1" outlineLevel="2">
      <c r="A373" s="860" t="s">
        <v>942</v>
      </c>
      <c r="B373" s="341"/>
      <c r="C373" s="342" t="s">
        <v>618</v>
      </c>
      <c r="D373" s="861" t="s">
        <v>694</v>
      </c>
      <c r="E373" s="862" t="s">
        <v>984</v>
      </c>
      <c r="F373" s="343" t="s">
        <v>625</v>
      </c>
      <c r="G373" s="343"/>
      <c r="H373" s="344">
        <v>15</v>
      </c>
      <c r="I373" s="353">
        <f t="shared" si="37"/>
        <v>0</v>
      </c>
      <c r="J373" s="354">
        <f t="shared" si="38"/>
        <v>340500</v>
      </c>
      <c r="K373" s="355"/>
      <c r="L373" s="356"/>
      <c r="M373" s="356"/>
      <c r="N373" s="356"/>
      <c r="O373" s="356"/>
      <c r="P373" s="364"/>
      <c r="Q373" s="364"/>
    </row>
    <row r="374" spans="1:17" s="232" customFormat="1" ht="27.75" hidden="1" customHeight="1" outlineLevel="2">
      <c r="A374" s="863" t="s">
        <v>985</v>
      </c>
      <c r="B374" s="345"/>
      <c r="C374" s="346" t="s">
        <v>618</v>
      </c>
      <c r="D374" s="864" t="s">
        <v>635</v>
      </c>
      <c r="E374" s="865" t="s">
        <v>986</v>
      </c>
      <c r="F374" s="347" t="s">
        <v>644</v>
      </c>
      <c r="G374" s="347"/>
      <c r="H374" s="348">
        <v>3276.03</v>
      </c>
      <c r="I374" s="357">
        <f t="shared" si="37"/>
        <v>0</v>
      </c>
      <c r="J374" s="358">
        <f t="shared" si="38"/>
        <v>74365881</v>
      </c>
      <c r="K374" s="359"/>
      <c r="L374" s="360"/>
      <c r="M374" s="360"/>
      <c r="N374" s="360"/>
      <c r="O374" s="360"/>
      <c r="P374" s="365"/>
      <c r="Q374" s="365"/>
    </row>
    <row r="375" spans="1:17" s="229" customFormat="1" ht="27.75" hidden="1" customHeight="1" outlineLevel="2">
      <c r="A375" s="857" t="s">
        <v>985</v>
      </c>
      <c r="B375" s="337"/>
      <c r="C375" s="338" t="s">
        <v>618</v>
      </c>
      <c r="D375" s="858" t="s">
        <v>714</v>
      </c>
      <c r="E375" s="859" t="s">
        <v>742</v>
      </c>
      <c r="F375" s="339" t="s">
        <v>625</v>
      </c>
      <c r="G375" s="339"/>
      <c r="H375" s="340">
        <v>4.5</v>
      </c>
      <c r="I375" s="353">
        <f t="shared" si="37"/>
        <v>0</v>
      </c>
      <c r="J375" s="354">
        <f t="shared" si="38"/>
        <v>102150</v>
      </c>
      <c r="K375" s="276"/>
      <c r="L375" s="277"/>
      <c r="M375" s="277"/>
      <c r="N375" s="277"/>
      <c r="O375" s="277"/>
      <c r="P375" s="279"/>
      <c r="Q375" s="279"/>
    </row>
    <row r="376" spans="1:17" s="231" customFormat="1" ht="27.75" hidden="1" customHeight="1" outlineLevel="2">
      <c r="A376" s="860" t="s">
        <v>985</v>
      </c>
      <c r="B376" s="341"/>
      <c r="C376" s="342" t="s">
        <v>618</v>
      </c>
      <c r="D376" s="861" t="s">
        <v>714</v>
      </c>
      <c r="E376" s="862" t="s">
        <v>701</v>
      </c>
      <c r="F376" s="343" t="s">
        <v>625</v>
      </c>
      <c r="G376" s="343"/>
      <c r="H376" s="344">
        <v>4</v>
      </c>
      <c r="I376" s="361">
        <f t="shared" si="37"/>
        <v>0</v>
      </c>
      <c r="J376" s="362">
        <f t="shared" si="38"/>
        <v>90800</v>
      </c>
      <c r="K376" s="355"/>
      <c r="L376" s="356"/>
      <c r="M376" s="356"/>
      <c r="N376" s="356"/>
      <c r="O376" s="356"/>
      <c r="P376" s="364"/>
      <c r="Q376" s="364"/>
    </row>
    <row r="377" spans="1:17" s="232" customFormat="1" ht="27.75" hidden="1" customHeight="1" outlineLevel="2">
      <c r="A377" s="863" t="s">
        <v>987</v>
      </c>
      <c r="B377" s="345"/>
      <c r="C377" s="346" t="s">
        <v>618</v>
      </c>
      <c r="D377" s="864" t="s">
        <v>635</v>
      </c>
      <c r="E377" s="865" t="s">
        <v>988</v>
      </c>
      <c r="F377" s="347" t="s">
        <v>621</v>
      </c>
      <c r="G377" s="347"/>
      <c r="H377" s="348">
        <v>3.5</v>
      </c>
      <c r="I377" s="353">
        <f t="shared" si="37"/>
        <v>0</v>
      </c>
      <c r="J377" s="354">
        <f t="shared" si="38"/>
        <v>79450</v>
      </c>
      <c r="K377" s="359"/>
      <c r="L377" s="360"/>
      <c r="M377" s="360"/>
      <c r="N377" s="360"/>
      <c r="O377" s="360"/>
      <c r="P377" s="365"/>
      <c r="Q377" s="365"/>
    </row>
    <row r="378" spans="1:17" s="231" customFormat="1" ht="27.75" hidden="1" customHeight="1" outlineLevel="2">
      <c r="A378" s="860" t="s">
        <v>987</v>
      </c>
      <c r="B378" s="341"/>
      <c r="C378" s="342" t="s">
        <v>618</v>
      </c>
      <c r="D378" s="861" t="s">
        <v>635</v>
      </c>
      <c r="E378" s="862" t="s">
        <v>989</v>
      </c>
      <c r="F378" s="343" t="s">
        <v>621</v>
      </c>
      <c r="G378" s="343"/>
      <c r="H378" s="344">
        <v>90</v>
      </c>
      <c r="I378" s="361">
        <f t="shared" si="37"/>
        <v>0</v>
      </c>
      <c r="J378" s="362">
        <f t="shared" si="38"/>
        <v>2043000</v>
      </c>
      <c r="K378" s="355"/>
      <c r="L378" s="356"/>
      <c r="M378" s="356"/>
      <c r="N378" s="356"/>
      <c r="O378" s="356"/>
      <c r="P378" s="364"/>
      <c r="Q378" s="364"/>
    </row>
    <row r="379" spans="1:17" s="229" customFormat="1" ht="27.75" hidden="1" customHeight="1" outlineLevel="2">
      <c r="A379" s="857" t="s">
        <v>990</v>
      </c>
      <c r="B379" s="337"/>
      <c r="C379" s="338" t="s">
        <v>618</v>
      </c>
      <c r="D379" s="858" t="s">
        <v>635</v>
      </c>
      <c r="E379" s="859" t="s">
        <v>991</v>
      </c>
      <c r="F379" s="339"/>
      <c r="G379" s="339">
        <v>50160</v>
      </c>
      <c r="H379" s="340"/>
      <c r="I379" s="353">
        <f t="shared" si="37"/>
        <v>1138632000</v>
      </c>
      <c r="J379" s="354">
        <f t="shared" si="38"/>
        <v>0</v>
      </c>
      <c r="K379" s="276"/>
      <c r="L379" s="277"/>
      <c r="M379" s="277"/>
      <c r="N379" s="277"/>
      <c r="O379" s="277"/>
      <c r="P379" s="279"/>
      <c r="Q379" s="279"/>
    </row>
    <row r="380" spans="1:17" s="229" customFormat="1" ht="27.75" hidden="1" customHeight="1" outlineLevel="2">
      <c r="A380" s="857" t="s">
        <v>990</v>
      </c>
      <c r="B380" s="337"/>
      <c r="C380" s="338" t="s">
        <v>618</v>
      </c>
      <c r="D380" s="858" t="s">
        <v>635</v>
      </c>
      <c r="E380" s="859" t="s">
        <v>789</v>
      </c>
      <c r="F380" s="339"/>
      <c r="G380" s="339"/>
      <c r="H380" s="340">
        <v>8000</v>
      </c>
      <c r="I380" s="353">
        <f t="shared" ref="I380:I393" si="39">G380*$I$3</f>
        <v>0</v>
      </c>
      <c r="J380" s="354">
        <f t="shared" ref="J380:J393" si="40">H380*$I$3</f>
        <v>181600000</v>
      </c>
      <c r="K380" s="276"/>
      <c r="L380" s="277"/>
      <c r="M380" s="277"/>
      <c r="N380" s="277"/>
      <c r="O380" s="277"/>
      <c r="P380" s="279"/>
      <c r="Q380" s="279"/>
    </row>
    <row r="381" spans="1:17" s="229" customFormat="1" ht="27.75" hidden="1" customHeight="1" outlineLevel="2">
      <c r="A381" s="857" t="s">
        <v>990</v>
      </c>
      <c r="B381" s="337"/>
      <c r="C381" s="338" t="s">
        <v>618</v>
      </c>
      <c r="D381" s="858" t="s">
        <v>635</v>
      </c>
      <c r="E381" s="859" t="s">
        <v>992</v>
      </c>
      <c r="F381" s="339" t="s">
        <v>644</v>
      </c>
      <c r="G381" s="339"/>
      <c r="H381" s="340">
        <v>8000</v>
      </c>
      <c r="I381" s="353">
        <f t="shared" si="39"/>
        <v>0</v>
      </c>
      <c r="J381" s="354">
        <f t="shared" si="40"/>
        <v>181600000</v>
      </c>
      <c r="K381" s="276"/>
      <c r="L381" s="277"/>
      <c r="M381" s="277"/>
      <c r="N381" s="277"/>
      <c r="O381" s="277"/>
      <c r="P381" s="279"/>
      <c r="Q381" s="279"/>
    </row>
    <row r="382" spans="1:17" s="229" customFormat="1" ht="27.75" hidden="1" customHeight="1" outlineLevel="2">
      <c r="A382" s="857" t="s">
        <v>990</v>
      </c>
      <c r="B382" s="337"/>
      <c r="C382" s="338" t="s">
        <v>618</v>
      </c>
      <c r="D382" s="858" t="s">
        <v>635</v>
      </c>
      <c r="E382" s="859" t="s">
        <v>993</v>
      </c>
      <c r="F382" s="339" t="s">
        <v>621</v>
      </c>
      <c r="G382" s="339"/>
      <c r="H382" s="340">
        <v>26</v>
      </c>
      <c r="I382" s="353">
        <f t="shared" si="39"/>
        <v>0</v>
      </c>
      <c r="J382" s="354">
        <f t="shared" si="40"/>
        <v>590200</v>
      </c>
      <c r="K382" s="276"/>
      <c r="L382" s="277"/>
      <c r="M382" s="277"/>
      <c r="N382" s="277"/>
      <c r="O382" s="277"/>
      <c r="P382" s="279"/>
      <c r="Q382" s="279"/>
    </row>
    <row r="383" spans="1:17" s="229" customFormat="1" ht="27.75" hidden="1" customHeight="1" outlineLevel="2">
      <c r="A383" s="857" t="s">
        <v>990</v>
      </c>
      <c r="B383" s="337"/>
      <c r="C383" s="338" t="s">
        <v>618</v>
      </c>
      <c r="D383" s="858" t="s">
        <v>635</v>
      </c>
      <c r="E383" s="859" t="s">
        <v>994</v>
      </c>
      <c r="F383" s="339" t="s">
        <v>621</v>
      </c>
      <c r="G383" s="339"/>
      <c r="H383" s="340">
        <v>55.1</v>
      </c>
      <c r="I383" s="353">
        <f t="shared" si="39"/>
        <v>0</v>
      </c>
      <c r="J383" s="354">
        <f t="shared" si="40"/>
        <v>1250770</v>
      </c>
      <c r="K383" s="276"/>
      <c r="L383" s="277"/>
      <c r="M383" s="277"/>
      <c r="N383" s="277"/>
      <c r="O383" s="277"/>
      <c r="P383" s="279"/>
      <c r="Q383" s="279"/>
    </row>
    <row r="384" spans="1:17" s="229" customFormat="1" ht="27.75" hidden="1" customHeight="1" outlineLevel="2">
      <c r="A384" s="857" t="s">
        <v>990</v>
      </c>
      <c r="B384" s="337"/>
      <c r="C384" s="338" t="s">
        <v>618</v>
      </c>
      <c r="D384" s="858" t="s">
        <v>714</v>
      </c>
      <c r="E384" s="859" t="s">
        <v>742</v>
      </c>
      <c r="F384" s="339" t="s">
        <v>625</v>
      </c>
      <c r="G384" s="339"/>
      <c r="H384" s="340">
        <v>4.5</v>
      </c>
      <c r="I384" s="353">
        <f t="shared" si="39"/>
        <v>0</v>
      </c>
      <c r="J384" s="354">
        <f t="shared" si="40"/>
        <v>102150</v>
      </c>
      <c r="K384" s="276"/>
      <c r="L384" s="277"/>
      <c r="M384" s="277"/>
      <c r="N384" s="277"/>
      <c r="O384" s="277"/>
      <c r="P384" s="279"/>
      <c r="Q384" s="279"/>
    </row>
    <row r="385" spans="1:17" s="229" customFormat="1" ht="27.75" hidden="1" customHeight="1" outlineLevel="2">
      <c r="A385" s="857" t="s">
        <v>990</v>
      </c>
      <c r="B385" s="337"/>
      <c r="C385" s="338" t="s">
        <v>618</v>
      </c>
      <c r="D385" s="858" t="s">
        <v>630</v>
      </c>
      <c r="E385" s="859" t="s">
        <v>995</v>
      </c>
      <c r="F385" s="339" t="s">
        <v>625</v>
      </c>
      <c r="G385" s="339"/>
      <c r="H385" s="340">
        <v>10</v>
      </c>
      <c r="I385" s="353">
        <f t="shared" si="39"/>
        <v>0</v>
      </c>
      <c r="J385" s="354">
        <f t="shared" si="40"/>
        <v>227000</v>
      </c>
      <c r="K385" s="276"/>
      <c r="L385" s="277"/>
      <c r="M385" s="277"/>
      <c r="N385" s="277"/>
      <c r="O385" s="277"/>
      <c r="P385" s="279"/>
      <c r="Q385" s="279"/>
    </row>
    <row r="386" spans="1:17" s="229" customFormat="1" ht="27.75" hidden="1" customHeight="1" outlineLevel="2">
      <c r="A386" s="857" t="s">
        <v>990</v>
      </c>
      <c r="B386" s="337"/>
      <c r="C386" s="338" t="s">
        <v>618</v>
      </c>
      <c r="D386" s="858" t="s">
        <v>611</v>
      </c>
      <c r="E386" s="859" t="s">
        <v>920</v>
      </c>
      <c r="F386" s="339" t="s">
        <v>621</v>
      </c>
      <c r="G386" s="339"/>
      <c r="H386" s="340">
        <v>6</v>
      </c>
      <c r="I386" s="353">
        <f t="shared" si="39"/>
        <v>0</v>
      </c>
      <c r="J386" s="354">
        <f t="shared" si="40"/>
        <v>136200</v>
      </c>
      <c r="K386" s="276"/>
      <c r="L386" s="277"/>
      <c r="M386" s="277"/>
      <c r="N386" s="277"/>
      <c r="O386" s="277"/>
      <c r="P386" s="279"/>
      <c r="Q386" s="279"/>
    </row>
    <row r="387" spans="1:17" s="229" customFormat="1" ht="27.75" hidden="1" customHeight="1" outlineLevel="2">
      <c r="A387" s="866" t="s">
        <v>996</v>
      </c>
      <c r="B387" s="345"/>
      <c r="C387" s="346" t="s">
        <v>618</v>
      </c>
      <c r="D387" s="864" t="s">
        <v>630</v>
      </c>
      <c r="E387" s="865" t="s">
        <v>997</v>
      </c>
      <c r="F387" s="347" t="s">
        <v>625</v>
      </c>
      <c r="G387" s="347"/>
      <c r="H387" s="348">
        <v>0.75</v>
      </c>
      <c r="I387" s="357">
        <f t="shared" si="39"/>
        <v>0</v>
      </c>
      <c r="J387" s="358">
        <f t="shared" si="40"/>
        <v>17025</v>
      </c>
      <c r="K387" s="276"/>
      <c r="L387" s="277"/>
      <c r="M387" s="277"/>
      <c r="N387" s="277"/>
      <c r="O387" s="277"/>
      <c r="P387" s="279"/>
      <c r="Q387" s="279"/>
    </row>
    <row r="388" spans="1:17" s="229" customFormat="1" ht="27.75" hidden="1" customHeight="1" outlineLevel="2">
      <c r="A388" s="867" t="s">
        <v>996</v>
      </c>
      <c r="B388" s="337"/>
      <c r="C388" s="338" t="s">
        <v>618</v>
      </c>
      <c r="D388" s="858" t="s">
        <v>630</v>
      </c>
      <c r="E388" s="859" t="s">
        <v>998</v>
      </c>
      <c r="F388" s="339" t="s">
        <v>625</v>
      </c>
      <c r="G388" s="339"/>
      <c r="H388" s="340">
        <v>0.625</v>
      </c>
      <c r="I388" s="353">
        <f t="shared" si="39"/>
        <v>0</v>
      </c>
      <c r="J388" s="354">
        <f t="shared" si="40"/>
        <v>14187.5</v>
      </c>
      <c r="K388" s="276"/>
      <c r="L388" s="277"/>
      <c r="M388" s="277"/>
      <c r="N388" s="277"/>
      <c r="O388" s="277"/>
      <c r="P388" s="279"/>
      <c r="Q388" s="279"/>
    </row>
    <row r="389" spans="1:17" s="229" customFormat="1" ht="27.75" hidden="1" customHeight="1" outlineLevel="2">
      <c r="A389" s="868" t="s">
        <v>996</v>
      </c>
      <c r="B389" s="341"/>
      <c r="C389" s="342" t="s">
        <v>618</v>
      </c>
      <c r="D389" s="861" t="s">
        <v>630</v>
      </c>
      <c r="E389" s="862" t="s">
        <v>692</v>
      </c>
      <c r="F389" s="343" t="s">
        <v>625</v>
      </c>
      <c r="G389" s="343"/>
      <c r="H389" s="344">
        <v>1.25</v>
      </c>
      <c r="I389" s="361">
        <f t="shared" si="39"/>
        <v>0</v>
      </c>
      <c r="J389" s="362">
        <f t="shared" si="40"/>
        <v>28375</v>
      </c>
      <c r="K389" s="276"/>
      <c r="L389" s="277"/>
      <c r="M389" s="277"/>
      <c r="N389" s="277"/>
      <c r="O389" s="277"/>
      <c r="P389" s="279"/>
      <c r="Q389" s="279"/>
    </row>
    <row r="390" spans="1:17" s="229" customFormat="1" ht="27.75" hidden="1" customHeight="1" outlineLevel="2">
      <c r="A390" s="847" t="s">
        <v>999</v>
      </c>
      <c r="B390" s="306"/>
      <c r="C390" s="307" t="s">
        <v>618</v>
      </c>
      <c r="D390" s="848" t="s">
        <v>635</v>
      </c>
      <c r="E390" s="849" t="s">
        <v>713</v>
      </c>
      <c r="F390" s="308" t="s">
        <v>621</v>
      </c>
      <c r="G390" s="308"/>
      <c r="H390" s="309">
        <v>14</v>
      </c>
      <c r="I390" s="318">
        <f t="shared" si="39"/>
        <v>0</v>
      </c>
      <c r="J390" s="385">
        <f t="shared" si="40"/>
        <v>317800</v>
      </c>
      <c r="K390" s="276"/>
      <c r="L390" s="277"/>
      <c r="M390" s="277"/>
      <c r="N390" s="277"/>
      <c r="O390" s="277"/>
      <c r="P390" s="279"/>
      <c r="Q390" s="279"/>
    </row>
    <row r="391" spans="1:17" s="229" customFormat="1" ht="27.75" hidden="1" customHeight="1" outlineLevel="2">
      <c r="A391" s="850" t="s">
        <v>999</v>
      </c>
      <c r="B391" s="231"/>
      <c r="C391" s="321" t="s">
        <v>618</v>
      </c>
      <c r="D391" s="851" t="s">
        <v>635</v>
      </c>
      <c r="E391" s="852" t="s">
        <v>770</v>
      </c>
      <c r="F391" s="322" t="s">
        <v>638</v>
      </c>
      <c r="G391" s="322"/>
      <c r="H391" s="323">
        <v>40</v>
      </c>
      <c r="I391" s="329">
        <f t="shared" si="39"/>
        <v>0</v>
      </c>
      <c r="J391" s="330">
        <f t="shared" si="40"/>
        <v>908000</v>
      </c>
      <c r="K391" s="276"/>
      <c r="L391" s="277"/>
      <c r="M391" s="277"/>
      <c r="N391" s="277"/>
      <c r="O391" s="277"/>
      <c r="P391" s="279"/>
      <c r="Q391" s="279"/>
    </row>
    <row r="392" spans="1:17" s="229" customFormat="1" ht="27.75" hidden="1" customHeight="1" outlineLevel="2">
      <c r="A392" s="845" t="s">
        <v>1000</v>
      </c>
      <c r="B392" s="287"/>
      <c r="C392" s="326" t="s">
        <v>618</v>
      </c>
      <c r="D392" s="846" t="s">
        <v>611</v>
      </c>
      <c r="E392" s="869" t="s">
        <v>920</v>
      </c>
      <c r="F392" s="366"/>
      <c r="G392" s="366"/>
      <c r="H392" s="367">
        <v>5</v>
      </c>
      <c r="I392" s="386">
        <f t="shared" si="39"/>
        <v>0</v>
      </c>
      <c r="J392" s="332">
        <f t="shared" si="40"/>
        <v>113500</v>
      </c>
      <c r="K392" s="276"/>
      <c r="L392" s="277"/>
      <c r="M392" s="277"/>
      <c r="N392" s="277"/>
      <c r="O392" s="277"/>
      <c r="P392" s="279"/>
      <c r="Q392" s="279"/>
    </row>
    <row r="393" spans="1:17" s="229" customFormat="1" ht="30.75" hidden="1" customHeight="1" outlineLevel="2">
      <c r="A393" s="847" t="s">
        <v>1001</v>
      </c>
      <c r="B393" s="306"/>
      <c r="C393" s="307" t="s">
        <v>618</v>
      </c>
      <c r="D393" s="848" t="s">
        <v>635</v>
      </c>
      <c r="E393" s="849" t="s">
        <v>1002</v>
      </c>
      <c r="F393" s="308"/>
      <c r="G393" s="308">
        <v>3000</v>
      </c>
      <c r="H393" s="368"/>
      <c r="I393" s="387">
        <f t="shared" si="39"/>
        <v>68100000</v>
      </c>
      <c r="J393" s="357">
        <f t="shared" si="40"/>
        <v>0</v>
      </c>
      <c r="K393" s="276"/>
      <c r="L393" s="277"/>
      <c r="M393" s="277"/>
      <c r="N393" s="277"/>
      <c r="O393" s="277"/>
      <c r="P393" s="279"/>
      <c r="Q393" s="279"/>
    </row>
    <row r="394" spans="1:17" s="229" customFormat="1" ht="30.75" hidden="1" customHeight="1" outlineLevel="2">
      <c r="A394" s="833" t="s">
        <v>1001</v>
      </c>
      <c r="B394" s="257"/>
      <c r="C394" s="258" t="s">
        <v>618</v>
      </c>
      <c r="D394" s="838" t="s">
        <v>635</v>
      </c>
      <c r="E394" s="835" t="s">
        <v>1003</v>
      </c>
      <c r="F394" s="254" t="s">
        <v>782</v>
      </c>
      <c r="G394" s="254"/>
      <c r="H394" s="369">
        <v>460</v>
      </c>
      <c r="I394" s="388">
        <f t="shared" ref="I394:I429" si="41">G394*$I$3</f>
        <v>0</v>
      </c>
      <c r="J394" s="353">
        <f t="shared" ref="J394:J405" si="42">H394*$I$3</f>
        <v>10442000</v>
      </c>
      <c r="K394" s="276"/>
      <c r="L394" s="277"/>
      <c r="M394" s="277"/>
      <c r="N394" s="277"/>
      <c r="O394" s="277"/>
      <c r="P394" s="279"/>
      <c r="Q394" s="279"/>
    </row>
    <row r="395" spans="1:17" s="229" customFormat="1" ht="30.75" hidden="1" customHeight="1" outlineLevel="2">
      <c r="A395" s="833" t="s">
        <v>1001</v>
      </c>
      <c r="B395" s="257"/>
      <c r="C395" s="258" t="s">
        <v>618</v>
      </c>
      <c r="D395" s="838" t="s">
        <v>630</v>
      </c>
      <c r="E395" s="835" t="s">
        <v>1004</v>
      </c>
      <c r="F395" s="254" t="s">
        <v>625</v>
      </c>
      <c r="G395" s="254"/>
      <c r="H395" s="369">
        <v>15</v>
      </c>
      <c r="I395" s="388">
        <f t="shared" si="41"/>
        <v>0</v>
      </c>
      <c r="J395" s="353">
        <f t="shared" si="42"/>
        <v>340500</v>
      </c>
      <c r="K395" s="276"/>
      <c r="L395" s="277"/>
      <c r="M395" s="277"/>
      <c r="N395" s="277"/>
      <c r="O395" s="277"/>
      <c r="P395" s="279"/>
      <c r="Q395" s="279"/>
    </row>
    <row r="396" spans="1:17" s="229" customFormat="1" ht="30.75" hidden="1" customHeight="1" outlineLevel="2">
      <c r="A396" s="833" t="s">
        <v>1001</v>
      </c>
      <c r="B396" s="257"/>
      <c r="C396" s="258" t="s">
        <v>618</v>
      </c>
      <c r="D396" s="838" t="s">
        <v>611</v>
      </c>
      <c r="E396" s="835" t="s">
        <v>1005</v>
      </c>
      <c r="F396" s="254" t="s">
        <v>1006</v>
      </c>
      <c r="G396" s="254"/>
      <c r="H396" s="369">
        <v>2.95</v>
      </c>
      <c r="I396" s="388">
        <f t="shared" si="41"/>
        <v>0</v>
      </c>
      <c r="J396" s="353">
        <f t="shared" si="42"/>
        <v>66965</v>
      </c>
      <c r="K396" s="276"/>
      <c r="L396" s="277"/>
      <c r="M396" s="277"/>
      <c r="N396" s="277"/>
      <c r="O396" s="277"/>
      <c r="P396" s="279"/>
      <c r="Q396" s="279"/>
    </row>
    <row r="397" spans="1:17" s="229" customFormat="1" ht="30.75" hidden="1" customHeight="1" outlineLevel="2">
      <c r="A397" s="833" t="s">
        <v>1001</v>
      </c>
      <c r="B397" s="257"/>
      <c r="C397" s="258" t="s">
        <v>618</v>
      </c>
      <c r="D397" s="838" t="s">
        <v>714</v>
      </c>
      <c r="E397" s="835" t="s">
        <v>1007</v>
      </c>
      <c r="F397" s="254" t="s">
        <v>625</v>
      </c>
      <c r="G397" s="254"/>
      <c r="H397" s="369">
        <v>0.38</v>
      </c>
      <c r="I397" s="388">
        <f t="shared" si="41"/>
        <v>0</v>
      </c>
      <c r="J397" s="353">
        <f t="shared" si="42"/>
        <v>8626</v>
      </c>
      <c r="K397" s="276"/>
      <c r="L397" s="277"/>
      <c r="M397" s="277"/>
      <c r="N397" s="277"/>
      <c r="O397" s="277"/>
      <c r="P397" s="279"/>
      <c r="Q397" s="279"/>
    </row>
    <row r="398" spans="1:17" s="229" customFormat="1" ht="30.75" hidden="1" customHeight="1" outlineLevel="2">
      <c r="A398" s="833" t="s">
        <v>1001</v>
      </c>
      <c r="B398" s="257"/>
      <c r="C398" s="258" t="s">
        <v>618</v>
      </c>
      <c r="D398" s="838" t="s">
        <v>714</v>
      </c>
      <c r="E398" s="835" t="s">
        <v>1008</v>
      </c>
      <c r="F398" s="254" t="s">
        <v>625</v>
      </c>
      <c r="G398" s="254"/>
      <c r="H398" s="369">
        <v>0.25</v>
      </c>
      <c r="I398" s="388">
        <f t="shared" si="41"/>
        <v>0</v>
      </c>
      <c r="J398" s="353">
        <f t="shared" si="42"/>
        <v>5675</v>
      </c>
      <c r="K398" s="276"/>
      <c r="L398" s="277"/>
      <c r="M398" s="277"/>
      <c r="N398" s="277"/>
      <c r="O398" s="277"/>
      <c r="P398" s="279"/>
      <c r="Q398" s="279"/>
    </row>
    <row r="399" spans="1:17" s="229" customFormat="1" ht="30.75" hidden="1" customHeight="1" outlineLevel="2">
      <c r="A399" s="833" t="s">
        <v>1001</v>
      </c>
      <c r="B399" s="257"/>
      <c r="C399" s="258" t="s">
        <v>618</v>
      </c>
      <c r="D399" s="838" t="s">
        <v>714</v>
      </c>
      <c r="E399" s="835" t="s">
        <v>1009</v>
      </c>
      <c r="F399" s="254" t="s">
        <v>625</v>
      </c>
      <c r="G399" s="254"/>
      <c r="H399" s="369">
        <v>20</v>
      </c>
      <c r="I399" s="388">
        <f t="shared" si="41"/>
        <v>0</v>
      </c>
      <c r="J399" s="353">
        <f t="shared" si="42"/>
        <v>454000</v>
      </c>
      <c r="K399" s="276"/>
      <c r="L399" s="277"/>
      <c r="M399" s="277"/>
      <c r="N399" s="277"/>
      <c r="O399" s="277"/>
      <c r="P399" s="279"/>
      <c r="Q399" s="279"/>
    </row>
    <row r="400" spans="1:17" s="229" customFormat="1" ht="30.75" hidden="1" customHeight="1" outlineLevel="2">
      <c r="A400" s="833" t="s">
        <v>1001</v>
      </c>
      <c r="B400" s="257"/>
      <c r="C400" s="258" t="s">
        <v>618</v>
      </c>
      <c r="D400" s="838" t="s">
        <v>714</v>
      </c>
      <c r="E400" s="835" t="s">
        <v>1010</v>
      </c>
      <c r="F400" s="254" t="s">
        <v>625</v>
      </c>
      <c r="G400" s="254"/>
      <c r="H400" s="369">
        <v>0.5</v>
      </c>
      <c r="I400" s="388">
        <f t="shared" si="41"/>
        <v>0</v>
      </c>
      <c r="J400" s="353">
        <f t="shared" si="42"/>
        <v>11350</v>
      </c>
      <c r="K400" s="276"/>
      <c r="L400" s="277"/>
      <c r="M400" s="277"/>
      <c r="N400" s="277"/>
      <c r="O400" s="277"/>
      <c r="P400" s="279"/>
      <c r="Q400" s="279"/>
    </row>
    <row r="401" spans="1:17" s="229" customFormat="1" ht="30.75" hidden="1" customHeight="1" outlineLevel="2">
      <c r="A401" s="833" t="s">
        <v>1001</v>
      </c>
      <c r="B401" s="257"/>
      <c r="C401" s="258" t="s">
        <v>618</v>
      </c>
      <c r="D401" s="838" t="s">
        <v>714</v>
      </c>
      <c r="E401" s="835" t="s">
        <v>1011</v>
      </c>
      <c r="F401" s="254" t="s">
        <v>625</v>
      </c>
      <c r="G401" s="254"/>
      <c r="H401" s="369">
        <v>1</v>
      </c>
      <c r="I401" s="388">
        <f t="shared" si="41"/>
        <v>0</v>
      </c>
      <c r="J401" s="353">
        <f t="shared" si="42"/>
        <v>22700</v>
      </c>
      <c r="K401" s="276"/>
      <c r="L401" s="277"/>
      <c r="M401" s="277"/>
      <c r="N401" s="277"/>
      <c r="O401" s="277"/>
      <c r="P401" s="279"/>
      <c r="Q401" s="279"/>
    </row>
    <row r="402" spans="1:17" s="229" customFormat="1" ht="30.75" hidden="1" customHeight="1" outlineLevel="2">
      <c r="A402" s="833" t="s">
        <v>1001</v>
      </c>
      <c r="B402" s="257"/>
      <c r="C402" s="258" t="s">
        <v>618</v>
      </c>
      <c r="D402" s="838" t="s">
        <v>714</v>
      </c>
      <c r="E402" s="835" t="s">
        <v>1012</v>
      </c>
      <c r="F402" s="254" t="s">
        <v>625</v>
      </c>
      <c r="G402" s="254"/>
      <c r="H402" s="369">
        <v>2</v>
      </c>
      <c r="I402" s="388">
        <f t="shared" si="41"/>
        <v>0</v>
      </c>
      <c r="J402" s="353">
        <f t="shared" si="42"/>
        <v>45400</v>
      </c>
      <c r="K402" s="276"/>
      <c r="L402" s="277"/>
      <c r="M402" s="277"/>
      <c r="N402" s="277"/>
      <c r="O402" s="277"/>
      <c r="P402" s="279"/>
      <c r="Q402" s="279"/>
    </row>
    <row r="403" spans="1:17" s="229" customFormat="1" ht="30.75" hidden="1" customHeight="1" outlineLevel="2">
      <c r="A403" s="833" t="s">
        <v>1001</v>
      </c>
      <c r="B403" s="257"/>
      <c r="C403" s="258" t="s">
        <v>618</v>
      </c>
      <c r="D403" s="838" t="s">
        <v>714</v>
      </c>
      <c r="E403" s="835" t="s">
        <v>1013</v>
      </c>
      <c r="F403" s="254" t="s">
        <v>625</v>
      </c>
      <c r="G403" s="254"/>
      <c r="H403" s="369">
        <v>2.2999999999999998</v>
      </c>
      <c r="I403" s="388">
        <f t="shared" si="41"/>
        <v>0</v>
      </c>
      <c r="J403" s="353">
        <f t="shared" si="42"/>
        <v>52209.999999999993</v>
      </c>
      <c r="K403" s="276"/>
      <c r="L403" s="277"/>
      <c r="M403" s="277"/>
      <c r="N403" s="277"/>
      <c r="O403" s="277"/>
      <c r="P403" s="279"/>
      <c r="Q403" s="279"/>
    </row>
    <row r="404" spans="1:17" s="229" customFormat="1" ht="30.75" hidden="1" customHeight="1" outlineLevel="2">
      <c r="A404" s="850" t="s">
        <v>1001</v>
      </c>
      <c r="B404" s="231"/>
      <c r="C404" s="321" t="s">
        <v>618</v>
      </c>
      <c r="D404" s="851" t="s">
        <v>714</v>
      </c>
      <c r="E404" s="852" t="s">
        <v>757</v>
      </c>
      <c r="F404" s="322" t="s">
        <v>621</v>
      </c>
      <c r="G404" s="322"/>
      <c r="H404" s="370">
        <v>3.13</v>
      </c>
      <c r="I404" s="388">
        <f t="shared" si="41"/>
        <v>0</v>
      </c>
      <c r="J404" s="353">
        <f t="shared" si="42"/>
        <v>71051</v>
      </c>
      <c r="K404" s="276"/>
      <c r="L404" s="277"/>
      <c r="M404" s="277"/>
      <c r="N404" s="277"/>
      <c r="O404" s="277"/>
      <c r="P404" s="279"/>
      <c r="Q404" s="279"/>
    </row>
    <row r="405" spans="1:17" s="229" customFormat="1" ht="30.75" hidden="1" customHeight="1" outlineLevel="2">
      <c r="A405" s="833" t="s">
        <v>1014</v>
      </c>
      <c r="B405" s="257"/>
      <c r="C405" s="326" t="s">
        <v>618</v>
      </c>
      <c r="D405" s="838" t="s">
        <v>635</v>
      </c>
      <c r="E405" s="853" t="s">
        <v>1015</v>
      </c>
      <c r="F405" s="327" t="s">
        <v>621</v>
      </c>
      <c r="G405" s="327"/>
      <c r="H405" s="371">
        <v>29.5</v>
      </c>
      <c r="I405" s="357">
        <f t="shared" si="41"/>
        <v>0</v>
      </c>
      <c r="J405" s="389">
        <f t="shared" si="42"/>
        <v>669650</v>
      </c>
      <c r="K405" s="276"/>
      <c r="L405" s="277"/>
      <c r="M405" s="277"/>
      <c r="N405" s="277"/>
      <c r="O405" s="277"/>
      <c r="P405" s="279"/>
      <c r="Q405" s="279"/>
    </row>
    <row r="406" spans="1:17" s="229" customFormat="1" ht="30.75" hidden="1" customHeight="1" outlineLevel="2">
      <c r="A406" s="833" t="s">
        <v>1014</v>
      </c>
      <c r="B406" s="257"/>
      <c r="C406" s="258" t="s">
        <v>618</v>
      </c>
      <c r="D406" s="838" t="s">
        <v>635</v>
      </c>
      <c r="E406" s="835" t="s">
        <v>1016</v>
      </c>
      <c r="F406" s="254" t="s">
        <v>621</v>
      </c>
      <c r="G406" s="254"/>
      <c r="H406" s="369">
        <v>24</v>
      </c>
      <c r="I406" s="353">
        <f t="shared" si="41"/>
        <v>0</v>
      </c>
      <c r="J406" s="390">
        <f t="shared" ref="J406:J429" si="43">H406*$I$3</f>
        <v>544800</v>
      </c>
      <c r="K406" s="276"/>
      <c r="L406" s="277"/>
      <c r="M406" s="277"/>
      <c r="N406" s="277"/>
      <c r="O406" s="277"/>
      <c r="P406" s="279"/>
      <c r="Q406" s="279"/>
    </row>
    <row r="407" spans="1:17" s="229" customFormat="1" ht="30.75" hidden="1" customHeight="1" outlineLevel="2">
      <c r="A407" s="833" t="s">
        <v>1014</v>
      </c>
      <c r="B407" s="257"/>
      <c r="C407" s="258" t="s">
        <v>618</v>
      </c>
      <c r="D407" s="838" t="s">
        <v>635</v>
      </c>
      <c r="E407" s="835" t="s">
        <v>1017</v>
      </c>
      <c r="F407" s="254" t="s">
        <v>621</v>
      </c>
      <c r="G407" s="254"/>
      <c r="H407" s="369">
        <v>62.9</v>
      </c>
      <c r="I407" s="353">
        <f t="shared" si="41"/>
        <v>0</v>
      </c>
      <c r="J407" s="390">
        <f t="shared" si="43"/>
        <v>1427830</v>
      </c>
      <c r="K407" s="276"/>
      <c r="L407" s="277"/>
      <c r="M407" s="277"/>
      <c r="N407" s="277"/>
      <c r="O407" s="277"/>
      <c r="P407" s="279"/>
      <c r="Q407" s="279"/>
    </row>
    <row r="408" spans="1:17" s="229" customFormat="1" ht="30.75" hidden="1" customHeight="1" outlineLevel="2">
      <c r="A408" s="833" t="s">
        <v>1014</v>
      </c>
      <c r="B408" s="257"/>
      <c r="C408" s="258" t="s">
        <v>618</v>
      </c>
      <c r="D408" s="838" t="s">
        <v>611</v>
      </c>
      <c r="E408" s="835" t="s">
        <v>1018</v>
      </c>
      <c r="F408" s="254" t="s">
        <v>782</v>
      </c>
      <c r="G408" s="254"/>
      <c r="H408" s="369">
        <v>650</v>
      </c>
      <c r="I408" s="353">
        <f t="shared" si="41"/>
        <v>0</v>
      </c>
      <c r="J408" s="390">
        <f t="shared" si="43"/>
        <v>14755000</v>
      </c>
      <c r="K408" s="276"/>
      <c r="L408" s="277"/>
      <c r="M408" s="277"/>
      <c r="N408" s="277"/>
      <c r="O408" s="277"/>
      <c r="P408" s="279"/>
      <c r="Q408" s="279"/>
    </row>
    <row r="409" spans="1:17" s="229" customFormat="1" ht="30.75" hidden="1" customHeight="1" outlineLevel="2">
      <c r="A409" s="833" t="s">
        <v>1014</v>
      </c>
      <c r="B409" s="257"/>
      <c r="C409" s="258" t="s">
        <v>618</v>
      </c>
      <c r="D409" s="838" t="s">
        <v>611</v>
      </c>
      <c r="E409" s="835" t="s">
        <v>1019</v>
      </c>
      <c r="F409" s="254" t="s">
        <v>1020</v>
      </c>
      <c r="G409" s="254"/>
      <c r="H409" s="369">
        <v>160.58000000000001</v>
      </c>
      <c r="I409" s="353">
        <f t="shared" si="41"/>
        <v>0</v>
      </c>
      <c r="J409" s="390">
        <f t="shared" si="43"/>
        <v>3645166.0000000005</v>
      </c>
      <c r="K409" s="276"/>
      <c r="L409" s="277"/>
      <c r="M409" s="277"/>
      <c r="N409" s="277"/>
      <c r="O409" s="277"/>
      <c r="P409" s="279"/>
      <c r="Q409" s="279"/>
    </row>
    <row r="410" spans="1:17" s="229" customFormat="1" ht="30.75" hidden="1" customHeight="1" outlineLevel="2">
      <c r="A410" s="833" t="s">
        <v>1014</v>
      </c>
      <c r="B410" s="257"/>
      <c r="C410" s="258" t="s">
        <v>618</v>
      </c>
      <c r="D410" s="838" t="s">
        <v>630</v>
      </c>
      <c r="E410" s="835" t="s">
        <v>1021</v>
      </c>
      <c r="F410" s="254" t="s">
        <v>625</v>
      </c>
      <c r="G410" s="254"/>
      <c r="H410" s="369">
        <v>2</v>
      </c>
      <c r="I410" s="353">
        <f t="shared" si="41"/>
        <v>0</v>
      </c>
      <c r="J410" s="390">
        <f t="shared" si="43"/>
        <v>45400</v>
      </c>
      <c r="K410" s="276"/>
      <c r="L410" s="277"/>
      <c r="M410" s="277"/>
      <c r="N410" s="277"/>
      <c r="O410" s="277"/>
      <c r="P410" s="279"/>
      <c r="Q410" s="279"/>
    </row>
    <row r="411" spans="1:17" s="229" customFormat="1" ht="30.75" hidden="1" customHeight="1" outlineLevel="2">
      <c r="A411" s="833" t="s">
        <v>1014</v>
      </c>
      <c r="B411" s="257"/>
      <c r="C411" s="258" t="s">
        <v>618</v>
      </c>
      <c r="D411" s="838" t="s">
        <v>630</v>
      </c>
      <c r="E411" s="835" t="s">
        <v>1022</v>
      </c>
      <c r="F411" s="254" t="s">
        <v>625</v>
      </c>
      <c r="G411" s="254"/>
      <c r="H411" s="369">
        <v>3.5</v>
      </c>
      <c r="I411" s="353">
        <f t="shared" si="41"/>
        <v>0</v>
      </c>
      <c r="J411" s="390">
        <f t="shared" si="43"/>
        <v>79450</v>
      </c>
      <c r="K411" s="276"/>
      <c r="L411" s="277"/>
      <c r="M411" s="277"/>
      <c r="N411" s="277"/>
      <c r="O411" s="277"/>
      <c r="P411" s="279"/>
      <c r="Q411" s="279"/>
    </row>
    <row r="412" spans="1:17" s="229" customFormat="1" ht="30.75" hidden="1" customHeight="1" outlineLevel="2">
      <c r="A412" s="833" t="s">
        <v>1014</v>
      </c>
      <c r="B412" s="257"/>
      <c r="C412" s="258" t="s">
        <v>618</v>
      </c>
      <c r="D412" s="838" t="s">
        <v>630</v>
      </c>
      <c r="E412" s="835" t="s">
        <v>1023</v>
      </c>
      <c r="F412" s="254" t="s">
        <v>625</v>
      </c>
      <c r="G412" s="254"/>
      <c r="H412" s="369">
        <v>20</v>
      </c>
      <c r="I412" s="353">
        <f t="shared" si="41"/>
        <v>0</v>
      </c>
      <c r="J412" s="390">
        <f t="shared" si="43"/>
        <v>454000</v>
      </c>
      <c r="K412" s="276"/>
      <c r="L412" s="277"/>
      <c r="M412" s="277"/>
      <c r="N412" s="277"/>
      <c r="O412" s="277"/>
      <c r="P412" s="279"/>
      <c r="Q412" s="279"/>
    </row>
    <row r="413" spans="1:17" s="229" customFormat="1" ht="30.75" hidden="1" customHeight="1" outlineLevel="2">
      <c r="A413" s="833" t="s">
        <v>1014</v>
      </c>
      <c r="B413" s="257"/>
      <c r="C413" s="258" t="s">
        <v>618</v>
      </c>
      <c r="D413" s="838" t="s">
        <v>630</v>
      </c>
      <c r="E413" s="835" t="s">
        <v>1023</v>
      </c>
      <c r="F413" s="254" t="s">
        <v>625</v>
      </c>
      <c r="G413" s="254"/>
      <c r="H413" s="369">
        <v>15</v>
      </c>
      <c r="I413" s="353">
        <f t="shared" si="41"/>
        <v>0</v>
      </c>
      <c r="J413" s="390">
        <f t="shared" si="43"/>
        <v>340500</v>
      </c>
      <c r="K413" s="276"/>
      <c r="L413" s="277"/>
      <c r="M413" s="277"/>
      <c r="N413" s="277"/>
      <c r="O413" s="277"/>
      <c r="P413" s="279"/>
      <c r="Q413" s="279"/>
    </row>
    <row r="414" spans="1:17" s="229" customFormat="1" ht="30.75" hidden="1" customHeight="1" outlineLevel="2">
      <c r="A414" s="833" t="s">
        <v>1014</v>
      </c>
      <c r="B414" s="257"/>
      <c r="C414" s="258" t="s">
        <v>618</v>
      </c>
      <c r="D414" s="838" t="s">
        <v>630</v>
      </c>
      <c r="E414" s="835" t="s">
        <v>1024</v>
      </c>
      <c r="F414" s="254" t="s">
        <v>625</v>
      </c>
      <c r="G414" s="254"/>
      <c r="H414" s="369">
        <v>10</v>
      </c>
      <c r="I414" s="353">
        <f t="shared" si="41"/>
        <v>0</v>
      </c>
      <c r="J414" s="390">
        <f t="shared" si="43"/>
        <v>227000</v>
      </c>
      <c r="K414" s="276"/>
      <c r="L414" s="277"/>
      <c r="M414" s="277"/>
      <c r="N414" s="277"/>
      <c r="O414" s="277"/>
      <c r="P414" s="279"/>
      <c r="Q414" s="279"/>
    </row>
    <row r="415" spans="1:17" s="229" customFormat="1" ht="30.75" hidden="1" customHeight="1" outlineLevel="2">
      <c r="A415" s="833" t="s">
        <v>1014</v>
      </c>
      <c r="B415" s="257"/>
      <c r="C415" s="258" t="s">
        <v>618</v>
      </c>
      <c r="D415" s="838" t="s">
        <v>714</v>
      </c>
      <c r="E415" s="835" t="s">
        <v>1025</v>
      </c>
      <c r="F415" s="254" t="s">
        <v>625</v>
      </c>
      <c r="G415" s="254"/>
      <c r="H415" s="369">
        <v>5.5</v>
      </c>
      <c r="I415" s="353">
        <f t="shared" si="41"/>
        <v>0</v>
      </c>
      <c r="J415" s="390">
        <f t="shared" si="43"/>
        <v>124850</v>
      </c>
      <c r="K415" s="276"/>
      <c r="L415" s="277"/>
      <c r="M415" s="277"/>
      <c r="N415" s="277"/>
      <c r="O415" s="277"/>
      <c r="P415" s="279"/>
      <c r="Q415" s="279"/>
    </row>
    <row r="416" spans="1:17" s="229" customFormat="1" ht="30.75" hidden="1" customHeight="1" outlineLevel="2">
      <c r="A416" s="833" t="s">
        <v>1014</v>
      </c>
      <c r="B416" s="257"/>
      <c r="C416" s="258" t="s">
        <v>618</v>
      </c>
      <c r="D416" s="838" t="s">
        <v>714</v>
      </c>
      <c r="E416" s="835" t="s">
        <v>1026</v>
      </c>
      <c r="F416" s="254" t="s">
        <v>625</v>
      </c>
      <c r="G416" s="254"/>
      <c r="H416" s="369">
        <v>7</v>
      </c>
      <c r="I416" s="353">
        <f t="shared" si="41"/>
        <v>0</v>
      </c>
      <c r="J416" s="390">
        <f t="shared" si="43"/>
        <v>158900</v>
      </c>
      <c r="K416" s="276"/>
      <c r="L416" s="277"/>
      <c r="M416" s="277"/>
      <c r="N416" s="277"/>
      <c r="O416" s="277"/>
      <c r="P416" s="279"/>
      <c r="Q416" s="279"/>
    </row>
    <row r="417" spans="1:17" s="229" customFormat="1" ht="30.75" hidden="1" customHeight="1" outlineLevel="2">
      <c r="A417" s="833" t="s">
        <v>1014</v>
      </c>
      <c r="B417" s="257"/>
      <c r="C417" s="258" t="s">
        <v>618</v>
      </c>
      <c r="D417" s="838" t="s">
        <v>714</v>
      </c>
      <c r="E417" s="835" t="s">
        <v>1027</v>
      </c>
      <c r="F417" s="254" t="s">
        <v>625</v>
      </c>
      <c r="G417" s="254"/>
      <c r="H417" s="369">
        <v>3.5</v>
      </c>
      <c r="I417" s="353">
        <f t="shared" si="41"/>
        <v>0</v>
      </c>
      <c r="J417" s="390">
        <f t="shared" si="43"/>
        <v>79450</v>
      </c>
      <c r="K417" s="276"/>
      <c r="L417" s="277"/>
      <c r="M417" s="277"/>
      <c r="N417" s="277"/>
      <c r="O417" s="277"/>
      <c r="P417" s="279"/>
      <c r="Q417" s="279"/>
    </row>
    <row r="418" spans="1:17" s="229" customFormat="1" ht="30.75" hidden="1" customHeight="1" outlineLevel="2">
      <c r="A418" s="833" t="s">
        <v>1014</v>
      </c>
      <c r="B418" s="257"/>
      <c r="C418" s="258" t="s">
        <v>618</v>
      </c>
      <c r="D418" s="838" t="s">
        <v>714</v>
      </c>
      <c r="E418" s="835" t="s">
        <v>1028</v>
      </c>
      <c r="F418" s="254" t="s">
        <v>625</v>
      </c>
      <c r="G418" s="254"/>
      <c r="H418" s="369">
        <v>1.75</v>
      </c>
      <c r="I418" s="353">
        <f t="shared" si="41"/>
        <v>0</v>
      </c>
      <c r="J418" s="390">
        <f t="shared" si="43"/>
        <v>39725</v>
      </c>
      <c r="K418" s="276"/>
      <c r="L418" s="277"/>
      <c r="M418" s="277"/>
      <c r="N418" s="277"/>
      <c r="O418" s="277"/>
      <c r="P418" s="279"/>
      <c r="Q418" s="279"/>
    </row>
    <row r="419" spans="1:17" s="229" customFormat="1" ht="30.75" hidden="1" customHeight="1" outlineLevel="2">
      <c r="A419" s="833" t="s">
        <v>1014</v>
      </c>
      <c r="B419" s="257"/>
      <c r="C419" s="258" t="s">
        <v>618</v>
      </c>
      <c r="D419" s="838" t="s">
        <v>714</v>
      </c>
      <c r="E419" s="835" t="s">
        <v>1029</v>
      </c>
      <c r="F419" s="254" t="s">
        <v>625</v>
      </c>
      <c r="G419" s="254"/>
      <c r="H419" s="369">
        <v>0.63</v>
      </c>
      <c r="I419" s="353">
        <f t="shared" si="41"/>
        <v>0</v>
      </c>
      <c r="J419" s="390">
        <f t="shared" si="43"/>
        <v>14301</v>
      </c>
      <c r="K419" s="276"/>
      <c r="L419" s="277"/>
      <c r="M419" s="277"/>
      <c r="N419" s="277"/>
      <c r="O419" s="277"/>
      <c r="P419" s="279"/>
      <c r="Q419" s="279"/>
    </row>
    <row r="420" spans="1:17" s="229" customFormat="1" ht="30.75" hidden="1" customHeight="1" outlineLevel="2">
      <c r="A420" s="833" t="s">
        <v>1014</v>
      </c>
      <c r="B420" s="257"/>
      <c r="C420" s="258" t="s">
        <v>618</v>
      </c>
      <c r="D420" s="838" t="s">
        <v>714</v>
      </c>
      <c r="E420" s="835" t="s">
        <v>1030</v>
      </c>
      <c r="F420" s="254" t="s">
        <v>625</v>
      </c>
      <c r="G420" s="254"/>
      <c r="H420" s="369">
        <v>5</v>
      </c>
      <c r="I420" s="353">
        <f t="shared" si="41"/>
        <v>0</v>
      </c>
      <c r="J420" s="390">
        <f t="shared" si="43"/>
        <v>113500</v>
      </c>
      <c r="K420" s="276"/>
      <c r="L420" s="277"/>
      <c r="M420" s="277"/>
      <c r="N420" s="277"/>
      <c r="O420" s="277"/>
      <c r="P420" s="279"/>
      <c r="Q420" s="279"/>
    </row>
    <row r="421" spans="1:17" s="229" customFormat="1" ht="30.75" hidden="1" customHeight="1" outlineLevel="2">
      <c r="A421" s="870" t="s">
        <v>1001</v>
      </c>
      <c r="B421" s="257"/>
      <c r="C421" s="258" t="s">
        <v>618</v>
      </c>
      <c r="D421" s="838" t="s">
        <v>630</v>
      </c>
      <c r="E421" s="835" t="s">
        <v>1004</v>
      </c>
      <c r="F421" s="254" t="s">
        <v>625</v>
      </c>
      <c r="G421" s="254"/>
      <c r="H421" s="369">
        <v>15</v>
      </c>
      <c r="I421" s="353">
        <f t="shared" si="41"/>
        <v>0</v>
      </c>
      <c r="J421" s="390">
        <f t="shared" si="43"/>
        <v>340500</v>
      </c>
      <c r="K421" s="276"/>
      <c r="L421" s="277"/>
      <c r="M421" s="277"/>
      <c r="N421" s="277"/>
      <c r="O421" s="277"/>
      <c r="P421" s="279"/>
      <c r="Q421" s="279"/>
    </row>
    <row r="422" spans="1:17" s="229" customFormat="1" ht="30.75" hidden="1" customHeight="1" outlineLevel="2">
      <c r="A422" s="870" t="s">
        <v>1001</v>
      </c>
      <c r="B422" s="257"/>
      <c r="C422" s="258" t="s">
        <v>618</v>
      </c>
      <c r="D422" s="838" t="s">
        <v>630</v>
      </c>
      <c r="E422" s="835" t="s">
        <v>1031</v>
      </c>
      <c r="F422" s="254" t="s">
        <v>625</v>
      </c>
      <c r="G422" s="254"/>
      <c r="H422" s="369">
        <v>12.5</v>
      </c>
      <c r="I422" s="353">
        <f t="shared" si="41"/>
        <v>0</v>
      </c>
      <c r="J422" s="390">
        <f t="shared" si="43"/>
        <v>283750</v>
      </c>
      <c r="K422" s="276"/>
      <c r="L422" s="277"/>
      <c r="M422" s="277"/>
      <c r="N422" s="277"/>
      <c r="O422" s="277"/>
      <c r="P422" s="279"/>
      <c r="Q422" s="279"/>
    </row>
    <row r="423" spans="1:17" s="229" customFormat="1" ht="30.75" hidden="1" customHeight="1" outlineLevel="2">
      <c r="A423" s="845" t="s">
        <v>1014</v>
      </c>
      <c r="B423" s="287"/>
      <c r="C423" s="258" t="s">
        <v>618</v>
      </c>
      <c r="D423" s="846" t="s">
        <v>611</v>
      </c>
      <c r="E423" s="837" t="s">
        <v>920</v>
      </c>
      <c r="F423" s="288" t="s">
        <v>621</v>
      </c>
      <c r="G423" s="288"/>
      <c r="H423" s="372">
        <v>15</v>
      </c>
      <c r="I423" s="353">
        <f t="shared" si="41"/>
        <v>0</v>
      </c>
      <c r="J423" s="391">
        <f t="shared" si="43"/>
        <v>340500</v>
      </c>
      <c r="K423" s="276"/>
      <c r="L423" s="277"/>
      <c r="M423" s="277"/>
      <c r="N423" s="277"/>
      <c r="O423" s="277"/>
      <c r="P423" s="279"/>
      <c r="Q423" s="279"/>
    </row>
    <row r="424" spans="1:17" s="229" customFormat="1" ht="30.75" hidden="1" customHeight="1" outlineLevel="2">
      <c r="A424" s="863" t="s">
        <v>1032</v>
      </c>
      <c r="B424" s="345"/>
      <c r="C424" s="346" t="s">
        <v>618</v>
      </c>
      <c r="D424" s="864" t="s">
        <v>635</v>
      </c>
      <c r="E424" s="865" t="s">
        <v>1033</v>
      </c>
      <c r="F424" s="347" t="s">
        <v>621</v>
      </c>
      <c r="G424" s="347"/>
      <c r="H424" s="348">
        <v>14.1</v>
      </c>
      <c r="I424" s="387">
        <f t="shared" si="41"/>
        <v>0</v>
      </c>
      <c r="J424" s="357">
        <f t="shared" si="43"/>
        <v>320070</v>
      </c>
      <c r="K424" s="276"/>
      <c r="L424" s="277"/>
      <c r="M424" s="277"/>
      <c r="N424" s="277"/>
      <c r="O424" s="277"/>
      <c r="P424" s="279"/>
      <c r="Q424" s="279"/>
    </row>
    <row r="425" spans="1:17" s="229" customFormat="1" ht="30.75" hidden="1" customHeight="1" outlineLevel="2">
      <c r="A425" s="857" t="s">
        <v>1032</v>
      </c>
      <c r="B425" s="337"/>
      <c r="C425" s="338" t="s">
        <v>618</v>
      </c>
      <c r="D425" s="858" t="s">
        <v>635</v>
      </c>
      <c r="E425" s="859" t="s">
        <v>770</v>
      </c>
      <c r="F425" s="339" t="s">
        <v>638</v>
      </c>
      <c r="G425" s="339"/>
      <c r="H425" s="340">
        <v>40</v>
      </c>
      <c r="I425" s="388">
        <f t="shared" si="41"/>
        <v>0</v>
      </c>
      <c r="J425" s="353">
        <f t="shared" si="43"/>
        <v>908000</v>
      </c>
      <c r="K425" s="276"/>
      <c r="L425" s="277"/>
      <c r="M425" s="277"/>
      <c r="N425" s="277"/>
      <c r="O425" s="277"/>
      <c r="P425" s="279"/>
      <c r="Q425" s="279"/>
    </row>
    <row r="426" spans="1:17" s="229" customFormat="1" ht="30.75" hidden="1" customHeight="1" outlineLevel="2">
      <c r="A426" s="857" t="s">
        <v>1032</v>
      </c>
      <c r="B426" s="337"/>
      <c r="C426" s="338" t="s">
        <v>618</v>
      </c>
      <c r="D426" s="858" t="s">
        <v>635</v>
      </c>
      <c r="E426" s="859" t="s">
        <v>1034</v>
      </c>
      <c r="F426" s="339" t="s">
        <v>621</v>
      </c>
      <c r="G426" s="339"/>
      <c r="H426" s="340">
        <v>17</v>
      </c>
      <c r="I426" s="388">
        <f t="shared" si="41"/>
        <v>0</v>
      </c>
      <c r="J426" s="353">
        <f t="shared" si="43"/>
        <v>385900</v>
      </c>
      <c r="K426" s="276"/>
      <c r="L426" s="277"/>
      <c r="M426" s="277"/>
      <c r="N426" s="277"/>
      <c r="O426" s="277"/>
      <c r="P426" s="279"/>
      <c r="Q426" s="279"/>
    </row>
    <row r="427" spans="1:17" s="229" customFormat="1" ht="30.75" hidden="1" customHeight="1" outlineLevel="2">
      <c r="A427" s="857" t="s">
        <v>1032</v>
      </c>
      <c r="B427" s="337"/>
      <c r="C427" s="338" t="s">
        <v>618</v>
      </c>
      <c r="D427" s="858" t="s">
        <v>635</v>
      </c>
      <c r="E427" s="859" t="s">
        <v>1029</v>
      </c>
      <c r="F427" s="339" t="s">
        <v>625</v>
      </c>
      <c r="G427" s="339"/>
      <c r="H427" s="340">
        <v>0.6</v>
      </c>
      <c r="I427" s="388">
        <f t="shared" si="41"/>
        <v>0</v>
      </c>
      <c r="J427" s="353">
        <f t="shared" si="43"/>
        <v>13620</v>
      </c>
      <c r="K427" s="276"/>
      <c r="L427" s="277"/>
      <c r="M427" s="277"/>
      <c r="N427" s="277"/>
      <c r="O427" s="277"/>
      <c r="P427" s="279"/>
      <c r="Q427" s="279"/>
    </row>
    <row r="428" spans="1:17" s="229" customFormat="1" ht="30.75" hidden="1" customHeight="1" outlineLevel="2">
      <c r="A428" s="860" t="s">
        <v>1032</v>
      </c>
      <c r="B428" s="341"/>
      <c r="C428" s="342" t="s">
        <v>618</v>
      </c>
      <c r="D428" s="861" t="s">
        <v>635</v>
      </c>
      <c r="E428" s="862" t="s">
        <v>1035</v>
      </c>
      <c r="F428" s="343" t="s">
        <v>625</v>
      </c>
      <c r="G428" s="343"/>
      <c r="H428" s="344">
        <v>2.9</v>
      </c>
      <c r="I428" s="388">
        <f t="shared" si="41"/>
        <v>0</v>
      </c>
      <c r="J428" s="353">
        <f t="shared" si="43"/>
        <v>65830</v>
      </c>
      <c r="K428" s="276"/>
      <c r="L428" s="277"/>
      <c r="M428" s="277"/>
      <c r="N428" s="277"/>
      <c r="O428" s="277"/>
      <c r="P428" s="279"/>
      <c r="Q428" s="279"/>
    </row>
    <row r="429" spans="1:17" s="229" customFormat="1" ht="30.75" hidden="1" customHeight="1" outlineLevel="2">
      <c r="A429" s="847" t="s">
        <v>1036</v>
      </c>
      <c r="B429" s="306"/>
      <c r="C429" s="307" t="s">
        <v>618</v>
      </c>
      <c r="D429" s="848" t="s">
        <v>635</v>
      </c>
      <c r="E429" s="871" t="s">
        <v>1037</v>
      </c>
      <c r="F429" s="373" t="s">
        <v>621</v>
      </c>
      <c r="G429" s="373"/>
      <c r="H429" s="374">
        <v>32.5</v>
      </c>
      <c r="I429" s="387">
        <f t="shared" si="41"/>
        <v>0</v>
      </c>
      <c r="J429" s="357">
        <f t="shared" si="43"/>
        <v>737750</v>
      </c>
      <c r="K429" s="276"/>
      <c r="L429" s="277"/>
      <c r="M429" s="277"/>
      <c r="N429" s="277"/>
      <c r="O429" s="277"/>
      <c r="P429" s="279"/>
      <c r="Q429" s="279"/>
    </row>
    <row r="430" spans="1:17" s="229" customFormat="1" ht="30.75" hidden="1" customHeight="1" outlineLevel="2">
      <c r="A430" s="833" t="s">
        <v>1036</v>
      </c>
      <c r="B430" s="257"/>
      <c r="C430" s="258" t="s">
        <v>618</v>
      </c>
      <c r="D430" s="838" t="s">
        <v>714</v>
      </c>
      <c r="E430" s="872" t="s">
        <v>1038</v>
      </c>
      <c r="F430" s="375" t="s">
        <v>625</v>
      </c>
      <c r="G430" s="375"/>
      <c r="H430" s="376">
        <v>2</v>
      </c>
      <c r="I430" s="388">
        <f t="shared" ref="I430:I447" si="44">G430*$I$3</f>
        <v>0</v>
      </c>
      <c r="J430" s="353">
        <f t="shared" ref="J430:J447" si="45">H430*$I$3</f>
        <v>45400</v>
      </c>
      <c r="K430" s="276"/>
      <c r="L430" s="277"/>
      <c r="M430" s="277"/>
      <c r="N430" s="277"/>
      <c r="O430" s="277"/>
      <c r="P430" s="279"/>
      <c r="Q430" s="279"/>
    </row>
    <row r="431" spans="1:17" s="229" customFormat="1" ht="30.75" hidden="1" customHeight="1" outlineLevel="2">
      <c r="A431" s="833" t="s">
        <v>1036</v>
      </c>
      <c r="B431" s="257"/>
      <c r="C431" s="258" t="s">
        <v>618</v>
      </c>
      <c r="D431" s="838" t="s">
        <v>714</v>
      </c>
      <c r="E431" s="872" t="s">
        <v>1039</v>
      </c>
      <c r="F431" s="375" t="s">
        <v>625</v>
      </c>
      <c r="G431" s="375"/>
      <c r="H431" s="376">
        <v>1.25</v>
      </c>
      <c r="I431" s="388">
        <f t="shared" si="44"/>
        <v>0</v>
      </c>
      <c r="J431" s="353">
        <f t="shared" si="45"/>
        <v>28375</v>
      </c>
      <c r="K431" s="276"/>
      <c r="L431" s="277"/>
      <c r="M431" s="277"/>
      <c r="N431" s="277"/>
      <c r="O431" s="277"/>
      <c r="P431" s="279"/>
      <c r="Q431" s="279"/>
    </row>
    <row r="432" spans="1:17" s="229" customFormat="1" ht="30.75" hidden="1" customHeight="1" outlineLevel="2">
      <c r="A432" s="833" t="s">
        <v>1036</v>
      </c>
      <c r="B432" s="257"/>
      <c r="C432" s="258" t="s">
        <v>618</v>
      </c>
      <c r="D432" s="838" t="s">
        <v>714</v>
      </c>
      <c r="E432" s="872" t="s">
        <v>1040</v>
      </c>
      <c r="F432" s="375" t="s">
        <v>625</v>
      </c>
      <c r="G432" s="375"/>
      <c r="H432" s="376">
        <v>0.625</v>
      </c>
      <c r="I432" s="388">
        <f t="shared" si="44"/>
        <v>0</v>
      </c>
      <c r="J432" s="353">
        <f t="shared" si="45"/>
        <v>14187.5</v>
      </c>
      <c r="K432" s="276"/>
      <c r="L432" s="277"/>
      <c r="M432" s="277"/>
      <c r="N432" s="277"/>
      <c r="O432" s="277"/>
      <c r="P432" s="279"/>
      <c r="Q432" s="279"/>
    </row>
    <row r="433" spans="1:17" s="229" customFormat="1" ht="30.75" hidden="1" customHeight="1" outlineLevel="2">
      <c r="A433" s="833" t="s">
        <v>1036</v>
      </c>
      <c r="B433" s="257"/>
      <c r="C433" s="258" t="s">
        <v>618</v>
      </c>
      <c r="D433" s="838" t="s">
        <v>714</v>
      </c>
      <c r="E433" s="872" t="s">
        <v>1041</v>
      </c>
      <c r="F433" s="375" t="s">
        <v>625</v>
      </c>
      <c r="G433" s="375"/>
      <c r="H433" s="376">
        <v>2.5</v>
      </c>
      <c r="I433" s="388">
        <f t="shared" si="44"/>
        <v>0</v>
      </c>
      <c r="J433" s="353">
        <f t="shared" si="45"/>
        <v>56750</v>
      </c>
      <c r="K433" s="276"/>
      <c r="L433" s="277"/>
      <c r="M433" s="277"/>
      <c r="N433" s="277"/>
      <c r="O433" s="277"/>
      <c r="P433" s="279"/>
      <c r="Q433" s="279"/>
    </row>
    <row r="434" spans="1:17" s="229" customFormat="1" ht="30.75" hidden="1" customHeight="1" outlineLevel="2">
      <c r="A434" s="833" t="s">
        <v>1036</v>
      </c>
      <c r="B434" s="257"/>
      <c r="C434" s="258" t="s">
        <v>618</v>
      </c>
      <c r="D434" s="838" t="s">
        <v>714</v>
      </c>
      <c r="E434" s="872" t="s">
        <v>1042</v>
      </c>
      <c r="F434" s="375" t="s">
        <v>625</v>
      </c>
      <c r="G434" s="375"/>
      <c r="H434" s="376">
        <v>1.25</v>
      </c>
      <c r="I434" s="388">
        <f t="shared" si="44"/>
        <v>0</v>
      </c>
      <c r="J434" s="353">
        <f t="shared" si="45"/>
        <v>28375</v>
      </c>
      <c r="K434" s="276"/>
      <c r="L434" s="277"/>
      <c r="M434" s="277"/>
      <c r="N434" s="277"/>
      <c r="O434" s="277"/>
      <c r="P434" s="279"/>
      <c r="Q434" s="279"/>
    </row>
    <row r="435" spans="1:17" s="229" customFormat="1" ht="30.75" hidden="1" customHeight="1" outlineLevel="2">
      <c r="A435" s="833" t="s">
        <v>1036</v>
      </c>
      <c r="B435" s="257"/>
      <c r="C435" s="258" t="s">
        <v>618</v>
      </c>
      <c r="D435" s="838" t="s">
        <v>714</v>
      </c>
      <c r="E435" s="872" t="s">
        <v>1043</v>
      </c>
      <c r="F435" s="375" t="s">
        <v>625</v>
      </c>
      <c r="G435" s="375"/>
      <c r="H435" s="376">
        <v>1.5</v>
      </c>
      <c r="I435" s="388">
        <f t="shared" si="44"/>
        <v>0</v>
      </c>
      <c r="J435" s="353">
        <f t="shared" si="45"/>
        <v>34050</v>
      </c>
      <c r="K435" s="276"/>
      <c r="L435" s="277"/>
      <c r="M435" s="277"/>
      <c r="N435" s="277"/>
      <c r="O435" s="277"/>
      <c r="P435" s="279"/>
      <c r="Q435" s="279"/>
    </row>
    <row r="436" spans="1:17" s="229" customFormat="1" ht="30.75" hidden="1" customHeight="1" outlineLevel="2">
      <c r="A436" s="833" t="s">
        <v>1036</v>
      </c>
      <c r="B436" s="257"/>
      <c r="C436" s="258" t="s">
        <v>618</v>
      </c>
      <c r="D436" s="838" t="s">
        <v>714</v>
      </c>
      <c r="E436" s="872" t="s">
        <v>1044</v>
      </c>
      <c r="F436" s="375" t="s">
        <v>625</v>
      </c>
      <c r="G436" s="375"/>
      <c r="H436" s="376">
        <v>16</v>
      </c>
      <c r="I436" s="388">
        <f t="shared" si="44"/>
        <v>0</v>
      </c>
      <c r="J436" s="353">
        <f t="shared" si="45"/>
        <v>363200</v>
      </c>
      <c r="K436" s="276"/>
      <c r="L436" s="277"/>
      <c r="M436" s="277"/>
      <c r="N436" s="277"/>
      <c r="O436" s="277"/>
      <c r="P436" s="279"/>
      <c r="Q436" s="279"/>
    </row>
    <row r="437" spans="1:17" s="229" customFormat="1" ht="30.75" hidden="1" customHeight="1" outlineLevel="2">
      <c r="A437" s="833" t="s">
        <v>1036</v>
      </c>
      <c r="B437" s="257"/>
      <c r="C437" s="258" t="s">
        <v>618</v>
      </c>
      <c r="D437" s="838" t="s">
        <v>714</v>
      </c>
      <c r="E437" s="872" t="s">
        <v>1043</v>
      </c>
      <c r="F437" s="375" t="s">
        <v>625</v>
      </c>
      <c r="G437" s="375"/>
      <c r="H437" s="376">
        <v>1.5</v>
      </c>
      <c r="I437" s="388">
        <f t="shared" si="44"/>
        <v>0</v>
      </c>
      <c r="J437" s="353">
        <f t="shared" si="45"/>
        <v>34050</v>
      </c>
      <c r="K437" s="276"/>
      <c r="L437" s="277"/>
      <c r="M437" s="277"/>
      <c r="N437" s="277"/>
      <c r="O437" s="277"/>
      <c r="P437" s="279"/>
      <c r="Q437" s="279"/>
    </row>
    <row r="438" spans="1:17" s="229" customFormat="1" ht="30.75" hidden="1" customHeight="1" outlineLevel="2">
      <c r="A438" s="833" t="s">
        <v>1036</v>
      </c>
      <c r="B438" s="257"/>
      <c r="C438" s="258" t="s">
        <v>618</v>
      </c>
      <c r="D438" s="838" t="s">
        <v>714</v>
      </c>
      <c r="E438" s="872" t="s">
        <v>1045</v>
      </c>
      <c r="F438" s="375" t="s">
        <v>625</v>
      </c>
      <c r="G438" s="375"/>
      <c r="H438" s="376">
        <v>6</v>
      </c>
      <c r="I438" s="388">
        <f t="shared" si="44"/>
        <v>0</v>
      </c>
      <c r="J438" s="353">
        <f t="shared" si="45"/>
        <v>136200</v>
      </c>
      <c r="K438" s="276"/>
      <c r="L438" s="277"/>
      <c r="M438" s="277"/>
      <c r="N438" s="277"/>
      <c r="O438" s="277"/>
      <c r="P438" s="279"/>
      <c r="Q438" s="279"/>
    </row>
    <row r="439" spans="1:17" s="229" customFormat="1" ht="30.75" hidden="1" customHeight="1" outlineLevel="2">
      <c r="A439" s="833" t="s">
        <v>1036</v>
      </c>
      <c r="B439" s="257"/>
      <c r="C439" s="258" t="s">
        <v>618</v>
      </c>
      <c r="D439" s="838" t="s">
        <v>714</v>
      </c>
      <c r="E439" s="872" t="s">
        <v>1046</v>
      </c>
      <c r="F439" s="375" t="s">
        <v>625</v>
      </c>
      <c r="G439" s="375"/>
      <c r="H439" s="376">
        <v>0.5</v>
      </c>
      <c r="I439" s="388">
        <f t="shared" si="44"/>
        <v>0</v>
      </c>
      <c r="J439" s="353">
        <f t="shared" si="45"/>
        <v>11350</v>
      </c>
      <c r="K439" s="276"/>
      <c r="L439" s="277"/>
      <c r="M439" s="277"/>
      <c r="N439" s="277"/>
      <c r="O439" s="277"/>
      <c r="P439" s="279"/>
      <c r="Q439" s="279"/>
    </row>
    <row r="440" spans="1:17" s="229" customFormat="1" ht="30.75" hidden="1" customHeight="1" outlineLevel="2">
      <c r="A440" s="833" t="s">
        <v>1036</v>
      </c>
      <c r="B440" s="257"/>
      <c r="C440" s="258" t="s">
        <v>618</v>
      </c>
      <c r="D440" s="838" t="s">
        <v>714</v>
      </c>
      <c r="E440" s="872" t="s">
        <v>1045</v>
      </c>
      <c r="F440" s="375" t="s">
        <v>625</v>
      </c>
      <c r="G440" s="375"/>
      <c r="H440" s="376">
        <v>1.5</v>
      </c>
      <c r="I440" s="388">
        <f t="shared" si="44"/>
        <v>0</v>
      </c>
      <c r="J440" s="353">
        <f t="shared" si="45"/>
        <v>34050</v>
      </c>
      <c r="K440" s="276"/>
      <c r="L440" s="277"/>
      <c r="M440" s="277"/>
      <c r="N440" s="277"/>
      <c r="O440" s="277"/>
      <c r="P440" s="279"/>
      <c r="Q440" s="279"/>
    </row>
    <row r="441" spans="1:17" s="229" customFormat="1" ht="30.75" hidden="1" customHeight="1" outlineLevel="2">
      <c r="A441" s="833" t="s">
        <v>1036</v>
      </c>
      <c r="B441" s="257"/>
      <c r="C441" s="258" t="s">
        <v>618</v>
      </c>
      <c r="D441" s="838" t="s">
        <v>714</v>
      </c>
      <c r="E441" s="872" t="s">
        <v>1047</v>
      </c>
      <c r="F441" s="375" t="s">
        <v>625</v>
      </c>
      <c r="G441" s="375"/>
      <c r="H441" s="376">
        <v>16</v>
      </c>
      <c r="I441" s="388">
        <f t="shared" si="44"/>
        <v>0</v>
      </c>
      <c r="J441" s="353">
        <f t="shared" si="45"/>
        <v>363200</v>
      </c>
      <c r="K441" s="276"/>
      <c r="L441" s="277"/>
      <c r="M441" s="277"/>
      <c r="N441" s="277"/>
      <c r="O441" s="277"/>
      <c r="P441" s="279"/>
      <c r="Q441" s="279"/>
    </row>
    <row r="442" spans="1:17" s="229" customFormat="1" ht="30.75" hidden="1" customHeight="1" outlineLevel="2">
      <c r="A442" s="833" t="s">
        <v>1036</v>
      </c>
      <c r="B442" s="257"/>
      <c r="C442" s="258" t="s">
        <v>618</v>
      </c>
      <c r="D442" s="838" t="s">
        <v>714</v>
      </c>
      <c r="E442" s="872" t="s">
        <v>998</v>
      </c>
      <c r="F442" s="375" t="s">
        <v>625</v>
      </c>
      <c r="G442" s="375"/>
      <c r="H442" s="376">
        <v>1</v>
      </c>
      <c r="I442" s="388">
        <f t="shared" si="44"/>
        <v>0</v>
      </c>
      <c r="J442" s="353">
        <f t="shared" si="45"/>
        <v>22700</v>
      </c>
      <c r="K442" s="276"/>
      <c r="L442" s="277"/>
      <c r="M442" s="277"/>
      <c r="N442" s="277"/>
      <c r="O442" s="277"/>
      <c r="P442" s="279"/>
      <c r="Q442" s="279"/>
    </row>
    <row r="443" spans="1:17" s="229" customFormat="1" ht="30.75" hidden="1" customHeight="1" outlineLevel="2">
      <c r="A443" s="833" t="s">
        <v>1036</v>
      </c>
      <c r="B443" s="257"/>
      <c r="C443" s="258" t="s">
        <v>618</v>
      </c>
      <c r="D443" s="838" t="s">
        <v>630</v>
      </c>
      <c r="E443" s="872" t="s">
        <v>1048</v>
      </c>
      <c r="F443" s="375" t="s">
        <v>625</v>
      </c>
      <c r="G443" s="375"/>
      <c r="H443" s="376">
        <v>15</v>
      </c>
      <c r="I443" s="388">
        <f t="shared" si="44"/>
        <v>0</v>
      </c>
      <c r="J443" s="353">
        <f t="shared" si="45"/>
        <v>340500</v>
      </c>
      <c r="K443" s="276"/>
      <c r="L443" s="277"/>
      <c r="M443" s="277"/>
      <c r="N443" s="277"/>
      <c r="O443" s="277"/>
      <c r="P443" s="279"/>
      <c r="Q443" s="279"/>
    </row>
    <row r="444" spans="1:17" s="229" customFormat="1" ht="30.75" hidden="1" customHeight="1" outlineLevel="2">
      <c r="A444" s="833" t="s">
        <v>1036</v>
      </c>
      <c r="B444" s="257"/>
      <c r="C444" s="258" t="s">
        <v>618</v>
      </c>
      <c r="D444" s="838" t="s">
        <v>611</v>
      </c>
      <c r="E444" s="872" t="s">
        <v>920</v>
      </c>
      <c r="F444" s="375" t="s">
        <v>621</v>
      </c>
      <c r="G444" s="375"/>
      <c r="H444" s="376">
        <v>7</v>
      </c>
      <c r="I444" s="388">
        <f t="shared" si="44"/>
        <v>0</v>
      </c>
      <c r="J444" s="353">
        <f t="shared" si="45"/>
        <v>158900</v>
      </c>
      <c r="K444" s="276"/>
      <c r="L444" s="277"/>
      <c r="M444" s="277"/>
      <c r="N444" s="277"/>
      <c r="O444" s="277"/>
      <c r="P444" s="279"/>
      <c r="Q444" s="279"/>
    </row>
    <row r="445" spans="1:17" s="229" customFormat="1" ht="30.75" hidden="1" customHeight="1" outlineLevel="2">
      <c r="A445" s="833" t="s">
        <v>1036</v>
      </c>
      <c r="B445" s="257"/>
      <c r="C445" s="258" t="s">
        <v>618</v>
      </c>
      <c r="D445" s="838" t="s">
        <v>714</v>
      </c>
      <c r="E445" s="872" t="s">
        <v>920</v>
      </c>
      <c r="F445" s="375" t="s">
        <v>621</v>
      </c>
      <c r="G445" s="375"/>
      <c r="H445" s="376">
        <v>2</v>
      </c>
      <c r="I445" s="388">
        <f t="shared" si="44"/>
        <v>0</v>
      </c>
      <c r="J445" s="353">
        <f t="shared" si="45"/>
        <v>45400</v>
      </c>
      <c r="K445" s="276"/>
      <c r="L445" s="277"/>
      <c r="M445" s="277"/>
      <c r="N445" s="277"/>
      <c r="O445" s="277"/>
      <c r="P445" s="279"/>
      <c r="Q445" s="279"/>
    </row>
    <row r="446" spans="1:17" s="229" customFormat="1" ht="30.75" hidden="1" customHeight="1" outlineLevel="2">
      <c r="A446" s="850" t="s">
        <v>1036</v>
      </c>
      <c r="B446" s="231"/>
      <c r="C446" s="321" t="s">
        <v>618</v>
      </c>
      <c r="D446" s="851" t="s">
        <v>714</v>
      </c>
      <c r="E446" s="873" t="s">
        <v>1049</v>
      </c>
      <c r="F446" s="377" t="s">
        <v>621</v>
      </c>
      <c r="G446" s="377"/>
      <c r="H446" s="378">
        <v>0.5</v>
      </c>
      <c r="I446" s="388">
        <f t="shared" si="44"/>
        <v>0</v>
      </c>
      <c r="J446" s="353">
        <f t="shared" si="45"/>
        <v>11350</v>
      </c>
      <c r="K446" s="276"/>
      <c r="L446" s="277"/>
      <c r="M446" s="277"/>
      <c r="N446" s="277"/>
      <c r="O446" s="277"/>
      <c r="P446" s="279"/>
      <c r="Q446" s="279"/>
    </row>
    <row r="447" spans="1:17" s="229" customFormat="1" ht="30.75" hidden="1" customHeight="1" outlineLevel="2">
      <c r="A447" s="847" t="s">
        <v>408</v>
      </c>
      <c r="B447" s="306"/>
      <c r="C447" s="307" t="s">
        <v>618</v>
      </c>
      <c r="D447" s="848" t="s">
        <v>1050</v>
      </c>
      <c r="E447" s="849" t="s">
        <v>1051</v>
      </c>
      <c r="F447" s="379" t="s">
        <v>621</v>
      </c>
      <c r="G447" s="380"/>
      <c r="H447" s="381">
        <v>7.18</v>
      </c>
      <c r="I447" s="387">
        <f t="shared" si="44"/>
        <v>0</v>
      </c>
      <c r="J447" s="357">
        <f t="shared" si="45"/>
        <v>162986</v>
      </c>
      <c r="K447" s="276"/>
      <c r="L447" s="277"/>
      <c r="M447" s="277"/>
      <c r="N447" s="277"/>
      <c r="O447" s="277"/>
      <c r="P447" s="279"/>
      <c r="Q447" s="279"/>
    </row>
    <row r="448" spans="1:17" s="229" customFormat="1" ht="30.75" hidden="1" customHeight="1" outlineLevel="2">
      <c r="A448" s="833" t="s">
        <v>408</v>
      </c>
      <c r="B448" s="257"/>
      <c r="C448" s="258" t="s">
        <v>618</v>
      </c>
      <c r="D448" s="838" t="s">
        <v>1050</v>
      </c>
      <c r="E448" s="835" t="s">
        <v>1052</v>
      </c>
      <c r="F448" s="382" t="s">
        <v>621</v>
      </c>
      <c r="G448" s="383"/>
      <c r="H448" s="384">
        <v>11</v>
      </c>
      <c r="I448" s="388">
        <f t="shared" ref="I448:I470" si="46">G448*$I$3</f>
        <v>0</v>
      </c>
      <c r="J448" s="353">
        <f t="shared" ref="J448:J463" si="47">H448*$I$3</f>
        <v>249700</v>
      </c>
      <c r="K448" s="276"/>
      <c r="L448" s="277"/>
      <c r="M448" s="277"/>
      <c r="N448" s="277"/>
      <c r="O448" s="277"/>
      <c r="P448" s="279"/>
      <c r="Q448" s="279"/>
    </row>
    <row r="449" spans="1:17" s="229" customFormat="1" ht="30.75" hidden="1" customHeight="1" outlineLevel="2">
      <c r="A449" s="833" t="s">
        <v>408</v>
      </c>
      <c r="B449" s="257"/>
      <c r="C449" s="258" t="s">
        <v>618</v>
      </c>
      <c r="D449" s="838" t="s">
        <v>1050</v>
      </c>
      <c r="E449" s="835" t="s">
        <v>1053</v>
      </c>
      <c r="F449" s="382" t="s">
        <v>621</v>
      </c>
      <c r="G449" s="383"/>
      <c r="H449" s="384">
        <v>41</v>
      </c>
      <c r="I449" s="388">
        <f t="shared" si="46"/>
        <v>0</v>
      </c>
      <c r="J449" s="353">
        <f t="shared" si="47"/>
        <v>930700</v>
      </c>
      <c r="K449" s="276"/>
      <c r="L449" s="277"/>
      <c r="M449" s="277"/>
      <c r="N449" s="277"/>
      <c r="O449" s="277"/>
      <c r="P449" s="279"/>
      <c r="Q449" s="279"/>
    </row>
    <row r="450" spans="1:17" s="229" customFormat="1" ht="30.75" hidden="1" customHeight="1" outlineLevel="2">
      <c r="A450" s="833" t="s">
        <v>408</v>
      </c>
      <c r="B450" s="257"/>
      <c r="C450" s="258" t="s">
        <v>618</v>
      </c>
      <c r="D450" s="838" t="s">
        <v>630</v>
      </c>
      <c r="E450" s="835" t="s">
        <v>1054</v>
      </c>
      <c r="F450" s="382" t="s">
        <v>625</v>
      </c>
      <c r="G450" s="383"/>
      <c r="H450" s="384">
        <v>221</v>
      </c>
      <c r="I450" s="388">
        <f t="shared" si="46"/>
        <v>0</v>
      </c>
      <c r="J450" s="353">
        <f t="shared" si="47"/>
        <v>5016700</v>
      </c>
      <c r="K450" s="276"/>
      <c r="L450" s="277"/>
      <c r="M450" s="277"/>
      <c r="N450" s="277"/>
      <c r="O450" s="277"/>
      <c r="P450" s="279"/>
      <c r="Q450" s="279"/>
    </row>
    <row r="451" spans="1:17" s="229" customFormat="1" ht="30.75" hidden="1" customHeight="1" outlineLevel="2">
      <c r="A451" s="833" t="s">
        <v>408</v>
      </c>
      <c r="B451" s="257"/>
      <c r="C451" s="258" t="s">
        <v>618</v>
      </c>
      <c r="D451" s="838" t="s">
        <v>630</v>
      </c>
      <c r="E451" s="835" t="s">
        <v>1055</v>
      </c>
      <c r="F451" s="382" t="s">
        <v>625</v>
      </c>
      <c r="G451" s="383"/>
      <c r="H451" s="384">
        <v>36</v>
      </c>
      <c r="I451" s="388">
        <f t="shared" si="46"/>
        <v>0</v>
      </c>
      <c r="J451" s="353">
        <f t="shared" si="47"/>
        <v>817200</v>
      </c>
      <c r="K451" s="276"/>
      <c r="L451" s="277"/>
      <c r="M451" s="277"/>
      <c r="N451" s="277"/>
      <c r="O451" s="277"/>
      <c r="P451" s="279"/>
      <c r="Q451" s="279"/>
    </row>
    <row r="452" spans="1:17" s="229" customFormat="1" ht="30.75" hidden="1" customHeight="1" outlineLevel="2">
      <c r="A452" s="833" t="s">
        <v>408</v>
      </c>
      <c r="B452" s="257"/>
      <c r="C452" s="258" t="s">
        <v>618</v>
      </c>
      <c r="D452" s="838" t="s">
        <v>630</v>
      </c>
      <c r="E452" s="835" t="s">
        <v>1056</v>
      </c>
      <c r="F452" s="382" t="s">
        <v>625</v>
      </c>
      <c r="G452" s="383"/>
      <c r="H452" s="384">
        <v>65</v>
      </c>
      <c r="I452" s="388">
        <f t="shared" si="46"/>
        <v>0</v>
      </c>
      <c r="J452" s="353">
        <f t="shared" si="47"/>
        <v>1475500</v>
      </c>
      <c r="K452" s="276"/>
      <c r="L452" s="277"/>
      <c r="M452" s="277"/>
      <c r="N452" s="277"/>
      <c r="O452" s="277"/>
      <c r="P452" s="279"/>
      <c r="Q452" s="279"/>
    </row>
    <row r="453" spans="1:17" s="229" customFormat="1" ht="30.75" hidden="1" customHeight="1" outlineLevel="2">
      <c r="A453" s="833" t="s">
        <v>408</v>
      </c>
      <c r="B453" s="257"/>
      <c r="C453" s="258" t="s">
        <v>618</v>
      </c>
      <c r="D453" s="838" t="s">
        <v>630</v>
      </c>
      <c r="E453" s="835" t="s">
        <v>1057</v>
      </c>
      <c r="F453" s="382" t="s">
        <v>625</v>
      </c>
      <c r="G453" s="383"/>
      <c r="H453" s="384">
        <v>12.5</v>
      </c>
      <c r="I453" s="388">
        <f t="shared" si="46"/>
        <v>0</v>
      </c>
      <c r="J453" s="353">
        <f t="shared" si="47"/>
        <v>283750</v>
      </c>
      <c r="K453" s="276"/>
      <c r="L453" s="277"/>
      <c r="M453" s="277"/>
      <c r="N453" s="277"/>
      <c r="O453" s="277"/>
      <c r="P453" s="279"/>
      <c r="Q453" s="279"/>
    </row>
    <row r="454" spans="1:17" s="229" customFormat="1" ht="30.75" hidden="1" customHeight="1" outlineLevel="2">
      <c r="A454" s="833" t="s">
        <v>408</v>
      </c>
      <c r="B454" s="257"/>
      <c r="C454" s="258" t="s">
        <v>618</v>
      </c>
      <c r="D454" s="838" t="s">
        <v>1058</v>
      </c>
      <c r="E454" s="835" t="s">
        <v>1059</v>
      </c>
      <c r="F454" s="382" t="s">
        <v>625</v>
      </c>
      <c r="G454" s="383"/>
      <c r="H454" s="384">
        <v>1000</v>
      </c>
      <c r="I454" s="388">
        <f t="shared" si="46"/>
        <v>0</v>
      </c>
      <c r="J454" s="353">
        <f t="shared" si="47"/>
        <v>22700000</v>
      </c>
      <c r="K454" s="276"/>
      <c r="L454" s="277"/>
      <c r="M454" s="277"/>
      <c r="N454" s="277"/>
      <c r="O454" s="277"/>
      <c r="P454" s="279"/>
      <c r="Q454" s="279"/>
    </row>
    <row r="455" spans="1:17" s="229" customFormat="1" ht="30.75" hidden="1" customHeight="1" outlineLevel="2">
      <c r="A455" s="833" t="s">
        <v>408</v>
      </c>
      <c r="B455" s="257"/>
      <c r="C455" s="258" t="s">
        <v>618</v>
      </c>
      <c r="D455" s="838" t="s">
        <v>714</v>
      </c>
      <c r="E455" s="835" t="s">
        <v>757</v>
      </c>
      <c r="F455" s="382" t="s">
        <v>621</v>
      </c>
      <c r="G455" s="383"/>
      <c r="H455" s="384">
        <v>8</v>
      </c>
      <c r="I455" s="388">
        <f t="shared" si="46"/>
        <v>0</v>
      </c>
      <c r="J455" s="353">
        <f t="shared" si="47"/>
        <v>181600</v>
      </c>
      <c r="K455" s="276"/>
      <c r="L455" s="277"/>
      <c r="M455" s="277"/>
      <c r="N455" s="277"/>
      <c r="O455" s="277"/>
      <c r="P455" s="279"/>
      <c r="Q455" s="279"/>
    </row>
    <row r="456" spans="1:17" s="229" customFormat="1" ht="30.75" hidden="1" customHeight="1" outlineLevel="2">
      <c r="A456" s="833" t="s">
        <v>408</v>
      </c>
      <c r="B456" s="257"/>
      <c r="C456" s="258" t="s">
        <v>618</v>
      </c>
      <c r="D456" s="838" t="s">
        <v>714</v>
      </c>
      <c r="E456" s="835" t="s">
        <v>920</v>
      </c>
      <c r="F456" s="382" t="s">
        <v>621</v>
      </c>
      <c r="G456" s="383"/>
      <c r="H456" s="384">
        <v>1.75</v>
      </c>
      <c r="I456" s="388">
        <f t="shared" si="46"/>
        <v>0</v>
      </c>
      <c r="J456" s="353">
        <f t="shared" si="47"/>
        <v>39725</v>
      </c>
      <c r="K456" s="276"/>
      <c r="L456" s="277"/>
      <c r="M456" s="277"/>
      <c r="N456" s="277"/>
      <c r="O456" s="277"/>
      <c r="P456" s="279"/>
      <c r="Q456" s="279"/>
    </row>
    <row r="457" spans="1:17" s="229" customFormat="1" ht="30.75" hidden="1" customHeight="1" outlineLevel="2">
      <c r="A457" s="833" t="s">
        <v>408</v>
      </c>
      <c r="B457" s="257"/>
      <c r="C457" s="258" t="s">
        <v>618</v>
      </c>
      <c r="D457" s="838" t="s">
        <v>714</v>
      </c>
      <c r="E457" s="835" t="s">
        <v>1049</v>
      </c>
      <c r="F457" s="382" t="s">
        <v>621</v>
      </c>
      <c r="G457" s="383"/>
      <c r="H457" s="384">
        <v>0.25</v>
      </c>
      <c r="I457" s="388">
        <f t="shared" si="46"/>
        <v>0</v>
      </c>
      <c r="J457" s="353">
        <f t="shared" si="47"/>
        <v>5675</v>
      </c>
      <c r="K457" s="276"/>
      <c r="L457" s="277"/>
      <c r="M457" s="277"/>
      <c r="N457" s="277"/>
      <c r="O457" s="277"/>
      <c r="P457" s="279"/>
      <c r="Q457" s="279"/>
    </row>
    <row r="458" spans="1:17" s="229" customFormat="1" ht="30.75" hidden="1" customHeight="1" outlineLevel="2">
      <c r="A458" s="833" t="s">
        <v>408</v>
      </c>
      <c r="B458" s="257"/>
      <c r="C458" s="258" t="s">
        <v>618</v>
      </c>
      <c r="D458" s="838" t="s">
        <v>714</v>
      </c>
      <c r="E458" s="835" t="s">
        <v>1060</v>
      </c>
      <c r="F458" s="382" t="s">
        <v>621</v>
      </c>
      <c r="G458" s="383"/>
      <c r="H458" s="384">
        <v>1</v>
      </c>
      <c r="I458" s="388">
        <f t="shared" si="46"/>
        <v>0</v>
      </c>
      <c r="J458" s="353">
        <f t="shared" si="47"/>
        <v>22700</v>
      </c>
      <c r="K458" s="276"/>
      <c r="L458" s="277"/>
      <c r="M458" s="277"/>
      <c r="N458" s="277"/>
      <c r="O458" s="277"/>
      <c r="P458" s="279"/>
      <c r="Q458" s="279"/>
    </row>
    <row r="459" spans="1:17" s="229" customFormat="1" ht="30.75" hidden="1" customHeight="1" outlineLevel="2">
      <c r="A459" s="833" t="s">
        <v>408</v>
      </c>
      <c r="B459" s="257"/>
      <c r="C459" s="258" t="s">
        <v>618</v>
      </c>
      <c r="D459" s="838" t="s">
        <v>714</v>
      </c>
      <c r="E459" s="835" t="s">
        <v>1051</v>
      </c>
      <c r="F459" s="382" t="s">
        <v>621</v>
      </c>
      <c r="G459" s="383"/>
      <c r="H459" s="384">
        <v>5</v>
      </c>
      <c r="I459" s="388">
        <f t="shared" si="46"/>
        <v>0</v>
      </c>
      <c r="J459" s="353">
        <f t="shared" si="47"/>
        <v>113500</v>
      </c>
      <c r="K459" s="276"/>
      <c r="L459" s="277"/>
      <c r="M459" s="277"/>
      <c r="N459" s="277"/>
      <c r="O459" s="277"/>
      <c r="P459" s="279"/>
      <c r="Q459" s="279"/>
    </row>
    <row r="460" spans="1:17" s="229" customFormat="1" ht="30.75" hidden="1" customHeight="1" outlineLevel="2">
      <c r="A460" s="833" t="s">
        <v>408</v>
      </c>
      <c r="B460" s="257"/>
      <c r="C460" s="258" t="s">
        <v>618</v>
      </c>
      <c r="D460" s="838" t="s">
        <v>714</v>
      </c>
      <c r="E460" s="835" t="s">
        <v>1061</v>
      </c>
      <c r="F460" s="382" t="s">
        <v>621</v>
      </c>
      <c r="G460" s="383"/>
      <c r="H460" s="384">
        <v>0.25</v>
      </c>
      <c r="I460" s="388">
        <f t="shared" si="46"/>
        <v>0</v>
      </c>
      <c r="J460" s="353">
        <f t="shared" si="47"/>
        <v>5675</v>
      </c>
      <c r="K460" s="276"/>
      <c r="L460" s="277"/>
      <c r="M460" s="277"/>
      <c r="N460" s="277"/>
      <c r="O460" s="277"/>
      <c r="P460" s="279"/>
      <c r="Q460" s="279"/>
    </row>
    <row r="461" spans="1:17" s="229" customFormat="1" ht="30.75" hidden="1" customHeight="1" outlineLevel="2">
      <c r="A461" s="833" t="s">
        <v>408</v>
      </c>
      <c r="B461" s="257"/>
      <c r="C461" s="258" t="s">
        <v>618</v>
      </c>
      <c r="D461" s="838" t="s">
        <v>714</v>
      </c>
      <c r="E461" s="835" t="s">
        <v>1062</v>
      </c>
      <c r="F461" s="382" t="s">
        <v>625</v>
      </c>
      <c r="G461" s="383"/>
      <c r="H461" s="384">
        <v>16</v>
      </c>
      <c r="I461" s="388">
        <f t="shared" si="46"/>
        <v>0</v>
      </c>
      <c r="J461" s="353">
        <f t="shared" si="47"/>
        <v>363200</v>
      </c>
      <c r="K461" s="276"/>
      <c r="L461" s="277"/>
      <c r="M461" s="277"/>
      <c r="N461" s="277"/>
      <c r="O461" s="277"/>
      <c r="P461" s="279"/>
      <c r="Q461" s="279"/>
    </row>
    <row r="462" spans="1:17" s="229" customFormat="1" ht="30.75" hidden="1" customHeight="1" outlineLevel="2">
      <c r="A462" s="845" t="s">
        <v>408</v>
      </c>
      <c r="B462" s="287"/>
      <c r="C462" s="258" t="s">
        <v>618</v>
      </c>
      <c r="D462" s="846" t="s">
        <v>714</v>
      </c>
      <c r="E462" s="837" t="s">
        <v>1064</v>
      </c>
      <c r="F462" s="392" t="s">
        <v>625</v>
      </c>
      <c r="G462" s="393"/>
      <c r="H462" s="394">
        <v>1.5</v>
      </c>
      <c r="I462" s="407">
        <f t="shared" si="46"/>
        <v>0</v>
      </c>
      <c r="J462" s="361">
        <f t="shared" si="47"/>
        <v>34050</v>
      </c>
      <c r="K462" s="276"/>
      <c r="L462" s="277"/>
      <c r="M462" s="277"/>
      <c r="N462" s="277"/>
      <c r="O462" s="277"/>
      <c r="P462" s="279"/>
      <c r="Q462" s="279"/>
    </row>
    <row r="463" spans="1:17" ht="27" hidden="1" customHeight="1" outlineLevel="1" collapsed="1">
      <c r="A463" s="395" t="s">
        <v>70</v>
      </c>
      <c r="B463" s="396"/>
      <c r="C463" s="397" t="s">
        <v>618</v>
      </c>
      <c r="D463" s="396"/>
      <c r="E463" s="397" t="s">
        <v>201</v>
      </c>
      <c r="F463" s="398"/>
      <c r="G463" s="399">
        <f>SUM(G216:G462)</f>
        <v>93601.845000000001</v>
      </c>
      <c r="H463" s="297">
        <f>SUM(H217:H462)</f>
        <v>59419.921979166662</v>
      </c>
      <c r="I463" s="409">
        <f t="shared" si="46"/>
        <v>2124761881.5</v>
      </c>
      <c r="J463" s="410">
        <f t="shared" si="47"/>
        <v>1348832228.9270833</v>
      </c>
      <c r="K463" s="337"/>
      <c r="L463" s="337"/>
      <c r="M463" s="337"/>
      <c r="N463" s="337"/>
      <c r="O463" s="413"/>
      <c r="P463" s="337"/>
      <c r="Q463" s="337"/>
    </row>
    <row r="464" spans="1:17" ht="27" customHeight="1" collapsed="1" thickBot="1">
      <c r="A464" s="400" t="s">
        <v>616</v>
      </c>
      <c r="B464" s="401"/>
      <c r="C464" s="401"/>
      <c r="D464" s="401"/>
      <c r="E464" s="401"/>
      <c r="F464" s="402"/>
      <c r="G464" s="403">
        <f>G463-H463</f>
        <v>34181.923020833339</v>
      </c>
      <c r="H464" s="404"/>
      <c r="I464" s="411">
        <f t="shared" si="46"/>
        <v>775929652.57291675</v>
      </c>
      <c r="J464" s="412"/>
      <c r="K464" s="337"/>
      <c r="L464" s="337"/>
      <c r="M464" s="337"/>
      <c r="N464" s="337"/>
      <c r="O464" s="413"/>
      <c r="P464" s="337"/>
      <c r="Q464" s="337"/>
    </row>
    <row r="465" spans="1:17" s="229" customFormat="1" ht="15.75" hidden="1" outlineLevel="1" thickBot="1">
      <c r="A465" s="833" t="s">
        <v>1065</v>
      </c>
      <c r="B465" s="257"/>
      <c r="C465" s="258" t="s">
        <v>618</v>
      </c>
      <c r="D465" s="838" t="s">
        <v>635</v>
      </c>
      <c r="E465" s="835" t="s">
        <v>1002</v>
      </c>
      <c r="F465" s="254"/>
      <c r="G465" s="254">
        <v>2000</v>
      </c>
      <c r="H465" s="256"/>
      <c r="I465" s="274">
        <f t="shared" si="46"/>
        <v>45400000</v>
      </c>
      <c r="J465" s="275">
        <f t="shared" ref="J465:J470" si="48">H465*$I$3</f>
        <v>0</v>
      </c>
      <c r="K465" s="276"/>
      <c r="L465" s="277"/>
      <c r="M465" s="277"/>
      <c r="N465" s="277"/>
      <c r="O465" s="277"/>
      <c r="P465" s="279"/>
      <c r="Q465" s="279"/>
    </row>
    <row r="466" spans="1:17" s="229" customFormat="1" ht="15.75" hidden="1" outlineLevel="1" thickBot="1">
      <c r="A466" s="833" t="s">
        <v>1065</v>
      </c>
      <c r="B466" s="257"/>
      <c r="C466" s="258" t="s">
        <v>618</v>
      </c>
      <c r="D466" s="838" t="s">
        <v>635</v>
      </c>
      <c r="E466" s="835" t="s">
        <v>637</v>
      </c>
      <c r="F466" s="254" t="s">
        <v>638</v>
      </c>
      <c r="G466" s="254"/>
      <c r="H466" s="256">
        <v>30</v>
      </c>
      <c r="I466" s="274">
        <f t="shared" si="46"/>
        <v>0</v>
      </c>
      <c r="J466" s="275">
        <f t="shared" si="48"/>
        <v>681000</v>
      </c>
      <c r="K466" s="276"/>
      <c r="L466" s="277"/>
      <c r="M466" s="277"/>
      <c r="N466" s="277"/>
      <c r="O466" s="277"/>
      <c r="P466" s="279"/>
      <c r="Q466" s="279"/>
    </row>
    <row r="467" spans="1:17" s="229" customFormat="1" ht="15.75" hidden="1" outlineLevel="1" thickBot="1">
      <c r="A467" s="833" t="s">
        <v>1065</v>
      </c>
      <c r="B467" s="257"/>
      <c r="C467" s="258" t="s">
        <v>618</v>
      </c>
      <c r="D467" s="838" t="s">
        <v>635</v>
      </c>
      <c r="E467" s="835" t="s">
        <v>1066</v>
      </c>
      <c r="F467" s="254" t="s">
        <v>621</v>
      </c>
      <c r="G467" s="254"/>
      <c r="H467" s="256">
        <v>6</v>
      </c>
      <c r="I467" s="274">
        <f t="shared" si="46"/>
        <v>0</v>
      </c>
      <c r="J467" s="275">
        <f t="shared" si="48"/>
        <v>136200</v>
      </c>
      <c r="K467" s="276"/>
      <c r="L467" s="277"/>
      <c r="M467" s="277"/>
      <c r="N467" s="277"/>
      <c r="O467" s="277"/>
      <c r="P467" s="279"/>
      <c r="Q467" s="279"/>
    </row>
    <row r="468" spans="1:17" s="229" customFormat="1" ht="15.75" hidden="1" outlineLevel="1" thickBot="1">
      <c r="A468" s="833" t="s">
        <v>1065</v>
      </c>
      <c r="B468" s="257"/>
      <c r="C468" s="258" t="s">
        <v>618</v>
      </c>
      <c r="D468" s="838" t="s">
        <v>635</v>
      </c>
      <c r="E468" s="835" t="s">
        <v>1067</v>
      </c>
      <c r="F468" s="254" t="s">
        <v>621</v>
      </c>
      <c r="G468" s="254"/>
      <c r="H468" s="256">
        <v>10</v>
      </c>
      <c r="I468" s="274">
        <f t="shared" si="46"/>
        <v>0</v>
      </c>
      <c r="J468" s="275">
        <f t="shared" si="48"/>
        <v>227000</v>
      </c>
      <c r="K468" s="276"/>
      <c r="L468" s="277"/>
      <c r="M468" s="277"/>
      <c r="N468" s="277"/>
      <c r="O468" s="277"/>
      <c r="P468" s="279"/>
      <c r="Q468" s="279"/>
    </row>
    <row r="469" spans="1:17" s="229" customFormat="1" ht="15.75" hidden="1" outlineLevel="1" thickBot="1">
      <c r="A469" s="833" t="s">
        <v>1065</v>
      </c>
      <c r="B469" s="257"/>
      <c r="C469" s="258" t="s">
        <v>618</v>
      </c>
      <c r="D469" s="838" t="s">
        <v>635</v>
      </c>
      <c r="E469" s="835" t="s">
        <v>1068</v>
      </c>
      <c r="F469" s="254" t="s">
        <v>621</v>
      </c>
      <c r="G469" s="254"/>
      <c r="H469" s="256">
        <v>14</v>
      </c>
      <c r="I469" s="274">
        <f t="shared" si="46"/>
        <v>0</v>
      </c>
      <c r="J469" s="275">
        <f t="shared" si="48"/>
        <v>317800</v>
      </c>
      <c r="K469" s="276"/>
      <c r="L469" s="277"/>
      <c r="M469" s="277"/>
      <c r="N469" s="277"/>
      <c r="O469" s="277"/>
      <c r="P469" s="279"/>
      <c r="Q469" s="279"/>
    </row>
    <row r="470" spans="1:17" s="229" customFormat="1" ht="15.75" hidden="1" outlineLevel="1" thickBot="1">
      <c r="A470" s="833" t="s">
        <v>1065</v>
      </c>
      <c r="B470" s="257"/>
      <c r="C470" s="258" t="s">
        <v>618</v>
      </c>
      <c r="D470" s="838" t="s">
        <v>611</v>
      </c>
      <c r="E470" s="835" t="s">
        <v>1069</v>
      </c>
      <c r="F470" s="254" t="s">
        <v>621</v>
      </c>
      <c r="G470" s="254"/>
      <c r="H470" s="405">
        <v>4</v>
      </c>
      <c r="I470" s="274">
        <f t="shared" si="46"/>
        <v>0</v>
      </c>
      <c r="J470" s="275">
        <f t="shared" si="48"/>
        <v>90800</v>
      </c>
      <c r="K470" s="276"/>
      <c r="L470" s="277"/>
      <c r="M470" s="277"/>
      <c r="N470" s="277"/>
      <c r="O470" s="277"/>
      <c r="P470" s="279"/>
      <c r="Q470" s="279"/>
    </row>
    <row r="471" spans="1:17" s="229" customFormat="1" ht="15.75" hidden="1" outlineLevel="1" thickBot="1">
      <c r="A471" s="833" t="s">
        <v>1070</v>
      </c>
      <c r="B471" s="257"/>
      <c r="C471" s="258" t="s">
        <v>618</v>
      </c>
      <c r="D471" s="838" t="s">
        <v>635</v>
      </c>
      <c r="E471" s="835" t="s">
        <v>1071</v>
      </c>
      <c r="F471" s="254" t="s">
        <v>621</v>
      </c>
      <c r="G471" s="254"/>
      <c r="H471" s="256">
        <v>55</v>
      </c>
      <c r="I471" s="274"/>
      <c r="J471" s="275"/>
      <c r="K471" s="276"/>
      <c r="L471" s="277"/>
      <c r="M471" s="277"/>
      <c r="N471" s="277"/>
      <c r="O471" s="277"/>
      <c r="P471" s="279"/>
      <c r="Q471" s="279"/>
    </row>
    <row r="472" spans="1:17" s="229" customFormat="1" ht="15.75" hidden="1" outlineLevel="1" thickBot="1">
      <c r="A472" s="833" t="s">
        <v>1070</v>
      </c>
      <c r="B472" s="257"/>
      <c r="C472" s="258" t="s">
        <v>618</v>
      </c>
      <c r="D472" s="838" t="s">
        <v>1072</v>
      </c>
      <c r="E472" s="835" t="s">
        <v>918</v>
      </c>
      <c r="F472" s="254" t="s">
        <v>625</v>
      </c>
      <c r="G472" s="254"/>
      <c r="H472" s="256">
        <v>0.625</v>
      </c>
      <c r="I472" s="274"/>
      <c r="J472" s="275"/>
      <c r="K472" s="276"/>
      <c r="L472" s="277"/>
      <c r="M472" s="277"/>
      <c r="N472" s="277"/>
      <c r="O472" s="277"/>
      <c r="P472" s="279"/>
      <c r="Q472" s="279"/>
    </row>
    <row r="473" spans="1:17" s="229" customFormat="1" ht="15.75" hidden="1" outlineLevel="1" thickBot="1">
      <c r="A473" s="833" t="s">
        <v>1070</v>
      </c>
      <c r="B473" s="257"/>
      <c r="C473" s="258" t="s">
        <v>618</v>
      </c>
      <c r="D473" s="838" t="s">
        <v>1072</v>
      </c>
      <c r="E473" s="835" t="s">
        <v>1073</v>
      </c>
      <c r="F473" s="254" t="s">
        <v>625</v>
      </c>
      <c r="G473" s="254"/>
      <c r="H473" s="256">
        <v>2.5</v>
      </c>
      <c r="I473" s="274"/>
      <c r="J473" s="275"/>
      <c r="K473" s="276"/>
      <c r="L473" s="277"/>
      <c r="M473" s="277"/>
      <c r="N473" s="277"/>
      <c r="O473" s="277"/>
      <c r="P473" s="279"/>
      <c r="Q473" s="279"/>
    </row>
    <row r="474" spans="1:17" s="229" customFormat="1" ht="15.75" hidden="1" outlineLevel="1" thickBot="1">
      <c r="A474" s="833" t="s">
        <v>1070</v>
      </c>
      <c r="B474" s="257"/>
      <c r="C474" s="258" t="s">
        <v>618</v>
      </c>
      <c r="D474" s="838" t="s">
        <v>611</v>
      </c>
      <c r="E474" s="835" t="s">
        <v>1074</v>
      </c>
      <c r="F474" s="254" t="s">
        <v>784</v>
      </c>
      <c r="G474" s="254"/>
      <c r="H474" s="256">
        <v>6.25</v>
      </c>
      <c r="I474" s="274"/>
      <c r="J474" s="275"/>
      <c r="K474" s="276"/>
      <c r="L474" s="277"/>
      <c r="M474" s="277"/>
      <c r="N474" s="277"/>
      <c r="O474" s="277"/>
      <c r="P474" s="279"/>
      <c r="Q474" s="279"/>
    </row>
    <row r="475" spans="1:17" s="229" customFormat="1" ht="15.75" hidden="1" outlineLevel="1" thickBot="1">
      <c r="A475" s="833" t="s">
        <v>1070</v>
      </c>
      <c r="B475" s="257"/>
      <c r="C475" s="258" t="s">
        <v>618</v>
      </c>
      <c r="D475" s="838" t="s">
        <v>611</v>
      </c>
      <c r="E475" s="835" t="s">
        <v>1075</v>
      </c>
      <c r="F475" s="254" t="s">
        <v>641</v>
      </c>
      <c r="G475" s="254"/>
      <c r="H475" s="256">
        <v>170</v>
      </c>
      <c r="I475" s="274"/>
      <c r="J475" s="275"/>
      <c r="K475" s="276"/>
      <c r="L475" s="277"/>
      <c r="M475" s="277"/>
      <c r="N475" s="277"/>
      <c r="O475" s="277"/>
      <c r="P475" s="279"/>
      <c r="Q475" s="279"/>
    </row>
    <row r="476" spans="1:17" s="229" customFormat="1" ht="15.75" hidden="1" outlineLevel="1" thickBot="1">
      <c r="A476" s="833" t="s">
        <v>1070</v>
      </c>
      <c r="B476" s="257"/>
      <c r="C476" s="258" t="s">
        <v>618</v>
      </c>
      <c r="D476" s="838" t="s">
        <v>611</v>
      </c>
      <c r="E476" s="835" t="s">
        <v>1076</v>
      </c>
      <c r="F476" s="254" t="s">
        <v>641</v>
      </c>
      <c r="G476" s="254"/>
      <c r="H476" s="256">
        <v>150</v>
      </c>
      <c r="I476" s="274"/>
      <c r="J476" s="275"/>
      <c r="K476" s="276"/>
      <c r="L476" s="277"/>
      <c r="M476" s="277"/>
      <c r="N476" s="277"/>
      <c r="O476" s="277"/>
      <c r="P476" s="279"/>
      <c r="Q476" s="279"/>
    </row>
    <row r="477" spans="1:17" s="229" customFormat="1" ht="15.75" hidden="1" outlineLevel="1" thickBot="1">
      <c r="A477" s="833" t="s">
        <v>1070</v>
      </c>
      <c r="B477" s="257"/>
      <c r="C477" s="258" t="s">
        <v>618</v>
      </c>
      <c r="D477" s="838" t="s">
        <v>611</v>
      </c>
      <c r="E477" s="835" t="s">
        <v>1077</v>
      </c>
      <c r="F477" s="254" t="s">
        <v>641</v>
      </c>
      <c r="G477" s="254"/>
      <c r="H477" s="256">
        <v>240</v>
      </c>
      <c r="I477" s="274"/>
      <c r="J477" s="275"/>
      <c r="K477" s="276"/>
      <c r="L477" s="277"/>
      <c r="M477" s="277"/>
      <c r="N477" s="277"/>
      <c r="O477" s="277"/>
      <c r="P477" s="279"/>
      <c r="Q477" s="279"/>
    </row>
    <row r="478" spans="1:17" s="229" customFormat="1" ht="15.75" hidden="1" outlineLevel="1" thickBot="1">
      <c r="A478" s="833" t="s">
        <v>1070</v>
      </c>
      <c r="B478" s="257"/>
      <c r="C478" s="258" t="s">
        <v>618</v>
      </c>
      <c r="D478" s="838" t="s">
        <v>611</v>
      </c>
      <c r="E478" s="835" t="s">
        <v>1078</v>
      </c>
      <c r="F478" s="254" t="s">
        <v>641</v>
      </c>
      <c r="G478" s="254"/>
      <c r="H478" s="256">
        <v>100</v>
      </c>
      <c r="I478" s="274"/>
      <c r="J478" s="275"/>
      <c r="K478" s="276"/>
      <c r="L478" s="277"/>
      <c r="M478" s="277"/>
      <c r="N478" s="277"/>
      <c r="O478" s="277"/>
      <c r="P478" s="279"/>
      <c r="Q478" s="279"/>
    </row>
    <row r="479" spans="1:17" s="229" customFormat="1" ht="15.75" hidden="1" outlineLevel="1" thickBot="1">
      <c r="A479" s="833" t="s">
        <v>1070</v>
      </c>
      <c r="B479" s="257"/>
      <c r="C479" s="258" t="s">
        <v>618</v>
      </c>
      <c r="D479" s="838" t="s">
        <v>611</v>
      </c>
      <c r="E479" s="835" t="s">
        <v>1079</v>
      </c>
      <c r="F479" s="254" t="s">
        <v>641</v>
      </c>
      <c r="G479" s="254"/>
      <c r="H479" s="256">
        <v>220</v>
      </c>
      <c r="I479" s="274"/>
      <c r="J479" s="275"/>
      <c r="K479" s="276"/>
      <c r="L479" s="277"/>
      <c r="M479" s="277"/>
      <c r="N479" s="277"/>
      <c r="O479" s="277"/>
      <c r="P479" s="279"/>
      <c r="Q479" s="279"/>
    </row>
    <row r="480" spans="1:17" s="229" customFormat="1" ht="15.75" hidden="1" outlineLevel="1" thickBot="1">
      <c r="A480" s="833" t="s">
        <v>1070</v>
      </c>
      <c r="B480" s="257"/>
      <c r="C480" s="258" t="s">
        <v>618</v>
      </c>
      <c r="D480" s="838" t="s">
        <v>611</v>
      </c>
      <c r="E480" s="835" t="s">
        <v>1069</v>
      </c>
      <c r="F480" s="254" t="s">
        <v>621</v>
      </c>
      <c r="G480" s="254"/>
      <c r="H480" s="256">
        <v>4</v>
      </c>
      <c r="I480" s="274"/>
      <c r="J480" s="275"/>
      <c r="K480" s="276"/>
      <c r="L480" s="277"/>
      <c r="M480" s="277"/>
      <c r="N480" s="277"/>
      <c r="O480" s="277"/>
      <c r="P480" s="279"/>
      <c r="Q480" s="279"/>
    </row>
    <row r="481" spans="1:17" s="229" customFormat="1" ht="15.75" hidden="1" outlineLevel="1" thickBot="1">
      <c r="A481" s="833" t="s">
        <v>1080</v>
      </c>
      <c r="B481" s="257"/>
      <c r="C481" s="258" t="s">
        <v>1081</v>
      </c>
      <c r="D481" s="838" t="s">
        <v>714</v>
      </c>
      <c r="E481" s="835" t="s">
        <v>1064</v>
      </c>
      <c r="F481" s="254" t="s">
        <v>625</v>
      </c>
      <c r="G481" s="254"/>
      <c r="H481" s="256">
        <v>1.5</v>
      </c>
      <c r="I481" s="274"/>
      <c r="J481" s="275"/>
      <c r="K481" s="276"/>
      <c r="L481" s="277"/>
      <c r="M481" s="277"/>
      <c r="N481" s="277"/>
      <c r="O481" s="277"/>
      <c r="P481" s="279"/>
      <c r="Q481" s="279"/>
    </row>
    <row r="482" spans="1:17" s="229" customFormat="1" ht="15.75" hidden="1" outlineLevel="1" thickBot="1">
      <c r="A482" s="833" t="s">
        <v>1080</v>
      </c>
      <c r="B482" s="257"/>
      <c r="C482" s="258" t="s">
        <v>1081</v>
      </c>
      <c r="D482" s="838" t="s">
        <v>714</v>
      </c>
      <c r="E482" s="835" t="s">
        <v>1082</v>
      </c>
      <c r="F482" s="254" t="s">
        <v>625</v>
      </c>
      <c r="G482" s="254"/>
      <c r="H482" s="256">
        <v>3</v>
      </c>
      <c r="I482" s="274"/>
      <c r="J482" s="275"/>
      <c r="K482" s="276"/>
      <c r="L482" s="277"/>
      <c r="M482" s="277"/>
      <c r="N482" s="277"/>
      <c r="O482" s="277"/>
      <c r="P482" s="279"/>
      <c r="Q482" s="279"/>
    </row>
    <row r="483" spans="1:17" s="229" customFormat="1" ht="15.75" hidden="1" outlineLevel="1" thickBot="1">
      <c r="A483" s="833" t="s">
        <v>1080</v>
      </c>
      <c r="B483" s="257"/>
      <c r="C483" s="258" t="s">
        <v>1081</v>
      </c>
      <c r="D483" s="838" t="s">
        <v>714</v>
      </c>
      <c r="E483" s="835" t="s">
        <v>1083</v>
      </c>
      <c r="F483" s="254" t="s">
        <v>625</v>
      </c>
      <c r="G483" s="254"/>
      <c r="H483" s="256">
        <v>1</v>
      </c>
      <c r="I483" s="274"/>
      <c r="J483" s="275"/>
      <c r="K483" s="276"/>
      <c r="L483" s="277"/>
      <c r="M483" s="277"/>
      <c r="N483" s="277"/>
      <c r="O483" s="277"/>
      <c r="P483" s="279"/>
      <c r="Q483" s="279"/>
    </row>
    <row r="484" spans="1:17" s="229" customFormat="1" ht="15.75" hidden="1" outlineLevel="1" thickBot="1">
      <c r="A484" s="833" t="s">
        <v>1080</v>
      </c>
      <c r="B484" s="257"/>
      <c r="C484" s="258" t="s">
        <v>1081</v>
      </c>
      <c r="D484" s="838" t="s">
        <v>714</v>
      </c>
      <c r="E484" s="835" t="s">
        <v>1084</v>
      </c>
      <c r="F484" s="254" t="s">
        <v>625</v>
      </c>
      <c r="G484" s="254"/>
      <c r="H484" s="256">
        <v>0.375</v>
      </c>
      <c r="I484" s="274"/>
      <c r="J484" s="275"/>
      <c r="K484" s="276"/>
      <c r="L484" s="277"/>
      <c r="M484" s="277"/>
      <c r="N484" s="277"/>
      <c r="O484" s="277"/>
      <c r="P484" s="279"/>
      <c r="Q484" s="279"/>
    </row>
    <row r="485" spans="1:17" s="229" customFormat="1" ht="15.75" hidden="1" outlineLevel="1" thickBot="1">
      <c r="A485" s="833" t="s">
        <v>1080</v>
      </c>
      <c r="B485" s="257"/>
      <c r="C485" s="258" t="s">
        <v>1081</v>
      </c>
      <c r="D485" s="838" t="s">
        <v>714</v>
      </c>
      <c r="E485" s="835" t="s">
        <v>1085</v>
      </c>
      <c r="F485" s="254" t="s">
        <v>621</v>
      </c>
      <c r="G485" s="254"/>
      <c r="H485" s="256">
        <v>4</v>
      </c>
      <c r="I485" s="274"/>
      <c r="J485" s="275"/>
      <c r="K485" s="276"/>
      <c r="L485" s="277"/>
      <c r="M485" s="277"/>
      <c r="N485" s="277"/>
      <c r="O485" s="277"/>
      <c r="P485" s="279"/>
      <c r="Q485" s="279"/>
    </row>
    <row r="486" spans="1:17" s="229" customFormat="1" ht="15.75" hidden="1" outlineLevel="1" thickBot="1">
      <c r="A486" s="833" t="s">
        <v>1080</v>
      </c>
      <c r="B486" s="257"/>
      <c r="C486" s="258" t="s">
        <v>1081</v>
      </c>
      <c r="D486" s="838" t="s">
        <v>714</v>
      </c>
      <c r="E486" s="835" t="s">
        <v>1086</v>
      </c>
      <c r="F486" s="254" t="s">
        <v>621</v>
      </c>
      <c r="G486" s="254"/>
      <c r="H486" s="256">
        <v>0.25</v>
      </c>
      <c r="I486" s="274"/>
      <c r="J486" s="275"/>
      <c r="K486" s="276"/>
      <c r="L486" s="277"/>
      <c r="M486" s="277"/>
      <c r="N486" s="277"/>
      <c r="O486" s="277"/>
      <c r="P486" s="279"/>
      <c r="Q486" s="279"/>
    </row>
    <row r="487" spans="1:17" s="229" customFormat="1" ht="15.75" hidden="1" outlineLevel="1" thickBot="1">
      <c r="A487" s="833" t="s">
        <v>1080</v>
      </c>
      <c r="B487" s="257"/>
      <c r="C487" s="258" t="s">
        <v>1081</v>
      </c>
      <c r="D487" s="838" t="s">
        <v>714</v>
      </c>
      <c r="E487" s="835" t="s">
        <v>1087</v>
      </c>
      <c r="F487" s="254" t="s">
        <v>621</v>
      </c>
      <c r="G487" s="254"/>
      <c r="H487" s="256">
        <v>2</v>
      </c>
      <c r="I487" s="274"/>
      <c r="J487" s="275"/>
      <c r="K487" s="276"/>
      <c r="L487" s="277"/>
      <c r="M487" s="277"/>
      <c r="N487" s="277"/>
      <c r="O487" s="277"/>
      <c r="P487" s="279"/>
      <c r="Q487" s="279"/>
    </row>
    <row r="488" spans="1:17" s="229" customFormat="1" ht="15.75" hidden="1" outlineLevel="1" thickBot="1">
      <c r="A488" s="833" t="s">
        <v>1080</v>
      </c>
      <c r="B488" s="257"/>
      <c r="C488" s="258" t="s">
        <v>1081</v>
      </c>
      <c r="D488" s="838" t="s">
        <v>714</v>
      </c>
      <c r="E488" s="835" t="s">
        <v>1088</v>
      </c>
      <c r="F488" s="254" t="s">
        <v>621</v>
      </c>
      <c r="G488" s="254"/>
      <c r="H488" s="256">
        <v>0.25</v>
      </c>
      <c r="I488" s="274"/>
      <c r="J488" s="275"/>
      <c r="K488" s="276"/>
      <c r="L488" s="277"/>
      <c r="M488" s="277"/>
      <c r="N488" s="277"/>
      <c r="O488" s="277"/>
      <c r="P488" s="279"/>
      <c r="Q488" s="279"/>
    </row>
    <row r="489" spans="1:17" s="229" customFormat="1" ht="15.75" hidden="1" outlineLevel="1" thickBot="1">
      <c r="A489" s="833" t="s">
        <v>1080</v>
      </c>
      <c r="B489" s="257"/>
      <c r="C489" s="258" t="s">
        <v>1081</v>
      </c>
      <c r="D489" s="838" t="s">
        <v>714</v>
      </c>
      <c r="E489" s="835" t="s">
        <v>1089</v>
      </c>
      <c r="F489" s="254" t="s">
        <v>625</v>
      </c>
      <c r="G489" s="254"/>
      <c r="H489" s="256">
        <v>3.5</v>
      </c>
      <c r="I489" s="274"/>
      <c r="J489" s="275"/>
      <c r="K489" s="276"/>
      <c r="L489" s="277"/>
      <c r="M489" s="277"/>
      <c r="N489" s="277"/>
      <c r="O489" s="277"/>
      <c r="P489" s="279"/>
      <c r="Q489" s="279"/>
    </row>
    <row r="490" spans="1:17" s="229" customFormat="1" ht="15.75" hidden="1" outlineLevel="1" thickBot="1">
      <c r="A490" s="833" t="s">
        <v>1080</v>
      </c>
      <c r="B490" s="257"/>
      <c r="C490" s="258" t="s">
        <v>1081</v>
      </c>
      <c r="D490" s="838" t="s">
        <v>714</v>
      </c>
      <c r="E490" s="835" t="s">
        <v>1089</v>
      </c>
      <c r="F490" s="254" t="s">
        <v>625</v>
      </c>
      <c r="G490" s="254"/>
      <c r="H490" s="256">
        <v>2</v>
      </c>
      <c r="I490" s="274"/>
      <c r="J490" s="275"/>
      <c r="K490" s="276"/>
      <c r="L490" s="277"/>
      <c r="M490" s="277"/>
      <c r="N490" s="277"/>
      <c r="O490" s="277"/>
      <c r="P490" s="279"/>
      <c r="Q490" s="279"/>
    </row>
    <row r="491" spans="1:17" s="229" customFormat="1" ht="15.75" hidden="1" outlineLevel="1" thickBot="1">
      <c r="A491" s="833" t="s">
        <v>1080</v>
      </c>
      <c r="B491" s="257"/>
      <c r="C491" s="258" t="s">
        <v>1081</v>
      </c>
      <c r="D491" s="838" t="s">
        <v>714</v>
      </c>
      <c r="E491" s="835" t="s">
        <v>1090</v>
      </c>
      <c r="F491" s="254" t="s">
        <v>625</v>
      </c>
      <c r="G491" s="254"/>
      <c r="H491" s="256">
        <v>3</v>
      </c>
      <c r="I491" s="274"/>
      <c r="J491" s="275"/>
      <c r="K491" s="276"/>
      <c r="L491" s="277"/>
      <c r="M491" s="277"/>
      <c r="N491" s="277"/>
      <c r="O491" s="277"/>
      <c r="P491" s="279"/>
      <c r="Q491" s="279"/>
    </row>
    <row r="492" spans="1:17" s="229" customFormat="1" ht="15.75" hidden="1" outlineLevel="1" thickBot="1">
      <c r="A492" s="833" t="s">
        <v>1080</v>
      </c>
      <c r="B492" s="257"/>
      <c r="C492" s="258" t="s">
        <v>1081</v>
      </c>
      <c r="D492" s="838" t="s">
        <v>714</v>
      </c>
      <c r="E492" s="835" t="s">
        <v>1091</v>
      </c>
      <c r="F492" s="254" t="s">
        <v>625</v>
      </c>
      <c r="G492" s="254"/>
      <c r="H492" s="256">
        <v>15</v>
      </c>
      <c r="I492" s="274"/>
      <c r="J492" s="275"/>
      <c r="K492" s="276"/>
      <c r="L492" s="277"/>
      <c r="M492" s="277"/>
      <c r="N492" s="277"/>
      <c r="O492" s="277"/>
      <c r="P492" s="279"/>
      <c r="Q492" s="279"/>
    </row>
    <row r="493" spans="1:17" s="229" customFormat="1" ht="15.75" hidden="1" outlineLevel="1" thickBot="1">
      <c r="A493" s="833" t="s">
        <v>1080</v>
      </c>
      <c r="B493" s="257"/>
      <c r="C493" s="258" t="s">
        <v>1081</v>
      </c>
      <c r="D493" s="838" t="s">
        <v>714</v>
      </c>
      <c r="E493" s="835" t="s">
        <v>1092</v>
      </c>
      <c r="F493" s="254" t="s">
        <v>625</v>
      </c>
      <c r="G493" s="254"/>
      <c r="H493" s="256">
        <v>16</v>
      </c>
      <c r="I493" s="274"/>
      <c r="J493" s="275"/>
      <c r="K493" s="276"/>
      <c r="L493" s="277"/>
      <c r="M493" s="277"/>
      <c r="N493" s="277"/>
      <c r="O493" s="277"/>
      <c r="P493" s="279"/>
      <c r="Q493" s="279"/>
    </row>
    <row r="494" spans="1:17" s="229" customFormat="1" ht="15.75" hidden="1" outlineLevel="1" thickBot="1">
      <c r="A494" s="833" t="s">
        <v>1080</v>
      </c>
      <c r="B494" s="257"/>
      <c r="C494" s="258" t="s">
        <v>1081</v>
      </c>
      <c r="D494" s="838" t="s">
        <v>714</v>
      </c>
      <c r="E494" s="835" t="s">
        <v>1092</v>
      </c>
      <c r="F494" s="254" t="s">
        <v>625</v>
      </c>
      <c r="G494" s="254"/>
      <c r="H494" s="256">
        <v>9</v>
      </c>
      <c r="I494" s="274"/>
      <c r="J494" s="275"/>
      <c r="K494" s="276"/>
      <c r="L494" s="277"/>
      <c r="M494" s="277"/>
      <c r="N494" s="277"/>
      <c r="O494" s="277"/>
      <c r="P494" s="279"/>
      <c r="Q494" s="279"/>
    </row>
    <row r="495" spans="1:17" s="229" customFormat="1" ht="15.75" hidden="1" outlineLevel="1" thickBot="1">
      <c r="A495" s="833" t="s">
        <v>1080</v>
      </c>
      <c r="B495" s="257"/>
      <c r="C495" s="258" t="s">
        <v>1081</v>
      </c>
      <c r="D495" s="838" t="s">
        <v>714</v>
      </c>
      <c r="E495" s="835" t="s">
        <v>1093</v>
      </c>
      <c r="F495" s="254" t="s">
        <v>625</v>
      </c>
      <c r="G495" s="254"/>
      <c r="H495" s="256">
        <v>1.375</v>
      </c>
      <c r="I495" s="274"/>
      <c r="J495" s="275"/>
      <c r="K495" s="276"/>
      <c r="L495" s="277"/>
      <c r="M495" s="277"/>
      <c r="N495" s="277"/>
      <c r="O495" s="277"/>
      <c r="P495" s="279"/>
      <c r="Q495" s="279"/>
    </row>
    <row r="496" spans="1:17" s="229" customFormat="1" ht="15.75" hidden="1" outlineLevel="1" thickBot="1">
      <c r="A496" s="833" t="s">
        <v>1080</v>
      </c>
      <c r="B496" s="257"/>
      <c r="C496" s="258" t="s">
        <v>1081</v>
      </c>
      <c r="D496" s="838" t="s">
        <v>714</v>
      </c>
      <c r="E496" s="835" t="s">
        <v>1093</v>
      </c>
      <c r="F496" s="254" t="s">
        <v>625</v>
      </c>
      <c r="G496" s="254"/>
      <c r="H496" s="256">
        <v>2.5</v>
      </c>
      <c r="I496" s="274"/>
      <c r="J496" s="275"/>
      <c r="K496" s="276"/>
      <c r="L496" s="277"/>
      <c r="M496" s="277"/>
      <c r="N496" s="277"/>
      <c r="O496" s="277"/>
      <c r="P496" s="279"/>
      <c r="Q496" s="279"/>
    </row>
    <row r="497" spans="1:17" s="229" customFormat="1" ht="15.75" hidden="1" outlineLevel="1" thickBot="1">
      <c r="A497" s="833" t="s">
        <v>1080</v>
      </c>
      <c r="B497" s="257"/>
      <c r="C497" s="258" t="s">
        <v>1081</v>
      </c>
      <c r="D497" s="838" t="s">
        <v>714</v>
      </c>
      <c r="E497" s="835" t="s">
        <v>1093</v>
      </c>
      <c r="F497" s="254" t="s">
        <v>625</v>
      </c>
      <c r="G497" s="254"/>
      <c r="H497" s="256">
        <v>13.75</v>
      </c>
      <c r="I497" s="274"/>
      <c r="J497" s="275"/>
      <c r="K497" s="276"/>
      <c r="L497" s="277"/>
      <c r="M497" s="277"/>
      <c r="N497" s="277"/>
      <c r="O497" s="277"/>
      <c r="P497" s="279"/>
      <c r="Q497" s="279"/>
    </row>
    <row r="498" spans="1:17" s="229" customFormat="1" ht="15.75" hidden="1" outlineLevel="1" thickBot="1">
      <c r="A498" s="833" t="s">
        <v>1080</v>
      </c>
      <c r="B498" s="257"/>
      <c r="C498" s="258" t="s">
        <v>1081</v>
      </c>
      <c r="D498" s="838" t="s">
        <v>714</v>
      </c>
      <c r="E498" s="835" t="s">
        <v>1094</v>
      </c>
      <c r="F498" s="254" t="s">
        <v>625</v>
      </c>
      <c r="G498" s="254"/>
      <c r="H498" s="256">
        <v>5.5</v>
      </c>
      <c r="I498" s="274"/>
      <c r="J498" s="275"/>
      <c r="K498" s="276"/>
      <c r="L498" s="277"/>
      <c r="M498" s="277"/>
      <c r="N498" s="277"/>
      <c r="O498" s="277"/>
      <c r="P498" s="279"/>
      <c r="Q498" s="279"/>
    </row>
    <row r="499" spans="1:17" s="229" customFormat="1" ht="15.75" hidden="1" outlineLevel="1" thickBot="1">
      <c r="A499" s="833" t="s">
        <v>1080</v>
      </c>
      <c r="B499" s="257"/>
      <c r="C499" s="258" t="s">
        <v>1081</v>
      </c>
      <c r="D499" s="838" t="s">
        <v>714</v>
      </c>
      <c r="E499" s="835" t="s">
        <v>1095</v>
      </c>
      <c r="F499" s="254" t="s">
        <v>625</v>
      </c>
      <c r="G499" s="254"/>
      <c r="H499" s="256">
        <v>7.5</v>
      </c>
      <c r="I499" s="274"/>
      <c r="J499" s="275"/>
      <c r="K499" s="276"/>
      <c r="L499" s="277"/>
      <c r="M499" s="277"/>
      <c r="N499" s="277"/>
      <c r="O499" s="277"/>
      <c r="P499" s="279"/>
      <c r="Q499" s="279"/>
    </row>
    <row r="500" spans="1:17" s="229" customFormat="1" ht="15.75" hidden="1" outlineLevel="1" thickBot="1">
      <c r="A500" s="833" t="s">
        <v>1080</v>
      </c>
      <c r="B500" s="257"/>
      <c r="C500" s="258" t="s">
        <v>1081</v>
      </c>
      <c r="D500" s="838" t="s">
        <v>714</v>
      </c>
      <c r="E500" s="835" t="s">
        <v>1095</v>
      </c>
      <c r="F500" s="254" t="s">
        <v>625</v>
      </c>
      <c r="G500" s="254"/>
      <c r="H500" s="256">
        <v>5</v>
      </c>
      <c r="I500" s="274"/>
      <c r="J500" s="275"/>
      <c r="K500" s="276"/>
      <c r="L500" s="277"/>
      <c r="M500" s="277"/>
      <c r="N500" s="277"/>
      <c r="O500" s="277"/>
      <c r="P500" s="279"/>
      <c r="Q500" s="279"/>
    </row>
    <row r="501" spans="1:17" s="229" customFormat="1" ht="15.75" hidden="1" outlineLevel="1" thickBot="1">
      <c r="A501" s="833" t="s">
        <v>1080</v>
      </c>
      <c r="B501" s="257"/>
      <c r="C501" s="258" t="s">
        <v>1081</v>
      </c>
      <c r="D501" s="838" t="s">
        <v>714</v>
      </c>
      <c r="E501" s="835" t="s">
        <v>1096</v>
      </c>
      <c r="F501" s="254" t="s">
        <v>625</v>
      </c>
      <c r="G501" s="254"/>
      <c r="H501" s="256">
        <v>16</v>
      </c>
      <c r="I501" s="274"/>
      <c r="J501" s="275"/>
      <c r="K501" s="276"/>
      <c r="L501" s="277"/>
      <c r="M501" s="277"/>
      <c r="N501" s="277"/>
      <c r="O501" s="277"/>
      <c r="P501" s="279"/>
      <c r="Q501" s="279"/>
    </row>
    <row r="502" spans="1:17" s="229" customFormat="1" ht="15.75" hidden="1" outlineLevel="1" thickBot="1">
      <c r="A502" s="833" t="s">
        <v>1080</v>
      </c>
      <c r="B502" s="257"/>
      <c r="C502" s="258" t="s">
        <v>1081</v>
      </c>
      <c r="D502" s="838" t="s">
        <v>714</v>
      </c>
      <c r="E502" s="835" t="s">
        <v>1097</v>
      </c>
      <c r="F502" s="254" t="s">
        <v>625</v>
      </c>
      <c r="G502" s="254"/>
      <c r="H502" s="256">
        <v>0.625</v>
      </c>
      <c r="I502" s="274"/>
      <c r="J502" s="275"/>
      <c r="K502" s="276"/>
      <c r="L502" s="277"/>
      <c r="M502" s="277"/>
      <c r="N502" s="277"/>
      <c r="O502" s="277"/>
      <c r="P502" s="279"/>
      <c r="Q502" s="279"/>
    </row>
    <row r="503" spans="1:17" s="229" customFormat="1" ht="15.75" hidden="1" outlineLevel="1" thickBot="1">
      <c r="A503" s="833" t="s">
        <v>1080</v>
      </c>
      <c r="B503" s="257"/>
      <c r="C503" s="258" t="s">
        <v>1081</v>
      </c>
      <c r="D503" s="838" t="s">
        <v>714</v>
      </c>
      <c r="E503" s="835" t="s">
        <v>1098</v>
      </c>
      <c r="F503" s="254" t="s">
        <v>625</v>
      </c>
      <c r="G503" s="254"/>
      <c r="H503" s="256">
        <v>2</v>
      </c>
      <c r="I503" s="274"/>
      <c r="J503" s="275"/>
      <c r="K503" s="276"/>
      <c r="L503" s="277"/>
      <c r="M503" s="277"/>
      <c r="N503" s="277"/>
      <c r="O503" s="277"/>
      <c r="P503" s="279"/>
      <c r="Q503" s="279"/>
    </row>
    <row r="504" spans="1:17" s="229" customFormat="1" ht="15.75" hidden="1" outlineLevel="1" thickBot="1">
      <c r="A504" s="833" t="s">
        <v>1080</v>
      </c>
      <c r="B504" s="257"/>
      <c r="C504" s="258" t="s">
        <v>1081</v>
      </c>
      <c r="D504" s="838" t="s">
        <v>714</v>
      </c>
      <c r="E504" s="835" t="s">
        <v>1099</v>
      </c>
      <c r="F504" s="254" t="s">
        <v>625</v>
      </c>
      <c r="G504" s="254"/>
      <c r="H504" s="256">
        <v>1.25</v>
      </c>
      <c r="I504" s="274"/>
      <c r="J504" s="275"/>
      <c r="K504" s="276"/>
      <c r="L504" s="277"/>
      <c r="M504" s="277"/>
      <c r="N504" s="277"/>
      <c r="O504" s="277"/>
      <c r="P504" s="279"/>
      <c r="Q504" s="279"/>
    </row>
    <row r="505" spans="1:17" s="229" customFormat="1" ht="15.75" hidden="1" outlineLevel="1" thickBot="1">
      <c r="A505" s="833" t="s">
        <v>1080</v>
      </c>
      <c r="B505" s="257"/>
      <c r="C505" s="258" t="s">
        <v>1081</v>
      </c>
      <c r="D505" s="838" t="s">
        <v>714</v>
      </c>
      <c r="E505" s="835" t="s">
        <v>1100</v>
      </c>
      <c r="F505" s="254" t="s">
        <v>625</v>
      </c>
      <c r="G505" s="254"/>
      <c r="H505" s="256">
        <v>5</v>
      </c>
      <c r="I505" s="274"/>
      <c r="J505" s="275"/>
      <c r="K505" s="276"/>
      <c r="L505" s="277"/>
      <c r="M505" s="277"/>
      <c r="N505" s="277"/>
      <c r="O505" s="277"/>
      <c r="P505" s="279"/>
      <c r="Q505" s="279"/>
    </row>
    <row r="506" spans="1:17" s="229" customFormat="1" ht="15.75" hidden="1" outlineLevel="1" thickBot="1">
      <c r="A506" s="833" t="s">
        <v>1080</v>
      </c>
      <c r="B506" s="257"/>
      <c r="C506" s="258" t="s">
        <v>1081</v>
      </c>
      <c r="D506" s="838" t="s">
        <v>714</v>
      </c>
      <c r="E506" s="835" t="s">
        <v>1101</v>
      </c>
      <c r="F506" s="254" t="s">
        <v>625</v>
      </c>
      <c r="G506" s="254"/>
      <c r="H506" s="256">
        <v>0.75</v>
      </c>
      <c r="I506" s="274"/>
      <c r="J506" s="275"/>
      <c r="K506" s="276"/>
      <c r="L506" s="277"/>
      <c r="M506" s="277"/>
      <c r="N506" s="277"/>
      <c r="O506" s="277"/>
      <c r="P506" s="279"/>
      <c r="Q506" s="279"/>
    </row>
    <row r="507" spans="1:17" s="229" customFormat="1" ht="15.75" hidden="1" outlineLevel="1" thickBot="1">
      <c r="A507" s="833" t="s">
        <v>1080</v>
      </c>
      <c r="B507" s="257"/>
      <c r="C507" s="258" t="s">
        <v>1081</v>
      </c>
      <c r="D507" s="838" t="s">
        <v>714</v>
      </c>
      <c r="E507" s="835" t="s">
        <v>1102</v>
      </c>
      <c r="F507" s="254" t="s">
        <v>621</v>
      </c>
      <c r="G507" s="254"/>
      <c r="H507" s="256">
        <v>81</v>
      </c>
      <c r="I507" s="274"/>
      <c r="J507" s="275"/>
      <c r="K507" s="276"/>
      <c r="L507" s="277"/>
      <c r="M507" s="277"/>
      <c r="N507" s="277"/>
      <c r="O507" s="277"/>
      <c r="P507" s="279"/>
      <c r="Q507" s="279"/>
    </row>
    <row r="508" spans="1:17" s="229" customFormat="1" ht="15.75" hidden="1" outlineLevel="1" thickBot="1">
      <c r="A508" s="833" t="s">
        <v>1080</v>
      </c>
      <c r="B508" s="257"/>
      <c r="C508" s="258" t="s">
        <v>1081</v>
      </c>
      <c r="D508" s="838" t="s">
        <v>635</v>
      </c>
      <c r="E508" s="835" t="s">
        <v>1103</v>
      </c>
      <c r="F508" s="254" t="s">
        <v>625</v>
      </c>
      <c r="G508" s="254"/>
      <c r="H508" s="256">
        <v>480</v>
      </c>
      <c r="I508" s="274"/>
      <c r="J508" s="275"/>
      <c r="K508" s="276"/>
      <c r="L508" s="277"/>
      <c r="M508" s="277"/>
      <c r="N508" s="277"/>
      <c r="O508" s="277"/>
      <c r="P508" s="279"/>
      <c r="Q508" s="279"/>
    </row>
    <row r="509" spans="1:17" s="229" customFormat="1" ht="15.75" hidden="1" outlineLevel="1" thickBot="1">
      <c r="A509" s="833" t="s">
        <v>1080</v>
      </c>
      <c r="B509" s="257"/>
      <c r="C509" s="258" t="s">
        <v>1081</v>
      </c>
      <c r="D509" s="838" t="s">
        <v>630</v>
      </c>
      <c r="E509" s="835" t="s">
        <v>1104</v>
      </c>
      <c r="F509" s="254" t="s">
        <v>625</v>
      </c>
      <c r="G509" s="254"/>
      <c r="H509" s="256">
        <v>155</v>
      </c>
      <c r="I509" s="274"/>
      <c r="J509" s="275"/>
      <c r="K509" s="276"/>
      <c r="L509" s="277"/>
      <c r="M509" s="277"/>
      <c r="N509" s="277"/>
      <c r="O509" s="277"/>
      <c r="P509" s="279"/>
      <c r="Q509" s="279"/>
    </row>
    <row r="510" spans="1:17" s="229" customFormat="1" ht="15.75" hidden="1" outlineLevel="1" thickBot="1">
      <c r="A510" s="833" t="s">
        <v>1080</v>
      </c>
      <c r="B510" s="257"/>
      <c r="C510" s="258" t="s">
        <v>1081</v>
      </c>
      <c r="D510" s="838" t="s">
        <v>630</v>
      </c>
      <c r="E510" s="835" t="s">
        <v>1105</v>
      </c>
      <c r="F510" s="254" t="s">
        <v>625</v>
      </c>
      <c r="G510" s="254"/>
      <c r="H510" s="256">
        <v>46</v>
      </c>
      <c r="I510" s="274"/>
      <c r="J510" s="275"/>
      <c r="K510" s="276"/>
      <c r="L510" s="277"/>
      <c r="M510" s="277"/>
      <c r="N510" s="277"/>
      <c r="O510" s="277"/>
      <c r="P510" s="279"/>
      <c r="Q510" s="279"/>
    </row>
    <row r="511" spans="1:17" s="229" customFormat="1" ht="15.75" hidden="1" outlineLevel="1" thickBot="1">
      <c r="A511" s="833" t="s">
        <v>1080</v>
      </c>
      <c r="B511" s="257"/>
      <c r="C511" s="258" t="s">
        <v>1081</v>
      </c>
      <c r="D511" s="838" t="s">
        <v>635</v>
      </c>
      <c r="E511" s="835" t="s">
        <v>1106</v>
      </c>
      <c r="F511" s="254" t="s">
        <v>1107</v>
      </c>
      <c r="G511" s="254"/>
      <c r="H511" s="256">
        <v>74</v>
      </c>
      <c r="I511" s="274"/>
      <c r="J511" s="275"/>
      <c r="K511" s="276"/>
      <c r="L511" s="277"/>
      <c r="M511" s="277"/>
      <c r="N511" s="277"/>
      <c r="O511" s="277"/>
      <c r="P511" s="279"/>
      <c r="Q511" s="279"/>
    </row>
    <row r="512" spans="1:17" s="229" customFormat="1" ht="15.75" hidden="1" outlineLevel="1" thickBot="1">
      <c r="A512" s="833" t="s">
        <v>1080</v>
      </c>
      <c r="B512" s="257"/>
      <c r="C512" s="258" t="s">
        <v>618</v>
      </c>
      <c r="D512" s="838" t="s">
        <v>714</v>
      </c>
      <c r="E512" s="835" t="s">
        <v>867</v>
      </c>
      <c r="F512" s="254" t="s">
        <v>627</v>
      </c>
      <c r="G512" s="254"/>
      <c r="H512" s="256">
        <v>10</v>
      </c>
      <c r="I512" s="274"/>
      <c r="J512" s="275"/>
      <c r="K512" s="276"/>
      <c r="L512" s="277"/>
      <c r="M512" s="277"/>
      <c r="N512" s="277"/>
      <c r="O512" s="277"/>
      <c r="P512" s="279"/>
      <c r="Q512" s="279"/>
    </row>
    <row r="513" spans="1:17" s="229" customFormat="1" ht="15.75" hidden="1" outlineLevel="1" thickBot="1">
      <c r="A513" s="833" t="s">
        <v>1080</v>
      </c>
      <c r="B513" s="257"/>
      <c r="C513" s="258" t="s">
        <v>618</v>
      </c>
      <c r="D513" s="838" t="s">
        <v>630</v>
      </c>
      <c r="E513" s="835" t="s">
        <v>868</v>
      </c>
      <c r="F513" s="254" t="s">
        <v>627</v>
      </c>
      <c r="G513" s="254"/>
      <c r="H513" s="256">
        <v>10</v>
      </c>
      <c r="I513" s="274"/>
      <c r="J513" s="275"/>
      <c r="K513" s="276"/>
      <c r="L513" s="277"/>
      <c r="M513" s="277"/>
      <c r="N513" s="277"/>
      <c r="O513" s="277"/>
      <c r="P513" s="279"/>
      <c r="Q513" s="279"/>
    </row>
    <row r="514" spans="1:17" s="229" customFormat="1" ht="15.75" hidden="1" outlineLevel="1" thickBot="1">
      <c r="A514" s="833" t="s">
        <v>1080</v>
      </c>
      <c r="B514" s="257"/>
      <c r="C514" s="258" t="s">
        <v>618</v>
      </c>
      <c r="D514" s="838" t="s">
        <v>611</v>
      </c>
      <c r="E514" s="835" t="s">
        <v>704</v>
      </c>
      <c r="F514" s="254" t="s">
        <v>621</v>
      </c>
      <c r="G514" s="254"/>
      <c r="H514" s="256">
        <v>5</v>
      </c>
      <c r="I514" s="274"/>
      <c r="J514" s="275"/>
      <c r="K514" s="276"/>
      <c r="L514" s="277"/>
      <c r="M514" s="277"/>
      <c r="N514" s="277"/>
      <c r="O514" s="277"/>
      <c r="P514" s="279"/>
      <c r="Q514" s="279"/>
    </row>
    <row r="515" spans="1:17" s="229" customFormat="1" ht="15.75" hidden="1" outlineLevel="1" thickBot="1">
      <c r="A515" s="833" t="s">
        <v>1108</v>
      </c>
      <c r="B515" s="257"/>
      <c r="C515" s="258" t="s">
        <v>618</v>
      </c>
      <c r="D515" s="838" t="s">
        <v>635</v>
      </c>
      <c r="E515" s="835" t="s">
        <v>1109</v>
      </c>
      <c r="F515" s="254" t="s">
        <v>621</v>
      </c>
      <c r="G515" s="254"/>
      <c r="H515" s="256">
        <v>71</v>
      </c>
      <c r="I515" s="274"/>
      <c r="J515" s="275"/>
      <c r="K515" s="276"/>
      <c r="L515" s="277"/>
      <c r="M515" s="277"/>
      <c r="N515" s="277"/>
      <c r="O515" s="277"/>
      <c r="P515" s="279"/>
      <c r="Q515" s="279"/>
    </row>
    <row r="516" spans="1:17" s="229" customFormat="1" ht="15.75" hidden="1" outlineLevel="1" thickBot="1">
      <c r="A516" s="833" t="s">
        <v>1108</v>
      </c>
      <c r="B516" s="257"/>
      <c r="C516" s="258" t="s">
        <v>618</v>
      </c>
      <c r="D516" s="838" t="s">
        <v>635</v>
      </c>
      <c r="E516" s="835" t="s">
        <v>1110</v>
      </c>
      <c r="F516" s="254" t="s">
        <v>621</v>
      </c>
      <c r="G516" s="254"/>
      <c r="H516" s="256">
        <v>7.8</v>
      </c>
      <c r="I516" s="274"/>
      <c r="J516" s="275"/>
      <c r="K516" s="276"/>
      <c r="L516" s="277"/>
      <c r="M516" s="277"/>
      <c r="N516" s="277"/>
      <c r="O516" s="277"/>
      <c r="P516" s="279"/>
      <c r="Q516" s="279"/>
    </row>
    <row r="517" spans="1:17" s="229" customFormat="1" ht="15.75" hidden="1" outlineLevel="1" thickBot="1">
      <c r="A517" s="833" t="s">
        <v>1108</v>
      </c>
      <c r="B517" s="257"/>
      <c r="C517" s="258" t="s">
        <v>618</v>
      </c>
      <c r="D517" s="838" t="s">
        <v>635</v>
      </c>
      <c r="E517" s="835" t="s">
        <v>1111</v>
      </c>
      <c r="F517" s="254" t="s">
        <v>621</v>
      </c>
      <c r="G517" s="254"/>
      <c r="H517" s="256">
        <v>16</v>
      </c>
      <c r="I517" s="274"/>
      <c r="J517" s="275"/>
      <c r="K517" s="276"/>
      <c r="L517" s="277"/>
      <c r="M517" s="277"/>
      <c r="N517" s="277"/>
      <c r="O517" s="277"/>
      <c r="P517" s="279"/>
      <c r="Q517" s="279"/>
    </row>
    <row r="518" spans="1:17" s="229" customFormat="1" ht="15.75" hidden="1" outlineLevel="1" thickBot="1">
      <c r="A518" s="833" t="s">
        <v>1108</v>
      </c>
      <c r="B518" s="257"/>
      <c r="C518" s="258" t="s">
        <v>618</v>
      </c>
      <c r="D518" s="838" t="s">
        <v>635</v>
      </c>
      <c r="E518" s="835" t="s">
        <v>1112</v>
      </c>
      <c r="F518" s="254" t="s">
        <v>644</v>
      </c>
      <c r="G518" s="254"/>
      <c r="H518" s="256">
        <v>1805.2750000000001</v>
      </c>
      <c r="I518" s="274"/>
      <c r="J518" s="275"/>
      <c r="K518" s="276"/>
      <c r="L518" s="277"/>
      <c r="M518" s="277"/>
      <c r="N518" s="277"/>
      <c r="O518" s="277"/>
      <c r="P518" s="279"/>
      <c r="Q518" s="279"/>
    </row>
    <row r="519" spans="1:17" s="229" customFormat="1" ht="15.75" hidden="1" outlineLevel="1" thickBot="1">
      <c r="A519" s="833" t="s">
        <v>1108</v>
      </c>
      <c r="B519" s="257"/>
      <c r="C519" s="258" t="s">
        <v>618</v>
      </c>
      <c r="D519" s="838" t="s">
        <v>635</v>
      </c>
      <c r="E519" s="835" t="s">
        <v>1113</v>
      </c>
      <c r="F519" s="254" t="s">
        <v>644</v>
      </c>
      <c r="G519" s="254"/>
      <c r="H519" s="256">
        <v>3820.8256000000001</v>
      </c>
      <c r="I519" s="274"/>
      <c r="J519" s="275"/>
      <c r="K519" s="276"/>
      <c r="L519" s="277"/>
      <c r="M519" s="277"/>
      <c r="N519" s="277"/>
      <c r="O519" s="277"/>
      <c r="P519" s="279"/>
      <c r="Q519" s="279"/>
    </row>
    <row r="520" spans="1:17" s="229" customFormat="1" ht="15.75" hidden="1" outlineLevel="1" thickBot="1">
      <c r="A520" s="833" t="s">
        <v>1108</v>
      </c>
      <c r="B520" s="257"/>
      <c r="C520" s="258" t="s">
        <v>618</v>
      </c>
      <c r="D520" s="838" t="s">
        <v>635</v>
      </c>
      <c r="E520" s="835" t="s">
        <v>860</v>
      </c>
      <c r="F520" s="254" t="s">
        <v>627</v>
      </c>
      <c r="G520" s="254"/>
      <c r="H520" s="256">
        <v>20</v>
      </c>
      <c r="I520" s="274"/>
      <c r="J520" s="275"/>
      <c r="K520" s="276"/>
      <c r="L520" s="277"/>
      <c r="M520" s="277"/>
      <c r="N520" s="277"/>
      <c r="O520" s="277"/>
      <c r="P520" s="279"/>
      <c r="Q520" s="279"/>
    </row>
    <row r="521" spans="1:17" s="229" customFormat="1" ht="15.75" hidden="1" outlineLevel="1" thickBot="1">
      <c r="A521" s="833" t="s">
        <v>1108</v>
      </c>
      <c r="B521" s="257"/>
      <c r="C521" s="258" t="s">
        <v>618</v>
      </c>
      <c r="D521" s="838" t="s">
        <v>630</v>
      </c>
      <c r="E521" s="835" t="s">
        <v>1114</v>
      </c>
      <c r="F521" s="254" t="s">
        <v>625</v>
      </c>
      <c r="G521" s="254"/>
      <c r="H521" s="256">
        <v>10</v>
      </c>
      <c r="I521" s="274"/>
      <c r="J521" s="275"/>
      <c r="K521" s="276"/>
      <c r="L521" s="277"/>
      <c r="M521" s="277"/>
      <c r="N521" s="277"/>
      <c r="O521" s="277"/>
      <c r="P521" s="279"/>
      <c r="Q521" s="279"/>
    </row>
    <row r="522" spans="1:17" s="229" customFormat="1" ht="15.75" hidden="1" outlineLevel="1" thickBot="1">
      <c r="A522" s="833" t="s">
        <v>1108</v>
      </c>
      <c r="B522" s="257"/>
      <c r="C522" s="258" t="s">
        <v>618</v>
      </c>
      <c r="D522" s="838" t="s">
        <v>611</v>
      </c>
      <c r="E522" s="835" t="s">
        <v>1115</v>
      </c>
      <c r="F522" s="254" t="s">
        <v>621</v>
      </c>
      <c r="G522" s="254"/>
      <c r="H522" s="256">
        <v>12</v>
      </c>
      <c r="I522" s="274"/>
      <c r="J522" s="275"/>
      <c r="K522" s="276"/>
      <c r="L522" s="277"/>
      <c r="M522" s="277"/>
      <c r="N522" s="277"/>
      <c r="O522" s="277"/>
      <c r="P522" s="279"/>
      <c r="Q522" s="279"/>
    </row>
    <row r="523" spans="1:17" s="229" customFormat="1" ht="15.75" hidden="1" outlineLevel="1" thickBot="1">
      <c r="A523" s="833" t="s">
        <v>1108</v>
      </c>
      <c r="B523" s="257"/>
      <c r="C523" s="258" t="s">
        <v>618</v>
      </c>
      <c r="D523" s="838" t="s">
        <v>611</v>
      </c>
      <c r="E523" s="835" t="s">
        <v>1116</v>
      </c>
      <c r="F523" s="254" t="s">
        <v>621</v>
      </c>
      <c r="G523" s="254"/>
      <c r="H523" s="256">
        <v>7</v>
      </c>
      <c r="I523" s="274"/>
      <c r="J523" s="275"/>
      <c r="K523" s="276"/>
      <c r="L523" s="277"/>
      <c r="M523" s="277"/>
      <c r="N523" s="277"/>
      <c r="O523" s="277"/>
      <c r="P523" s="279"/>
      <c r="Q523" s="279"/>
    </row>
    <row r="524" spans="1:17" s="229" customFormat="1" ht="15.75" hidden="1" outlineLevel="1" thickBot="1">
      <c r="A524" s="833" t="s">
        <v>1108</v>
      </c>
      <c r="B524" s="257"/>
      <c r="C524" s="258" t="s">
        <v>618</v>
      </c>
      <c r="D524" s="838" t="s">
        <v>611</v>
      </c>
      <c r="E524" s="835" t="s">
        <v>1117</v>
      </c>
      <c r="F524" s="254" t="s">
        <v>621</v>
      </c>
      <c r="G524" s="254"/>
      <c r="H524" s="256">
        <v>8</v>
      </c>
      <c r="I524" s="274"/>
      <c r="J524" s="275"/>
      <c r="K524" s="276"/>
      <c r="L524" s="277"/>
      <c r="M524" s="277"/>
      <c r="N524" s="277"/>
      <c r="O524" s="277"/>
      <c r="P524" s="279"/>
      <c r="Q524" s="279"/>
    </row>
    <row r="525" spans="1:17" s="229" customFormat="1" ht="15.75" hidden="1" outlineLevel="1" thickBot="1">
      <c r="A525" s="833" t="s">
        <v>1108</v>
      </c>
      <c r="B525" s="257"/>
      <c r="C525" s="258" t="s">
        <v>618</v>
      </c>
      <c r="D525" s="838" t="s">
        <v>611</v>
      </c>
      <c r="E525" s="835" t="s">
        <v>1118</v>
      </c>
      <c r="F525" s="254" t="s">
        <v>621</v>
      </c>
      <c r="G525" s="254"/>
      <c r="H525" s="256">
        <v>4</v>
      </c>
      <c r="I525" s="274"/>
      <c r="J525" s="275"/>
      <c r="K525" s="276"/>
      <c r="L525" s="277"/>
      <c r="M525" s="277"/>
      <c r="N525" s="277"/>
      <c r="O525" s="277"/>
      <c r="P525" s="279"/>
      <c r="Q525" s="279"/>
    </row>
    <row r="526" spans="1:17" s="229" customFormat="1" ht="15.75" hidden="1" outlineLevel="1" thickBot="1">
      <c r="A526" s="833" t="s">
        <v>1108</v>
      </c>
      <c r="B526" s="257"/>
      <c r="C526" s="258" t="s">
        <v>618</v>
      </c>
      <c r="D526" s="838" t="s">
        <v>611</v>
      </c>
      <c r="E526" s="835" t="s">
        <v>1119</v>
      </c>
      <c r="F526" s="254" t="s">
        <v>621</v>
      </c>
      <c r="G526" s="254"/>
      <c r="H526" s="256">
        <v>5</v>
      </c>
      <c r="I526" s="274"/>
      <c r="J526" s="275"/>
      <c r="K526" s="276"/>
      <c r="L526" s="277"/>
      <c r="M526" s="277"/>
      <c r="N526" s="277"/>
      <c r="O526" s="277"/>
      <c r="P526" s="279"/>
      <c r="Q526" s="279"/>
    </row>
    <row r="527" spans="1:17" s="229" customFormat="1" ht="15.75" hidden="1" outlineLevel="1" thickBot="1">
      <c r="A527" s="833" t="s">
        <v>1108</v>
      </c>
      <c r="B527" s="257"/>
      <c r="C527" s="258" t="s">
        <v>618</v>
      </c>
      <c r="D527" s="838" t="s">
        <v>611</v>
      </c>
      <c r="E527" s="835" t="s">
        <v>1120</v>
      </c>
      <c r="F527" s="254" t="s">
        <v>621</v>
      </c>
      <c r="G527" s="254"/>
      <c r="H527" s="256">
        <v>5</v>
      </c>
      <c r="I527" s="274"/>
      <c r="J527" s="275"/>
      <c r="K527" s="276"/>
      <c r="L527" s="277"/>
      <c r="M527" s="277"/>
      <c r="N527" s="277"/>
      <c r="O527" s="277"/>
      <c r="P527" s="279"/>
      <c r="Q527" s="279"/>
    </row>
    <row r="528" spans="1:17" s="229" customFormat="1" ht="15.75" hidden="1" outlineLevel="1" thickBot="1">
      <c r="A528" s="833" t="s">
        <v>1108</v>
      </c>
      <c r="B528" s="257"/>
      <c r="C528" s="258" t="s">
        <v>618</v>
      </c>
      <c r="D528" s="838" t="s">
        <v>611</v>
      </c>
      <c r="E528" s="835" t="s">
        <v>1121</v>
      </c>
      <c r="F528" s="254" t="s">
        <v>621</v>
      </c>
      <c r="G528" s="254"/>
      <c r="H528" s="256">
        <v>8</v>
      </c>
      <c r="I528" s="274"/>
      <c r="J528" s="275"/>
      <c r="K528" s="276"/>
      <c r="L528" s="277"/>
      <c r="M528" s="277"/>
      <c r="N528" s="277"/>
      <c r="O528" s="277"/>
      <c r="P528" s="279"/>
      <c r="Q528" s="279"/>
    </row>
    <row r="529" spans="1:17" s="229" customFormat="1" ht="15.75" hidden="1" outlineLevel="1" thickBot="1">
      <c r="A529" s="833" t="s">
        <v>1108</v>
      </c>
      <c r="B529" s="257"/>
      <c r="C529" s="258" t="s">
        <v>618</v>
      </c>
      <c r="D529" s="838" t="s">
        <v>611</v>
      </c>
      <c r="E529" s="835" t="s">
        <v>1122</v>
      </c>
      <c r="F529" s="254" t="s">
        <v>621</v>
      </c>
      <c r="G529" s="254"/>
      <c r="H529" s="256">
        <v>5</v>
      </c>
      <c r="I529" s="274"/>
      <c r="J529" s="275"/>
      <c r="K529" s="276"/>
      <c r="L529" s="277"/>
      <c r="M529" s="277"/>
      <c r="N529" s="277"/>
      <c r="O529" s="277"/>
      <c r="P529" s="279"/>
      <c r="Q529" s="279"/>
    </row>
    <row r="530" spans="1:17" s="229" customFormat="1" ht="15.75" hidden="1" outlineLevel="1" thickBot="1">
      <c r="A530" s="833" t="s">
        <v>1108</v>
      </c>
      <c r="B530" s="257"/>
      <c r="C530" s="258" t="s">
        <v>618</v>
      </c>
      <c r="D530" s="838" t="s">
        <v>611</v>
      </c>
      <c r="E530" s="835" t="s">
        <v>1123</v>
      </c>
      <c r="F530" s="254" t="s">
        <v>621</v>
      </c>
      <c r="G530" s="254"/>
      <c r="H530" s="256">
        <v>5</v>
      </c>
      <c r="I530" s="274"/>
      <c r="J530" s="275"/>
      <c r="K530" s="276"/>
      <c r="L530" s="277"/>
      <c r="M530" s="277"/>
      <c r="N530" s="277"/>
      <c r="O530" s="277"/>
      <c r="P530" s="279"/>
      <c r="Q530" s="279"/>
    </row>
    <row r="531" spans="1:17" s="229" customFormat="1" ht="15.75" hidden="1" outlineLevel="1" thickBot="1">
      <c r="A531" s="833" t="s">
        <v>1108</v>
      </c>
      <c r="B531" s="257"/>
      <c r="C531" s="258" t="s">
        <v>618</v>
      </c>
      <c r="D531" s="838" t="s">
        <v>611</v>
      </c>
      <c r="E531" s="835" t="s">
        <v>1124</v>
      </c>
      <c r="F531" s="254" t="s">
        <v>625</v>
      </c>
      <c r="G531" s="254"/>
      <c r="H531" s="256">
        <v>18</v>
      </c>
      <c r="I531" s="274"/>
      <c r="J531" s="275"/>
      <c r="K531" s="276"/>
      <c r="L531" s="277"/>
      <c r="M531" s="277"/>
      <c r="N531" s="277"/>
      <c r="O531" s="277"/>
      <c r="P531" s="279"/>
      <c r="Q531" s="279"/>
    </row>
    <row r="532" spans="1:17" s="229" customFormat="1" ht="15.75" hidden="1" outlineLevel="1" thickBot="1">
      <c r="A532" s="833" t="s">
        <v>1108</v>
      </c>
      <c r="B532" s="257"/>
      <c r="C532" s="258" t="s">
        <v>618</v>
      </c>
      <c r="D532" s="838" t="s">
        <v>611</v>
      </c>
      <c r="E532" s="835" t="s">
        <v>1125</v>
      </c>
      <c r="F532" s="254" t="s">
        <v>625</v>
      </c>
      <c r="G532" s="254"/>
      <c r="H532" s="256">
        <v>11</v>
      </c>
      <c r="I532" s="274"/>
      <c r="J532" s="275"/>
      <c r="K532" s="276"/>
      <c r="L532" s="277"/>
      <c r="M532" s="277"/>
      <c r="N532" s="277"/>
      <c r="O532" s="277"/>
      <c r="P532" s="279"/>
      <c r="Q532" s="279"/>
    </row>
    <row r="533" spans="1:17" s="229" customFormat="1" ht="15.75" hidden="1" outlineLevel="1" thickBot="1">
      <c r="A533" s="833" t="s">
        <v>1108</v>
      </c>
      <c r="B533" s="257"/>
      <c r="C533" s="258" t="s">
        <v>618</v>
      </c>
      <c r="D533" s="838" t="s">
        <v>611</v>
      </c>
      <c r="E533" s="835" t="s">
        <v>1126</v>
      </c>
      <c r="F533" s="254" t="s">
        <v>625</v>
      </c>
      <c r="G533" s="254"/>
      <c r="H533" s="256">
        <v>11</v>
      </c>
      <c r="I533" s="274"/>
      <c r="J533" s="275"/>
      <c r="K533" s="276"/>
      <c r="L533" s="277"/>
      <c r="M533" s="277"/>
      <c r="N533" s="277"/>
      <c r="O533" s="277"/>
      <c r="P533" s="279"/>
      <c r="Q533" s="279"/>
    </row>
    <row r="534" spans="1:17" s="229" customFormat="1" ht="15.75" hidden="1" outlineLevel="1" thickBot="1">
      <c r="A534" s="833" t="s">
        <v>1108</v>
      </c>
      <c r="B534" s="257"/>
      <c r="C534" s="258" t="s">
        <v>618</v>
      </c>
      <c r="D534" s="838" t="s">
        <v>611</v>
      </c>
      <c r="E534" s="835" t="s">
        <v>1127</v>
      </c>
      <c r="F534" s="254" t="s">
        <v>625</v>
      </c>
      <c r="G534" s="254"/>
      <c r="H534" s="256">
        <v>2.5</v>
      </c>
      <c r="I534" s="274"/>
      <c r="J534" s="275"/>
      <c r="K534" s="276"/>
      <c r="L534" s="277"/>
      <c r="M534" s="277"/>
      <c r="N534" s="277"/>
      <c r="O534" s="277"/>
      <c r="P534" s="279"/>
      <c r="Q534" s="279"/>
    </row>
    <row r="535" spans="1:17" s="229" customFormat="1" ht="15.75" hidden="1" outlineLevel="1" thickBot="1">
      <c r="A535" s="833" t="s">
        <v>1108</v>
      </c>
      <c r="B535" s="257"/>
      <c r="C535" s="258" t="s">
        <v>618</v>
      </c>
      <c r="D535" s="838" t="s">
        <v>611</v>
      </c>
      <c r="E535" s="835" t="s">
        <v>1128</v>
      </c>
      <c r="F535" s="254" t="s">
        <v>625</v>
      </c>
      <c r="G535" s="254"/>
      <c r="H535" s="256">
        <v>50</v>
      </c>
      <c r="I535" s="274"/>
      <c r="J535" s="275"/>
      <c r="K535" s="276"/>
      <c r="L535" s="277"/>
      <c r="M535" s="277"/>
      <c r="N535" s="277"/>
      <c r="O535" s="277"/>
      <c r="P535" s="279"/>
      <c r="Q535" s="279"/>
    </row>
    <row r="536" spans="1:17" s="229" customFormat="1" ht="15.75" hidden="1" outlineLevel="1" thickBot="1">
      <c r="A536" s="833" t="s">
        <v>1108</v>
      </c>
      <c r="B536" s="257"/>
      <c r="C536" s="258" t="s">
        <v>618</v>
      </c>
      <c r="D536" s="838" t="s">
        <v>611</v>
      </c>
      <c r="E536" s="835" t="s">
        <v>1129</v>
      </c>
      <c r="F536" s="254" t="s">
        <v>625</v>
      </c>
      <c r="G536" s="254"/>
      <c r="H536" s="256">
        <v>12.5</v>
      </c>
      <c r="I536" s="274"/>
      <c r="J536" s="275"/>
      <c r="K536" s="276"/>
      <c r="L536" s="277"/>
      <c r="M536" s="277"/>
      <c r="N536" s="277"/>
      <c r="O536" s="277"/>
      <c r="P536" s="279"/>
      <c r="Q536" s="279"/>
    </row>
    <row r="537" spans="1:17" s="229" customFormat="1" ht="15.75" hidden="1" outlineLevel="1" thickBot="1">
      <c r="A537" s="833" t="s">
        <v>1108</v>
      </c>
      <c r="B537" s="257"/>
      <c r="C537" s="258" t="s">
        <v>618</v>
      </c>
      <c r="D537" s="838" t="s">
        <v>611</v>
      </c>
      <c r="E537" s="835" t="s">
        <v>1130</v>
      </c>
      <c r="F537" s="254" t="s">
        <v>625</v>
      </c>
      <c r="G537" s="254"/>
      <c r="H537" s="256">
        <v>10</v>
      </c>
      <c r="I537" s="274"/>
      <c r="J537" s="275"/>
      <c r="K537" s="276"/>
      <c r="L537" s="277"/>
      <c r="M537" s="277"/>
      <c r="N537" s="277"/>
      <c r="O537" s="277"/>
      <c r="P537" s="279"/>
      <c r="Q537" s="279"/>
    </row>
    <row r="538" spans="1:17" s="229" customFormat="1" ht="15.75" hidden="1" outlineLevel="1" thickBot="1">
      <c r="A538" s="833" t="s">
        <v>1108</v>
      </c>
      <c r="B538" s="257"/>
      <c r="C538" s="258" t="s">
        <v>618</v>
      </c>
      <c r="D538" s="838" t="s">
        <v>611</v>
      </c>
      <c r="E538" s="835" t="s">
        <v>1131</v>
      </c>
      <c r="F538" s="254" t="s">
        <v>625</v>
      </c>
      <c r="G538" s="254"/>
      <c r="H538" s="256">
        <v>12.5</v>
      </c>
      <c r="I538" s="274"/>
      <c r="J538" s="275"/>
      <c r="K538" s="276"/>
      <c r="L538" s="277"/>
      <c r="M538" s="277"/>
      <c r="N538" s="277"/>
      <c r="O538" s="277"/>
      <c r="P538" s="279"/>
      <c r="Q538" s="279"/>
    </row>
    <row r="539" spans="1:17" s="229" customFormat="1" ht="15.75" hidden="1" outlineLevel="1" thickBot="1">
      <c r="A539" s="833" t="s">
        <v>1108</v>
      </c>
      <c r="B539" s="257"/>
      <c r="C539" s="258" t="s">
        <v>618</v>
      </c>
      <c r="D539" s="838" t="s">
        <v>611</v>
      </c>
      <c r="E539" s="835" t="s">
        <v>1132</v>
      </c>
      <c r="F539" s="254" t="s">
        <v>625</v>
      </c>
      <c r="G539" s="254"/>
      <c r="H539" s="256">
        <v>19.5</v>
      </c>
      <c r="I539" s="274"/>
      <c r="J539" s="275"/>
      <c r="K539" s="276"/>
      <c r="L539" s="277"/>
      <c r="M539" s="277"/>
      <c r="N539" s="277"/>
      <c r="O539" s="277"/>
      <c r="P539" s="279"/>
      <c r="Q539" s="279"/>
    </row>
    <row r="540" spans="1:17" s="229" customFormat="1" ht="15.75" hidden="1" outlineLevel="1" thickBot="1">
      <c r="A540" s="833" t="s">
        <v>1108</v>
      </c>
      <c r="B540" s="257"/>
      <c r="C540" s="258" t="s">
        <v>618</v>
      </c>
      <c r="D540" s="838" t="s">
        <v>611</v>
      </c>
      <c r="E540" s="835" t="s">
        <v>665</v>
      </c>
      <c r="F540" s="254" t="s">
        <v>625</v>
      </c>
      <c r="G540" s="254"/>
      <c r="H540" s="256">
        <v>2.5</v>
      </c>
      <c r="I540" s="274"/>
      <c r="J540" s="275"/>
      <c r="K540" s="276"/>
      <c r="L540" s="277"/>
      <c r="M540" s="277"/>
      <c r="N540" s="277"/>
      <c r="O540" s="277"/>
      <c r="P540" s="279"/>
      <c r="Q540" s="279"/>
    </row>
    <row r="541" spans="1:17" s="229" customFormat="1" ht="15.75" hidden="1" outlineLevel="1" thickBot="1">
      <c r="A541" s="833" t="s">
        <v>1108</v>
      </c>
      <c r="B541" s="257"/>
      <c r="C541" s="258" t="s">
        <v>618</v>
      </c>
      <c r="D541" s="838" t="s">
        <v>611</v>
      </c>
      <c r="E541" s="835" t="s">
        <v>1133</v>
      </c>
      <c r="F541" s="254" t="s">
        <v>625</v>
      </c>
      <c r="G541" s="254"/>
      <c r="H541" s="256">
        <v>13.5</v>
      </c>
      <c r="I541" s="274"/>
      <c r="J541" s="275"/>
      <c r="K541" s="276"/>
      <c r="L541" s="277"/>
      <c r="M541" s="277"/>
      <c r="N541" s="277"/>
      <c r="O541" s="277"/>
      <c r="P541" s="279"/>
      <c r="Q541" s="279"/>
    </row>
    <row r="542" spans="1:17" s="229" customFormat="1" ht="15.75" hidden="1" outlineLevel="1" thickBot="1">
      <c r="A542" s="833" t="s">
        <v>1108</v>
      </c>
      <c r="B542" s="257"/>
      <c r="C542" s="258" t="s">
        <v>618</v>
      </c>
      <c r="D542" s="838" t="s">
        <v>611</v>
      </c>
      <c r="E542" s="835" t="s">
        <v>1134</v>
      </c>
      <c r="F542" s="254" t="s">
        <v>625</v>
      </c>
      <c r="G542" s="254"/>
      <c r="H542" s="256">
        <v>16.5</v>
      </c>
      <c r="I542" s="274"/>
      <c r="J542" s="275"/>
      <c r="K542" s="276"/>
      <c r="L542" s="277"/>
      <c r="M542" s="277"/>
      <c r="N542" s="277"/>
      <c r="O542" s="277"/>
      <c r="P542" s="279"/>
      <c r="Q542" s="279"/>
    </row>
    <row r="543" spans="1:17" s="229" customFormat="1" ht="15.75" hidden="1" outlineLevel="1" thickBot="1">
      <c r="A543" s="833" t="s">
        <v>1108</v>
      </c>
      <c r="B543" s="257"/>
      <c r="C543" s="258" t="s">
        <v>618</v>
      </c>
      <c r="D543" s="838" t="s">
        <v>611</v>
      </c>
      <c r="E543" s="835" t="s">
        <v>1135</v>
      </c>
      <c r="F543" s="254" t="s">
        <v>625</v>
      </c>
      <c r="G543" s="254"/>
      <c r="H543" s="256">
        <v>30</v>
      </c>
      <c r="I543" s="274"/>
      <c r="J543" s="275"/>
      <c r="K543" s="276"/>
      <c r="L543" s="277"/>
      <c r="M543" s="277"/>
      <c r="N543" s="277"/>
      <c r="O543" s="277"/>
      <c r="P543" s="279"/>
      <c r="Q543" s="279"/>
    </row>
    <row r="544" spans="1:17" s="229" customFormat="1" ht="15.75" hidden="1" outlineLevel="1" thickBot="1">
      <c r="A544" s="833" t="s">
        <v>1108</v>
      </c>
      <c r="B544" s="257"/>
      <c r="C544" s="258" t="s">
        <v>618</v>
      </c>
      <c r="D544" s="838" t="s">
        <v>611</v>
      </c>
      <c r="E544" s="835" t="s">
        <v>665</v>
      </c>
      <c r="F544" s="254" t="s">
        <v>625</v>
      </c>
      <c r="G544" s="254"/>
      <c r="H544" s="256">
        <v>2.5</v>
      </c>
      <c r="I544" s="274"/>
      <c r="J544" s="275"/>
      <c r="K544" s="276"/>
      <c r="L544" s="277"/>
      <c r="M544" s="277"/>
      <c r="N544" s="277"/>
      <c r="O544" s="277"/>
      <c r="P544" s="279"/>
      <c r="Q544" s="279"/>
    </row>
    <row r="545" spans="1:17" s="229" customFormat="1" ht="15.75" hidden="1" outlineLevel="1" thickBot="1">
      <c r="A545" s="833" t="s">
        <v>1108</v>
      </c>
      <c r="B545" s="257"/>
      <c r="C545" s="258" t="s">
        <v>1081</v>
      </c>
      <c r="D545" s="838" t="s">
        <v>630</v>
      </c>
      <c r="E545" s="835" t="s">
        <v>1136</v>
      </c>
      <c r="F545" s="254" t="s">
        <v>625</v>
      </c>
      <c r="G545" s="254"/>
      <c r="H545" s="256">
        <v>9</v>
      </c>
      <c r="I545" s="274"/>
      <c r="J545" s="275"/>
      <c r="K545" s="276"/>
      <c r="L545" s="277"/>
      <c r="M545" s="277"/>
      <c r="N545" s="277"/>
      <c r="O545" s="277"/>
      <c r="P545" s="279"/>
      <c r="Q545" s="279"/>
    </row>
    <row r="546" spans="1:17" s="229" customFormat="1" ht="15.75" hidden="1" outlineLevel="1" thickBot="1">
      <c r="A546" s="833" t="s">
        <v>1108</v>
      </c>
      <c r="B546" s="257"/>
      <c r="C546" s="258" t="s">
        <v>1081</v>
      </c>
      <c r="D546" s="838" t="s">
        <v>630</v>
      </c>
      <c r="E546" s="835" t="s">
        <v>1137</v>
      </c>
      <c r="F546" s="254" t="s">
        <v>625</v>
      </c>
      <c r="G546" s="254"/>
      <c r="H546" s="256">
        <v>29</v>
      </c>
      <c r="I546" s="274"/>
      <c r="J546" s="275"/>
      <c r="K546" s="276"/>
      <c r="L546" s="277"/>
      <c r="M546" s="277"/>
      <c r="N546" s="277"/>
      <c r="O546" s="277"/>
      <c r="P546" s="279"/>
      <c r="Q546" s="279"/>
    </row>
    <row r="547" spans="1:17" s="229" customFormat="1" ht="15.75" hidden="1" outlineLevel="1" thickBot="1">
      <c r="A547" s="833" t="s">
        <v>1108</v>
      </c>
      <c r="B547" s="257"/>
      <c r="C547" s="258" t="s">
        <v>1081</v>
      </c>
      <c r="D547" s="838" t="s">
        <v>630</v>
      </c>
      <c r="E547" s="835" t="s">
        <v>1047</v>
      </c>
      <c r="F547" s="254" t="s">
        <v>625</v>
      </c>
      <c r="G547" s="254"/>
      <c r="H547" s="256">
        <v>60</v>
      </c>
      <c r="I547" s="274"/>
      <c r="J547" s="275"/>
      <c r="K547" s="276"/>
      <c r="L547" s="277"/>
      <c r="M547" s="277"/>
      <c r="N547" s="277"/>
      <c r="O547" s="277"/>
      <c r="P547" s="279"/>
      <c r="Q547" s="279"/>
    </row>
    <row r="548" spans="1:17" s="229" customFormat="1" ht="15.75" hidden="1" outlineLevel="1" thickBot="1">
      <c r="A548" s="833" t="s">
        <v>1108</v>
      </c>
      <c r="B548" s="257"/>
      <c r="C548" s="258" t="s">
        <v>1081</v>
      </c>
      <c r="D548" s="838" t="s">
        <v>630</v>
      </c>
      <c r="E548" s="835" t="s">
        <v>1138</v>
      </c>
      <c r="F548" s="254" t="s">
        <v>625</v>
      </c>
      <c r="G548" s="254"/>
      <c r="H548" s="256">
        <v>28</v>
      </c>
      <c r="I548" s="274"/>
      <c r="J548" s="275"/>
      <c r="K548" s="276"/>
      <c r="L548" s="277"/>
      <c r="M548" s="277"/>
      <c r="N548" s="277"/>
      <c r="O548" s="277"/>
      <c r="P548" s="279"/>
      <c r="Q548" s="279"/>
    </row>
    <row r="549" spans="1:17" s="229" customFormat="1" ht="15.75" hidden="1" outlineLevel="1" thickBot="1">
      <c r="A549" s="833" t="s">
        <v>1108</v>
      </c>
      <c r="B549" s="257"/>
      <c r="C549" s="258" t="s">
        <v>1081</v>
      </c>
      <c r="D549" s="838" t="s">
        <v>630</v>
      </c>
      <c r="E549" s="835" t="s">
        <v>1139</v>
      </c>
      <c r="F549" s="254" t="s">
        <v>625</v>
      </c>
      <c r="G549" s="254"/>
      <c r="H549" s="256">
        <v>3.2</v>
      </c>
      <c r="I549" s="274"/>
      <c r="J549" s="275"/>
      <c r="K549" s="276"/>
      <c r="L549" s="277"/>
      <c r="M549" s="277"/>
      <c r="N549" s="277"/>
      <c r="O549" s="277"/>
      <c r="P549" s="279"/>
      <c r="Q549" s="279"/>
    </row>
    <row r="550" spans="1:17" s="229" customFormat="1" ht="15.75" hidden="1" outlineLevel="1" thickBot="1">
      <c r="A550" s="833" t="s">
        <v>1108</v>
      </c>
      <c r="B550" s="257"/>
      <c r="C550" s="258" t="s">
        <v>1081</v>
      </c>
      <c r="D550" s="838" t="s">
        <v>630</v>
      </c>
      <c r="E550" s="835" t="s">
        <v>1045</v>
      </c>
      <c r="F550" s="254" t="s">
        <v>625</v>
      </c>
      <c r="G550" s="254"/>
      <c r="H550" s="256">
        <v>5</v>
      </c>
      <c r="I550" s="274"/>
      <c r="J550" s="275"/>
      <c r="K550" s="276"/>
      <c r="L550" s="277"/>
      <c r="M550" s="277"/>
      <c r="N550" s="277"/>
      <c r="O550" s="277"/>
      <c r="P550" s="279"/>
      <c r="Q550" s="279"/>
    </row>
    <row r="551" spans="1:17" s="229" customFormat="1" ht="15.75" hidden="1" outlineLevel="1" thickBot="1">
      <c r="A551" s="833" t="s">
        <v>1108</v>
      </c>
      <c r="B551" s="257"/>
      <c r="C551" s="258" t="s">
        <v>1081</v>
      </c>
      <c r="D551" s="838" t="s">
        <v>630</v>
      </c>
      <c r="E551" s="835" t="s">
        <v>1136</v>
      </c>
      <c r="F551" s="254" t="s">
        <v>625</v>
      </c>
      <c r="G551" s="254"/>
      <c r="H551" s="256">
        <v>416</v>
      </c>
      <c r="I551" s="274"/>
      <c r="J551" s="275"/>
      <c r="K551" s="276"/>
      <c r="L551" s="277"/>
      <c r="M551" s="277"/>
      <c r="N551" s="277"/>
      <c r="O551" s="277"/>
      <c r="P551" s="279"/>
      <c r="Q551" s="279"/>
    </row>
    <row r="552" spans="1:17" s="229" customFormat="1" ht="15.75" hidden="1" outlineLevel="1" thickBot="1">
      <c r="A552" s="833" t="s">
        <v>1108</v>
      </c>
      <c r="B552" s="257"/>
      <c r="C552" s="258" t="s">
        <v>1081</v>
      </c>
      <c r="D552" s="838" t="s">
        <v>630</v>
      </c>
      <c r="E552" s="835" t="s">
        <v>1136</v>
      </c>
      <c r="F552" s="254" t="s">
        <v>625</v>
      </c>
      <c r="G552" s="254"/>
      <c r="H552" s="256">
        <v>128</v>
      </c>
      <c r="I552" s="274"/>
      <c r="J552" s="275"/>
      <c r="K552" s="276"/>
      <c r="L552" s="277"/>
      <c r="M552" s="277"/>
      <c r="N552" s="277"/>
      <c r="O552" s="277"/>
      <c r="P552" s="279"/>
      <c r="Q552" s="279"/>
    </row>
    <row r="553" spans="1:17" s="229" customFormat="1" ht="15.75" hidden="1" outlineLevel="1" thickBot="1">
      <c r="A553" s="833" t="s">
        <v>1108</v>
      </c>
      <c r="B553" s="257"/>
      <c r="C553" s="258" t="s">
        <v>1081</v>
      </c>
      <c r="D553" s="838" t="s">
        <v>630</v>
      </c>
      <c r="E553" s="835" t="s">
        <v>1140</v>
      </c>
      <c r="F553" s="254" t="s">
        <v>625</v>
      </c>
      <c r="G553" s="254"/>
      <c r="H553" s="256">
        <v>75</v>
      </c>
      <c r="I553" s="274"/>
      <c r="J553" s="275"/>
      <c r="K553" s="276"/>
      <c r="L553" s="277"/>
      <c r="M553" s="277"/>
      <c r="N553" s="277"/>
      <c r="O553" s="277"/>
      <c r="P553" s="279"/>
      <c r="Q553" s="279"/>
    </row>
    <row r="554" spans="1:17" s="229" customFormat="1" ht="15.75" hidden="1" outlineLevel="1" thickBot="1">
      <c r="A554" s="833" t="s">
        <v>1108</v>
      </c>
      <c r="B554" s="257"/>
      <c r="C554" s="258" t="s">
        <v>1081</v>
      </c>
      <c r="D554" s="838" t="s">
        <v>630</v>
      </c>
      <c r="E554" s="835" t="s">
        <v>1141</v>
      </c>
      <c r="F554" s="254" t="s">
        <v>625</v>
      </c>
      <c r="G554" s="254"/>
      <c r="H554" s="256">
        <v>10</v>
      </c>
      <c r="I554" s="274"/>
      <c r="J554" s="275"/>
      <c r="K554" s="276"/>
      <c r="L554" s="277"/>
      <c r="M554" s="277"/>
      <c r="N554" s="277"/>
      <c r="O554" s="277"/>
      <c r="P554" s="279"/>
      <c r="Q554" s="279"/>
    </row>
    <row r="555" spans="1:17" s="229" customFormat="1" ht="15.75" hidden="1" outlineLevel="1" thickBot="1">
      <c r="A555" s="833" t="s">
        <v>1108</v>
      </c>
      <c r="B555" s="257"/>
      <c r="C555" s="258" t="s">
        <v>1081</v>
      </c>
      <c r="D555" s="838" t="s">
        <v>630</v>
      </c>
      <c r="E555" s="835" t="s">
        <v>1142</v>
      </c>
      <c r="F555" s="254" t="s">
        <v>625</v>
      </c>
      <c r="G555" s="254"/>
      <c r="H555" s="256">
        <v>6</v>
      </c>
      <c r="I555" s="274"/>
      <c r="J555" s="275"/>
      <c r="K555" s="276"/>
      <c r="L555" s="277"/>
      <c r="M555" s="277"/>
      <c r="N555" s="277"/>
      <c r="O555" s="277"/>
      <c r="P555" s="279"/>
      <c r="Q555" s="279"/>
    </row>
    <row r="556" spans="1:17" s="229" customFormat="1" ht="15.75" hidden="1" outlineLevel="1" thickBot="1">
      <c r="A556" s="833" t="s">
        <v>1108</v>
      </c>
      <c r="B556" s="257"/>
      <c r="C556" s="258" t="s">
        <v>1081</v>
      </c>
      <c r="D556" s="838" t="s">
        <v>630</v>
      </c>
      <c r="E556" s="835" t="s">
        <v>1143</v>
      </c>
      <c r="F556" s="254" t="s">
        <v>625</v>
      </c>
      <c r="G556" s="254"/>
      <c r="H556" s="256">
        <v>130</v>
      </c>
      <c r="I556" s="274"/>
      <c r="J556" s="275"/>
      <c r="K556" s="276"/>
      <c r="L556" s="277"/>
      <c r="M556" s="277"/>
      <c r="N556" s="277"/>
      <c r="O556" s="277"/>
      <c r="P556" s="279"/>
      <c r="Q556" s="279"/>
    </row>
    <row r="557" spans="1:17" s="229" customFormat="1" ht="15.75" hidden="1" outlineLevel="1" thickBot="1">
      <c r="A557" s="833" t="s">
        <v>1108</v>
      </c>
      <c r="B557" s="257"/>
      <c r="C557" s="258" t="s">
        <v>1081</v>
      </c>
      <c r="D557" s="838" t="s">
        <v>630</v>
      </c>
      <c r="E557" s="835" t="s">
        <v>1144</v>
      </c>
      <c r="F557" s="254" t="s">
        <v>625</v>
      </c>
      <c r="G557" s="254"/>
      <c r="H557" s="256">
        <v>31</v>
      </c>
      <c r="I557" s="274"/>
      <c r="J557" s="275"/>
      <c r="K557" s="276"/>
      <c r="L557" s="277"/>
      <c r="M557" s="277"/>
      <c r="N557" s="277"/>
      <c r="O557" s="277"/>
      <c r="P557" s="279"/>
      <c r="Q557" s="279"/>
    </row>
    <row r="558" spans="1:17" s="229" customFormat="1" ht="15.75" hidden="1" outlineLevel="1" thickBot="1">
      <c r="A558" s="833" t="s">
        <v>1108</v>
      </c>
      <c r="B558" s="257"/>
      <c r="C558" s="258" t="s">
        <v>1081</v>
      </c>
      <c r="D558" s="838" t="s">
        <v>630</v>
      </c>
      <c r="E558" s="835" t="s">
        <v>1145</v>
      </c>
      <c r="F558" s="254" t="s">
        <v>625</v>
      </c>
      <c r="G558" s="254"/>
      <c r="H558" s="256">
        <v>66</v>
      </c>
      <c r="I558" s="274"/>
      <c r="J558" s="275"/>
      <c r="K558" s="276"/>
      <c r="L558" s="277"/>
      <c r="M558" s="277"/>
      <c r="N558" s="277"/>
      <c r="O558" s="277"/>
      <c r="P558" s="279"/>
      <c r="Q558" s="279"/>
    </row>
    <row r="559" spans="1:17" s="229" customFormat="1" ht="15.75" hidden="1" outlineLevel="1" thickBot="1">
      <c r="A559" s="833" t="s">
        <v>1108</v>
      </c>
      <c r="B559" s="257"/>
      <c r="C559" s="258" t="s">
        <v>1081</v>
      </c>
      <c r="D559" s="838" t="s">
        <v>630</v>
      </c>
      <c r="E559" s="835" t="s">
        <v>1146</v>
      </c>
      <c r="F559" s="254" t="s">
        <v>625</v>
      </c>
      <c r="G559" s="254"/>
      <c r="H559" s="256">
        <v>5</v>
      </c>
      <c r="I559" s="274"/>
      <c r="J559" s="275"/>
      <c r="K559" s="276"/>
      <c r="L559" s="277"/>
      <c r="M559" s="277"/>
      <c r="N559" s="277"/>
      <c r="O559" s="277"/>
      <c r="P559" s="279"/>
      <c r="Q559" s="279"/>
    </row>
    <row r="560" spans="1:17" s="229" customFormat="1" ht="15.75" hidden="1" outlineLevel="1" thickBot="1">
      <c r="A560" s="833" t="s">
        <v>1108</v>
      </c>
      <c r="B560" s="257"/>
      <c r="C560" s="258" t="s">
        <v>1081</v>
      </c>
      <c r="D560" s="838" t="s">
        <v>630</v>
      </c>
      <c r="E560" s="835" t="s">
        <v>1147</v>
      </c>
      <c r="F560" s="254" t="s">
        <v>625</v>
      </c>
      <c r="G560" s="254"/>
      <c r="H560" s="256">
        <v>32</v>
      </c>
      <c r="I560" s="274"/>
      <c r="J560" s="275"/>
      <c r="K560" s="276"/>
      <c r="L560" s="277"/>
      <c r="M560" s="277"/>
      <c r="N560" s="277"/>
      <c r="O560" s="277"/>
      <c r="P560" s="279"/>
      <c r="Q560" s="279"/>
    </row>
    <row r="561" spans="1:17" s="229" customFormat="1" ht="15.75" hidden="1" outlineLevel="1" thickBot="1">
      <c r="A561" s="833" t="s">
        <v>1108</v>
      </c>
      <c r="B561" s="257"/>
      <c r="C561" s="258" t="s">
        <v>1081</v>
      </c>
      <c r="D561" s="838" t="s">
        <v>630</v>
      </c>
      <c r="E561" s="835" t="s">
        <v>1148</v>
      </c>
      <c r="F561" s="254" t="s">
        <v>625</v>
      </c>
      <c r="G561" s="254"/>
      <c r="H561" s="256">
        <v>25</v>
      </c>
      <c r="I561" s="274"/>
      <c r="J561" s="275"/>
      <c r="K561" s="276"/>
      <c r="L561" s="277"/>
      <c r="M561" s="277"/>
      <c r="N561" s="277"/>
      <c r="O561" s="277"/>
      <c r="P561" s="279"/>
      <c r="Q561" s="279"/>
    </row>
    <row r="562" spans="1:17" s="229" customFormat="1" ht="15.75" hidden="1" outlineLevel="1" thickBot="1">
      <c r="A562" s="833" t="s">
        <v>1108</v>
      </c>
      <c r="B562" s="257"/>
      <c r="C562" s="258" t="s">
        <v>1081</v>
      </c>
      <c r="D562" s="838" t="s">
        <v>630</v>
      </c>
      <c r="E562" s="835" t="s">
        <v>1149</v>
      </c>
      <c r="F562" s="254" t="s">
        <v>625</v>
      </c>
      <c r="G562" s="254"/>
      <c r="H562" s="256">
        <v>54.375</v>
      </c>
      <c r="I562" s="274"/>
      <c r="J562" s="275"/>
      <c r="K562" s="276"/>
      <c r="L562" s="277"/>
      <c r="M562" s="277"/>
      <c r="N562" s="277"/>
      <c r="O562" s="277"/>
      <c r="P562" s="279"/>
      <c r="Q562" s="279"/>
    </row>
    <row r="563" spans="1:17" s="229" customFormat="1" ht="15.75" hidden="1" outlineLevel="1" thickBot="1">
      <c r="A563" s="833" t="s">
        <v>1108</v>
      </c>
      <c r="B563" s="257"/>
      <c r="C563" s="258" t="s">
        <v>1081</v>
      </c>
      <c r="D563" s="838" t="s">
        <v>630</v>
      </c>
      <c r="E563" s="835" t="s">
        <v>1150</v>
      </c>
      <c r="F563" s="254" t="s">
        <v>621</v>
      </c>
      <c r="G563" s="254"/>
      <c r="H563" s="256">
        <v>7.5</v>
      </c>
      <c r="I563" s="274"/>
      <c r="J563" s="275"/>
      <c r="K563" s="276"/>
      <c r="L563" s="277"/>
      <c r="M563" s="277"/>
      <c r="N563" s="277"/>
      <c r="O563" s="277"/>
      <c r="P563" s="279"/>
      <c r="Q563" s="279"/>
    </row>
    <row r="564" spans="1:17" s="229" customFormat="1" ht="15.75" hidden="1" outlineLevel="1" thickBot="1">
      <c r="A564" s="833" t="s">
        <v>1108</v>
      </c>
      <c r="B564" s="257"/>
      <c r="C564" s="258" t="s">
        <v>1081</v>
      </c>
      <c r="D564" s="838" t="s">
        <v>630</v>
      </c>
      <c r="E564" s="835" t="s">
        <v>1151</v>
      </c>
      <c r="F564" s="254" t="s">
        <v>621</v>
      </c>
      <c r="G564" s="254"/>
      <c r="H564" s="256">
        <v>7.5</v>
      </c>
      <c r="I564" s="274"/>
      <c r="J564" s="275"/>
      <c r="K564" s="276"/>
      <c r="L564" s="277"/>
      <c r="M564" s="277"/>
      <c r="N564" s="277"/>
      <c r="O564" s="277"/>
      <c r="P564" s="279"/>
      <c r="Q564" s="279"/>
    </row>
    <row r="565" spans="1:17" s="229" customFormat="1" ht="15.75" hidden="1" outlineLevel="1" thickBot="1">
      <c r="A565" s="833" t="s">
        <v>1108</v>
      </c>
      <c r="B565" s="257"/>
      <c r="C565" s="258" t="s">
        <v>1081</v>
      </c>
      <c r="D565" s="838" t="s">
        <v>630</v>
      </c>
      <c r="E565" s="835" t="s">
        <v>1152</v>
      </c>
      <c r="F565" s="254" t="s">
        <v>625</v>
      </c>
      <c r="G565" s="254"/>
      <c r="H565" s="256">
        <v>30</v>
      </c>
      <c r="I565" s="274"/>
      <c r="J565" s="275"/>
      <c r="K565" s="276"/>
      <c r="L565" s="277"/>
      <c r="M565" s="277"/>
      <c r="N565" s="277"/>
      <c r="O565" s="277"/>
      <c r="P565" s="279"/>
      <c r="Q565" s="279"/>
    </row>
    <row r="566" spans="1:17" s="229" customFormat="1" ht="15.75" hidden="1" outlineLevel="1" thickBot="1">
      <c r="A566" s="833" t="s">
        <v>1108</v>
      </c>
      <c r="B566" s="257"/>
      <c r="C566" s="258" t="s">
        <v>1081</v>
      </c>
      <c r="D566" s="838" t="s">
        <v>630</v>
      </c>
      <c r="E566" s="835" t="s">
        <v>1153</v>
      </c>
      <c r="F566" s="254" t="s">
        <v>625</v>
      </c>
      <c r="G566" s="254"/>
      <c r="H566" s="256">
        <v>15</v>
      </c>
      <c r="I566" s="274"/>
      <c r="J566" s="275"/>
      <c r="K566" s="276"/>
      <c r="L566" s="277"/>
      <c r="M566" s="277"/>
      <c r="N566" s="277"/>
      <c r="O566" s="277"/>
      <c r="P566" s="279"/>
      <c r="Q566" s="279"/>
    </row>
    <row r="567" spans="1:17" s="229" customFormat="1" ht="15.75" hidden="1" outlineLevel="1" thickBot="1">
      <c r="A567" s="833" t="s">
        <v>1108</v>
      </c>
      <c r="B567" s="257"/>
      <c r="C567" s="258" t="s">
        <v>1081</v>
      </c>
      <c r="D567" s="838" t="s">
        <v>630</v>
      </c>
      <c r="E567" s="835" t="s">
        <v>1154</v>
      </c>
      <c r="F567" s="254" t="s">
        <v>625</v>
      </c>
      <c r="G567" s="254"/>
      <c r="H567" s="256">
        <v>15</v>
      </c>
      <c r="I567" s="274"/>
      <c r="J567" s="275"/>
      <c r="K567" s="276"/>
      <c r="L567" s="277"/>
      <c r="M567" s="277"/>
      <c r="N567" s="277"/>
      <c r="O567" s="277"/>
      <c r="P567" s="279"/>
      <c r="Q567" s="279"/>
    </row>
    <row r="568" spans="1:17" s="229" customFormat="1" ht="15.75" hidden="1" outlineLevel="1" thickBot="1">
      <c r="A568" s="833" t="s">
        <v>1155</v>
      </c>
      <c r="B568" s="257"/>
      <c r="C568" s="258" t="s">
        <v>1081</v>
      </c>
      <c r="D568" s="838" t="s">
        <v>714</v>
      </c>
      <c r="E568" s="835" t="s">
        <v>701</v>
      </c>
      <c r="F568" s="254" t="s">
        <v>625</v>
      </c>
      <c r="G568" s="254"/>
      <c r="H568" s="256">
        <v>4</v>
      </c>
      <c r="I568" s="274"/>
      <c r="J568" s="275"/>
      <c r="K568" s="276"/>
      <c r="L568" s="277"/>
      <c r="M568" s="277"/>
      <c r="N568" s="277"/>
      <c r="O568" s="277"/>
      <c r="P568" s="279"/>
      <c r="Q568" s="279"/>
    </row>
    <row r="569" spans="1:17" s="229" customFormat="1" ht="15.75" hidden="1" outlineLevel="1" thickBot="1">
      <c r="A569" s="833" t="s">
        <v>1155</v>
      </c>
      <c r="B569" s="257"/>
      <c r="C569" s="258" t="s">
        <v>1081</v>
      </c>
      <c r="D569" s="838" t="s">
        <v>714</v>
      </c>
      <c r="E569" s="835" t="s">
        <v>1156</v>
      </c>
      <c r="F569" s="254" t="s">
        <v>625</v>
      </c>
      <c r="G569" s="254"/>
      <c r="H569" s="256">
        <v>3</v>
      </c>
      <c r="I569" s="274"/>
      <c r="J569" s="275"/>
      <c r="K569" s="276"/>
      <c r="L569" s="277"/>
      <c r="M569" s="277"/>
      <c r="N569" s="277"/>
      <c r="O569" s="277"/>
      <c r="P569" s="279"/>
      <c r="Q569" s="279"/>
    </row>
    <row r="570" spans="1:17" s="229" customFormat="1" ht="15.75" hidden="1" outlineLevel="1" thickBot="1">
      <c r="A570" s="833" t="s">
        <v>1155</v>
      </c>
      <c r="B570" s="257"/>
      <c r="C570" s="258" t="s">
        <v>1081</v>
      </c>
      <c r="D570" s="838" t="s">
        <v>714</v>
      </c>
      <c r="E570" s="835" t="s">
        <v>1157</v>
      </c>
      <c r="F570" s="254" t="s">
        <v>625</v>
      </c>
      <c r="G570" s="254"/>
      <c r="H570" s="256">
        <v>9</v>
      </c>
      <c r="I570" s="274"/>
      <c r="J570" s="275"/>
      <c r="K570" s="276"/>
      <c r="L570" s="277"/>
      <c r="M570" s="277"/>
      <c r="N570" s="277"/>
      <c r="O570" s="277"/>
      <c r="P570" s="279"/>
      <c r="Q570" s="279"/>
    </row>
    <row r="571" spans="1:17" s="229" customFormat="1" ht="15.75" hidden="1" outlineLevel="1" thickBot="1">
      <c r="A571" s="833" t="s">
        <v>1155</v>
      </c>
      <c r="B571" s="257"/>
      <c r="C571" s="258" t="s">
        <v>1081</v>
      </c>
      <c r="D571" s="838" t="s">
        <v>714</v>
      </c>
      <c r="E571" s="835" t="s">
        <v>1158</v>
      </c>
      <c r="F571" s="254" t="s">
        <v>625</v>
      </c>
      <c r="G571" s="254"/>
      <c r="H571" s="256">
        <v>8.4</v>
      </c>
      <c r="I571" s="274"/>
      <c r="J571" s="275"/>
      <c r="K571" s="276"/>
      <c r="L571" s="277"/>
      <c r="M571" s="277"/>
      <c r="N571" s="277"/>
      <c r="O571" s="277"/>
      <c r="P571" s="279"/>
      <c r="Q571" s="279"/>
    </row>
    <row r="572" spans="1:17" s="229" customFormat="1" ht="15.75" hidden="1" outlineLevel="1" thickBot="1">
      <c r="A572" s="833" t="s">
        <v>1155</v>
      </c>
      <c r="B572" s="257"/>
      <c r="C572" s="258" t="s">
        <v>1081</v>
      </c>
      <c r="D572" s="838" t="s">
        <v>714</v>
      </c>
      <c r="E572" s="835" t="s">
        <v>1159</v>
      </c>
      <c r="F572" s="254" t="s">
        <v>625</v>
      </c>
      <c r="G572" s="254"/>
      <c r="H572" s="256">
        <v>1.25</v>
      </c>
      <c r="I572" s="274"/>
      <c r="J572" s="275"/>
      <c r="K572" s="276"/>
      <c r="L572" s="277"/>
      <c r="M572" s="277"/>
      <c r="N572" s="277"/>
      <c r="O572" s="277"/>
      <c r="P572" s="279"/>
      <c r="Q572" s="279"/>
    </row>
    <row r="573" spans="1:17" s="229" customFormat="1" ht="15.75" hidden="1" outlineLevel="1" thickBot="1">
      <c r="A573" s="833" t="s">
        <v>1155</v>
      </c>
      <c r="B573" s="257"/>
      <c r="C573" s="258" t="s">
        <v>1081</v>
      </c>
      <c r="D573" s="838" t="s">
        <v>714</v>
      </c>
      <c r="E573" s="835" t="s">
        <v>1160</v>
      </c>
      <c r="F573" s="254" t="s">
        <v>625</v>
      </c>
      <c r="G573" s="254"/>
      <c r="H573" s="256">
        <v>6.875</v>
      </c>
      <c r="I573" s="274"/>
      <c r="J573" s="275"/>
      <c r="K573" s="276"/>
      <c r="L573" s="277"/>
      <c r="M573" s="277"/>
      <c r="N573" s="277"/>
      <c r="O573" s="277"/>
      <c r="P573" s="279"/>
      <c r="Q573" s="279"/>
    </row>
    <row r="574" spans="1:17" s="229" customFormat="1" ht="15.75" hidden="1" outlineLevel="1" thickBot="1">
      <c r="A574" s="833" t="s">
        <v>1155</v>
      </c>
      <c r="B574" s="257"/>
      <c r="C574" s="258" t="s">
        <v>1081</v>
      </c>
      <c r="D574" s="838" t="s">
        <v>714</v>
      </c>
      <c r="E574" s="835" t="s">
        <v>1161</v>
      </c>
      <c r="F574" s="254" t="s">
        <v>625</v>
      </c>
      <c r="G574" s="254"/>
      <c r="H574" s="256">
        <v>0.75</v>
      </c>
      <c r="I574" s="274"/>
      <c r="J574" s="275"/>
      <c r="K574" s="276"/>
      <c r="L574" s="277"/>
      <c r="M574" s="277"/>
      <c r="N574" s="277"/>
      <c r="O574" s="277"/>
      <c r="P574" s="279"/>
      <c r="Q574" s="279"/>
    </row>
    <row r="575" spans="1:17" s="229" customFormat="1" ht="15.75" hidden="1" outlineLevel="1" thickBot="1">
      <c r="A575" s="833" t="s">
        <v>1155</v>
      </c>
      <c r="B575" s="257"/>
      <c r="C575" s="258" t="s">
        <v>1081</v>
      </c>
      <c r="D575" s="838" t="s">
        <v>714</v>
      </c>
      <c r="E575" s="835" t="s">
        <v>1162</v>
      </c>
      <c r="F575" s="254" t="s">
        <v>625</v>
      </c>
      <c r="G575" s="254"/>
      <c r="H575" s="256">
        <v>2.5</v>
      </c>
      <c r="I575" s="274"/>
      <c r="J575" s="275"/>
      <c r="K575" s="276"/>
      <c r="L575" s="277"/>
      <c r="M575" s="277"/>
      <c r="N575" s="277"/>
      <c r="O575" s="277"/>
      <c r="P575" s="279"/>
      <c r="Q575" s="279"/>
    </row>
    <row r="576" spans="1:17" s="229" customFormat="1" ht="15.75" hidden="1" outlineLevel="1" thickBot="1">
      <c r="A576" s="833" t="s">
        <v>1155</v>
      </c>
      <c r="B576" s="257"/>
      <c r="C576" s="258" t="s">
        <v>1081</v>
      </c>
      <c r="D576" s="838" t="s">
        <v>714</v>
      </c>
      <c r="E576" s="835" t="s">
        <v>758</v>
      </c>
      <c r="F576" s="254" t="s">
        <v>625</v>
      </c>
      <c r="G576" s="254"/>
      <c r="H576" s="256">
        <v>1</v>
      </c>
      <c r="I576" s="274"/>
      <c r="J576" s="275"/>
      <c r="K576" s="276"/>
      <c r="L576" s="277"/>
      <c r="M576" s="277"/>
      <c r="N576" s="277"/>
      <c r="O576" s="277"/>
      <c r="P576" s="279"/>
      <c r="Q576" s="279"/>
    </row>
    <row r="577" spans="1:17" s="229" customFormat="1" ht="15.75" hidden="1" outlineLevel="1" thickBot="1">
      <c r="A577" s="833" t="s">
        <v>1155</v>
      </c>
      <c r="B577" s="257"/>
      <c r="C577" s="258" t="s">
        <v>1081</v>
      </c>
      <c r="D577" s="838" t="s">
        <v>714</v>
      </c>
      <c r="E577" s="835" t="s">
        <v>1163</v>
      </c>
      <c r="F577" s="254" t="s">
        <v>625</v>
      </c>
      <c r="G577" s="254"/>
      <c r="H577" s="256">
        <v>3.38</v>
      </c>
      <c r="I577" s="274"/>
      <c r="J577" s="275"/>
      <c r="K577" s="276"/>
      <c r="L577" s="277"/>
      <c r="M577" s="277"/>
      <c r="N577" s="277"/>
      <c r="O577" s="277"/>
      <c r="P577" s="279"/>
      <c r="Q577" s="279"/>
    </row>
    <row r="578" spans="1:17" s="229" customFormat="1" ht="15.75" hidden="1" outlineLevel="1" thickBot="1">
      <c r="A578" s="833" t="s">
        <v>1155</v>
      </c>
      <c r="B578" s="257"/>
      <c r="C578" s="258" t="s">
        <v>1081</v>
      </c>
      <c r="D578" s="838" t="s">
        <v>714</v>
      </c>
      <c r="E578" s="835" t="s">
        <v>1164</v>
      </c>
      <c r="F578" s="254" t="s">
        <v>625</v>
      </c>
      <c r="G578" s="254"/>
      <c r="H578" s="256">
        <v>30</v>
      </c>
      <c r="I578" s="274"/>
      <c r="J578" s="275"/>
      <c r="K578" s="276"/>
      <c r="L578" s="277"/>
      <c r="M578" s="277"/>
      <c r="N578" s="277"/>
      <c r="O578" s="277"/>
      <c r="P578" s="279"/>
      <c r="Q578" s="279"/>
    </row>
    <row r="579" spans="1:17" s="229" customFormat="1" ht="15.75" hidden="1" outlineLevel="1" thickBot="1">
      <c r="A579" s="833" t="s">
        <v>1155</v>
      </c>
      <c r="B579" s="257"/>
      <c r="C579" s="258" t="s">
        <v>1081</v>
      </c>
      <c r="D579" s="838" t="s">
        <v>714</v>
      </c>
      <c r="E579" s="835" t="s">
        <v>1165</v>
      </c>
      <c r="F579" s="254" t="s">
        <v>625</v>
      </c>
      <c r="G579" s="254"/>
      <c r="H579" s="256">
        <v>8.75</v>
      </c>
      <c r="I579" s="274"/>
      <c r="J579" s="275"/>
      <c r="K579" s="276"/>
      <c r="L579" s="277"/>
      <c r="M579" s="277"/>
      <c r="N579" s="277"/>
      <c r="O579" s="277"/>
      <c r="P579" s="279"/>
      <c r="Q579" s="279"/>
    </row>
    <row r="580" spans="1:17" s="229" customFormat="1" ht="15.75" hidden="1" outlineLevel="1" thickBot="1">
      <c r="A580" s="833" t="s">
        <v>1155</v>
      </c>
      <c r="B580" s="257"/>
      <c r="C580" s="258" t="s">
        <v>1081</v>
      </c>
      <c r="D580" s="838" t="s">
        <v>714</v>
      </c>
      <c r="E580" s="835" t="s">
        <v>1161</v>
      </c>
      <c r="F580" s="254" t="s">
        <v>625</v>
      </c>
      <c r="G580" s="254"/>
      <c r="H580" s="256">
        <v>10.5</v>
      </c>
      <c r="I580" s="274"/>
      <c r="J580" s="275"/>
      <c r="K580" s="276"/>
      <c r="L580" s="277"/>
      <c r="M580" s="277"/>
      <c r="N580" s="277"/>
      <c r="O580" s="277"/>
      <c r="P580" s="279"/>
      <c r="Q580" s="279"/>
    </row>
    <row r="581" spans="1:17" s="229" customFormat="1" ht="15.75" hidden="1" outlineLevel="1" thickBot="1">
      <c r="A581" s="833" t="s">
        <v>1155</v>
      </c>
      <c r="B581" s="257"/>
      <c r="C581" s="258" t="s">
        <v>1081</v>
      </c>
      <c r="D581" s="838" t="s">
        <v>714</v>
      </c>
      <c r="E581" s="835" t="s">
        <v>1163</v>
      </c>
      <c r="F581" s="254" t="s">
        <v>625</v>
      </c>
      <c r="G581" s="254"/>
      <c r="H581" s="256">
        <v>3</v>
      </c>
      <c r="I581" s="274"/>
      <c r="J581" s="275"/>
      <c r="K581" s="276"/>
      <c r="L581" s="277"/>
      <c r="M581" s="277"/>
      <c r="N581" s="277"/>
      <c r="O581" s="277"/>
      <c r="P581" s="279"/>
      <c r="Q581" s="279"/>
    </row>
    <row r="582" spans="1:17" s="229" customFormat="1" ht="15.75" hidden="1" outlineLevel="1" thickBot="1">
      <c r="A582" s="833" t="s">
        <v>1155</v>
      </c>
      <c r="B582" s="257"/>
      <c r="C582" s="258" t="s">
        <v>1081</v>
      </c>
      <c r="D582" s="838" t="s">
        <v>714</v>
      </c>
      <c r="E582" s="835" t="s">
        <v>1166</v>
      </c>
      <c r="F582" s="254" t="s">
        <v>625</v>
      </c>
      <c r="G582" s="254"/>
      <c r="H582" s="256">
        <v>3</v>
      </c>
      <c r="I582" s="274"/>
      <c r="J582" s="275"/>
      <c r="K582" s="276"/>
      <c r="L582" s="277"/>
      <c r="M582" s="277"/>
      <c r="N582" s="277"/>
      <c r="O582" s="277"/>
      <c r="P582" s="279"/>
      <c r="Q582" s="279"/>
    </row>
    <row r="583" spans="1:17" s="229" customFormat="1" ht="15.75" hidden="1" outlineLevel="1" thickBot="1">
      <c r="A583" s="833" t="s">
        <v>1155</v>
      </c>
      <c r="B583" s="257"/>
      <c r="C583" s="258" t="s">
        <v>1081</v>
      </c>
      <c r="D583" s="838" t="s">
        <v>714</v>
      </c>
      <c r="E583" s="835" t="s">
        <v>1161</v>
      </c>
      <c r="F583" s="254" t="s">
        <v>625</v>
      </c>
      <c r="G583" s="254"/>
      <c r="H583" s="256">
        <v>5.5</v>
      </c>
      <c r="I583" s="274"/>
      <c r="J583" s="275"/>
      <c r="K583" s="276"/>
      <c r="L583" s="277"/>
      <c r="M583" s="277"/>
      <c r="N583" s="277"/>
      <c r="O583" s="277"/>
      <c r="P583" s="279"/>
      <c r="Q583" s="279"/>
    </row>
    <row r="584" spans="1:17" s="229" customFormat="1" ht="15.75" hidden="1" outlineLevel="1" thickBot="1">
      <c r="A584" s="833" t="s">
        <v>1155</v>
      </c>
      <c r="B584" s="257"/>
      <c r="C584" s="258" t="s">
        <v>1081</v>
      </c>
      <c r="D584" s="838" t="s">
        <v>714</v>
      </c>
      <c r="E584" s="835" t="s">
        <v>1167</v>
      </c>
      <c r="F584" s="254" t="s">
        <v>625</v>
      </c>
      <c r="G584" s="254"/>
      <c r="H584" s="256">
        <v>1.5</v>
      </c>
      <c r="I584" s="274"/>
      <c r="J584" s="275"/>
      <c r="K584" s="276"/>
      <c r="L584" s="277"/>
      <c r="M584" s="277"/>
      <c r="N584" s="277"/>
      <c r="O584" s="277"/>
      <c r="P584" s="279"/>
      <c r="Q584" s="279"/>
    </row>
    <row r="585" spans="1:17" s="229" customFormat="1" ht="15.75" hidden="1" outlineLevel="1" thickBot="1">
      <c r="A585" s="833" t="s">
        <v>1155</v>
      </c>
      <c r="B585" s="257"/>
      <c r="C585" s="258" t="s">
        <v>1081</v>
      </c>
      <c r="D585" s="838" t="s">
        <v>714</v>
      </c>
      <c r="E585" s="835" t="s">
        <v>1167</v>
      </c>
      <c r="F585" s="254" t="s">
        <v>625</v>
      </c>
      <c r="G585" s="254"/>
      <c r="H585" s="256">
        <v>0.875</v>
      </c>
      <c r="I585" s="274"/>
      <c r="J585" s="275"/>
      <c r="K585" s="276"/>
      <c r="L585" s="277"/>
      <c r="M585" s="277"/>
      <c r="N585" s="277"/>
      <c r="O585" s="277"/>
      <c r="P585" s="279"/>
      <c r="Q585" s="279"/>
    </row>
    <row r="586" spans="1:17" s="229" customFormat="1" ht="15.75" hidden="1" outlineLevel="1" thickBot="1">
      <c r="A586" s="833" t="s">
        <v>1155</v>
      </c>
      <c r="B586" s="257"/>
      <c r="C586" s="258" t="s">
        <v>1081</v>
      </c>
      <c r="D586" s="838" t="s">
        <v>714</v>
      </c>
      <c r="E586" s="835" t="s">
        <v>1168</v>
      </c>
      <c r="F586" s="254" t="s">
        <v>625</v>
      </c>
      <c r="G586" s="254"/>
      <c r="H586" s="256">
        <v>0.375</v>
      </c>
      <c r="I586" s="274"/>
      <c r="J586" s="275"/>
      <c r="K586" s="276"/>
      <c r="L586" s="277"/>
      <c r="M586" s="277"/>
      <c r="N586" s="277"/>
      <c r="O586" s="277"/>
      <c r="P586" s="279"/>
      <c r="Q586" s="279"/>
    </row>
    <row r="587" spans="1:17" s="229" customFormat="1" ht="15.75" hidden="1" outlineLevel="1" thickBot="1">
      <c r="A587" s="833" t="s">
        <v>1155</v>
      </c>
      <c r="B587" s="257"/>
      <c r="C587" s="258" t="s">
        <v>1081</v>
      </c>
      <c r="D587" s="838" t="s">
        <v>714</v>
      </c>
      <c r="E587" s="835" t="s">
        <v>1169</v>
      </c>
      <c r="F587" s="254" t="s">
        <v>625</v>
      </c>
      <c r="G587" s="254"/>
      <c r="H587" s="256">
        <v>3</v>
      </c>
      <c r="I587" s="274"/>
      <c r="J587" s="275"/>
      <c r="K587" s="276"/>
      <c r="L587" s="277"/>
      <c r="M587" s="277"/>
      <c r="N587" s="277"/>
      <c r="O587" s="277"/>
      <c r="P587" s="279"/>
      <c r="Q587" s="279"/>
    </row>
    <row r="588" spans="1:17" s="229" customFormat="1" ht="15.75" hidden="1" outlineLevel="1" thickBot="1">
      <c r="A588" s="833" t="s">
        <v>1155</v>
      </c>
      <c r="B588" s="257"/>
      <c r="C588" s="258" t="s">
        <v>1081</v>
      </c>
      <c r="D588" s="838" t="s">
        <v>714</v>
      </c>
      <c r="E588" s="835" t="s">
        <v>1170</v>
      </c>
      <c r="F588" s="254" t="s">
        <v>625</v>
      </c>
      <c r="G588" s="254"/>
      <c r="H588" s="256">
        <v>0.25</v>
      </c>
      <c r="I588" s="274"/>
      <c r="J588" s="275"/>
      <c r="K588" s="276"/>
      <c r="L588" s="277"/>
      <c r="M588" s="277"/>
      <c r="N588" s="277"/>
      <c r="O588" s="277"/>
      <c r="P588" s="279"/>
      <c r="Q588" s="279"/>
    </row>
    <row r="589" spans="1:17" s="229" customFormat="1" ht="15.75" hidden="1" outlineLevel="1" thickBot="1">
      <c r="A589" s="833" t="s">
        <v>1155</v>
      </c>
      <c r="B589" s="257"/>
      <c r="C589" s="258" t="s">
        <v>1081</v>
      </c>
      <c r="D589" s="838" t="s">
        <v>714</v>
      </c>
      <c r="E589" s="835" t="s">
        <v>1171</v>
      </c>
      <c r="F589" s="254" t="s">
        <v>625</v>
      </c>
      <c r="G589" s="254"/>
      <c r="H589" s="256">
        <v>3.5</v>
      </c>
      <c r="I589" s="274"/>
      <c r="J589" s="275"/>
      <c r="K589" s="276"/>
      <c r="L589" s="277"/>
      <c r="M589" s="277"/>
      <c r="N589" s="277"/>
      <c r="O589" s="277"/>
      <c r="P589" s="279"/>
      <c r="Q589" s="279"/>
    </row>
    <row r="590" spans="1:17" s="229" customFormat="1" ht="15.75" hidden="1" outlineLevel="1" thickBot="1">
      <c r="A590" s="833" t="s">
        <v>1155</v>
      </c>
      <c r="B590" s="257"/>
      <c r="C590" s="258" t="s">
        <v>1081</v>
      </c>
      <c r="D590" s="838" t="s">
        <v>714</v>
      </c>
      <c r="E590" s="835" t="s">
        <v>1160</v>
      </c>
      <c r="F590" s="254" t="s">
        <v>625</v>
      </c>
      <c r="G590" s="254"/>
      <c r="H590" s="256">
        <v>20.625</v>
      </c>
      <c r="I590" s="274"/>
      <c r="J590" s="275"/>
      <c r="K590" s="276"/>
      <c r="L590" s="277"/>
      <c r="M590" s="277"/>
      <c r="N590" s="277"/>
      <c r="O590" s="277"/>
      <c r="P590" s="279"/>
      <c r="Q590" s="279"/>
    </row>
    <row r="591" spans="1:17" s="229" customFormat="1" ht="15.75" hidden="1" outlineLevel="1" thickBot="1">
      <c r="A591" s="833" t="s">
        <v>1155</v>
      </c>
      <c r="B591" s="257"/>
      <c r="C591" s="258" t="s">
        <v>1081</v>
      </c>
      <c r="D591" s="838" t="s">
        <v>714</v>
      </c>
      <c r="E591" s="835" t="s">
        <v>1165</v>
      </c>
      <c r="F591" s="254" t="s">
        <v>625</v>
      </c>
      <c r="G591" s="254"/>
      <c r="H591" s="256">
        <v>8.25</v>
      </c>
      <c r="I591" s="274"/>
      <c r="J591" s="275"/>
      <c r="K591" s="276"/>
      <c r="L591" s="277"/>
      <c r="M591" s="277"/>
      <c r="N591" s="277"/>
      <c r="O591" s="277"/>
      <c r="P591" s="279"/>
      <c r="Q591" s="279"/>
    </row>
    <row r="592" spans="1:17" s="229" customFormat="1" ht="15.75" hidden="1" outlineLevel="1" thickBot="1">
      <c r="A592" s="833" t="s">
        <v>1155</v>
      </c>
      <c r="B592" s="257"/>
      <c r="C592" s="258" t="s">
        <v>1081</v>
      </c>
      <c r="D592" s="838" t="s">
        <v>714</v>
      </c>
      <c r="E592" s="835" t="s">
        <v>1172</v>
      </c>
      <c r="F592" s="254" t="s">
        <v>625</v>
      </c>
      <c r="G592" s="254"/>
      <c r="H592" s="256">
        <v>13.75</v>
      </c>
      <c r="I592" s="274"/>
      <c r="J592" s="275"/>
      <c r="K592" s="276"/>
      <c r="L592" s="277"/>
      <c r="M592" s="277"/>
      <c r="N592" s="277"/>
      <c r="O592" s="277"/>
      <c r="P592" s="279"/>
      <c r="Q592" s="279"/>
    </row>
    <row r="593" spans="1:17" s="229" customFormat="1" ht="15.75" hidden="1" outlineLevel="1" thickBot="1">
      <c r="A593" s="833" t="s">
        <v>1155</v>
      </c>
      <c r="B593" s="257"/>
      <c r="C593" s="258" t="s">
        <v>1081</v>
      </c>
      <c r="D593" s="838" t="s">
        <v>714</v>
      </c>
      <c r="E593" s="835" t="s">
        <v>1045</v>
      </c>
      <c r="F593" s="254" t="s">
        <v>625</v>
      </c>
      <c r="G593" s="254"/>
      <c r="H593" s="256">
        <v>5.5</v>
      </c>
      <c r="I593" s="274"/>
      <c r="J593" s="275"/>
      <c r="K593" s="276"/>
      <c r="L593" s="277"/>
      <c r="M593" s="277"/>
      <c r="N593" s="277"/>
      <c r="O593" s="277"/>
      <c r="P593" s="279"/>
      <c r="Q593" s="279"/>
    </row>
    <row r="594" spans="1:17" s="229" customFormat="1" ht="15.75" hidden="1" outlineLevel="1" thickBot="1">
      <c r="A594" s="833" t="s">
        <v>1155</v>
      </c>
      <c r="B594" s="257"/>
      <c r="C594" s="258" t="s">
        <v>1081</v>
      </c>
      <c r="D594" s="838" t="s">
        <v>714</v>
      </c>
      <c r="E594" s="835" t="s">
        <v>1173</v>
      </c>
      <c r="F594" s="254" t="s">
        <v>625</v>
      </c>
      <c r="G594" s="254"/>
      <c r="H594" s="256">
        <v>13.75</v>
      </c>
      <c r="I594" s="274"/>
      <c r="J594" s="275"/>
      <c r="K594" s="276"/>
      <c r="L594" s="277"/>
      <c r="M594" s="277"/>
      <c r="N594" s="277"/>
      <c r="O594" s="277"/>
      <c r="P594" s="279"/>
      <c r="Q594" s="279"/>
    </row>
    <row r="595" spans="1:17" s="229" customFormat="1" ht="15.75" hidden="1" outlineLevel="1" thickBot="1">
      <c r="A595" s="833" t="s">
        <v>1155</v>
      </c>
      <c r="B595" s="257"/>
      <c r="C595" s="258" t="s">
        <v>1081</v>
      </c>
      <c r="D595" s="838" t="s">
        <v>714</v>
      </c>
      <c r="E595" s="835" t="s">
        <v>1174</v>
      </c>
      <c r="F595" s="254" t="s">
        <v>625</v>
      </c>
      <c r="G595" s="254"/>
      <c r="H595" s="256">
        <v>2.5</v>
      </c>
      <c r="I595" s="274"/>
      <c r="J595" s="275"/>
      <c r="K595" s="276"/>
      <c r="L595" s="277"/>
      <c r="M595" s="277"/>
      <c r="N595" s="277"/>
      <c r="O595" s="277"/>
      <c r="P595" s="279"/>
      <c r="Q595" s="279"/>
    </row>
    <row r="596" spans="1:17" s="229" customFormat="1" ht="15.75" hidden="1" outlineLevel="1" thickBot="1">
      <c r="A596" s="833" t="s">
        <v>1155</v>
      </c>
      <c r="B596" s="257"/>
      <c r="C596" s="258" t="s">
        <v>1081</v>
      </c>
      <c r="D596" s="838" t="s">
        <v>714</v>
      </c>
      <c r="E596" s="835" t="s">
        <v>1174</v>
      </c>
      <c r="F596" s="254" t="s">
        <v>625</v>
      </c>
      <c r="G596" s="254"/>
      <c r="H596" s="256">
        <v>1.25</v>
      </c>
      <c r="I596" s="274"/>
      <c r="J596" s="275"/>
      <c r="K596" s="276"/>
      <c r="L596" s="277"/>
      <c r="M596" s="277"/>
      <c r="N596" s="277"/>
      <c r="O596" s="277"/>
      <c r="P596" s="279"/>
      <c r="Q596" s="279"/>
    </row>
    <row r="597" spans="1:17" s="229" customFormat="1" ht="15.75" hidden="1" outlineLevel="1" thickBot="1">
      <c r="A597" s="833" t="s">
        <v>1155</v>
      </c>
      <c r="B597" s="257"/>
      <c r="C597" s="258" t="s">
        <v>1081</v>
      </c>
      <c r="D597" s="838" t="s">
        <v>714</v>
      </c>
      <c r="E597" s="835" t="s">
        <v>1175</v>
      </c>
      <c r="F597" s="254" t="s">
        <v>625</v>
      </c>
      <c r="G597" s="254"/>
      <c r="H597" s="256">
        <v>0.375</v>
      </c>
      <c r="I597" s="274"/>
      <c r="J597" s="275"/>
      <c r="K597" s="276"/>
      <c r="L597" s="277"/>
      <c r="M597" s="277"/>
      <c r="N597" s="277"/>
      <c r="O597" s="277"/>
      <c r="P597" s="279"/>
      <c r="Q597" s="279"/>
    </row>
    <row r="598" spans="1:17" s="229" customFormat="1" ht="15.75" hidden="1" outlineLevel="1" thickBot="1">
      <c r="A598" s="833" t="s">
        <v>1155</v>
      </c>
      <c r="B598" s="257"/>
      <c r="C598" s="258" t="s">
        <v>1081</v>
      </c>
      <c r="D598" s="838" t="s">
        <v>714</v>
      </c>
      <c r="E598" s="835" t="s">
        <v>1156</v>
      </c>
      <c r="F598" s="254" t="s">
        <v>625</v>
      </c>
      <c r="G598" s="254"/>
      <c r="H598" s="256">
        <v>5</v>
      </c>
      <c r="I598" s="274"/>
      <c r="J598" s="275"/>
      <c r="K598" s="276"/>
      <c r="L598" s="277"/>
      <c r="M598" s="277"/>
      <c r="N598" s="277"/>
      <c r="O598" s="277"/>
      <c r="P598" s="279"/>
      <c r="Q598" s="279"/>
    </row>
    <row r="599" spans="1:17" s="229" customFormat="1" ht="15.75" hidden="1" outlineLevel="1" thickBot="1">
      <c r="A599" s="833" t="s">
        <v>1155</v>
      </c>
      <c r="B599" s="257"/>
      <c r="C599" s="258" t="s">
        <v>1081</v>
      </c>
      <c r="D599" s="838" t="s">
        <v>714</v>
      </c>
      <c r="E599" s="835" t="s">
        <v>704</v>
      </c>
      <c r="F599" s="254" t="s">
        <v>621</v>
      </c>
      <c r="G599" s="254"/>
      <c r="H599" s="256">
        <v>2</v>
      </c>
      <c r="I599" s="274"/>
      <c r="J599" s="275"/>
      <c r="K599" s="276"/>
      <c r="L599" s="277"/>
      <c r="M599" s="277"/>
      <c r="N599" s="277"/>
      <c r="O599" s="277"/>
      <c r="P599" s="279"/>
      <c r="Q599" s="279"/>
    </row>
    <row r="600" spans="1:17" s="229" customFormat="1" ht="15.75" hidden="1" outlineLevel="1" thickBot="1">
      <c r="A600" s="833" t="s">
        <v>1155</v>
      </c>
      <c r="B600" s="257"/>
      <c r="C600" s="258" t="s">
        <v>1081</v>
      </c>
      <c r="D600" s="838" t="s">
        <v>714</v>
      </c>
      <c r="E600" s="835" t="s">
        <v>1176</v>
      </c>
      <c r="F600" s="254" t="s">
        <v>621</v>
      </c>
      <c r="G600" s="254"/>
      <c r="H600" s="256">
        <v>3.38</v>
      </c>
      <c r="I600" s="274"/>
      <c r="J600" s="275"/>
      <c r="K600" s="276"/>
      <c r="L600" s="277"/>
      <c r="M600" s="277"/>
      <c r="N600" s="277"/>
      <c r="O600" s="277"/>
      <c r="P600" s="279"/>
      <c r="Q600" s="279"/>
    </row>
    <row r="601" spans="1:17" s="229" customFormat="1" ht="15.75" hidden="1" outlineLevel="1" thickBot="1">
      <c r="A601" s="833" t="s">
        <v>1155</v>
      </c>
      <c r="B601" s="257"/>
      <c r="C601" s="258" t="s">
        <v>1081</v>
      </c>
      <c r="D601" s="838" t="s">
        <v>714</v>
      </c>
      <c r="E601" s="835" t="s">
        <v>1177</v>
      </c>
      <c r="F601" s="254" t="s">
        <v>621</v>
      </c>
      <c r="G601" s="254"/>
      <c r="H601" s="256">
        <v>3.38</v>
      </c>
      <c r="I601" s="274"/>
      <c r="J601" s="275"/>
      <c r="K601" s="276"/>
      <c r="L601" s="277"/>
      <c r="M601" s="277"/>
      <c r="N601" s="277"/>
      <c r="O601" s="277"/>
      <c r="P601" s="279"/>
      <c r="Q601" s="279"/>
    </row>
    <row r="602" spans="1:17" s="229" customFormat="1" ht="15.75" hidden="1" outlineLevel="1" thickBot="1">
      <c r="A602" s="833" t="s">
        <v>1155</v>
      </c>
      <c r="B602" s="257"/>
      <c r="C602" s="258" t="s">
        <v>1081</v>
      </c>
      <c r="D602" s="838" t="s">
        <v>714</v>
      </c>
      <c r="E602" s="835" t="s">
        <v>1178</v>
      </c>
      <c r="F602" s="254" t="s">
        <v>621</v>
      </c>
      <c r="G602" s="254"/>
      <c r="H602" s="256">
        <v>12.5</v>
      </c>
      <c r="I602" s="274"/>
      <c r="J602" s="275"/>
      <c r="K602" s="276"/>
      <c r="L602" s="277"/>
      <c r="M602" s="277"/>
      <c r="N602" s="277"/>
      <c r="O602" s="277"/>
      <c r="P602" s="279"/>
      <c r="Q602" s="279"/>
    </row>
    <row r="603" spans="1:17" s="229" customFormat="1" ht="15.75" hidden="1" outlineLevel="1" thickBot="1">
      <c r="A603" s="833" t="s">
        <v>1155</v>
      </c>
      <c r="B603" s="257"/>
      <c r="C603" s="258" t="s">
        <v>1081</v>
      </c>
      <c r="D603" s="838" t="s">
        <v>714</v>
      </c>
      <c r="E603" s="835" t="s">
        <v>1179</v>
      </c>
      <c r="F603" s="254" t="s">
        <v>621</v>
      </c>
      <c r="G603" s="254"/>
      <c r="H603" s="256">
        <v>10</v>
      </c>
      <c r="I603" s="274"/>
      <c r="J603" s="275"/>
      <c r="K603" s="276"/>
      <c r="L603" s="277"/>
      <c r="M603" s="277"/>
      <c r="N603" s="277"/>
      <c r="O603" s="277"/>
      <c r="P603" s="279"/>
      <c r="Q603" s="279"/>
    </row>
    <row r="604" spans="1:17" s="229" customFormat="1" ht="15.75" hidden="1" outlineLevel="1" thickBot="1">
      <c r="A604" s="833" t="s">
        <v>1155</v>
      </c>
      <c r="B604" s="257"/>
      <c r="C604" s="258" t="s">
        <v>1081</v>
      </c>
      <c r="D604" s="838" t="s">
        <v>714</v>
      </c>
      <c r="E604" s="835" t="s">
        <v>1180</v>
      </c>
      <c r="F604" s="254" t="s">
        <v>621</v>
      </c>
      <c r="G604" s="254"/>
      <c r="H604" s="256">
        <v>16.16</v>
      </c>
      <c r="I604" s="274"/>
      <c r="J604" s="275"/>
      <c r="K604" s="276"/>
      <c r="L604" s="277"/>
      <c r="M604" s="277"/>
      <c r="N604" s="277"/>
      <c r="O604" s="277"/>
      <c r="P604" s="279"/>
      <c r="Q604" s="279"/>
    </row>
    <row r="605" spans="1:17" s="229" customFormat="1" ht="15.75" hidden="1" outlineLevel="1" thickBot="1">
      <c r="A605" s="833" t="s">
        <v>1155</v>
      </c>
      <c r="B605" s="257"/>
      <c r="C605" s="258" t="s">
        <v>618</v>
      </c>
      <c r="D605" s="838" t="s">
        <v>611</v>
      </c>
      <c r="E605" s="835" t="s">
        <v>1181</v>
      </c>
      <c r="F605" s="254" t="s">
        <v>1182</v>
      </c>
      <c r="G605" s="254"/>
      <c r="H605" s="256">
        <v>5.65</v>
      </c>
      <c r="I605" s="274"/>
      <c r="J605" s="275"/>
      <c r="K605" s="276"/>
      <c r="L605" s="277"/>
      <c r="M605" s="277"/>
      <c r="N605" s="277"/>
      <c r="O605" s="277"/>
      <c r="P605" s="279"/>
      <c r="Q605" s="279"/>
    </row>
    <row r="606" spans="1:17" s="229" customFormat="1" ht="15.75" hidden="1" outlineLevel="1" thickBot="1">
      <c r="A606" s="833" t="s">
        <v>1183</v>
      </c>
      <c r="B606" s="257"/>
      <c r="C606" s="258" t="s">
        <v>618</v>
      </c>
      <c r="D606" s="838" t="s">
        <v>635</v>
      </c>
      <c r="E606" s="835" t="s">
        <v>1184</v>
      </c>
      <c r="F606" s="254" t="s">
        <v>641</v>
      </c>
      <c r="G606" s="254"/>
      <c r="H606" s="256">
        <v>71.099999999999994</v>
      </c>
      <c r="I606" s="274"/>
      <c r="J606" s="275"/>
      <c r="K606" s="276"/>
      <c r="L606" s="277"/>
      <c r="M606" s="277"/>
      <c r="N606" s="277"/>
      <c r="O606" s="277"/>
      <c r="P606" s="279"/>
      <c r="Q606" s="279"/>
    </row>
    <row r="607" spans="1:17" s="229" customFormat="1" ht="15.75" hidden="1" outlineLevel="1" thickBot="1">
      <c r="A607" s="833" t="s">
        <v>1183</v>
      </c>
      <c r="B607" s="257"/>
      <c r="C607" s="258" t="s">
        <v>618</v>
      </c>
      <c r="D607" s="838" t="s">
        <v>635</v>
      </c>
      <c r="E607" s="835" t="s">
        <v>1185</v>
      </c>
      <c r="F607" s="254" t="s">
        <v>952</v>
      </c>
      <c r="G607" s="254"/>
      <c r="H607" s="256">
        <v>20</v>
      </c>
      <c r="I607" s="274"/>
      <c r="J607" s="275"/>
      <c r="K607" s="276"/>
      <c r="L607" s="277"/>
      <c r="M607" s="277"/>
      <c r="N607" s="277"/>
      <c r="O607" s="277"/>
      <c r="P607" s="279"/>
      <c r="Q607" s="279"/>
    </row>
    <row r="608" spans="1:17" s="229" customFormat="1" ht="15.75" hidden="1" outlineLevel="1" thickBot="1">
      <c r="A608" s="833" t="s">
        <v>1183</v>
      </c>
      <c r="B608" s="257"/>
      <c r="C608" s="258" t="s">
        <v>618</v>
      </c>
      <c r="D608" s="838" t="s">
        <v>635</v>
      </c>
      <c r="E608" s="835" t="s">
        <v>1186</v>
      </c>
      <c r="F608" s="254" t="s">
        <v>641</v>
      </c>
      <c r="G608" s="254"/>
      <c r="H608" s="256">
        <v>19.48</v>
      </c>
      <c r="I608" s="274"/>
      <c r="J608" s="275"/>
      <c r="K608" s="276"/>
      <c r="L608" s="277"/>
      <c r="M608" s="277"/>
      <c r="N608" s="277"/>
      <c r="O608" s="277"/>
      <c r="P608" s="279"/>
      <c r="Q608" s="279"/>
    </row>
    <row r="609" spans="1:17" s="229" customFormat="1" ht="15.75" hidden="1" outlineLevel="1" thickBot="1">
      <c r="A609" s="833" t="s">
        <v>1183</v>
      </c>
      <c r="B609" s="257"/>
      <c r="C609" s="258" t="s">
        <v>618</v>
      </c>
      <c r="D609" s="838" t="s">
        <v>635</v>
      </c>
      <c r="E609" s="835" t="s">
        <v>1187</v>
      </c>
      <c r="F609" s="254" t="s">
        <v>621</v>
      </c>
      <c r="G609" s="254"/>
      <c r="H609" s="256">
        <v>15</v>
      </c>
      <c r="I609" s="274"/>
      <c r="J609" s="275"/>
      <c r="K609" s="276"/>
      <c r="L609" s="277"/>
      <c r="M609" s="277"/>
      <c r="N609" s="277"/>
      <c r="O609" s="277"/>
      <c r="P609" s="279"/>
      <c r="Q609" s="279"/>
    </row>
    <row r="610" spans="1:17" s="229" customFormat="1" ht="15.75" hidden="1" outlineLevel="1" thickBot="1">
      <c r="A610" s="833" t="s">
        <v>1183</v>
      </c>
      <c r="B610" s="257"/>
      <c r="C610" s="258" t="s">
        <v>618</v>
      </c>
      <c r="D610" s="838" t="s">
        <v>635</v>
      </c>
      <c r="E610" s="835" t="s">
        <v>1188</v>
      </c>
      <c r="F610" s="254" t="s">
        <v>644</v>
      </c>
      <c r="G610" s="254"/>
      <c r="H610" s="256">
        <v>100</v>
      </c>
      <c r="I610" s="274"/>
      <c r="J610" s="275"/>
      <c r="K610" s="276"/>
      <c r="L610" s="277"/>
      <c r="M610" s="277"/>
      <c r="N610" s="277"/>
      <c r="O610" s="277"/>
      <c r="P610" s="279"/>
      <c r="Q610" s="279"/>
    </row>
    <row r="611" spans="1:17" s="229" customFormat="1" ht="15.75" hidden="1" outlineLevel="1" thickBot="1">
      <c r="A611" s="833" t="s">
        <v>1183</v>
      </c>
      <c r="B611" s="257"/>
      <c r="C611" s="258" t="s">
        <v>618</v>
      </c>
      <c r="D611" s="838" t="s">
        <v>714</v>
      </c>
      <c r="E611" s="835" t="s">
        <v>1189</v>
      </c>
      <c r="F611" s="254" t="s">
        <v>952</v>
      </c>
      <c r="G611" s="254"/>
      <c r="H611" s="256">
        <v>44.5</v>
      </c>
      <c r="I611" s="274"/>
      <c r="J611" s="275"/>
      <c r="K611" s="276"/>
      <c r="L611" s="277"/>
      <c r="M611" s="277"/>
      <c r="N611" s="277"/>
      <c r="O611" s="277"/>
      <c r="P611" s="279"/>
      <c r="Q611" s="279"/>
    </row>
    <row r="612" spans="1:17" s="229" customFormat="1" ht="15.75" hidden="1" outlineLevel="1" thickBot="1">
      <c r="A612" s="833" t="s">
        <v>454</v>
      </c>
      <c r="B612" s="257"/>
      <c r="C612" s="258" t="s">
        <v>618</v>
      </c>
      <c r="D612" s="838" t="s">
        <v>635</v>
      </c>
      <c r="E612" s="835" t="s">
        <v>1190</v>
      </c>
      <c r="F612" s="254" t="s">
        <v>621</v>
      </c>
      <c r="G612" s="254"/>
      <c r="H612" s="256">
        <v>19</v>
      </c>
      <c r="I612" s="274"/>
      <c r="J612" s="275"/>
      <c r="K612" s="276"/>
      <c r="L612" s="277"/>
      <c r="M612" s="277"/>
      <c r="N612" s="277"/>
      <c r="O612" s="277"/>
      <c r="P612" s="279"/>
      <c r="Q612" s="279"/>
    </row>
    <row r="613" spans="1:17" s="229" customFormat="1" ht="15.75" hidden="1" outlineLevel="1" thickBot="1">
      <c r="A613" s="833" t="s">
        <v>454</v>
      </c>
      <c r="B613" s="257"/>
      <c r="C613" s="258" t="s">
        <v>618</v>
      </c>
      <c r="D613" s="838" t="s">
        <v>635</v>
      </c>
      <c r="E613" s="835" t="s">
        <v>866</v>
      </c>
      <c r="F613" s="254" t="s">
        <v>621</v>
      </c>
      <c r="G613" s="254"/>
      <c r="H613" s="256">
        <v>14</v>
      </c>
      <c r="I613" s="274"/>
      <c r="J613" s="275"/>
      <c r="K613" s="276"/>
      <c r="L613" s="277"/>
      <c r="M613" s="277"/>
      <c r="N613" s="277"/>
      <c r="O613" s="277"/>
      <c r="P613" s="279"/>
      <c r="Q613" s="279"/>
    </row>
    <row r="614" spans="1:17" s="229" customFormat="1" ht="15.75" hidden="1" outlineLevel="1" thickBot="1">
      <c r="A614" s="833" t="s">
        <v>454</v>
      </c>
      <c r="B614" s="257"/>
      <c r="C614" s="258" t="s">
        <v>618</v>
      </c>
      <c r="D614" s="838" t="s">
        <v>635</v>
      </c>
      <c r="E614" s="835" t="s">
        <v>730</v>
      </c>
      <c r="F614" s="254" t="s">
        <v>621</v>
      </c>
      <c r="G614" s="254"/>
      <c r="H614" s="256">
        <v>16</v>
      </c>
      <c r="I614" s="274"/>
      <c r="J614" s="275"/>
      <c r="K614" s="276"/>
      <c r="L614" s="277"/>
      <c r="M614" s="277"/>
      <c r="N614" s="277"/>
      <c r="O614" s="277"/>
      <c r="P614" s="279"/>
      <c r="Q614" s="279"/>
    </row>
    <row r="615" spans="1:17" s="229" customFormat="1" ht="15.75" hidden="1" outlineLevel="1" thickBot="1">
      <c r="A615" s="833" t="s">
        <v>456</v>
      </c>
      <c r="B615" s="257"/>
      <c r="C615" s="258" t="s">
        <v>618</v>
      </c>
      <c r="D615" s="838" t="s">
        <v>635</v>
      </c>
      <c r="E615" s="835" t="s">
        <v>1191</v>
      </c>
      <c r="F615" s="254" t="s">
        <v>621</v>
      </c>
      <c r="G615" s="254"/>
      <c r="H615" s="256">
        <v>46</v>
      </c>
      <c r="I615" s="274"/>
      <c r="J615" s="275"/>
      <c r="K615" s="276"/>
      <c r="L615" s="277"/>
      <c r="M615" s="277"/>
      <c r="N615" s="277"/>
      <c r="O615" s="277"/>
      <c r="P615" s="279"/>
      <c r="Q615" s="279"/>
    </row>
    <row r="616" spans="1:17" s="229" customFormat="1" ht="15.75" hidden="1" outlineLevel="1" thickBot="1">
      <c r="A616" s="833" t="s">
        <v>456</v>
      </c>
      <c r="B616" s="257"/>
      <c r="C616" s="258" t="s">
        <v>618</v>
      </c>
      <c r="D616" s="838" t="s">
        <v>635</v>
      </c>
      <c r="E616" s="835" t="s">
        <v>1192</v>
      </c>
      <c r="F616" s="254" t="s">
        <v>621</v>
      </c>
      <c r="G616" s="254"/>
      <c r="H616" s="256">
        <v>38.5</v>
      </c>
      <c r="I616" s="274"/>
      <c r="J616" s="275"/>
      <c r="K616" s="276"/>
      <c r="L616" s="277"/>
      <c r="M616" s="277"/>
      <c r="N616" s="277"/>
      <c r="O616" s="277"/>
      <c r="P616" s="279"/>
      <c r="Q616" s="279"/>
    </row>
    <row r="617" spans="1:17" s="229" customFormat="1" ht="15.75" hidden="1" outlineLevel="1" thickBot="1">
      <c r="A617" s="833" t="s">
        <v>456</v>
      </c>
      <c r="B617" s="257"/>
      <c r="C617" s="258" t="s">
        <v>618</v>
      </c>
      <c r="D617" s="838" t="s">
        <v>1058</v>
      </c>
      <c r="E617" s="835" t="s">
        <v>1059</v>
      </c>
      <c r="F617" s="254" t="s">
        <v>625</v>
      </c>
      <c r="G617" s="254"/>
      <c r="H617" s="256">
        <v>1500</v>
      </c>
      <c r="I617" s="274"/>
      <c r="J617" s="275"/>
      <c r="K617" s="276"/>
      <c r="L617" s="277"/>
      <c r="M617" s="277"/>
      <c r="N617" s="277"/>
      <c r="O617" s="277"/>
      <c r="P617" s="279"/>
      <c r="Q617" s="279"/>
    </row>
    <row r="618" spans="1:17" s="229" customFormat="1" ht="15.75" hidden="1" outlineLevel="1" thickBot="1">
      <c r="A618" s="833" t="s">
        <v>456</v>
      </c>
      <c r="B618" s="257"/>
      <c r="C618" s="258" t="s">
        <v>618</v>
      </c>
      <c r="D618" s="838" t="s">
        <v>714</v>
      </c>
      <c r="E618" s="835" t="s">
        <v>1193</v>
      </c>
      <c r="F618" s="254" t="s">
        <v>625</v>
      </c>
      <c r="G618" s="254"/>
      <c r="H618" s="256">
        <v>200</v>
      </c>
      <c r="I618" s="274"/>
      <c r="J618" s="275"/>
      <c r="K618" s="276"/>
      <c r="L618" s="277"/>
      <c r="M618" s="277"/>
      <c r="N618" s="277"/>
      <c r="O618" s="277"/>
      <c r="P618" s="279"/>
      <c r="Q618" s="279"/>
    </row>
    <row r="619" spans="1:17" s="229" customFormat="1" ht="15.75" hidden="1" outlineLevel="1" thickBot="1">
      <c r="A619" s="833" t="s">
        <v>456</v>
      </c>
      <c r="B619" s="257"/>
      <c r="C619" s="258" t="s">
        <v>618</v>
      </c>
      <c r="D619" s="838" t="s">
        <v>611</v>
      </c>
      <c r="E619" s="835" t="s">
        <v>1194</v>
      </c>
      <c r="F619" s="254" t="s">
        <v>784</v>
      </c>
      <c r="G619" s="254"/>
      <c r="H619" s="256">
        <v>15</v>
      </c>
      <c r="I619" s="274"/>
      <c r="J619" s="275"/>
      <c r="K619" s="276"/>
      <c r="L619" s="277"/>
      <c r="M619" s="277"/>
      <c r="N619" s="277"/>
      <c r="O619" s="277"/>
      <c r="P619" s="279"/>
      <c r="Q619" s="279"/>
    </row>
    <row r="620" spans="1:17" s="229" customFormat="1" ht="15.75" hidden="1" outlineLevel="1" thickBot="1">
      <c r="A620" s="833" t="s">
        <v>456</v>
      </c>
      <c r="B620" s="257"/>
      <c r="C620" s="258" t="s">
        <v>618</v>
      </c>
      <c r="D620" s="838" t="s">
        <v>611</v>
      </c>
      <c r="E620" s="835" t="s">
        <v>920</v>
      </c>
      <c r="F620" s="254" t="s">
        <v>621</v>
      </c>
      <c r="G620" s="254"/>
      <c r="H620" s="256">
        <v>6</v>
      </c>
      <c r="I620" s="274"/>
      <c r="J620" s="275"/>
      <c r="K620" s="276"/>
      <c r="L620" s="277"/>
      <c r="M620" s="277"/>
      <c r="N620" s="277"/>
      <c r="O620" s="277"/>
      <c r="P620" s="279"/>
      <c r="Q620" s="279"/>
    </row>
    <row r="621" spans="1:17" s="229" customFormat="1" ht="15.75" hidden="1" outlineLevel="1" thickBot="1">
      <c r="A621" s="833" t="s">
        <v>457</v>
      </c>
      <c r="B621" s="257"/>
      <c r="C621" s="258" t="s">
        <v>618</v>
      </c>
      <c r="D621" s="838" t="s">
        <v>635</v>
      </c>
      <c r="E621" s="835" t="s">
        <v>637</v>
      </c>
      <c r="F621" s="254" t="s">
        <v>638</v>
      </c>
      <c r="G621" s="254"/>
      <c r="H621" s="256">
        <v>40</v>
      </c>
      <c r="I621" s="274"/>
      <c r="J621" s="275"/>
      <c r="K621" s="276"/>
      <c r="L621" s="414"/>
      <c r="M621" s="414"/>
      <c r="N621" s="414"/>
      <c r="O621" s="414"/>
      <c r="P621" s="279"/>
      <c r="Q621" s="279"/>
    </row>
    <row r="622" spans="1:17" s="229" customFormat="1" ht="15.75" hidden="1" outlineLevel="1" thickBot="1">
      <c r="A622" s="833" t="s">
        <v>457</v>
      </c>
      <c r="B622" s="257"/>
      <c r="C622" s="258" t="s">
        <v>618</v>
      </c>
      <c r="D622" s="838" t="s">
        <v>635</v>
      </c>
      <c r="E622" s="835" t="s">
        <v>730</v>
      </c>
      <c r="F622" s="254" t="s">
        <v>621</v>
      </c>
      <c r="G622" s="254"/>
      <c r="H622" s="256">
        <v>30.13</v>
      </c>
      <c r="I622" s="274"/>
      <c r="J622" s="275"/>
      <c r="K622" s="276"/>
      <c r="L622" s="414"/>
      <c r="M622" s="414"/>
      <c r="N622" s="414"/>
      <c r="O622" s="414"/>
      <c r="P622" s="279"/>
      <c r="Q622" s="279"/>
    </row>
    <row r="623" spans="1:17" s="229" customFormat="1" ht="15.75" hidden="1" outlineLevel="1" thickBot="1">
      <c r="A623" s="833" t="s">
        <v>457</v>
      </c>
      <c r="B623" s="257"/>
      <c r="C623" s="258" t="s">
        <v>618</v>
      </c>
      <c r="D623" s="838" t="s">
        <v>635</v>
      </c>
      <c r="E623" s="835" t="s">
        <v>1195</v>
      </c>
      <c r="F623" s="254" t="s">
        <v>621</v>
      </c>
      <c r="G623" s="254"/>
      <c r="H623" s="256">
        <v>41</v>
      </c>
      <c r="I623" s="274"/>
      <c r="J623" s="275"/>
      <c r="K623" s="276"/>
      <c r="L623" s="414"/>
      <c r="M623" s="414"/>
      <c r="N623" s="414"/>
      <c r="O623" s="414"/>
      <c r="P623" s="279"/>
      <c r="Q623" s="279"/>
    </row>
    <row r="624" spans="1:17" s="229" customFormat="1" ht="15.75" hidden="1" outlineLevel="1" thickBot="1">
      <c r="A624" s="833" t="s">
        <v>457</v>
      </c>
      <c r="B624" s="257"/>
      <c r="C624" s="258" t="s">
        <v>618</v>
      </c>
      <c r="D624" s="838" t="s">
        <v>635</v>
      </c>
      <c r="E624" s="835" t="s">
        <v>1196</v>
      </c>
      <c r="F624" s="254" t="s">
        <v>830</v>
      </c>
      <c r="G624" s="254"/>
      <c r="H624" s="256">
        <v>460</v>
      </c>
      <c r="I624" s="274"/>
      <c r="J624" s="275"/>
      <c r="K624" s="276"/>
      <c r="L624" s="414"/>
      <c r="M624" s="414"/>
      <c r="N624" s="414"/>
      <c r="O624" s="414"/>
      <c r="P624" s="279"/>
      <c r="Q624" s="279"/>
    </row>
    <row r="625" spans="1:17" s="229" customFormat="1" ht="15.75" hidden="1" outlineLevel="1" thickBot="1">
      <c r="A625" s="833" t="s">
        <v>457</v>
      </c>
      <c r="B625" s="257"/>
      <c r="C625" s="258" t="s">
        <v>1081</v>
      </c>
      <c r="D625" s="838" t="s">
        <v>714</v>
      </c>
      <c r="E625" s="835" t="s">
        <v>1197</v>
      </c>
      <c r="F625" s="254" t="s">
        <v>625</v>
      </c>
      <c r="G625" s="254"/>
      <c r="H625" s="256">
        <v>77.5</v>
      </c>
      <c r="I625" s="274"/>
      <c r="J625" s="275"/>
      <c r="K625" s="276"/>
      <c r="L625" s="414"/>
      <c r="M625" s="414"/>
      <c r="N625" s="414"/>
      <c r="O625" s="414"/>
      <c r="P625" s="279"/>
      <c r="Q625" s="279"/>
    </row>
    <row r="626" spans="1:17" s="229" customFormat="1" ht="15.75" hidden="1" outlineLevel="1" thickBot="1">
      <c r="A626" s="833" t="s">
        <v>457</v>
      </c>
      <c r="B626" s="257"/>
      <c r="C626" s="258" t="s">
        <v>1081</v>
      </c>
      <c r="D626" s="838" t="s">
        <v>714</v>
      </c>
      <c r="E626" s="835" t="s">
        <v>1198</v>
      </c>
      <c r="F626" s="254" t="s">
        <v>625</v>
      </c>
      <c r="G626" s="254"/>
      <c r="H626" s="256">
        <v>1.25</v>
      </c>
      <c r="I626" s="274"/>
      <c r="J626" s="275"/>
      <c r="K626" s="276"/>
      <c r="L626" s="414"/>
      <c r="M626" s="414"/>
      <c r="N626" s="414"/>
      <c r="O626" s="414"/>
      <c r="P626" s="279"/>
      <c r="Q626" s="279"/>
    </row>
    <row r="627" spans="1:17" s="229" customFormat="1" ht="15.75" hidden="1" outlineLevel="1" thickBot="1">
      <c r="A627" s="833" t="s">
        <v>457</v>
      </c>
      <c r="B627" s="257"/>
      <c r="C627" s="258" t="s">
        <v>1081</v>
      </c>
      <c r="D627" s="838" t="s">
        <v>714</v>
      </c>
      <c r="E627" s="835" t="s">
        <v>768</v>
      </c>
      <c r="F627" s="254" t="s">
        <v>625</v>
      </c>
      <c r="G627" s="254"/>
      <c r="H627" s="256">
        <v>13.75</v>
      </c>
      <c r="I627" s="274"/>
      <c r="J627" s="275"/>
      <c r="K627" s="276"/>
      <c r="L627" s="414"/>
      <c r="M627" s="414"/>
      <c r="N627" s="414"/>
      <c r="O627" s="414"/>
      <c r="P627" s="279"/>
      <c r="Q627" s="279"/>
    </row>
    <row r="628" spans="1:17" s="229" customFormat="1" ht="15.75" hidden="1" outlineLevel="1" thickBot="1">
      <c r="A628" s="833" t="s">
        <v>457</v>
      </c>
      <c r="B628" s="257"/>
      <c r="C628" s="258" t="s">
        <v>1081</v>
      </c>
      <c r="D628" s="838" t="s">
        <v>714</v>
      </c>
      <c r="E628" s="835" t="s">
        <v>1199</v>
      </c>
      <c r="F628" s="254" t="s">
        <v>625</v>
      </c>
      <c r="G628" s="254"/>
      <c r="H628" s="256">
        <v>20</v>
      </c>
      <c r="I628" s="274"/>
      <c r="J628" s="275"/>
      <c r="K628" s="276"/>
      <c r="L628" s="414"/>
      <c r="M628" s="414"/>
      <c r="N628" s="414"/>
      <c r="O628" s="414"/>
      <c r="P628" s="279"/>
      <c r="Q628" s="279"/>
    </row>
    <row r="629" spans="1:17" s="229" customFormat="1" ht="15.75" hidden="1" outlineLevel="1" thickBot="1">
      <c r="A629" s="833" t="s">
        <v>457</v>
      </c>
      <c r="B629" s="257"/>
      <c r="C629" s="258" t="s">
        <v>1081</v>
      </c>
      <c r="D629" s="838" t="s">
        <v>714</v>
      </c>
      <c r="E629" s="835" t="s">
        <v>1200</v>
      </c>
      <c r="F629" s="254" t="s">
        <v>625</v>
      </c>
      <c r="G629" s="254"/>
      <c r="H629" s="256">
        <v>7</v>
      </c>
      <c r="I629" s="274"/>
      <c r="J629" s="275"/>
      <c r="K629" s="276"/>
      <c r="L629" s="414"/>
      <c r="M629" s="414"/>
      <c r="N629" s="414"/>
      <c r="O629" s="414"/>
      <c r="P629" s="279"/>
      <c r="Q629" s="279"/>
    </row>
    <row r="630" spans="1:17" s="229" customFormat="1" ht="15.75" hidden="1" outlineLevel="1" thickBot="1">
      <c r="A630" s="833" t="s">
        <v>457</v>
      </c>
      <c r="B630" s="257"/>
      <c r="C630" s="258" t="s">
        <v>1081</v>
      </c>
      <c r="D630" s="838" t="s">
        <v>714</v>
      </c>
      <c r="E630" s="835" t="s">
        <v>1045</v>
      </c>
      <c r="F630" s="254" t="s">
        <v>625</v>
      </c>
      <c r="G630" s="254"/>
      <c r="H630" s="256">
        <v>4.5</v>
      </c>
      <c r="I630" s="274"/>
      <c r="J630" s="275"/>
      <c r="K630" s="276"/>
      <c r="L630" s="414"/>
      <c r="M630" s="414"/>
      <c r="N630" s="414"/>
      <c r="O630" s="414"/>
      <c r="P630" s="279"/>
      <c r="Q630" s="279"/>
    </row>
    <row r="631" spans="1:17" s="229" customFormat="1" ht="15.75" hidden="1" outlineLevel="1" thickBot="1">
      <c r="A631" s="833" t="s">
        <v>457</v>
      </c>
      <c r="B631" s="257"/>
      <c r="C631" s="258" t="s">
        <v>1081</v>
      </c>
      <c r="D631" s="838" t="s">
        <v>714</v>
      </c>
      <c r="E631" s="835" t="s">
        <v>768</v>
      </c>
      <c r="F631" s="254" t="s">
        <v>625</v>
      </c>
      <c r="G631" s="254"/>
      <c r="H631" s="256">
        <v>16.559999999999999</v>
      </c>
      <c r="I631" s="274"/>
      <c r="J631" s="275"/>
      <c r="K631" s="276"/>
      <c r="L631" s="414"/>
      <c r="M631" s="414"/>
      <c r="N631" s="414"/>
      <c r="O631" s="414"/>
      <c r="P631" s="279"/>
      <c r="Q631" s="279"/>
    </row>
    <row r="632" spans="1:17" s="229" customFormat="1" ht="15.75" hidden="1" outlineLevel="1" thickBot="1">
      <c r="A632" s="833" t="s">
        <v>457</v>
      </c>
      <c r="B632" s="257"/>
      <c r="C632" s="258" t="s">
        <v>1081</v>
      </c>
      <c r="D632" s="838" t="s">
        <v>714</v>
      </c>
      <c r="E632" s="835" t="s">
        <v>1029</v>
      </c>
      <c r="F632" s="254" t="s">
        <v>625</v>
      </c>
      <c r="G632" s="254"/>
      <c r="H632" s="256">
        <v>2.5</v>
      </c>
      <c r="I632" s="274"/>
      <c r="J632" s="275"/>
      <c r="K632" s="276"/>
      <c r="L632" s="414"/>
      <c r="M632" s="414"/>
      <c r="N632" s="414"/>
      <c r="O632" s="414"/>
      <c r="P632" s="279"/>
      <c r="Q632" s="279"/>
    </row>
    <row r="633" spans="1:17" s="229" customFormat="1" ht="15.75" hidden="1" outlineLevel="1" thickBot="1">
      <c r="A633" s="833" t="s">
        <v>457</v>
      </c>
      <c r="B633" s="257"/>
      <c r="C633" s="258" t="s">
        <v>1081</v>
      </c>
      <c r="D633" s="838" t="s">
        <v>714</v>
      </c>
      <c r="E633" s="835" t="s">
        <v>1201</v>
      </c>
      <c r="F633" s="254" t="s">
        <v>625</v>
      </c>
      <c r="G633" s="254"/>
      <c r="H633" s="256">
        <v>0.6</v>
      </c>
      <c r="I633" s="274"/>
      <c r="J633" s="275"/>
      <c r="K633" s="276"/>
      <c r="L633" s="414"/>
      <c r="M633" s="414"/>
      <c r="N633" s="414"/>
      <c r="O633" s="414"/>
      <c r="P633" s="279"/>
      <c r="Q633" s="279"/>
    </row>
    <row r="634" spans="1:17" s="229" customFormat="1" ht="15.75" hidden="1" outlineLevel="1" thickBot="1">
      <c r="A634" s="833" t="s">
        <v>457</v>
      </c>
      <c r="B634" s="257"/>
      <c r="C634" s="258" t="s">
        <v>1081</v>
      </c>
      <c r="D634" s="838" t="s">
        <v>714</v>
      </c>
      <c r="E634" s="835" t="s">
        <v>1202</v>
      </c>
      <c r="F634" s="254" t="s">
        <v>625</v>
      </c>
      <c r="G634" s="254"/>
      <c r="H634" s="256">
        <v>0.5</v>
      </c>
      <c r="I634" s="274"/>
      <c r="J634" s="275"/>
      <c r="K634" s="276"/>
      <c r="L634" s="414"/>
      <c r="M634" s="414"/>
      <c r="N634" s="414"/>
      <c r="O634" s="414"/>
      <c r="P634" s="279"/>
      <c r="Q634" s="279"/>
    </row>
    <row r="635" spans="1:17" s="229" customFormat="1" ht="15.75" hidden="1" outlineLevel="1" thickBot="1">
      <c r="A635" s="833" t="s">
        <v>457</v>
      </c>
      <c r="B635" s="257"/>
      <c r="C635" s="258" t="s">
        <v>1081</v>
      </c>
      <c r="D635" s="838" t="s">
        <v>714</v>
      </c>
      <c r="E635" s="835" t="s">
        <v>1180</v>
      </c>
      <c r="F635" s="254" t="s">
        <v>625</v>
      </c>
      <c r="G635" s="254"/>
      <c r="H635" s="256">
        <v>9.8800000000000008</v>
      </c>
      <c r="I635" s="274"/>
      <c r="J635" s="275"/>
      <c r="K635" s="276"/>
      <c r="L635" s="414"/>
      <c r="M635" s="414"/>
      <c r="N635" s="414"/>
      <c r="O635" s="414"/>
      <c r="P635" s="279"/>
      <c r="Q635" s="279"/>
    </row>
    <row r="636" spans="1:17" s="229" customFormat="1" ht="15.75" hidden="1" outlineLevel="1" thickBot="1">
      <c r="A636" s="833" t="s">
        <v>474</v>
      </c>
      <c r="B636" s="257"/>
      <c r="C636" s="258" t="s">
        <v>618</v>
      </c>
      <c r="D636" s="838" t="s">
        <v>635</v>
      </c>
      <c r="E636" s="835" t="s">
        <v>1203</v>
      </c>
      <c r="F636" s="254" t="s">
        <v>780</v>
      </c>
      <c r="G636" s="254"/>
      <c r="H636" s="256">
        <v>5492.09</v>
      </c>
      <c r="I636" s="274"/>
      <c r="J636" s="275"/>
      <c r="K636" s="276"/>
      <c r="L636" s="414"/>
      <c r="M636" s="414"/>
      <c r="N636" s="414"/>
      <c r="O636" s="414"/>
      <c r="P636" s="279"/>
      <c r="Q636" s="279"/>
    </row>
    <row r="637" spans="1:17" s="229" customFormat="1" ht="15.75" hidden="1" outlineLevel="1" thickBot="1">
      <c r="A637" s="833" t="s">
        <v>474</v>
      </c>
      <c r="B637" s="257"/>
      <c r="C637" s="258" t="s">
        <v>618</v>
      </c>
      <c r="D637" s="838" t="s">
        <v>635</v>
      </c>
      <c r="E637" s="835" t="s">
        <v>1204</v>
      </c>
      <c r="F637" s="254" t="s">
        <v>782</v>
      </c>
      <c r="G637" s="254"/>
      <c r="H637" s="256">
        <v>115</v>
      </c>
      <c r="I637" s="274"/>
      <c r="J637" s="275"/>
      <c r="K637" s="276"/>
      <c r="L637" s="414"/>
      <c r="M637" s="414"/>
      <c r="N637" s="414"/>
      <c r="O637" s="414"/>
      <c r="P637" s="279"/>
      <c r="Q637" s="279"/>
    </row>
    <row r="638" spans="1:17" s="229" customFormat="1" ht="15.75" hidden="1" outlineLevel="1" thickBot="1">
      <c r="A638" s="833" t="s">
        <v>474</v>
      </c>
      <c r="B638" s="257"/>
      <c r="C638" s="258" t="s">
        <v>618</v>
      </c>
      <c r="D638" s="838" t="s">
        <v>635</v>
      </c>
      <c r="E638" s="835" t="s">
        <v>1205</v>
      </c>
      <c r="F638" s="254" t="s">
        <v>784</v>
      </c>
      <c r="G638" s="254"/>
      <c r="H638" s="256">
        <v>220</v>
      </c>
      <c r="I638" s="274"/>
      <c r="J638" s="275"/>
      <c r="K638" s="276"/>
      <c r="L638" s="414"/>
      <c r="M638" s="414"/>
      <c r="N638" s="414"/>
      <c r="O638" s="414"/>
      <c r="P638" s="279"/>
      <c r="Q638" s="279"/>
    </row>
    <row r="639" spans="1:17" s="229" customFormat="1" ht="15.75" hidden="1" outlineLevel="1" thickBot="1">
      <c r="A639" s="833" t="s">
        <v>474</v>
      </c>
      <c r="B639" s="257"/>
      <c r="C639" s="258" t="s">
        <v>618</v>
      </c>
      <c r="D639" s="838" t="s">
        <v>635</v>
      </c>
      <c r="E639" s="835" t="s">
        <v>1206</v>
      </c>
      <c r="F639" s="254" t="s">
        <v>621</v>
      </c>
      <c r="G639" s="254"/>
      <c r="H639" s="256">
        <v>16.600000000000001</v>
      </c>
      <c r="I639" s="274"/>
      <c r="J639" s="275"/>
      <c r="K639" s="276"/>
      <c r="L639" s="414"/>
      <c r="M639" s="414"/>
      <c r="N639" s="414"/>
      <c r="O639" s="414"/>
      <c r="P639" s="279"/>
      <c r="Q639" s="279"/>
    </row>
    <row r="640" spans="1:17" s="229" customFormat="1" ht="15.75" hidden="1" outlineLevel="1" thickBot="1">
      <c r="A640" s="833" t="s">
        <v>474</v>
      </c>
      <c r="B640" s="257"/>
      <c r="C640" s="258" t="s">
        <v>618</v>
      </c>
      <c r="D640" s="838" t="s">
        <v>611</v>
      </c>
      <c r="E640" s="835" t="s">
        <v>1207</v>
      </c>
      <c r="F640" s="254" t="s">
        <v>641</v>
      </c>
      <c r="G640" s="254"/>
      <c r="H640" s="256">
        <v>22.42</v>
      </c>
      <c r="I640" s="274"/>
      <c r="J640" s="275"/>
      <c r="K640" s="276"/>
      <c r="L640" s="414"/>
      <c r="M640" s="414"/>
      <c r="N640" s="414"/>
      <c r="O640" s="414"/>
      <c r="P640" s="279"/>
      <c r="Q640" s="279"/>
    </row>
    <row r="641" spans="1:17" s="229" customFormat="1" ht="15.75" hidden="1" outlineLevel="1" thickBot="1">
      <c r="A641" s="833" t="s">
        <v>476</v>
      </c>
      <c r="B641" s="257"/>
      <c r="C641" s="258" t="s">
        <v>618</v>
      </c>
      <c r="D641" s="838" t="s">
        <v>635</v>
      </c>
      <c r="E641" s="835" t="s">
        <v>1208</v>
      </c>
      <c r="F641" s="254" t="s">
        <v>644</v>
      </c>
      <c r="G641" s="254"/>
      <c r="H641" s="256">
        <v>1600.56</v>
      </c>
      <c r="I641" s="274"/>
      <c r="J641" s="275"/>
      <c r="K641" s="276"/>
      <c r="L641" s="414"/>
      <c r="M641" s="414"/>
      <c r="N641" s="414"/>
      <c r="O641" s="414"/>
      <c r="P641" s="279"/>
      <c r="Q641" s="279"/>
    </row>
    <row r="642" spans="1:17" s="229" customFormat="1" ht="15.75" hidden="1" outlineLevel="1" thickBot="1">
      <c r="A642" s="833" t="s">
        <v>476</v>
      </c>
      <c r="B642" s="257"/>
      <c r="C642" s="258" t="s">
        <v>618</v>
      </c>
      <c r="D642" s="838" t="s">
        <v>635</v>
      </c>
      <c r="E642" s="835" t="s">
        <v>1209</v>
      </c>
      <c r="F642" s="254" t="s">
        <v>830</v>
      </c>
      <c r="G642" s="254"/>
      <c r="H642" s="256">
        <v>15</v>
      </c>
      <c r="I642" s="274"/>
      <c r="J642" s="275"/>
      <c r="K642" s="276"/>
      <c r="L642" s="414"/>
      <c r="M642" s="414"/>
      <c r="N642" s="414"/>
      <c r="O642" s="414"/>
      <c r="P642" s="279"/>
      <c r="Q642" s="279"/>
    </row>
    <row r="643" spans="1:17" s="229" customFormat="1" ht="15.75" hidden="1" outlineLevel="1" thickBot="1">
      <c r="A643" s="833" t="s">
        <v>1210</v>
      </c>
      <c r="B643" s="257"/>
      <c r="C643" s="258" t="s">
        <v>618</v>
      </c>
      <c r="D643" s="838" t="s">
        <v>635</v>
      </c>
      <c r="E643" s="835" t="s">
        <v>1211</v>
      </c>
      <c r="F643" s="254" t="s">
        <v>621</v>
      </c>
      <c r="G643" s="254"/>
      <c r="H643" s="256">
        <v>75</v>
      </c>
      <c r="I643" s="274"/>
      <c r="J643" s="275"/>
      <c r="K643" s="276"/>
      <c r="L643" s="414"/>
      <c r="M643" s="414"/>
      <c r="N643" s="414"/>
      <c r="O643" s="414"/>
      <c r="P643" s="279"/>
      <c r="Q643" s="279"/>
    </row>
    <row r="644" spans="1:17" s="229" customFormat="1" ht="15.75" hidden="1" outlineLevel="1" thickBot="1">
      <c r="A644" s="833" t="s">
        <v>476</v>
      </c>
      <c r="B644" s="257"/>
      <c r="C644" s="258" t="s">
        <v>618</v>
      </c>
      <c r="D644" s="838" t="s">
        <v>630</v>
      </c>
      <c r="E644" s="835" t="s">
        <v>1212</v>
      </c>
      <c r="F644" s="254" t="s">
        <v>625</v>
      </c>
      <c r="G644" s="254"/>
      <c r="H644" s="256">
        <v>3.75</v>
      </c>
      <c r="I644" s="274"/>
      <c r="J644" s="275"/>
      <c r="K644" s="276"/>
      <c r="L644" s="414"/>
      <c r="M644" s="414"/>
      <c r="N644" s="414"/>
      <c r="O644" s="414"/>
      <c r="P644" s="279"/>
      <c r="Q644" s="279"/>
    </row>
    <row r="645" spans="1:17" s="229" customFormat="1" ht="15.75" hidden="1" outlineLevel="1" thickBot="1">
      <c r="A645" s="833" t="s">
        <v>476</v>
      </c>
      <c r="B645" s="257"/>
      <c r="C645" s="258" t="s">
        <v>618</v>
      </c>
      <c r="D645" s="838" t="s">
        <v>630</v>
      </c>
      <c r="E645" s="835" t="s">
        <v>1213</v>
      </c>
      <c r="F645" s="254" t="s">
        <v>625</v>
      </c>
      <c r="G645" s="254"/>
      <c r="H645" s="256">
        <v>3.75</v>
      </c>
      <c r="I645" s="274"/>
      <c r="J645" s="275"/>
      <c r="K645" s="276"/>
      <c r="L645" s="414"/>
      <c r="M645" s="414"/>
      <c r="N645" s="414"/>
      <c r="O645" s="414"/>
      <c r="P645" s="279"/>
      <c r="Q645" s="279"/>
    </row>
    <row r="646" spans="1:17" s="229" customFormat="1" ht="15.75" hidden="1" outlineLevel="1" thickBot="1">
      <c r="A646" s="833" t="s">
        <v>476</v>
      </c>
      <c r="B646" s="257"/>
      <c r="C646" s="258" t="s">
        <v>618</v>
      </c>
      <c r="D646" s="838" t="s">
        <v>714</v>
      </c>
      <c r="E646" s="835" t="s">
        <v>1214</v>
      </c>
      <c r="F646" s="254" t="s">
        <v>625</v>
      </c>
      <c r="G646" s="254"/>
      <c r="H646" s="256">
        <v>4.8</v>
      </c>
      <c r="I646" s="274"/>
      <c r="J646" s="275"/>
      <c r="K646" s="276"/>
      <c r="L646" s="414"/>
      <c r="M646" s="414"/>
      <c r="N646" s="414"/>
      <c r="O646" s="414"/>
      <c r="P646" s="279"/>
      <c r="Q646" s="279"/>
    </row>
    <row r="647" spans="1:17" s="229" customFormat="1" ht="15.75" hidden="1" outlineLevel="1" thickBot="1">
      <c r="A647" s="833" t="s">
        <v>476</v>
      </c>
      <c r="B647" s="257"/>
      <c r="C647" s="258" t="s">
        <v>618</v>
      </c>
      <c r="D647" s="838" t="s">
        <v>611</v>
      </c>
      <c r="E647" s="835" t="s">
        <v>1215</v>
      </c>
      <c r="F647" s="254" t="s">
        <v>625</v>
      </c>
      <c r="G647" s="254"/>
      <c r="H647" s="256">
        <v>50</v>
      </c>
      <c r="I647" s="274"/>
      <c r="J647" s="275"/>
      <c r="K647" s="276"/>
      <c r="L647" s="414"/>
      <c r="M647" s="414"/>
      <c r="N647" s="414"/>
      <c r="O647" s="414"/>
      <c r="P647" s="279"/>
      <c r="Q647" s="279"/>
    </row>
    <row r="648" spans="1:17" s="229" customFormat="1" ht="15.75" hidden="1" outlineLevel="1" thickBot="1">
      <c r="A648" s="833" t="s">
        <v>476</v>
      </c>
      <c r="B648" s="257"/>
      <c r="C648" s="258" t="s">
        <v>618</v>
      </c>
      <c r="D648" s="838" t="s">
        <v>611</v>
      </c>
      <c r="E648" s="835" t="s">
        <v>1216</v>
      </c>
      <c r="F648" s="254" t="s">
        <v>625</v>
      </c>
      <c r="G648" s="254"/>
      <c r="H648" s="256">
        <v>7</v>
      </c>
      <c r="I648" s="274"/>
      <c r="J648" s="275"/>
      <c r="K648" s="276"/>
      <c r="L648" s="414"/>
      <c r="M648" s="414"/>
      <c r="N648" s="414"/>
      <c r="O648" s="414"/>
      <c r="P648" s="279"/>
      <c r="Q648" s="279"/>
    </row>
    <row r="649" spans="1:17" s="229" customFormat="1" ht="15.75" hidden="1" outlineLevel="1" thickBot="1">
      <c r="A649" s="833" t="s">
        <v>476</v>
      </c>
      <c r="B649" s="257"/>
      <c r="C649" s="258" t="s">
        <v>618</v>
      </c>
      <c r="D649" s="838" t="s">
        <v>611</v>
      </c>
      <c r="E649" s="835" t="s">
        <v>1217</v>
      </c>
      <c r="F649" s="254" t="s">
        <v>625</v>
      </c>
      <c r="G649" s="254"/>
      <c r="H649" s="256">
        <v>12.5</v>
      </c>
      <c r="I649" s="274"/>
      <c r="J649" s="275"/>
      <c r="K649" s="276"/>
      <c r="L649" s="414"/>
      <c r="M649" s="414"/>
      <c r="N649" s="414"/>
      <c r="O649" s="414"/>
      <c r="P649" s="279"/>
      <c r="Q649" s="279"/>
    </row>
    <row r="650" spans="1:17" s="229" customFormat="1" ht="15.75" hidden="1" outlineLevel="1" thickBot="1">
      <c r="A650" s="833" t="s">
        <v>476</v>
      </c>
      <c r="B650" s="257"/>
      <c r="C650" s="258" t="s">
        <v>618</v>
      </c>
      <c r="D650" s="838" t="s">
        <v>611</v>
      </c>
      <c r="E650" s="835" t="s">
        <v>1218</v>
      </c>
      <c r="F650" s="254" t="s">
        <v>625</v>
      </c>
      <c r="G650" s="254"/>
      <c r="H650" s="256">
        <v>15</v>
      </c>
      <c r="I650" s="274"/>
      <c r="J650" s="275"/>
      <c r="K650" s="276"/>
      <c r="L650" s="414"/>
      <c r="M650" s="414"/>
      <c r="N650" s="414"/>
      <c r="O650" s="414"/>
      <c r="P650" s="279"/>
      <c r="Q650" s="279"/>
    </row>
    <row r="651" spans="1:17" s="229" customFormat="1" ht="15.75" hidden="1" outlineLevel="1" thickBot="1">
      <c r="A651" s="833" t="s">
        <v>476</v>
      </c>
      <c r="B651" s="257"/>
      <c r="C651" s="258" t="s">
        <v>618</v>
      </c>
      <c r="D651" s="838" t="s">
        <v>611</v>
      </c>
      <c r="E651" s="835" t="s">
        <v>1219</v>
      </c>
      <c r="F651" s="254" t="s">
        <v>625</v>
      </c>
      <c r="G651" s="254"/>
      <c r="H651" s="256">
        <v>22.5</v>
      </c>
      <c r="I651" s="274"/>
      <c r="J651" s="275"/>
      <c r="K651" s="276"/>
      <c r="L651" s="414"/>
      <c r="M651" s="414"/>
      <c r="N651" s="414"/>
      <c r="O651" s="414"/>
      <c r="P651" s="279"/>
      <c r="Q651" s="279"/>
    </row>
    <row r="652" spans="1:17" s="229" customFormat="1" ht="15.75" hidden="1" outlineLevel="1" thickBot="1">
      <c r="A652" s="833" t="s">
        <v>476</v>
      </c>
      <c r="B652" s="257"/>
      <c r="C652" s="258" t="s">
        <v>618</v>
      </c>
      <c r="D652" s="838" t="s">
        <v>611</v>
      </c>
      <c r="E652" s="835" t="s">
        <v>1220</v>
      </c>
      <c r="F652" s="254" t="s">
        <v>625</v>
      </c>
      <c r="G652" s="254"/>
      <c r="H652" s="256">
        <v>27.5</v>
      </c>
      <c r="I652" s="274"/>
      <c r="J652" s="275"/>
      <c r="K652" s="276"/>
      <c r="L652" s="414"/>
      <c r="M652" s="414"/>
      <c r="N652" s="414"/>
      <c r="O652" s="414"/>
      <c r="P652" s="279"/>
      <c r="Q652" s="279"/>
    </row>
    <row r="653" spans="1:17" s="229" customFormat="1" ht="15.75" hidden="1" outlineLevel="1" thickBot="1">
      <c r="A653" s="833" t="s">
        <v>476</v>
      </c>
      <c r="B653" s="257"/>
      <c r="C653" s="258" t="s">
        <v>618</v>
      </c>
      <c r="D653" s="838" t="s">
        <v>611</v>
      </c>
      <c r="E653" s="835" t="s">
        <v>1221</v>
      </c>
      <c r="F653" s="254" t="s">
        <v>625</v>
      </c>
      <c r="G653" s="254"/>
      <c r="H653" s="256">
        <v>32.5</v>
      </c>
      <c r="I653" s="274"/>
      <c r="J653" s="275"/>
      <c r="K653" s="276"/>
      <c r="L653" s="414"/>
      <c r="M653" s="414"/>
      <c r="N653" s="414"/>
      <c r="O653" s="414"/>
      <c r="P653" s="279"/>
      <c r="Q653" s="279"/>
    </row>
    <row r="654" spans="1:17" s="229" customFormat="1" ht="15.75" hidden="1" outlineLevel="1" thickBot="1">
      <c r="A654" s="833" t="s">
        <v>476</v>
      </c>
      <c r="B654" s="257"/>
      <c r="C654" s="258" t="s">
        <v>618</v>
      </c>
      <c r="D654" s="838" t="s">
        <v>611</v>
      </c>
      <c r="E654" s="835" t="s">
        <v>665</v>
      </c>
      <c r="F654" s="254" t="s">
        <v>625</v>
      </c>
      <c r="G654" s="254"/>
      <c r="H654" s="256">
        <v>2.5</v>
      </c>
      <c r="I654" s="274"/>
      <c r="J654" s="275"/>
      <c r="K654" s="276"/>
      <c r="L654" s="414"/>
      <c r="M654" s="414"/>
      <c r="N654" s="414"/>
      <c r="O654" s="414"/>
      <c r="P654" s="279"/>
      <c r="Q654" s="279"/>
    </row>
    <row r="655" spans="1:17" s="229" customFormat="1" ht="15.75" hidden="1" outlineLevel="1" thickBot="1">
      <c r="A655" s="833" t="s">
        <v>476</v>
      </c>
      <c r="B655" s="257"/>
      <c r="C655" s="258" t="s">
        <v>618</v>
      </c>
      <c r="D655" s="838" t="s">
        <v>630</v>
      </c>
      <c r="E655" s="835" t="s">
        <v>1047</v>
      </c>
      <c r="F655" s="254" t="s">
        <v>625</v>
      </c>
      <c r="G655" s="254"/>
      <c r="H655" s="256">
        <v>26</v>
      </c>
      <c r="I655" s="274"/>
      <c r="J655" s="275"/>
      <c r="K655" s="276"/>
      <c r="L655" s="414"/>
      <c r="M655" s="414"/>
      <c r="N655" s="414"/>
      <c r="O655" s="414"/>
      <c r="P655" s="279"/>
      <c r="Q655" s="279"/>
    </row>
    <row r="656" spans="1:17" s="229" customFormat="1" ht="15.75" hidden="1" outlineLevel="1" thickBot="1">
      <c r="A656" s="833" t="s">
        <v>476</v>
      </c>
      <c r="B656" s="257"/>
      <c r="C656" s="258" t="s">
        <v>618</v>
      </c>
      <c r="D656" s="838" t="s">
        <v>630</v>
      </c>
      <c r="E656" s="835" t="s">
        <v>1138</v>
      </c>
      <c r="F656" s="254" t="s">
        <v>625</v>
      </c>
      <c r="G656" s="254"/>
      <c r="H656" s="256">
        <v>45</v>
      </c>
      <c r="I656" s="274"/>
      <c r="J656" s="275"/>
      <c r="K656" s="276"/>
      <c r="L656" s="414"/>
      <c r="M656" s="414"/>
      <c r="N656" s="414"/>
      <c r="O656" s="414"/>
      <c r="P656" s="279"/>
      <c r="Q656" s="279"/>
    </row>
    <row r="657" spans="1:17" s="229" customFormat="1" ht="15.75" hidden="1" outlineLevel="1" thickBot="1">
      <c r="A657" s="833" t="s">
        <v>476</v>
      </c>
      <c r="B657" s="257"/>
      <c r="C657" s="258" t="s">
        <v>618</v>
      </c>
      <c r="D657" s="838" t="s">
        <v>630</v>
      </c>
      <c r="E657" s="835" t="s">
        <v>1222</v>
      </c>
      <c r="F657" s="254" t="s">
        <v>625</v>
      </c>
      <c r="G657" s="254"/>
      <c r="H657" s="256">
        <v>14.59</v>
      </c>
      <c r="I657" s="274"/>
      <c r="J657" s="275"/>
      <c r="K657" s="276"/>
      <c r="L657" s="414"/>
      <c r="M657" s="414"/>
      <c r="N657" s="414"/>
      <c r="O657" s="414"/>
      <c r="P657" s="279"/>
      <c r="Q657" s="279"/>
    </row>
    <row r="658" spans="1:17" s="229" customFormat="1" ht="15.75" hidden="1" outlineLevel="1" thickBot="1">
      <c r="A658" s="833" t="s">
        <v>476</v>
      </c>
      <c r="B658" s="257"/>
      <c r="C658" s="258" t="s">
        <v>618</v>
      </c>
      <c r="D658" s="838" t="s">
        <v>630</v>
      </c>
      <c r="E658" s="835" t="s">
        <v>1223</v>
      </c>
      <c r="F658" s="254" t="s">
        <v>625</v>
      </c>
      <c r="G658" s="254"/>
      <c r="H658" s="256">
        <v>3.04</v>
      </c>
      <c r="I658" s="274"/>
      <c r="J658" s="275"/>
      <c r="K658" s="276"/>
      <c r="L658" s="414"/>
      <c r="M658" s="414"/>
      <c r="N658" s="414"/>
      <c r="O658" s="414"/>
      <c r="P658" s="279"/>
      <c r="Q658" s="279"/>
    </row>
    <row r="659" spans="1:17" s="229" customFormat="1" ht="15.75" hidden="1" outlineLevel="1" thickBot="1">
      <c r="A659" s="833" t="s">
        <v>476</v>
      </c>
      <c r="B659" s="257"/>
      <c r="C659" s="258" t="s">
        <v>618</v>
      </c>
      <c r="D659" s="838" t="s">
        <v>630</v>
      </c>
      <c r="E659" s="835" t="s">
        <v>1029</v>
      </c>
      <c r="F659" s="254" t="s">
        <v>625</v>
      </c>
      <c r="G659" s="254"/>
      <c r="H659" s="256">
        <v>3</v>
      </c>
      <c r="I659" s="274"/>
      <c r="J659" s="275"/>
      <c r="K659" s="276"/>
      <c r="L659" s="414"/>
      <c r="M659" s="414"/>
      <c r="N659" s="414"/>
      <c r="O659" s="414"/>
      <c r="P659" s="279"/>
      <c r="Q659" s="279"/>
    </row>
    <row r="660" spans="1:17" s="229" customFormat="1" ht="15.75" hidden="1" outlineLevel="1" thickBot="1">
      <c r="A660" s="833" t="s">
        <v>476</v>
      </c>
      <c r="B660" s="257"/>
      <c r="C660" s="258" t="s">
        <v>618</v>
      </c>
      <c r="D660" s="838" t="s">
        <v>630</v>
      </c>
      <c r="E660" s="835" t="s">
        <v>1224</v>
      </c>
      <c r="F660" s="254" t="s">
        <v>625</v>
      </c>
      <c r="G660" s="254"/>
      <c r="H660" s="256">
        <v>0.75</v>
      </c>
      <c r="I660" s="274"/>
      <c r="J660" s="275"/>
      <c r="K660" s="276"/>
      <c r="L660" s="414"/>
      <c r="M660" s="414"/>
      <c r="N660" s="414"/>
      <c r="O660" s="414"/>
      <c r="P660" s="279"/>
      <c r="Q660" s="279"/>
    </row>
    <row r="661" spans="1:17" s="229" customFormat="1" ht="15.75" hidden="1" outlineLevel="1" thickBot="1">
      <c r="A661" s="833" t="s">
        <v>476</v>
      </c>
      <c r="B661" s="257"/>
      <c r="C661" s="258" t="s">
        <v>618</v>
      </c>
      <c r="D661" s="838" t="s">
        <v>630</v>
      </c>
      <c r="E661" s="835" t="s">
        <v>1225</v>
      </c>
      <c r="F661" s="254" t="s">
        <v>625</v>
      </c>
      <c r="G661" s="254"/>
      <c r="H661" s="256">
        <v>3.75</v>
      </c>
      <c r="I661" s="274"/>
      <c r="J661" s="275"/>
      <c r="K661" s="276"/>
      <c r="L661" s="414"/>
      <c r="M661" s="414"/>
      <c r="N661" s="414"/>
      <c r="O661" s="414"/>
      <c r="P661" s="279"/>
      <c r="Q661" s="279"/>
    </row>
    <row r="662" spans="1:17" s="229" customFormat="1" ht="15.75" hidden="1" outlineLevel="1" thickBot="1">
      <c r="A662" s="833" t="s">
        <v>480</v>
      </c>
      <c r="B662" s="257"/>
      <c r="C662" s="258" t="s">
        <v>618</v>
      </c>
      <c r="D662" s="838" t="s">
        <v>635</v>
      </c>
      <c r="E662" s="835" t="s">
        <v>770</v>
      </c>
      <c r="F662" s="254" t="s">
        <v>638</v>
      </c>
      <c r="G662" s="254"/>
      <c r="H662" s="256">
        <v>40</v>
      </c>
      <c r="I662" s="274"/>
      <c r="J662" s="275"/>
      <c r="K662" s="276"/>
      <c r="L662" s="414"/>
      <c r="M662" s="414"/>
      <c r="N662" s="414"/>
      <c r="O662" s="414"/>
      <c r="P662" s="279"/>
      <c r="Q662" s="279"/>
    </row>
    <row r="663" spans="1:17" s="229" customFormat="1" ht="15.75" hidden="1" outlineLevel="1" thickBot="1">
      <c r="A663" s="833" t="s">
        <v>480</v>
      </c>
      <c r="B663" s="257"/>
      <c r="C663" s="258" t="s">
        <v>618</v>
      </c>
      <c r="D663" s="838" t="s">
        <v>635</v>
      </c>
      <c r="E663" s="835" t="s">
        <v>1226</v>
      </c>
      <c r="F663" s="254" t="s">
        <v>638</v>
      </c>
      <c r="G663" s="254"/>
      <c r="H663" s="256">
        <v>10</v>
      </c>
      <c r="I663" s="274"/>
      <c r="J663" s="275"/>
      <c r="K663" s="276"/>
      <c r="L663" s="414"/>
      <c r="M663" s="414"/>
      <c r="N663" s="414"/>
      <c r="O663" s="414"/>
      <c r="P663" s="279"/>
      <c r="Q663" s="279"/>
    </row>
    <row r="664" spans="1:17" s="229" customFormat="1" ht="15.75" hidden="1" outlineLevel="1" thickBot="1">
      <c r="A664" s="833" t="s">
        <v>480</v>
      </c>
      <c r="B664" s="257"/>
      <c r="C664" s="258" t="s">
        <v>618</v>
      </c>
      <c r="D664" s="838" t="s">
        <v>635</v>
      </c>
      <c r="E664" s="835" t="s">
        <v>1227</v>
      </c>
      <c r="F664" s="254" t="s">
        <v>621</v>
      </c>
      <c r="G664" s="254"/>
      <c r="H664" s="256">
        <v>28</v>
      </c>
      <c r="I664" s="274"/>
      <c r="J664" s="275"/>
      <c r="K664" s="276"/>
      <c r="L664" s="414"/>
      <c r="M664" s="414"/>
      <c r="N664" s="414"/>
      <c r="O664" s="414"/>
      <c r="P664" s="279"/>
      <c r="Q664" s="279"/>
    </row>
    <row r="665" spans="1:17" s="229" customFormat="1" ht="15.75" hidden="1" outlineLevel="1" thickBot="1">
      <c r="A665" s="833" t="s">
        <v>480</v>
      </c>
      <c r="B665" s="257"/>
      <c r="C665" s="258" t="s">
        <v>618</v>
      </c>
      <c r="D665" s="838" t="s">
        <v>635</v>
      </c>
      <c r="E665" s="835" t="s">
        <v>1228</v>
      </c>
      <c r="F665" s="254" t="s">
        <v>621</v>
      </c>
      <c r="G665" s="254"/>
      <c r="H665" s="256">
        <v>10</v>
      </c>
      <c r="I665" s="274"/>
      <c r="J665" s="275"/>
      <c r="K665" s="276"/>
      <c r="L665" s="414"/>
      <c r="M665" s="414"/>
      <c r="N665" s="414"/>
      <c r="O665" s="414"/>
      <c r="P665" s="279"/>
      <c r="Q665" s="279"/>
    </row>
    <row r="666" spans="1:17" s="229" customFormat="1" ht="15.75" hidden="1" outlineLevel="1" thickBot="1">
      <c r="A666" s="833" t="s">
        <v>480</v>
      </c>
      <c r="B666" s="257"/>
      <c r="C666" s="258" t="s">
        <v>1081</v>
      </c>
      <c r="D666" s="838" t="s">
        <v>635</v>
      </c>
      <c r="E666" s="835" t="s">
        <v>1229</v>
      </c>
      <c r="F666" s="254" t="s">
        <v>625</v>
      </c>
      <c r="G666" s="254"/>
      <c r="H666" s="256">
        <v>3.75</v>
      </c>
      <c r="I666" s="274"/>
      <c r="J666" s="275"/>
      <c r="K666" s="276"/>
      <c r="L666" s="414"/>
      <c r="M666" s="414"/>
      <c r="N666" s="414"/>
      <c r="O666" s="414"/>
      <c r="P666" s="279"/>
      <c r="Q666" s="279"/>
    </row>
    <row r="667" spans="1:17" s="229" customFormat="1" ht="15.75" hidden="1" outlineLevel="1" thickBot="1">
      <c r="A667" s="833" t="s">
        <v>480</v>
      </c>
      <c r="B667" s="257"/>
      <c r="C667" s="258" t="s">
        <v>1081</v>
      </c>
      <c r="D667" s="838" t="s">
        <v>635</v>
      </c>
      <c r="E667" s="835" t="s">
        <v>1230</v>
      </c>
      <c r="F667" s="254" t="s">
        <v>625</v>
      </c>
      <c r="G667" s="254"/>
      <c r="H667" s="256">
        <v>5</v>
      </c>
      <c r="I667" s="274"/>
      <c r="J667" s="275"/>
      <c r="K667" s="276"/>
      <c r="L667" s="414"/>
      <c r="M667" s="414"/>
      <c r="N667" s="414"/>
      <c r="O667" s="414"/>
      <c r="P667" s="279"/>
      <c r="Q667" s="279"/>
    </row>
    <row r="668" spans="1:17" s="229" customFormat="1" ht="15.75" hidden="1" outlineLevel="1" thickBot="1">
      <c r="A668" s="833" t="s">
        <v>481</v>
      </c>
      <c r="B668" s="257"/>
      <c r="C668" s="258" t="s">
        <v>618</v>
      </c>
      <c r="D668" s="838" t="s">
        <v>635</v>
      </c>
      <c r="E668" s="835" t="s">
        <v>1231</v>
      </c>
      <c r="F668" s="254" t="s">
        <v>621</v>
      </c>
      <c r="G668" s="254"/>
      <c r="H668" s="256">
        <v>7.5</v>
      </c>
      <c r="I668" s="274"/>
      <c r="J668" s="275"/>
      <c r="K668" s="276"/>
      <c r="L668" s="414"/>
      <c r="M668" s="414"/>
      <c r="N668" s="414"/>
      <c r="O668" s="414"/>
      <c r="P668" s="279"/>
      <c r="Q668" s="279"/>
    </row>
    <row r="669" spans="1:17" s="229" customFormat="1" ht="15.75" hidden="1" outlineLevel="1" thickBot="1">
      <c r="A669" s="833" t="s">
        <v>481</v>
      </c>
      <c r="B669" s="257"/>
      <c r="C669" s="258" t="s">
        <v>618</v>
      </c>
      <c r="D669" s="838" t="s">
        <v>635</v>
      </c>
      <c r="E669" s="835" t="s">
        <v>1232</v>
      </c>
      <c r="F669" s="254" t="s">
        <v>621</v>
      </c>
      <c r="G669" s="254"/>
      <c r="H669" s="256">
        <v>30</v>
      </c>
      <c r="I669" s="274"/>
      <c r="J669" s="275"/>
      <c r="K669" s="276"/>
      <c r="L669" s="414"/>
      <c r="M669" s="414"/>
      <c r="N669" s="414"/>
      <c r="O669" s="414"/>
      <c r="P669" s="279"/>
      <c r="Q669" s="279"/>
    </row>
    <row r="670" spans="1:17" s="229" customFormat="1" ht="15.75" hidden="1" outlineLevel="1" thickBot="1">
      <c r="A670" s="833" t="s">
        <v>484</v>
      </c>
      <c r="B670" s="257"/>
      <c r="C670" s="258" t="s">
        <v>618</v>
      </c>
      <c r="D670" s="838" t="s">
        <v>630</v>
      </c>
      <c r="E670" s="835" t="s">
        <v>1039</v>
      </c>
      <c r="F670" s="254" t="s">
        <v>625</v>
      </c>
      <c r="G670" s="254"/>
      <c r="H670" s="256">
        <v>2</v>
      </c>
      <c r="I670" s="274"/>
      <c r="J670" s="275"/>
      <c r="K670" s="276"/>
      <c r="L670" s="414"/>
      <c r="M670" s="414"/>
      <c r="N670" s="414"/>
      <c r="O670" s="414"/>
      <c r="P670" s="279"/>
      <c r="Q670" s="279"/>
    </row>
    <row r="671" spans="1:17" s="229" customFormat="1" ht="15.75" hidden="1" outlineLevel="1" thickBot="1">
      <c r="A671" s="833" t="s">
        <v>484</v>
      </c>
      <c r="B671" s="257"/>
      <c r="C671" s="258" t="s">
        <v>618</v>
      </c>
      <c r="D671" s="838" t="s">
        <v>630</v>
      </c>
      <c r="E671" s="835" t="s">
        <v>1039</v>
      </c>
      <c r="F671" s="254" t="s">
        <v>625</v>
      </c>
      <c r="G671" s="254"/>
      <c r="H671" s="256">
        <v>1.75</v>
      </c>
      <c r="I671" s="274"/>
      <c r="J671" s="275"/>
      <c r="K671" s="276"/>
      <c r="L671" s="414"/>
      <c r="M671" s="414"/>
      <c r="N671" s="414"/>
      <c r="O671" s="414"/>
      <c r="P671" s="279"/>
      <c r="Q671" s="279"/>
    </row>
    <row r="672" spans="1:17" s="229" customFormat="1" ht="15.75" hidden="1" outlineLevel="1" thickBot="1">
      <c r="A672" s="833" t="s">
        <v>484</v>
      </c>
      <c r="B672" s="257"/>
      <c r="C672" s="258" t="s">
        <v>618</v>
      </c>
      <c r="D672" s="838" t="s">
        <v>630</v>
      </c>
      <c r="E672" s="835" t="s">
        <v>1233</v>
      </c>
      <c r="F672" s="254" t="s">
        <v>625</v>
      </c>
      <c r="G672" s="254"/>
      <c r="H672" s="256">
        <v>1.25</v>
      </c>
      <c r="I672" s="274"/>
      <c r="J672" s="275"/>
      <c r="K672" s="276"/>
      <c r="L672" s="414"/>
      <c r="M672" s="414"/>
      <c r="N672" s="414"/>
      <c r="O672" s="414"/>
      <c r="P672" s="279"/>
      <c r="Q672" s="279"/>
    </row>
    <row r="673" spans="1:17" s="229" customFormat="1" ht="15.75" hidden="1" outlineLevel="1" thickBot="1">
      <c r="A673" s="833" t="s">
        <v>484</v>
      </c>
      <c r="B673" s="257"/>
      <c r="C673" s="258" t="s">
        <v>618</v>
      </c>
      <c r="D673" s="838" t="s">
        <v>630</v>
      </c>
      <c r="E673" s="835" t="s">
        <v>1175</v>
      </c>
      <c r="F673" s="254" t="s">
        <v>625</v>
      </c>
      <c r="G673" s="254"/>
      <c r="H673" s="256">
        <v>0.38</v>
      </c>
      <c r="I673" s="274"/>
      <c r="J673" s="275"/>
      <c r="K673" s="276"/>
      <c r="L673" s="414"/>
      <c r="M673" s="414"/>
      <c r="N673" s="414"/>
      <c r="O673" s="414"/>
      <c r="P673" s="279"/>
      <c r="Q673" s="279"/>
    </row>
    <row r="674" spans="1:17" s="229" customFormat="1" ht="15.75" hidden="1" outlineLevel="1" thickBot="1">
      <c r="A674" s="833" t="s">
        <v>484</v>
      </c>
      <c r="B674" s="257"/>
      <c r="C674" s="258" t="s">
        <v>618</v>
      </c>
      <c r="D674" s="838" t="s">
        <v>630</v>
      </c>
      <c r="E674" s="835" t="s">
        <v>1233</v>
      </c>
      <c r="F674" s="254" t="s">
        <v>625</v>
      </c>
      <c r="G674" s="254"/>
      <c r="H674" s="256">
        <v>1.25</v>
      </c>
      <c r="I674" s="274"/>
      <c r="J674" s="275"/>
      <c r="K674" s="276"/>
      <c r="L674" s="414"/>
      <c r="M674" s="414"/>
      <c r="N674" s="414"/>
      <c r="O674" s="414"/>
      <c r="P674" s="279"/>
      <c r="Q674" s="279"/>
    </row>
    <row r="675" spans="1:17" s="229" customFormat="1" ht="15.75" hidden="1" outlineLevel="1" thickBot="1">
      <c r="A675" s="833" t="s">
        <v>484</v>
      </c>
      <c r="B675" s="257"/>
      <c r="C675" s="258" t="s">
        <v>618</v>
      </c>
      <c r="D675" s="838" t="s">
        <v>630</v>
      </c>
      <c r="E675" s="835" t="s">
        <v>1223</v>
      </c>
      <c r="F675" s="254" t="s">
        <v>625</v>
      </c>
      <c r="G675" s="254"/>
      <c r="H675" s="256">
        <v>4.5</v>
      </c>
      <c r="I675" s="274"/>
      <c r="J675" s="275"/>
      <c r="K675" s="276"/>
      <c r="L675" s="414"/>
      <c r="M675" s="414"/>
      <c r="N675" s="414"/>
      <c r="O675" s="414"/>
      <c r="P675" s="279"/>
      <c r="Q675" s="279"/>
    </row>
    <row r="676" spans="1:17" s="229" customFormat="1" ht="15.75" hidden="1" outlineLevel="1" thickBot="1">
      <c r="A676" s="833" t="s">
        <v>484</v>
      </c>
      <c r="B676" s="257"/>
      <c r="C676" s="258" t="s">
        <v>618</v>
      </c>
      <c r="D676" s="838" t="s">
        <v>630</v>
      </c>
      <c r="E676" s="835" t="s">
        <v>1224</v>
      </c>
      <c r="F676" s="254" t="s">
        <v>625</v>
      </c>
      <c r="G676" s="254"/>
      <c r="H676" s="256">
        <v>0.75</v>
      </c>
      <c r="I676" s="274"/>
      <c r="J676" s="275"/>
      <c r="K676" s="276"/>
      <c r="L676" s="414"/>
      <c r="M676" s="414"/>
      <c r="N676" s="414"/>
      <c r="O676" s="414"/>
      <c r="P676" s="279"/>
      <c r="Q676" s="279"/>
    </row>
    <row r="677" spans="1:17" s="229" customFormat="1" ht="15.75" hidden="1" outlineLevel="1" thickBot="1">
      <c r="A677" s="833" t="s">
        <v>484</v>
      </c>
      <c r="B677" s="257"/>
      <c r="C677" s="258" t="s">
        <v>618</v>
      </c>
      <c r="D677" s="838" t="s">
        <v>630</v>
      </c>
      <c r="E677" s="835" t="s">
        <v>1222</v>
      </c>
      <c r="F677" s="254" t="s">
        <v>625</v>
      </c>
      <c r="G677" s="254"/>
      <c r="H677" s="256">
        <v>14.59</v>
      </c>
      <c r="I677" s="274"/>
      <c r="J677" s="275"/>
      <c r="K677" s="276"/>
      <c r="L677" s="414"/>
      <c r="M677" s="414"/>
      <c r="N677" s="414"/>
      <c r="O677" s="414"/>
      <c r="P677" s="279"/>
      <c r="Q677" s="279"/>
    </row>
    <row r="678" spans="1:17" s="229" customFormat="1" ht="15.75" hidden="1" outlineLevel="1" thickBot="1">
      <c r="A678" s="833" t="s">
        <v>484</v>
      </c>
      <c r="B678" s="257"/>
      <c r="C678" s="258" t="s">
        <v>618</v>
      </c>
      <c r="D678" s="838" t="s">
        <v>630</v>
      </c>
      <c r="E678" s="835" t="s">
        <v>1234</v>
      </c>
      <c r="F678" s="254" t="s">
        <v>625</v>
      </c>
      <c r="G678" s="254"/>
      <c r="H678" s="256">
        <v>7.5</v>
      </c>
      <c r="I678" s="274"/>
      <c r="J678" s="275"/>
      <c r="K678" s="276"/>
      <c r="L678" s="414"/>
      <c r="M678" s="414"/>
      <c r="N678" s="414"/>
      <c r="O678" s="414"/>
      <c r="P678" s="279"/>
      <c r="Q678" s="279"/>
    </row>
    <row r="679" spans="1:17" s="229" customFormat="1" ht="15.75" hidden="1" outlineLevel="1" thickBot="1">
      <c r="A679" s="833" t="s">
        <v>486</v>
      </c>
      <c r="B679" s="257"/>
      <c r="C679" s="258" t="s">
        <v>618</v>
      </c>
      <c r="D679" s="838" t="s">
        <v>635</v>
      </c>
      <c r="E679" s="835" t="s">
        <v>1017</v>
      </c>
      <c r="F679" s="254" t="s">
        <v>621</v>
      </c>
      <c r="G679" s="254"/>
      <c r="H679" s="256">
        <v>77.599999999999994</v>
      </c>
      <c r="I679" s="274"/>
      <c r="J679" s="275"/>
      <c r="K679" s="276"/>
      <c r="L679" s="414"/>
      <c r="M679" s="414"/>
      <c r="N679" s="414"/>
      <c r="O679" s="414"/>
      <c r="P679" s="279"/>
      <c r="Q679" s="279"/>
    </row>
    <row r="680" spans="1:17" s="229" customFormat="1" ht="15.75" hidden="1" outlineLevel="1" thickBot="1">
      <c r="A680" s="833" t="s">
        <v>486</v>
      </c>
      <c r="B680" s="257"/>
      <c r="C680" s="258" t="s">
        <v>618</v>
      </c>
      <c r="D680" s="838" t="s">
        <v>630</v>
      </c>
      <c r="E680" s="835" t="s">
        <v>1235</v>
      </c>
      <c r="F680" s="254" t="s">
        <v>625</v>
      </c>
      <c r="G680" s="254"/>
      <c r="H680" s="256">
        <v>6</v>
      </c>
      <c r="I680" s="274"/>
      <c r="J680" s="275"/>
      <c r="K680" s="276"/>
      <c r="L680" s="414"/>
      <c r="M680" s="414"/>
      <c r="N680" s="414"/>
      <c r="O680" s="414"/>
      <c r="P680" s="279"/>
      <c r="Q680" s="279"/>
    </row>
    <row r="681" spans="1:17" s="229" customFormat="1" ht="15.75" hidden="1" outlineLevel="1" thickBot="1">
      <c r="A681" s="833" t="s">
        <v>486</v>
      </c>
      <c r="B681" s="257"/>
      <c r="C681" s="258" t="s">
        <v>618</v>
      </c>
      <c r="D681" s="838" t="s">
        <v>714</v>
      </c>
      <c r="E681" s="835" t="s">
        <v>1224</v>
      </c>
      <c r="F681" s="254" t="s">
        <v>625</v>
      </c>
      <c r="G681" s="254"/>
      <c r="H681" s="256">
        <v>0.75</v>
      </c>
      <c r="I681" s="274"/>
      <c r="J681" s="275"/>
      <c r="K681" s="276"/>
      <c r="L681" s="414"/>
      <c r="M681" s="414"/>
      <c r="N681" s="414"/>
      <c r="O681" s="414"/>
      <c r="P681" s="279"/>
      <c r="Q681" s="279"/>
    </row>
    <row r="682" spans="1:17" s="229" customFormat="1" ht="15.75" hidden="1" outlineLevel="1" thickBot="1">
      <c r="A682" s="833" t="s">
        <v>486</v>
      </c>
      <c r="B682" s="257"/>
      <c r="C682" s="258" t="s">
        <v>618</v>
      </c>
      <c r="D682" s="838" t="s">
        <v>714</v>
      </c>
      <c r="E682" s="835" t="s">
        <v>1223</v>
      </c>
      <c r="F682" s="254" t="s">
        <v>625</v>
      </c>
      <c r="G682" s="254"/>
      <c r="H682" s="256">
        <v>0.625</v>
      </c>
      <c r="I682" s="274"/>
      <c r="J682" s="275"/>
      <c r="K682" s="276"/>
      <c r="L682" s="414"/>
      <c r="M682" s="414"/>
      <c r="N682" s="414"/>
      <c r="O682" s="414"/>
      <c r="P682" s="279"/>
      <c r="Q682" s="279"/>
    </row>
    <row r="683" spans="1:17" s="229" customFormat="1" ht="15.75" hidden="1" outlineLevel="1" thickBot="1">
      <c r="A683" s="833" t="s">
        <v>486</v>
      </c>
      <c r="B683" s="257"/>
      <c r="C683" s="258" t="s">
        <v>618</v>
      </c>
      <c r="D683" s="838" t="s">
        <v>714</v>
      </c>
      <c r="E683" s="835" t="s">
        <v>862</v>
      </c>
      <c r="F683" s="254" t="s">
        <v>625</v>
      </c>
      <c r="G683" s="254"/>
      <c r="H683" s="256">
        <v>2.5</v>
      </c>
      <c r="I683" s="274"/>
      <c r="J683" s="275"/>
      <c r="K683" s="276"/>
      <c r="L683" s="414"/>
      <c r="M683" s="414"/>
      <c r="N683" s="414"/>
      <c r="O683" s="414"/>
      <c r="P683" s="279"/>
      <c r="Q683" s="279"/>
    </row>
    <row r="684" spans="1:17" s="229" customFormat="1" ht="15.75" hidden="1" outlineLevel="1" thickBot="1">
      <c r="A684" s="833" t="s">
        <v>486</v>
      </c>
      <c r="B684" s="257"/>
      <c r="C684" s="258" t="s">
        <v>618</v>
      </c>
      <c r="D684" s="838" t="s">
        <v>714</v>
      </c>
      <c r="E684" s="835" t="s">
        <v>1043</v>
      </c>
      <c r="F684" s="254" t="s">
        <v>625</v>
      </c>
      <c r="G684" s="254"/>
      <c r="H684" s="256">
        <v>9.5</v>
      </c>
      <c r="I684" s="274"/>
      <c r="J684" s="275"/>
      <c r="K684" s="276"/>
      <c r="L684" s="414"/>
      <c r="M684" s="414"/>
      <c r="N684" s="414"/>
      <c r="O684" s="414"/>
      <c r="P684" s="279"/>
      <c r="Q684" s="279"/>
    </row>
    <row r="685" spans="1:17" s="229" customFormat="1" ht="15.75" hidden="1" outlineLevel="1" thickBot="1">
      <c r="A685" s="833" t="s">
        <v>486</v>
      </c>
      <c r="B685" s="257"/>
      <c r="C685" s="258" t="s">
        <v>1081</v>
      </c>
      <c r="D685" s="838" t="s">
        <v>714</v>
      </c>
      <c r="E685" s="835" t="s">
        <v>1236</v>
      </c>
      <c r="F685" s="254" t="s">
        <v>625</v>
      </c>
      <c r="G685" s="254"/>
      <c r="H685" s="256">
        <v>1.5</v>
      </c>
      <c r="I685" s="274"/>
      <c r="J685" s="275"/>
      <c r="K685" s="276"/>
      <c r="L685" s="414"/>
      <c r="M685" s="414"/>
      <c r="N685" s="414"/>
      <c r="O685" s="414"/>
      <c r="P685" s="279"/>
      <c r="Q685" s="279"/>
    </row>
    <row r="686" spans="1:17" s="229" customFormat="1" ht="15.75" hidden="1" outlineLevel="1" thickBot="1">
      <c r="A686" s="833" t="s">
        <v>486</v>
      </c>
      <c r="B686" s="257"/>
      <c r="C686" s="258" t="s">
        <v>1081</v>
      </c>
      <c r="D686" s="838" t="s">
        <v>714</v>
      </c>
      <c r="E686" s="835" t="s">
        <v>1237</v>
      </c>
      <c r="F686" s="254" t="s">
        <v>625</v>
      </c>
      <c r="G686" s="254"/>
      <c r="H686" s="256">
        <v>2.5</v>
      </c>
      <c r="I686" s="274"/>
      <c r="J686" s="275"/>
      <c r="K686" s="276"/>
      <c r="L686" s="414"/>
      <c r="M686" s="414"/>
      <c r="N686" s="414"/>
      <c r="O686" s="414"/>
      <c r="P686" s="279"/>
      <c r="Q686" s="279"/>
    </row>
    <row r="687" spans="1:17" s="229" customFormat="1" ht="15.75" hidden="1" outlineLevel="1" thickBot="1">
      <c r="A687" s="833" t="s">
        <v>486</v>
      </c>
      <c r="B687" s="257"/>
      <c r="C687" s="258" t="s">
        <v>1081</v>
      </c>
      <c r="D687" s="838" t="s">
        <v>714</v>
      </c>
      <c r="E687" s="835" t="s">
        <v>1238</v>
      </c>
      <c r="F687" s="254" t="s">
        <v>625</v>
      </c>
      <c r="G687" s="254"/>
      <c r="H687" s="256">
        <v>2.5</v>
      </c>
      <c r="I687" s="274"/>
      <c r="J687" s="275"/>
      <c r="K687" s="276"/>
      <c r="L687" s="414"/>
      <c r="M687" s="414"/>
      <c r="N687" s="414"/>
      <c r="O687" s="414"/>
      <c r="P687" s="279"/>
      <c r="Q687" s="279"/>
    </row>
    <row r="688" spans="1:17" s="229" customFormat="1" ht="15.75" hidden="1" outlineLevel="1" thickBot="1">
      <c r="A688" s="833" t="s">
        <v>486</v>
      </c>
      <c r="B688" s="257"/>
      <c r="C688" s="258" t="s">
        <v>1081</v>
      </c>
      <c r="D688" s="838" t="s">
        <v>714</v>
      </c>
      <c r="E688" s="835" t="s">
        <v>1239</v>
      </c>
      <c r="F688" s="254" t="s">
        <v>625</v>
      </c>
      <c r="G688" s="254"/>
      <c r="H688" s="256">
        <v>0.5</v>
      </c>
      <c r="I688" s="274"/>
      <c r="J688" s="275"/>
      <c r="K688" s="276"/>
      <c r="L688" s="414"/>
      <c r="M688" s="414"/>
      <c r="N688" s="414"/>
      <c r="O688" s="414"/>
      <c r="P688" s="279"/>
      <c r="Q688" s="279"/>
    </row>
    <row r="689" spans="1:17" s="229" customFormat="1" ht="15.75" hidden="1" outlineLevel="1" thickBot="1">
      <c r="A689" s="833" t="s">
        <v>486</v>
      </c>
      <c r="B689" s="257"/>
      <c r="C689" s="258" t="s">
        <v>1081</v>
      </c>
      <c r="D689" s="838" t="s">
        <v>714</v>
      </c>
      <c r="E689" s="835" t="s">
        <v>1240</v>
      </c>
      <c r="F689" s="254" t="s">
        <v>625</v>
      </c>
      <c r="G689" s="254"/>
      <c r="H689" s="256">
        <v>0.75</v>
      </c>
      <c r="I689" s="274"/>
      <c r="J689" s="275"/>
      <c r="K689" s="276"/>
      <c r="L689" s="414"/>
      <c r="M689" s="414"/>
      <c r="N689" s="414"/>
      <c r="O689" s="414"/>
      <c r="P689" s="279"/>
      <c r="Q689" s="279"/>
    </row>
    <row r="690" spans="1:17" s="229" customFormat="1" ht="15.75" hidden="1" outlineLevel="1" thickBot="1">
      <c r="A690" s="833" t="s">
        <v>486</v>
      </c>
      <c r="B690" s="257"/>
      <c r="C690" s="258" t="s">
        <v>1081</v>
      </c>
      <c r="D690" s="838" t="s">
        <v>714</v>
      </c>
      <c r="E690" s="835" t="s">
        <v>1240</v>
      </c>
      <c r="F690" s="254" t="s">
        <v>625</v>
      </c>
      <c r="G690" s="254"/>
      <c r="H690" s="256">
        <v>0.5</v>
      </c>
      <c r="I690" s="274"/>
      <c r="J690" s="275"/>
      <c r="K690" s="276"/>
      <c r="L690" s="414"/>
      <c r="M690" s="414"/>
      <c r="N690" s="414"/>
      <c r="O690" s="414"/>
      <c r="P690" s="279"/>
      <c r="Q690" s="279"/>
    </row>
    <row r="691" spans="1:17" s="229" customFormat="1" ht="15.75" hidden="1" outlineLevel="1" thickBot="1">
      <c r="A691" s="833" t="s">
        <v>486</v>
      </c>
      <c r="B691" s="257"/>
      <c r="C691" s="258" t="s">
        <v>1081</v>
      </c>
      <c r="D691" s="838" t="s">
        <v>714</v>
      </c>
      <c r="E691" s="835" t="s">
        <v>1241</v>
      </c>
      <c r="F691" s="254" t="s">
        <v>625</v>
      </c>
      <c r="G691" s="254"/>
      <c r="H691" s="256">
        <v>3.5</v>
      </c>
      <c r="I691" s="274"/>
      <c r="J691" s="275"/>
      <c r="K691" s="276"/>
      <c r="L691" s="414"/>
      <c r="M691" s="414"/>
      <c r="N691" s="414"/>
      <c r="O691" s="414"/>
      <c r="P691" s="279"/>
      <c r="Q691" s="279"/>
    </row>
    <row r="692" spans="1:17" s="229" customFormat="1" ht="15.75" hidden="1" outlineLevel="1" thickBot="1">
      <c r="A692" s="833" t="s">
        <v>486</v>
      </c>
      <c r="B692" s="257"/>
      <c r="C692" s="258" t="s">
        <v>1081</v>
      </c>
      <c r="D692" s="838" t="s">
        <v>714</v>
      </c>
      <c r="E692" s="835" t="s">
        <v>1241</v>
      </c>
      <c r="F692" s="254" t="s">
        <v>625</v>
      </c>
      <c r="G692" s="254"/>
      <c r="H692" s="256">
        <v>3.5</v>
      </c>
      <c r="I692" s="274"/>
      <c r="J692" s="275"/>
      <c r="K692" s="276"/>
      <c r="L692" s="414"/>
      <c r="M692" s="414"/>
      <c r="N692" s="414"/>
      <c r="O692" s="414"/>
      <c r="P692" s="279"/>
      <c r="Q692" s="279"/>
    </row>
    <row r="693" spans="1:17" s="229" customFormat="1" ht="15.75" hidden="1" outlineLevel="1" thickBot="1">
      <c r="A693" s="833" t="s">
        <v>486</v>
      </c>
      <c r="B693" s="257"/>
      <c r="C693" s="258" t="s">
        <v>1081</v>
      </c>
      <c r="D693" s="838" t="s">
        <v>714</v>
      </c>
      <c r="E693" s="835" t="s">
        <v>1242</v>
      </c>
      <c r="F693" s="254" t="s">
        <v>625</v>
      </c>
      <c r="G693" s="254"/>
      <c r="H693" s="256">
        <v>1.5</v>
      </c>
      <c r="I693" s="274"/>
      <c r="J693" s="275"/>
      <c r="K693" s="276"/>
      <c r="L693" s="414"/>
      <c r="M693" s="414"/>
      <c r="N693" s="414"/>
      <c r="O693" s="414"/>
      <c r="P693" s="279"/>
      <c r="Q693" s="279"/>
    </row>
    <row r="694" spans="1:17" s="229" customFormat="1" ht="15.75" hidden="1" outlineLevel="1" thickBot="1">
      <c r="A694" s="833" t="s">
        <v>486</v>
      </c>
      <c r="B694" s="257"/>
      <c r="C694" s="258" t="s">
        <v>1081</v>
      </c>
      <c r="D694" s="838" t="s">
        <v>714</v>
      </c>
      <c r="E694" s="835" t="s">
        <v>1243</v>
      </c>
      <c r="F694" s="254" t="s">
        <v>625</v>
      </c>
      <c r="G694" s="254"/>
      <c r="H694" s="256">
        <v>1.5</v>
      </c>
      <c r="I694" s="274"/>
      <c r="J694" s="275"/>
      <c r="K694" s="276"/>
      <c r="L694" s="414"/>
      <c r="M694" s="414"/>
      <c r="N694" s="414"/>
      <c r="O694" s="414"/>
      <c r="P694" s="279"/>
      <c r="Q694" s="279"/>
    </row>
    <row r="695" spans="1:17" s="229" customFormat="1" ht="15.75" hidden="1" outlineLevel="1" thickBot="1">
      <c r="A695" s="833" t="s">
        <v>486</v>
      </c>
      <c r="B695" s="257"/>
      <c r="C695" s="258" t="s">
        <v>1081</v>
      </c>
      <c r="D695" s="838" t="s">
        <v>714</v>
      </c>
      <c r="E695" s="835" t="s">
        <v>1244</v>
      </c>
      <c r="F695" s="254" t="s">
        <v>625</v>
      </c>
      <c r="G695" s="254"/>
      <c r="H695" s="256">
        <v>1.25</v>
      </c>
      <c r="I695" s="274"/>
      <c r="J695" s="275"/>
      <c r="K695" s="276"/>
      <c r="L695" s="414"/>
      <c r="M695" s="414"/>
      <c r="N695" s="414"/>
      <c r="O695" s="414"/>
      <c r="P695" s="279"/>
      <c r="Q695" s="279"/>
    </row>
    <row r="696" spans="1:17" s="229" customFormat="1" ht="15.75" hidden="1" outlineLevel="1" thickBot="1">
      <c r="A696" s="833" t="s">
        <v>486</v>
      </c>
      <c r="B696" s="257"/>
      <c r="C696" s="258" t="s">
        <v>1081</v>
      </c>
      <c r="D696" s="838" t="s">
        <v>714</v>
      </c>
      <c r="E696" s="835" t="s">
        <v>1245</v>
      </c>
      <c r="F696" s="254" t="s">
        <v>625</v>
      </c>
      <c r="G696" s="254"/>
      <c r="H696" s="256">
        <v>4</v>
      </c>
      <c r="I696" s="274"/>
      <c r="J696" s="275"/>
      <c r="K696" s="276"/>
      <c r="L696" s="414"/>
      <c r="M696" s="414"/>
      <c r="N696" s="414"/>
      <c r="O696" s="414"/>
      <c r="P696" s="279"/>
      <c r="Q696" s="279"/>
    </row>
    <row r="697" spans="1:17" s="229" customFormat="1" ht="15.75" hidden="1" outlineLevel="1" thickBot="1">
      <c r="A697" s="833" t="s">
        <v>486</v>
      </c>
      <c r="B697" s="257"/>
      <c r="C697" s="258" t="s">
        <v>1081</v>
      </c>
      <c r="D697" s="838" t="s">
        <v>714</v>
      </c>
      <c r="E697" s="835" t="s">
        <v>1246</v>
      </c>
      <c r="F697" s="254" t="s">
        <v>625</v>
      </c>
      <c r="G697" s="254"/>
      <c r="H697" s="256">
        <v>1.25</v>
      </c>
      <c r="I697" s="274"/>
      <c r="J697" s="275"/>
      <c r="K697" s="276"/>
      <c r="L697" s="414"/>
      <c r="M697" s="414"/>
      <c r="N697" s="414"/>
      <c r="O697" s="414"/>
      <c r="P697" s="279"/>
      <c r="Q697" s="279"/>
    </row>
    <row r="698" spans="1:17" s="229" customFormat="1" ht="15.75" hidden="1" outlineLevel="1" thickBot="1">
      <c r="A698" s="833" t="s">
        <v>486</v>
      </c>
      <c r="B698" s="257"/>
      <c r="C698" s="258" t="s">
        <v>1081</v>
      </c>
      <c r="D698" s="838" t="s">
        <v>714</v>
      </c>
      <c r="E698" s="835" t="s">
        <v>1247</v>
      </c>
      <c r="F698" s="254" t="s">
        <v>625</v>
      </c>
      <c r="G698" s="254"/>
      <c r="H698" s="256">
        <v>0.375</v>
      </c>
      <c r="I698" s="274"/>
      <c r="J698" s="275"/>
      <c r="K698" s="276"/>
      <c r="L698" s="414"/>
      <c r="M698" s="414"/>
      <c r="N698" s="414"/>
      <c r="O698" s="414"/>
      <c r="P698" s="279"/>
      <c r="Q698" s="279"/>
    </row>
    <row r="699" spans="1:17" s="229" customFormat="1" ht="15.75" hidden="1" outlineLevel="1" thickBot="1">
      <c r="A699" s="833" t="s">
        <v>486</v>
      </c>
      <c r="B699" s="257"/>
      <c r="C699" s="258" t="s">
        <v>1081</v>
      </c>
      <c r="D699" s="838" t="s">
        <v>714</v>
      </c>
      <c r="E699" s="835" t="s">
        <v>1248</v>
      </c>
      <c r="F699" s="254" t="s">
        <v>625</v>
      </c>
      <c r="G699" s="254"/>
      <c r="H699" s="256">
        <v>0.375</v>
      </c>
      <c r="I699" s="274"/>
      <c r="J699" s="275"/>
      <c r="K699" s="276"/>
      <c r="L699" s="414"/>
      <c r="M699" s="414"/>
      <c r="N699" s="414"/>
      <c r="O699" s="414"/>
      <c r="P699" s="279"/>
      <c r="Q699" s="279"/>
    </row>
    <row r="700" spans="1:17" s="229" customFormat="1" ht="15.75" hidden="1" outlineLevel="1" thickBot="1">
      <c r="A700" s="833" t="s">
        <v>486</v>
      </c>
      <c r="B700" s="257"/>
      <c r="C700" s="258" t="s">
        <v>1081</v>
      </c>
      <c r="D700" s="838" t="s">
        <v>714</v>
      </c>
      <c r="E700" s="835" t="s">
        <v>1249</v>
      </c>
      <c r="F700" s="254" t="s">
        <v>625</v>
      </c>
      <c r="G700" s="254"/>
      <c r="H700" s="256">
        <v>0.75</v>
      </c>
      <c r="I700" s="274"/>
      <c r="J700" s="275"/>
      <c r="K700" s="276"/>
      <c r="L700" s="414"/>
      <c r="M700" s="414"/>
      <c r="N700" s="414"/>
      <c r="O700" s="414"/>
      <c r="P700" s="279"/>
      <c r="Q700" s="279"/>
    </row>
    <row r="701" spans="1:17" s="229" customFormat="1" ht="15.75" hidden="1" outlineLevel="1" thickBot="1">
      <c r="A701" s="833" t="s">
        <v>486</v>
      </c>
      <c r="B701" s="257"/>
      <c r="C701" s="258" t="s">
        <v>1081</v>
      </c>
      <c r="D701" s="838" t="s">
        <v>714</v>
      </c>
      <c r="E701" s="835" t="s">
        <v>1246</v>
      </c>
      <c r="F701" s="254" t="s">
        <v>625</v>
      </c>
      <c r="G701" s="254"/>
      <c r="H701" s="256">
        <v>1.25</v>
      </c>
      <c r="I701" s="274"/>
      <c r="J701" s="275"/>
      <c r="K701" s="276"/>
      <c r="L701" s="414"/>
      <c r="M701" s="414"/>
      <c r="N701" s="414"/>
      <c r="O701" s="414"/>
      <c r="P701" s="279"/>
      <c r="Q701" s="279"/>
    </row>
    <row r="702" spans="1:17" s="229" customFormat="1" ht="15.75" hidden="1" outlineLevel="1" thickBot="1">
      <c r="A702" s="833" t="s">
        <v>486</v>
      </c>
      <c r="B702" s="257"/>
      <c r="C702" s="258" t="s">
        <v>1081</v>
      </c>
      <c r="D702" s="838" t="s">
        <v>714</v>
      </c>
      <c r="E702" s="835" t="s">
        <v>1250</v>
      </c>
      <c r="F702" s="254" t="s">
        <v>625</v>
      </c>
      <c r="G702" s="254"/>
      <c r="H702" s="256">
        <v>1.75</v>
      </c>
      <c r="I702" s="274"/>
      <c r="J702" s="275"/>
      <c r="K702" s="276"/>
      <c r="L702" s="414"/>
      <c r="M702" s="414"/>
      <c r="N702" s="414"/>
      <c r="O702" s="414"/>
      <c r="P702" s="279"/>
      <c r="Q702" s="279"/>
    </row>
    <row r="703" spans="1:17" s="229" customFormat="1" ht="15.75" hidden="1" outlineLevel="1" thickBot="1">
      <c r="A703" s="833" t="s">
        <v>486</v>
      </c>
      <c r="B703" s="257"/>
      <c r="C703" s="258" t="s">
        <v>1081</v>
      </c>
      <c r="D703" s="838" t="s">
        <v>714</v>
      </c>
      <c r="E703" s="835" t="s">
        <v>1250</v>
      </c>
      <c r="F703" s="254" t="s">
        <v>625</v>
      </c>
      <c r="G703" s="254"/>
      <c r="H703" s="256">
        <v>5</v>
      </c>
      <c r="I703" s="274"/>
      <c r="J703" s="275"/>
      <c r="K703" s="276"/>
      <c r="L703" s="414"/>
      <c r="M703" s="414"/>
      <c r="N703" s="414"/>
      <c r="O703" s="414"/>
      <c r="P703" s="279"/>
      <c r="Q703" s="279"/>
    </row>
    <row r="704" spans="1:17" s="229" customFormat="1" ht="15.75" hidden="1" outlineLevel="1" thickBot="1">
      <c r="A704" s="833" t="s">
        <v>486</v>
      </c>
      <c r="B704" s="257"/>
      <c r="C704" s="258" t="s">
        <v>1081</v>
      </c>
      <c r="D704" s="838" t="s">
        <v>714</v>
      </c>
      <c r="E704" s="835" t="s">
        <v>1251</v>
      </c>
      <c r="F704" s="254" t="s">
        <v>625</v>
      </c>
      <c r="G704" s="254"/>
      <c r="H704" s="256">
        <v>0.25</v>
      </c>
      <c r="I704" s="274"/>
      <c r="J704" s="275"/>
      <c r="K704" s="276"/>
      <c r="L704" s="414"/>
      <c r="M704" s="414"/>
      <c r="N704" s="414"/>
      <c r="O704" s="414"/>
      <c r="P704" s="279"/>
      <c r="Q704" s="279"/>
    </row>
    <row r="705" spans="1:17" s="229" customFormat="1" ht="15.75" hidden="1" outlineLevel="1" thickBot="1">
      <c r="A705" s="833" t="s">
        <v>486</v>
      </c>
      <c r="B705" s="257"/>
      <c r="C705" s="258" t="s">
        <v>1081</v>
      </c>
      <c r="D705" s="838" t="s">
        <v>714</v>
      </c>
      <c r="E705" s="835" t="s">
        <v>1252</v>
      </c>
      <c r="F705" s="254" t="s">
        <v>625</v>
      </c>
      <c r="G705" s="254"/>
      <c r="H705" s="256">
        <v>0.5</v>
      </c>
      <c r="I705" s="274"/>
      <c r="J705" s="275"/>
      <c r="K705" s="276"/>
      <c r="L705" s="414"/>
      <c r="M705" s="414"/>
      <c r="N705" s="414"/>
      <c r="O705" s="414"/>
      <c r="P705" s="279"/>
      <c r="Q705" s="279"/>
    </row>
    <row r="706" spans="1:17" s="229" customFormat="1" ht="15.75" hidden="1" outlineLevel="1" thickBot="1">
      <c r="A706" s="833" t="s">
        <v>486</v>
      </c>
      <c r="B706" s="257"/>
      <c r="C706" s="258" t="s">
        <v>1081</v>
      </c>
      <c r="D706" s="838" t="s">
        <v>714</v>
      </c>
      <c r="E706" s="835" t="s">
        <v>1253</v>
      </c>
      <c r="F706" s="254" t="s">
        <v>625</v>
      </c>
      <c r="G706" s="254"/>
      <c r="H706" s="256">
        <v>5.25</v>
      </c>
      <c r="I706" s="274"/>
      <c r="J706" s="275"/>
      <c r="K706" s="276"/>
      <c r="L706" s="414"/>
      <c r="M706" s="414"/>
      <c r="N706" s="414"/>
      <c r="O706" s="414"/>
      <c r="P706" s="279"/>
      <c r="Q706" s="279"/>
    </row>
    <row r="707" spans="1:17" s="229" customFormat="1" ht="15.75" hidden="1" outlineLevel="1" thickBot="1">
      <c r="A707" s="833" t="s">
        <v>486</v>
      </c>
      <c r="B707" s="257"/>
      <c r="C707" s="258" t="s">
        <v>1081</v>
      </c>
      <c r="D707" s="838" t="s">
        <v>714</v>
      </c>
      <c r="E707" s="835" t="s">
        <v>1254</v>
      </c>
      <c r="F707" s="254" t="s">
        <v>625</v>
      </c>
      <c r="G707" s="254"/>
      <c r="H707" s="256">
        <v>4</v>
      </c>
      <c r="I707" s="274"/>
      <c r="J707" s="275"/>
      <c r="K707" s="276"/>
      <c r="L707" s="414"/>
      <c r="M707" s="414"/>
      <c r="N707" s="414"/>
      <c r="O707" s="414"/>
      <c r="P707" s="279"/>
      <c r="Q707" s="279"/>
    </row>
    <row r="708" spans="1:17" s="229" customFormat="1" ht="15.75" hidden="1" outlineLevel="1" thickBot="1">
      <c r="A708" s="833" t="s">
        <v>486</v>
      </c>
      <c r="B708" s="257"/>
      <c r="C708" s="258" t="s">
        <v>1081</v>
      </c>
      <c r="D708" s="838" t="s">
        <v>714</v>
      </c>
      <c r="E708" s="835" t="s">
        <v>1255</v>
      </c>
      <c r="F708" s="254" t="s">
        <v>625</v>
      </c>
      <c r="G708" s="254"/>
      <c r="H708" s="256">
        <v>0.375</v>
      </c>
      <c r="I708" s="274"/>
      <c r="J708" s="275"/>
      <c r="K708" s="276"/>
      <c r="L708" s="414"/>
      <c r="M708" s="414"/>
      <c r="N708" s="414"/>
      <c r="O708" s="414"/>
      <c r="P708" s="279"/>
      <c r="Q708" s="279"/>
    </row>
    <row r="709" spans="1:17" s="229" customFormat="1" ht="15.75" hidden="1" outlineLevel="1" thickBot="1">
      <c r="A709" s="833" t="s">
        <v>486</v>
      </c>
      <c r="B709" s="257"/>
      <c r="C709" s="258" t="s">
        <v>1081</v>
      </c>
      <c r="D709" s="838" t="s">
        <v>714</v>
      </c>
      <c r="E709" s="835" t="s">
        <v>1256</v>
      </c>
      <c r="F709" s="254" t="s">
        <v>625</v>
      </c>
      <c r="G709" s="254"/>
      <c r="H709" s="256">
        <v>1</v>
      </c>
      <c r="I709" s="274"/>
      <c r="J709" s="275"/>
      <c r="K709" s="276"/>
      <c r="L709" s="414"/>
      <c r="M709" s="414"/>
      <c r="N709" s="414"/>
      <c r="O709" s="414"/>
      <c r="P709" s="279"/>
      <c r="Q709" s="279"/>
    </row>
    <row r="710" spans="1:17" s="229" customFormat="1" ht="15.75" hidden="1" outlineLevel="1" thickBot="1">
      <c r="A710" s="833" t="s">
        <v>486</v>
      </c>
      <c r="B710" s="257"/>
      <c r="C710" s="258" t="s">
        <v>1081</v>
      </c>
      <c r="D710" s="838" t="s">
        <v>714</v>
      </c>
      <c r="E710" s="835" t="s">
        <v>1252</v>
      </c>
      <c r="F710" s="254" t="s">
        <v>625</v>
      </c>
      <c r="G710" s="254"/>
      <c r="H710" s="256">
        <v>1</v>
      </c>
      <c r="I710" s="274"/>
      <c r="J710" s="275"/>
      <c r="K710" s="276"/>
      <c r="L710" s="414"/>
      <c r="M710" s="414"/>
      <c r="N710" s="414"/>
      <c r="O710" s="414"/>
      <c r="P710" s="279"/>
      <c r="Q710" s="279"/>
    </row>
    <row r="711" spans="1:17" s="229" customFormat="1" ht="15.75" hidden="1" outlineLevel="1" thickBot="1">
      <c r="A711" s="833" t="s">
        <v>486</v>
      </c>
      <c r="B711" s="257"/>
      <c r="C711" s="258" t="s">
        <v>1081</v>
      </c>
      <c r="D711" s="838" t="s">
        <v>714</v>
      </c>
      <c r="E711" s="835" t="s">
        <v>1257</v>
      </c>
      <c r="F711" s="254" t="s">
        <v>625</v>
      </c>
      <c r="G711" s="254"/>
      <c r="H711" s="256">
        <v>0.75</v>
      </c>
      <c r="I711" s="274"/>
      <c r="J711" s="275"/>
      <c r="K711" s="276"/>
      <c r="L711" s="414"/>
      <c r="M711" s="414"/>
      <c r="N711" s="414"/>
      <c r="O711" s="414"/>
      <c r="P711" s="279"/>
      <c r="Q711" s="279"/>
    </row>
    <row r="712" spans="1:17" s="229" customFormat="1" ht="15.75" hidden="1" outlineLevel="1" thickBot="1">
      <c r="A712" s="833" t="s">
        <v>486</v>
      </c>
      <c r="B712" s="257"/>
      <c r="C712" s="258" t="s">
        <v>1081</v>
      </c>
      <c r="D712" s="838" t="s">
        <v>714</v>
      </c>
      <c r="E712" s="835" t="s">
        <v>1258</v>
      </c>
      <c r="F712" s="254" t="s">
        <v>625</v>
      </c>
      <c r="G712" s="254"/>
      <c r="H712" s="256">
        <v>10.5</v>
      </c>
      <c r="I712" s="274"/>
      <c r="J712" s="275"/>
      <c r="K712" s="276"/>
      <c r="L712" s="414"/>
      <c r="M712" s="414"/>
      <c r="N712" s="414"/>
      <c r="O712" s="414"/>
      <c r="P712" s="279"/>
      <c r="Q712" s="279"/>
    </row>
    <row r="713" spans="1:17" s="229" customFormat="1" ht="15.75" hidden="1" outlineLevel="1" thickBot="1">
      <c r="A713" s="833" t="s">
        <v>486</v>
      </c>
      <c r="B713" s="257"/>
      <c r="C713" s="258" t="s">
        <v>1081</v>
      </c>
      <c r="D713" s="838" t="s">
        <v>714</v>
      </c>
      <c r="E713" s="835" t="s">
        <v>1259</v>
      </c>
      <c r="F713" s="254" t="s">
        <v>625</v>
      </c>
      <c r="G713" s="254"/>
      <c r="H713" s="256">
        <v>3</v>
      </c>
      <c r="I713" s="274"/>
      <c r="J713" s="275"/>
      <c r="K713" s="276"/>
      <c r="L713" s="414"/>
      <c r="M713" s="414"/>
      <c r="N713" s="414"/>
      <c r="O713" s="414"/>
      <c r="P713" s="279"/>
      <c r="Q713" s="279"/>
    </row>
    <row r="714" spans="1:17" s="229" customFormat="1" ht="15.75" hidden="1" outlineLevel="1" thickBot="1">
      <c r="A714" s="833" t="s">
        <v>486</v>
      </c>
      <c r="B714" s="257"/>
      <c r="C714" s="258" t="s">
        <v>1081</v>
      </c>
      <c r="D714" s="838" t="s">
        <v>714</v>
      </c>
      <c r="E714" s="835" t="s">
        <v>1260</v>
      </c>
      <c r="F714" s="254" t="s">
        <v>625</v>
      </c>
      <c r="G714" s="254"/>
      <c r="H714" s="256">
        <v>1.5</v>
      </c>
      <c r="I714" s="274"/>
      <c r="J714" s="275"/>
      <c r="K714" s="276"/>
      <c r="L714" s="414"/>
      <c r="M714" s="414"/>
      <c r="N714" s="414"/>
      <c r="O714" s="414"/>
      <c r="P714" s="279"/>
      <c r="Q714" s="279"/>
    </row>
    <row r="715" spans="1:17" s="229" customFormat="1" ht="15.75" hidden="1" outlineLevel="1" thickBot="1">
      <c r="A715" s="833" t="s">
        <v>486</v>
      </c>
      <c r="B715" s="257"/>
      <c r="C715" s="258" t="s">
        <v>1081</v>
      </c>
      <c r="D715" s="838" t="s">
        <v>714</v>
      </c>
      <c r="E715" s="835" t="s">
        <v>1261</v>
      </c>
      <c r="F715" s="254" t="s">
        <v>625</v>
      </c>
      <c r="G715" s="254"/>
      <c r="H715" s="256">
        <v>1</v>
      </c>
      <c r="I715" s="274"/>
      <c r="J715" s="275"/>
      <c r="K715" s="276"/>
      <c r="L715" s="414"/>
      <c r="M715" s="414"/>
      <c r="N715" s="414"/>
      <c r="O715" s="414"/>
      <c r="P715" s="279"/>
      <c r="Q715" s="279"/>
    </row>
    <row r="716" spans="1:17" s="229" customFormat="1" ht="15.75" hidden="1" outlineLevel="1" thickBot="1">
      <c r="A716" s="833" t="s">
        <v>486</v>
      </c>
      <c r="B716" s="257"/>
      <c r="C716" s="258" t="s">
        <v>1081</v>
      </c>
      <c r="D716" s="838" t="s">
        <v>714</v>
      </c>
      <c r="E716" s="835" t="s">
        <v>1262</v>
      </c>
      <c r="F716" s="254" t="s">
        <v>625</v>
      </c>
      <c r="G716" s="254"/>
      <c r="H716" s="256">
        <v>9.6300000000000008</v>
      </c>
      <c r="I716" s="274"/>
      <c r="J716" s="275"/>
      <c r="K716" s="276"/>
      <c r="L716" s="414"/>
      <c r="M716" s="414"/>
      <c r="N716" s="414"/>
      <c r="O716" s="414"/>
      <c r="P716" s="279"/>
      <c r="Q716" s="279"/>
    </row>
    <row r="717" spans="1:17" s="229" customFormat="1" ht="15.75" hidden="1" outlineLevel="1" thickBot="1">
      <c r="A717" s="833" t="s">
        <v>486</v>
      </c>
      <c r="B717" s="257"/>
      <c r="C717" s="258" t="s">
        <v>1081</v>
      </c>
      <c r="D717" s="838" t="s">
        <v>714</v>
      </c>
      <c r="E717" s="835" t="s">
        <v>1263</v>
      </c>
      <c r="F717" s="254" t="s">
        <v>625</v>
      </c>
      <c r="G717" s="254"/>
      <c r="H717" s="256">
        <v>3</v>
      </c>
      <c r="I717" s="274"/>
      <c r="J717" s="275"/>
      <c r="K717" s="276"/>
      <c r="L717" s="414"/>
      <c r="M717" s="414"/>
      <c r="N717" s="414"/>
      <c r="O717" s="414"/>
      <c r="P717" s="279"/>
      <c r="Q717" s="279"/>
    </row>
    <row r="718" spans="1:17" s="229" customFormat="1" ht="15.75" hidden="1" outlineLevel="1" thickBot="1">
      <c r="A718" s="833" t="s">
        <v>486</v>
      </c>
      <c r="B718" s="257"/>
      <c r="C718" s="258" t="s">
        <v>1081</v>
      </c>
      <c r="D718" s="838" t="s">
        <v>714</v>
      </c>
      <c r="E718" s="835" t="s">
        <v>1264</v>
      </c>
      <c r="F718" s="254" t="s">
        <v>625</v>
      </c>
      <c r="G718" s="254"/>
      <c r="H718" s="256">
        <v>2.5</v>
      </c>
      <c r="I718" s="274"/>
      <c r="J718" s="275"/>
      <c r="K718" s="276"/>
      <c r="L718" s="414"/>
      <c r="M718" s="414"/>
      <c r="N718" s="414"/>
      <c r="O718" s="414"/>
      <c r="P718" s="279"/>
      <c r="Q718" s="279"/>
    </row>
    <row r="719" spans="1:17" s="229" customFormat="1" ht="15.75" hidden="1" outlineLevel="1" thickBot="1">
      <c r="A719" s="833" t="s">
        <v>487</v>
      </c>
      <c r="B719" s="257"/>
      <c r="C719" s="258" t="s">
        <v>618</v>
      </c>
      <c r="D719" s="838" t="s">
        <v>635</v>
      </c>
      <c r="E719" s="835" t="s">
        <v>1265</v>
      </c>
      <c r="F719" s="254" t="s">
        <v>621</v>
      </c>
      <c r="G719" s="254"/>
      <c r="H719" s="256">
        <v>40</v>
      </c>
      <c r="I719" s="274"/>
      <c r="J719" s="275"/>
      <c r="K719" s="276"/>
      <c r="L719" s="414"/>
      <c r="M719" s="414"/>
      <c r="N719" s="414"/>
      <c r="O719" s="414"/>
      <c r="P719" s="279"/>
      <c r="Q719" s="279"/>
    </row>
    <row r="720" spans="1:17" s="229" customFormat="1" ht="15.75" hidden="1" outlineLevel="1" thickBot="1">
      <c r="A720" s="833" t="s">
        <v>487</v>
      </c>
      <c r="B720" s="257"/>
      <c r="C720" s="258" t="s">
        <v>618</v>
      </c>
      <c r="D720" s="838" t="s">
        <v>635</v>
      </c>
      <c r="E720" s="835" t="s">
        <v>1266</v>
      </c>
      <c r="F720" s="254" t="s">
        <v>621</v>
      </c>
      <c r="G720" s="254"/>
      <c r="H720" s="256">
        <v>19.7</v>
      </c>
      <c r="I720" s="274"/>
      <c r="J720" s="275"/>
      <c r="K720" s="276"/>
      <c r="L720" s="414"/>
      <c r="M720" s="414"/>
      <c r="N720" s="414"/>
      <c r="O720" s="414"/>
      <c r="P720" s="279"/>
      <c r="Q720" s="279"/>
    </row>
    <row r="721" spans="1:17" s="229" customFormat="1" ht="15.75" hidden="1" outlineLevel="1" thickBot="1">
      <c r="A721" s="833" t="s">
        <v>487</v>
      </c>
      <c r="B721" s="257"/>
      <c r="C721" s="258" t="s">
        <v>618</v>
      </c>
      <c r="D721" s="838" t="s">
        <v>714</v>
      </c>
      <c r="E721" s="835" t="s">
        <v>701</v>
      </c>
      <c r="F721" s="254" t="s">
        <v>743</v>
      </c>
      <c r="G721" s="254"/>
      <c r="H721" s="256">
        <v>3.8</v>
      </c>
      <c r="I721" s="274"/>
      <c r="J721" s="275"/>
      <c r="K721" s="276"/>
      <c r="L721" s="414"/>
      <c r="M721" s="414"/>
      <c r="N721" s="414"/>
      <c r="O721" s="414"/>
      <c r="P721" s="279"/>
      <c r="Q721" s="279"/>
    </row>
    <row r="722" spans="1:17" s="229" customFormat="1" ht="15.75" hidden="1" outlineLevel="1" thickBot="1">
      <c r="A722" s="833" t="s">
        <v>487</v>
      </c>
      <c r="B722" s="257"/>
      <c r="C722" s="258" t="s">
        <v>618</v>
      </c>
      <c r="D722" s="838" t="s">
        <v>611</v>
      </c>
      <c r="E722" s="835" t="s">
        <v>897</v>
      </c>
      <c r="F722" s="254" t="s">
        <v>621</v>
      </c>
      <c r="G722" s="254"/>
      <c r="H722" s="256">
        <v>7</v>
      </c>
      <c r="I722" s="274"/>
      <c r="J722" s="275"/>
      <c r="K722" s="276"/>
      <c r="L722" s="414"/>
      <c r="M722" s="414"/>
      <c r="N722" s="414"/>
      <c r="O722" s="414"/>
      <c r="P722" s="279"/>
      <c r="Q722" s="279"/>
    </row>
    <row r="723" spans="1:17" s="229" customFormat="1" ht="15.75" hidden="1" outlineLevel="1" thickBot="1">
      <c r="A723" s="874" t="s">
        <v>488</v>
      </c>
      <c r="B723" s="337"/>
      <c r="C723" s="415" t="s">
        <v>618</v>
      </c>
      <c r="D723" s="875" t="s">
        <v>635</v>
      </c>
      <c r="E723" s="876" t="s">
        <v>1267</v>
      </c>
      <c r="F723" s="416" t="s">
        <v>621</v>
      </c>
      <c r="G723" s="417"/>
      <c r="H723" s="418">
        <v>32.1</v>
      </c>
      <c r="I723" s="420"/>
      <c r="J723" s="421"/>
      <c r="K723" s="276"/>
      <c r="L723" s="414"/>
      <c r="M723" s="414"/>
      <c r="N723" s="414"/>
      <c r="O723" s="414"/>
      <c r="P723" s="279"/>
      <c r="Q723" s="279"/>
    </row>
    <row r="724" spans="1:17" s="229" customFormat="1" ht="15.75" hidden="1" outlineLevel="1" thickBot="1">
      <c r="A724" s="874" t="s">
        <v>488</v>
      </c>
      <c r="B724" s="337"/>
      <c r="C724" s="415" t="s">
        <v>618</v>
      </c>
      <c r="D724" s="875" t="s">
        <v>635</v>
      </c>
      <c r="E724" s="876" t="s">
        <v>1268</v>
      </c>
      <c r="F724" s="416" t="s">
        <v>621</v>
      </c>
      <c r="G724" s="417"/>
      <c r="H724" s="418">
        <v>31</v>
      </c>
      <c r="I724" s="420"/>
      <c r="J724" s="421"/>
      <c r="K724" s="276"/>
      <c r="L724" s="414"/>
      <c r="M724" s="414"/>
      <c r="N724" s="414"/>
      <c r="O724" s="414"/>
      <c r="P724" s="279"/>
      <c r="Q724" s="279"/>
    </row>
    <row r="725" spans="1:17" s="229" customFormat="1" ht="15.75" hidden="1" outlineLevel="1" thickBot="1">
      <c r="A725" s="874" t="s">
        <v>488</v>
      </c>
      <c r="B725" s="337"/>
      <c r="C725" s="415" t="s">
        <v>618</v>
      </c>
      <c r="D725" s="875" t="s">
        <v>635</v>
      </c>
      <c r="E725" s="876" t="s">
        <v>1269</v>
      </c>
      <c r="F725" s="416" t="s">
        <v>782</v>
      </c>
      <c r="G725" s="417"/>
      <c r="H725" s="418">
        <v>460</v>
      </c>
      <c r="I725" s="420"/>
      <c r="J725" s="421"/>
      <c r="K725" s="276"/>
      <c r="L725" s="414"/>
      <c r="M725" s="414"/>
      <c r="N725" s="414"/>
      <c r="O725" s="414"/>
      <c r="P725" s="279"/>
      <c r="Q725" s="279"/>
    </row>
    <row r="726" spans="1:17" s="229" customFormat="1" ht="15.75" hidden="1" outlineLevel="1" thickBot="1">
      <c r="A726" s="874" t="s">
        <v>488</v>
      </c>
      <c r="B726" s="337"/>
      <c r="C726" s="415" t="s">
        <v>618</v>
      </c>
      <c r="D726" s="875" t="s">
        <v>630</v>
      </c>
      <c r="E726" s="876" t="s">
        <v>1044</v>
      </c>
      <c r="F726" s="416" t="s">
        <v>625</v>
      </c>
      <c r="G726" s="417"/>
      <c r="H726" s="418">
        <v>64</v>
      </c>
      <c r="I726" s="420"/>
      <c r="J726" s="421"/>
      <c r="K726" s="276"/>
      <c r="L726" s="414"/>
      <c r="M726" s="414"/>
      <c r="N726" s="414"/>
      <c r="O726" s="414"/>
      <c r="P726" s="279"/>
      <c r="Q726" s="279"/>
    </row>
    <row r="727" spans="1:17" s="229" customFormat="1" ht="15.75" hidden="1" outlineLevel="1" thickBot="1">
      <c r="A727" s="833" t="s">
        <v>1270</v>
      </c>
      <c r="B727" s="257"/>
      <c r="C727" s="258" t="s">
        <v>618</v>
      </c>
      <c r="D727" s="838" t="s">
        <v>635</v>
      </c>
      <c r="E727" s="835" t="s">
        <v>1271</v>
      </c>
      <c r="F727" s="254" t="s">
        <v>621</v>
      </c>
      <c r="G727" s="254"/>
      <c r="H727" s="256">
        <v>23.8</v>
      </c>
      <c r="I727" s="274"/>
      <c r="J727" s="275"/>
      <c r="K727" s="276"/>
      <c r="L727" s="414"/>
      <c r="M727" s="414"/>
      <c r="N727" s="414"/>
      <c r="O727" s="414"/>
      <c r="P727" s="279"/>
      <c r="Q727" s="279"/>
    </row>
    <row r="728" spans="1:17" s="229" customFormat="1" ht="15.75" hidden="1" outlineLevel="1" thickBot="1">
      <c r="A728" s="833" t="s">
        <v>1270</v>
      </c>
      <c r="B728" s="257"/>
      <c r="C728" s="258" t="s">
        <v>618</v>
      </c>
      <c r="D728" s="838" t="s">
        <v>635</v>
      </c>
      <c r="E728" s="835" t="s">
        <v>1272</v>
      </c>
      <c r="F728" s="254" t="s">
        <v>621</v>
      </c>
      <c r="G728" s="254"/>
      <c r="H728" s="256">
        <v>25</v>
      </c>
      <c r="I728" s="274"/>
      <c r="J728" s="275"/>
      <c r="K728" s="276"/>
      <c r="L728" s="414"/>
      <c r="M728" s="414"/>
      <c r="N728" s="414"/>
      <c r="O728" s="414"/>
      <c r="P728" s="279"/>
      <c r="Q728" s="279"/>
    </row>
    <row r="729" spans="1:17" s="229" customFormat="1" ht="15.75" hidden="1" outlineLevel="1" thickBot="1">
      <c r="A729" s="833" t="s">
        <v>1270</v>
      </c>
      <c r="B729" s="257"/>
      <c r="C729" s="258" t="s">
        <v>618</v>
      </c>
      <c r="D729" s="838" t="s">
        <v>635</v>
      </c>
      <c r="E729" s="835" t="s">
        <v>1273</v>
      </c>
      <c r="F729" s="254" t="s">
        <v>621</v>
      </c>
      <c r="G729" s="254"/>
      <c r="H729" s="256">
        <v>53</v>
      </c>
      <c r="I729" s="274"/>
      <c r="J729" s="275"/>
      <c r="K729" s="276"/>
      <c r="L729" s="414"/>
      <c r="M729" s="414"/>
      <c r="N729" s="414"/>
      <c r="O729" s="414"/>
      <c r="P729" s="279"/>
      <c r="Q729" s="279"/>
    </row>
    <row r="730" spans="1:17" s="229" customFormat="1" ht="15.75" hidden="1" outlineLevel="1" thickBot="1">
      <c r="A730" s="833" t="s">
        <v>1270</v>
      </c>
      <c r="B730" s="257"/>
      <c r="C730" s="258" t="s">
        <v>618</v>
      </c>
      <c r="D730" s="838" t="s">
        <v>635</v>
      </c>
      <c r="E730" s="835" t="s">
        <v>1274</v>
      </c>
      <c r="F730" s="254" t="s">
        <v>621</v>
      </c>
      <c r="G730" s="254"/>
      <c r="H730" s="256">
        <v>37.14</v>
      </c>
      <c r="I730" s="274"/>
      <c r="J730" s="275"/>
      <c r="K730" s="276"/>
      <c r="L730" s="414"/>
      <c r="M730" s="414"/>
      <c r="N730" s="414"/>
      <c r="O730" s="414"/>
      <c r="P730" s="279"/>
      <c r="Q730" s="279"/>
    </row>
    <row r="731" spans="1:17" s="229" customFormat="1" ht="15.75" hidden="1" outlineLevel="1" thickBot="1">
      <c r="A731" s="833" t="s">
        <v>1270</v>
      </c>
      <c r="B731" s="257"/>
      <c r="C731" s="258" t="s">
        <v>618</v>
      </c>
      <c r="D731" s="838" t="s">
        <v>635</v>
      </c>
      <c r="E731" s="835" t="s">
        <v>1275</v>
      </c>
      <c r="F731" s="254" t="s">
        <v>621</v>
      </c>
      <c r="G731" s="254"/>
      <c r="H731" s="256">
        <v>10.5</v>
      </c>
      <c r="I731" s="274"/>
      <c r="J731" s="275"/>
      <c r="K731" s="276"/>
      <c r="L731" s="414"/>
      <c r="M731" s="414"/>
      <c r="N731" s="414"/>
      <c r="O731" s="414"/>
      <c r="P731" s="279"/>
      <c r="Q731" s="279"/>
    </row>
    <row r="732" spans="1:17" s="229" customFormat="1" ht="15.75" hidden="1" outlineLevel="1" thickBot="1">
      <c r="A732" s="833" t="s">
        <v>1270</v>
      </c>
      <c r="B732" s="257"/>
      <c r="C732" s="258" t="s">
        <v>618</v>
      </c>
      <c r="D732" s="838" t="s">
        <v>635</v>
      </c>
      <c r="E732" s="835" t="s">
        <v>637</v>
      </c>
      <c r="F732" s="254" t="s">
        <v>638</v>
      </c>
      <c r="G732" s="254"/>
      <c r="H732" s="256">
        <v>40</v>
      </c>
      <c r="I732" s="274"/>
      <c r="J732" s="275"/>
      <c r="K732" s="276"/>
      <c r="L732" s="414"/>
      <c r="M732" s="414"/>
      <c r="N732" s="414"/>
      <c r="O732" s="414"/>
      <c r="P732" s="279"/>
      <c r="Q732" s="279"/>
    </row>
    <row r="733" spans="1:17" s="229" customFormat="1" ht="15.75" hidden="1" outlineLevel="1" thickBot="1">
      <c r="A733" s="833" t="s">
        <v>1270</v>
      </c>
      <c r="B733" s="257"/>
      <c r="C733" s="258" t="s">
        <v>618</v>
      </c>
      <c r="D733" s="838" t="s">
        <v>751</v>
      </c>
      <c r="E733" s="835" t="s">
        <v>1276</v>
      </c>
      <c r="F733" s="254" t="s">
        <v>1277</v>
      </c>
      <c r="G733" s="254"/>
      <c r="H733" s="256">
        <v>10</v>
      </c>
      <c r="I733" s="274"/>
      <c r="J733" s="275"/>
      <c r="K733" s="276"/>
      <c r="L733" s="414"/>
      <c r="M733" s="414"/>
      <c r="N733" s="414"/>
      <c r="O733" s="414"/>
      <c r="P733" s="279"/>
      <c r="Q733" s="279"/>
    </row>
    <row r="734" spans="1:17" s="229" customFormat="1" ht="15.75" hidden="1" outlineLevel="1" thickBot="1">
      <c r="A734" s="833" t="s">
        <v>1270</v>
      </c>
      <c r="B734" s="257"/>
      <c r="C734" s="258" t="s">
        <v>618</v>
      </c>
      <c r="D734" s="838" t="s">
        <v>751</v>
      </c>
      <c r="E734" s="835" t="s">
        <v>1278</v>
      </c>
      <c r="F734" s="254" t="s">
        <v>1279</v>
      </c>
      <c r="G734" s="254"/>
      <c r="H734" s="256">
        <v>829.42</v>
      </c>
      <c r="I734" s="274"/>
      <c r="J734" s="275"/>
      <c r="K734" s="276"/>
      <c r="L734" s="414"/>
      <c r="M734" s="414"/>
      <c r="N734" s="414"/>
      <c r="O734" s="414"/>
      <c r="P734" s="279"/>
      <c r="Q734" s="279"/>
    </row>
    <row r="735" spans="1:17" s="229" customFormat="1" ht="15.75" hidden="1" outlineLevel="1" thickBot="1">
      <c r="A735" s="833" t="s">
        <v>1270</v>
      </c>
      <c r="B735" s="257"/>
      <c r="C735" s="258" t="s">
        <v>618</v>
      </c>
      <c r="D735" s="838" t="s">
        <v>751</v>
      </c>
      <c r="E735" s="835" t="s">
        <v>1280</v>
      </c>
      <c r="F735" s="254" t="s">
        <v>1279</v>
      </c>
      <c r="G735" s="254"/>
      <c r="H735" s="256">
        <v>132</v>
      </c>
      <c r="I735" s="274"/>
      <c r="J735" s="275"/>
      <c r="K735" s="276"/>
      <c r="L735" s="414"/>
      <c r="M735" s="414"/>
      <c r="N735" s="414"/>
      <c r="O735" s="414"/>
      <c r="P735" s="279"/>
      <c r="Q735" s="279"/>
    </row>
    <row r="736" spans="1:17" s="229" customFormat="1" ht="15.75" hidden="1" outlineLevel="1" thickBot="1">
      <c r="A736" s="833" t="s">
        <v>1270</v>
      </c>
      <c r="B736" s="257"/>
      <c r="C736" s="258" t="s">
        <v>618</v>
      </c>
      <c r="D736" s="838" t="s">
        <v>751</v>
      </c>
      <c r="E736" s="835" t="s">
        <v>1281</v>
      </c>
      <c r="F736" s="254" t="s">
        <v>641</v>
      </c>
      <c r="G736" s="254"/>
      <c r="H736" s="256">
        <v>4</v>
      </c>
      <c r="I736" s="274"/>
      <c r="J736" s="275"/>
      <c r="K736" s="276"/>
      <c r="L736" s="414"/>
      <c r="M736" s="414"/>
      <c r="N736" s="414"/>
      <c r="O736" s="414"/>
      <c r="P736" s="279"/>
      <c r="Q736" s="279"/>
    </row>
    <row r="737" spans="1:17" s="229" customFormat="1" ht="15.75" hidden="1" outlineLevel="1" thickBot="1">
      <c r="A737" s="833" t="s">
        <v>1270</v>
      </c>
      <c r="B737" s="257"/>
      <c r="C737" s="258" t="s">
        <v>618</v>
      </c>
      <c r="D737" s="838" t="s">
        <v>751</v>
      </c>
      <c r="E737" s="835" t="s">
        <v>1282</v>
      </c>
      <c r="F737" s="254" t="s">
        <v>627</v>
      </c>
      <c r="G737" s="254"/>
      <c r="H737" s="256">
        <v>5</v>
      </c>
      <c r="I737" s="274"/>
      <c r="J737" s="275"/>
      <c r="K737" s="276"/>
      <c r="L737" s="414"/>
      <c r="M737" s="414"/>
      <c r="N737" s="414"/>
      <c r="O737" s="414"/>
      <c r="P737" s="279"/>
      <c r="Q737" s="279"/>
    </row>
    <row r="738" spans="1:17" s="229" customFormat="1" ht="15.75" hidden="1" outlineLevel="1" thickBot="1">
      <c r="A738" s="833" t="s">
        <v>1270</v>
      </c>
      <c r="B738" s="257"/>
      <c r="C738" s="258" t="s">
        <v>618</v>
      </c>
      <c r="D738" s="838" t="s">
        <v>751</v>
      </c>
      <c r="E738" s="835" t="s">
        <v>1283</v>
      </c>
      <c r="F738" s="254" t="s">
        <v>627</v>
      </c>
      <c r="G738" s="254"/>
      <c r="H738" s="256">
        <v>5</v>
      </c>
      <c r="I738" s="274"/>
      <c r="J738" s="275"/>
      <c r="K738" s="276"/>
      <c r="L738" s="414"/>
      <c r="M738" s="414"/>
      <c r="N738" s="414"/>
      <c r="O738" s="414"/>
      <c r="P738" s="279"/>
      <c r="Q738" s="279"/>
    </row>
    <row r="739" spans="1:17" s="229" customFormat="1" ht="15.75" hidden="1" outlineLevel="1" thickBot="1">
      <c r="A739" s="833" t="s">
        <v>1270</v>
      </c>
      <c r="B739" s="257"/>
      <c r="C739" s="258" t="s">
        <v>618</v>
      </c>
      <c r="D739" s="838" t="s">
        <v>611</v>
      </c>
      <c r="E739" s="835" t="s">
        <v>1284</v>
      </c>
      <c r="F739" s="254" t="s">
        <v>909</v>
      </c>
      <c r="G739" s="254"/>
      <c r="H739" s="256">
        <v>216.63</v>
      </c>
      <c r="I739" s="274"/>
      <c r="J739" s="275"/>
      <c r="K739" s="276"/>
      <c r="L739" s="414"/>
      <c r="M739" s="414"/>
      <c r="N739" s="414"/>
      <c r="O739" s="414"/>
      <c r="P739" s="279"/>
      <c r="Q739" s="279"/>
    </row>
    <row r="740" spans="1:17" s="229" customFormat="1" ht="15.75" hidden="1" outlineLevel="1" thickBot="1">
      <c r="A740" s="833" t="s">
        <v>1270</v>
      </c>
      <c r="B740" s="257"/>
      <c r="C740" s="258" t="s">
        <v>618</v>
      </c>
      <c r="D740" s="838" t="s">
        <v>630</v>
      </c>
      <c r="E740" s="835" t="s">
        <v>1044</v>
      </c>
      <c r="F740" s="254" t="s">
        <v>625</v>
      </c>
      <c r="G740" s="254"/>
      <c r="H740" s="256">
        <v>20</v>
      </c>
      <c r="I740" s="274"/>
      <c r="J740" s="275"/>
      <c r="K740" s="276"/>
      <c r="L740" s="414"/>
      <c r="M740" s="414"/>
      <c r="N740" s="414"/>
      <c r="O740" s="414"/>
      <c r="P740" s="279"/>
      <c r="Q740" s="279"/>
    </row>
    <row r="741" spans="1:17" s="229" customFormat="1" ht="15.75" hidden="1" outlineLevel="1" thickBot="1">
      <c r="A741" s="833" t="s">
        <v>1270</v>
      </c>
      <c r="B741" s="257"/>
      <c r="C741" s="258" t="s">
        <v>1081</v>
      </c>
      <c r="D741" s="838" t="s">
        <v>714</v>
      </c>
      <c r="E741" s="835" t="s">
        <v>1285</v>
      </c>
      <c r="F741" s="254" t="s">
        <v>625</v>
      </c>
      <c r="G741" s="254"/>
      <c r="H741" s="256">
        <v>41.25</v>
      </c>
      <c r="I741" s="274"/>
      <c r="J741" s="275"/>
      <c r="K741" s="276"/>
      <c r="L741" s="414"/>
      <c r="M741" s="414"/>
      <c r="N741" s="414"/>
      <c r="O741" s="414"/>
      <c r="P741" s="279"/>
      <c r="Q741" s="279"/>
    </row>
    <row r="742" spans="1:17" s="229" customFormat="1" ht="15.75" hidden="1" outlineLevel="1" thickBot="1">
      <c r="A742" s="833" t="s">
        <v>1270</v>
      </c>
      <c r="B742" s="257"/>
      <c r="C742" s="258" t="s">
        <v>1081</v>
      </c>
      <c r="D742" s="838" t="s">
        <v>714</v>
      </c>
      <c r="E742" s="835" t="s">
        <v>1286</v>
      </c>
      <c r="F742" s="254" t="s">
        <v>625</v>
      </c>
      <c r="G742" s="254"/>
      <c r="H742" s="256">
        <v>0.5</v>
      </c>
      <c r="I742" s="274"/>
      <c r="J742" s="275"/>
      <c r="K742" s="276"/>
      <c r="L742" s="414"/>
      <c r="M742" s="414"/>
      <c r="N742" s="414"/>
      <c r="O742" s="414"/>
      <c r="P742" s="279"/>
      <c r="Q742" s="279"/>
    </row>
    <row r="743" spans="1:17" s="229" customFormat="1" ht="15.75" hidden="1" outlineLevel="1" thickBot="1">
      <c r="A743" s="833" t="s">
        <v>1270</v>
      </c>
      <c r="B743" s="257"/>
      <c r="C743" s="258" t="s">
        <v>1081</v>
      </c>
      <c r="D743" s="838" t="s">
        <v>714</v>
      </c>
      <c r="E743" s="835" t="s">
        <v>1287</v>
      </c>
      <c r="F743" s="254" t="s">
        <v>625</v>
      </c>
      <c r="G743" s="254"/>
      <c r="H743" s="256">
        <v>12.5</v>
      </c>
      <c r="I743" s="274"/>
      <c r="J743" s="275"/>
      <c r="K743" s="276"/>
      <c r="L743" s="414"/>
      <c r="M743" s="414"/>
      <c r="N743" s="414"/>
      <c r="O743" s="414"/>
      <c r="P743" s="279"/>
      <c r="Q743" s="279"/>
    </row>
    <row r="744" spans="1:17" s="229" customFormat="1" ht="15.75" hidden="1" outlineLevel="1" thickBot="1">
      <c r="A744" s="833" t="s">
        <v>1270</v>
      </c>
      <c r="B744" s="257"/>
      <c r="C744" s="258" t="s">
        <v>1081</v>
      </c>
      <c r="D744" s="838" t="s">
        <v>714</v>
      </c>
      <c r="E744" s="835" t="s">
        <v>1288</v>
      </c>
      <c r="F744" s="254" t="s">
        <v>625</v>
      </c>
      <c r="G744" s="254"/>
      <c r="H744" s="256">
        <v>1.5</v>
      </c>
      <c r="I744" s="274"/>
      <c r="J744" s="275"/>
      <c r="K744" s="276"/>
      <c r="L744" s="414"/>
      <c r="M744" s="414"/>
      <c r="N744" s="414"/>
      <c r="O744" s="414"/>
      <c r="P744" s="279"/>
      <c r="Q744" s="279"/>
    </row>
    <row r="745" spans="1:17" s="229" customFormat="1" ht="15.75" hidden="1" outlineLevel="1" thickBot="1">
      <c r="A745" s="833" t="s">
        <v>1270</v>
      </c>
      <c r="B745" s="257"/>
      <c r="C745" s="258" t="s">
        <v>1081</v>
      </c>
      <c r="D745" s="838" t="s">
        <v>714</v>
      </c>
      <c r="E745" s="835" t="s">
        <v>1289</v>
      </c>
      <c r="F745" s="254" t="s">
        <v>625</v>
      </c>
      <c r="G745" s="254"/>
      <c r="H745" s="256">
        <v>6</v>
      </c>
      <c r="I745" s="274"/>
      <c r="J745" s="275"/>
      <c r="K745" s="276"/>
      <c r="L745" s="414"/>
      <c r="M745" s="414"/>
      <c r="N745" s="414"/>
      <c r="O745" s="414"/>
      <c r="P745" s="279"/>
      <c r="Q745" s="279"/>
    </row>
    <row r="746" spans="1:17" s="229" customFormat="1" ht="15.75" hidden="1" outlineLevel="1" thickBot="1">
      <c r="A746" s="833" t="s">
        <v>1270</v>
      </c>
      <c r="B746" s="257"/>
      <c r="C746" s="258" t="s">
        <v>1081</v>
      </c>
      <c r="D746" s="838" t="s">
        <v>714</v>
      </c>
      <c r="E746" s="835" t="s">
        <v>1290</v>
      </c>
      <c r="F746" s="254" t="s">
        <v>625</v>
      </c>
      <c r="G746" s="254"/>
      <c r="H746" s="256">
        <v>1.375</v>
      </c>
      <c r="I746" s="274"/>
      <c r="J746" s="275"/>
      <c r="K746" s="276"/>
      <c r="L746" s="414"/>
      <c r="M746" s="414"/>
      <c r="N746" s="414"/>
      <c r="O746" s="414"/>
      <c r="P746" s="279"/>
      <c r="Q746" s="279"/>
    </row>
    <row r="747" spans="1:17" s="229" customFormat="1" ht="15.75" hidden="1" outlineLevel="1" thickBot="1">
      <c r="A747" s="833" t="s">
        <v>1270</v>
      </c>
      <c r="B747" s="257"/>
      <c r="C747" s="258" t="s">
        <v>1081</v>
      </c>
      <c r="D747" s="838" t="s">
        <v>714</v>
      </c>
      <c r="E747" s="835" t="s">
        <v>1291</v>
      </c>
      <c r="F747" s="254" t="s">
        <v>621</v>
      </c>
      <c r="G747" s="254"/>
      <c r="H747" s="256">
        <v>1</v>
      </c>
      <c r="I747" s="274"/>
      <c r="J747" s="275"/>
      <c r="K747" s="276"/>
      <c r="L747" s="414"/>
      <c r="M747" s="414"/>
      <c r="N747" s="414"/>
      <c r="O747" s="414"/>
      <c r="P747" s="279"/>
      <c r="Q747" s="279"/>
    </row>
    <row r="748" spans="1:17" s="229" customFormat="1" ht="15.75" hidden="1" outlineLevel="1" thickBot="1">
      <c r="A748" s="833" t="s">
        <v>1270</v>
      </c>
      <c r="B748" s="257"/>
      <c r="C748" s="258" t="s">
        <v>1081</v>
      </c>
      <c r="D748" s="838" t="s">
        <v>714</v>
      </c>
      <c r="E748" s="835" t="s">
        <v>1292</v>
      </c>
      <c r="F748" s="254" t="s">
        <v>621</v>
      </c>
      <c r="G748" s="254"/>
      <c r="H748" s="256">
        <v>1</v>
      </c>
      <c r="I748" s="274"/>
      <c r="J748" s="275"/>
      <c r="K748" s="276"/>
      <c r="L748" s="414"/>
      <c r="M748" s="414"/>
      <c r="N748" s="414"/>
      <c r="O748" s="414"/>
      <c r="P748" s="279"/>
      <c r="Q748" s="279"/>
    </row>
    <row r="749" spans="1:17" s="229" customFormat="1" ht="15.75" hidden="1" outlineLevel="1" thickBot="1">
      <c r="A749" s="833" t="s">
        <v>1270</v>
      </c>
      <c r="B749" s="257"/>
      <c r="C749" s="258" t="s">
        <v>1081</v>
      </c>
      <c r="D749" s="838" t="s">
        <v>714</v>
      </c>
      <c r="E749" s="835" t="s">
        <v>1293</v>
      </c>
      <c r="F749" s="254" t="s">
        <v>621</v>
      </c>
      <c r="G749" s="254"/>
      <c r="H749" s="256">
        <v>3.75</v>
      </c>
      <c r="I749" s="274"/>
      <c r="J749" s="275"/>
      <c r="K749" s="276"/>
      <c r="L749" s="414"/>
      <c r="M749" s="414"/>
      <c r="N749" s="414"/>
      <c r="O749" s="414"/>
      <c r="P749" s="279"/>
      <c r="Q749" s="279"/>
    </row>
    <row r="750" spans="1:17" ht="27" customHeight="1" collapsed="1" thickBot="1">
      <c r="A750" s="395" t="s">
        <v>101</v>
      </c>
      <c r="B750" s="396"/>
      <c r="C750" s="397" t="s">
        <v>618</v>
      </c>
      <c r="D750" s="396"/>
      <c r="E750" s="397" t="s">
        <v>490</v>
      </c>
      <c r="F750" s="398"/>
      <c r="G750" s="399">
        <f>SUM(G464:G749)</f>
        <v>36181.923020833339</v>
      </c>
      <c r="H750" s="297">
        <f>SUM(H465:H749)</f>
        <v>22605.465599999992</v>
      </c>
      <c r="I750" s="409">
        <f>G750*$I$3</f>
        <v>821329652.57291675</v>
      </c>
      <c r="J750" s="410">
        <f>H750*$I$3</f>
        <v>513144069.11999983</v>
      </c>
      <c r="K750" s="337"/>
      <c r="L750" s="337"/>
      <c r="M750" s="337"/>
      <c r="N750" s="337"/>
      <c r="O750" s="413"/>
      <c r="P750" s="337"/>
      <c r="Q750" s="337"/>
    </row>
    <row r="751" spans="1:17" ht="27" customHeight="1" thickBot="1">
      <c r="A751" s="400" t="s">
        <v>616</v>
      </c>
      <c r="B751" s="401"/>
      <c r="C751" s="401"/>
      <c r="D751" s="401"/>
      <c r="E751" s="419"/>
      <c r="F751" s="402"/>
      <c r="G751" s="403">
        <f>G750-H750</f>
        <v>13576.457420833347</v>
      </c>
      <c r="H751" s="404"/>
      <c r="I751" s="411">
        <f>G751*I3</f>
        <v>308185583.45291698</v>
      </c>
      <c r="J751" s="412"/>
      <c r="K751" s="337"/>
      <c r="L751" s="337"/>
      <c r="M751" s="337"/>
      <c r="N751" s="337"/>
      <c r="O751" s="413"/>
      <c r="P751" s="337"/>
      <c r="Q751" s="337"/>
    </row>
    <row r="752" spans="1:17" s="229" customFormat="1" ht="15" hidden="1" outlineLevel="1">
      <c r="A752" s="833" t="s">
        <v>1294</v>
      </c>
      <c r="B752" s="257"/>
      <c r="C752" s="258" t="s">
        <v>618</v>
      </c>
      <c r="D752" s="838" t="s">
        <v>635</v>
      </c>
      <c r="E752" s="835" t="s">
        <v>731</v>
      </c>
      <c r="F752" s="254" t="s">
        <v>621</v>
      </c>
      <c r="G752" s="254"/>
      <c r="H752" s="256">
        <v>26</v>
      </c>
      <c r="I752" s="274"/>
      <c r="J752" s="275"/>
      <c r="K752" s="276"/>
      <c r="L752" s="414"/>
      <c r="M752" s="414"/>
      <c r="N752" s="414"/>
      <c r="O752" s="414"/>
      <c r="P752" s="279"/>
      <c r="Q752" s="279"/>
    </row>
    <row r="753" spans="1:17" s="229" customFormat="1" ht="15" hidden="1" outlineLevel="1">
      <c r="A753" s="833" t="s">
        <v>1294</v>
      </c>
      <c r="B753" s="257"/>
      <c r="C753" s="258" t="s">
        <v>618</v>
      </c>
      <c r="D753" s="838" t="s">
        <v>635</v>
      </c>
      <c r="E753" s="835" t="s">
        <v>905</v>
      </c>
      <c r="F753" s="254" t="s">
        <v>621</v>
      </c>
      <c r="G753" s="254"/>
      <c r="H753" s="256">
        <v>7</v>
      </c>
      <c r="I753" s="274"/>
      <c r="J753" s="275"/>
      <c r="K753" s="276"/>
      <c r="L753" s="414"/>
      <c r="M753" s="414"/>
      <c r="N753" s="414"/>
      <c r="O753" s="414"/>
      <c r="P753" s="279"/>
      <c r="Q753" s="279"/>
    </row>
    <row r="754" spans="1:17" s="229" customFormat="1" ht="15" hidden="1" outlineLevel="1">
      <c r="A754" s="833" t="s">
        <v>1294</v>
      </c>
      <c r="B754" s="257"/>
      <c r="C754" s="258" t="s">
        <v>618</v>
      </c>
      <c r="D754" s="838" t="s">
        <v>630</v>
      </c>
      <c r="E754" s="835" t="s">
        <v>868</v>
      </c>
      <c r="F754" s="254" t="s">
        <v>627</v>
      </c>
      <c r="G754" s="254"/>
      <c r="H754" s="256">
        <v>10</v>
      </c>
      <c r="I754" s="274"/>
      <c r="J754" s="275"/>
      <c r="K754" s="276"/>
      <c r="L754" s="414"/>
      <c r="M754" s="414"/>
      <c r="N754" s="414"/>
      <c r="O754" s="414"/>
      <c r="P754" s="279"/>
      <c r="Q754" s="279"/>
    </row>
    <row r="755" spans="1:17" s="229" customFormat="1" ht="15" hidden="1" outlineLevel="1">
      <c r="A755" s="845" t="s">
        <v>1294</v>
      </c>
      <c r="B755" s="287"/>
      <c r="C755" s="258" t="s">
        <v>618</v>
      </c>
      <c r="D755" s="846" t="s">
        <v>714</v>
      </c>
      <c r="E755" s="837" t="s">
        <v>867</v>
      </c>
      <c r="F755" s="288" t="s">
        <v>627</v>
      </c>
      <c r="G755" s="288"/>
      <c r="H755" s="289">
        <v>10</v>
      </c>
      <c r="I755" s="310"/>
      <c r="J755" s="311"/>
      <c r="K755" s="276"/>
      <c r="L755" s="414"/>
      <c r="M755" s="414"/>
      <c r="N755" s="414"/>
      <c r="O755" s="414"/>
      <c r="P755" s="279"/>
      <c r="Q755" s="279"/>
    </row>
    <row r="756" spans="1:17" s="229" customFormat="1" ht="15" hidden="1" outlineLevel="1">
      <c r="A756" s="833" t="s">
        <v>1295</v>
      </c>
      <c r="B756" s="257"/>
      <c r="C756" s="258" t="s">
        <v>618</v>
      </c>
      <c r="D756" s="838" t="s">
        <v>635</v>
      </c>
      <c r="E756" s="835" t="s">
        <v>637</v>
      </c>
      <c r="F756" s="254" t="s">
        <v>638</v>
      </c>
      <c r="G756" s="254"/>
      <c r="H756" s="256">
        <v>40</v>
      </c>
      <c r="I756" s="274"/>
      <c r="J756" s="275"/>
      <c r="K756" s="276"/>
      <c r="L756" s="414"/>
      <c r="M756" s="414"/>
      <c r="N756" s="414"/>
      <c r="O756" s="414"/>
      <c r="P756" s="279"/>
      <c r="Q756" s="279"/>
    </row>
    <row r="757" spans="1:17" s="229" customFormat="1" ht="15" hidden="1" outlineLevel="1">
      <c r="A757" s="833" t="s">
        <v>1295</v>
      </c>
      <c r="B757" s="257"/>
      <c r="C757" s="258" t="s">
        <v>618</v>
      </c>
      <c r="D757" s="838" t="s">
        <v>635</v>
      </c>
      <c r="E757" s="835" t="s">
        <v>1274</v>
      </c>
      <c r="F757" s="254" t="s">
        <v>621</v>
      </c>
      <c r="G757" s="254"/>
      <c r="H757" s="256">
        <v>30.5</v>
      </c>
      <c r="I757" s="274"/>
      <c r="J757" s="275"/>
      <c r="K757" s="276"/>
      <c r="L757" s="414"/>
      <c r="M757" s="414"/>
      <c r="N757" s="414"/>
      <c r="O757" s="414"/>
      <c r="P757" s="279"/>
      <c r="Q757" s="279"/>
    </row>
    <row r="758" spans="1:17" s="229" customFormat="1" ht="15" hidden="1" outlineLevel="1">
      <c r="A758" s="833" t="s">
        <v>1295</v>
      </c>
      <c r="B758" s="257"/>
      <c r="C758" s="258" t="s">
        <v>618</v>
      </c>
      <c r="D758" s="838" t="s">
        <v>635</v>
      </c>
      <c r="E758" s="835" t="s">
        <v>1296</v>
      </c>
      <c r="F758" s="254" t="s">
        <v>621</v>
      </c>
      <c r="G758" s="254"/>
      <c r="H758" s="256">
        <v>25</v>
      </c>
      <c r="I758" s="274"/>
      <c r="J758" s="275"/>
      <c r="K758" s="276"/>
      <c r="L758" s="414"/>
      <c r="M758" s="414"/>
      <c r="N758" s="414"/>
      <c r="O758" s="414"/>
      <c r="P758" s="279"/>
      <c r="Q758" s="279"/>
    </row>
    <row r="759" spans="1:17" s="229" customFormat="1" ht="15" hidden="1" outlineLevel="1">
      <c r="A759" s="833" t="s">
        <v>1295</v>
      </c>
      <c r="B759" s="257"/>
      <c r="C759" s="258" t="s">
        <v>618</v>
      </c>
      <c r="D759" s="838" t="s">
        <v>635</v>
      </c>
      <c r="E759" s="835" t="s">
        <v>757</v>
      </c>
      <c r="F759" s="254" t="s">
        <v>621</v>
      </c>
      <c r="G759" s="254"/>
      <c r="H759" s="256">
        <v>4.5999999999999996</v>
      </c>
      <c r="I759" s="274"/>
      <c r="J759" s="275"/>
      <c r="K759" s="276"/>
      <c r="L759" s="414"/>
      <c r="M759" s="414"/>
      <c r="N759" s="414"/>
      <c r="O759" s="414"/>
      <c r="P759" s="279"/>
      <c r="Q759" s="279"/>
    </row>
    <row r="760" spans="1:17" s="229" customFormat="1" ht="15" hidden="1" outlineLevel="1">
      <c r="A760" s="833" t="s">
        <v>1295</v>
      </c>
      <c r="B760" s="257"/>
      <c r="C760" s="258" t="s">
        <v>618</v>
      </c>
      <c r="D760" s="838" t="s">
        <v>630</v>
      </c>
      <c r="E760" s="835" t="s">
        <v>1297</v>
      </c>
      <c r="F760" s="254" t="s">
        <v>743</v>
      </c>
      <c r="G760" s="254"/>
      <c r="H760" s="256">
        <v>3</v>
      </c>
      <c r="I760" s="274"/>
      <c r="J760" s="275"/>
      <c r="K760" s="276"/>
      <c r="L760" s="414"/>
      <c r="M760" s="414"/>
      <c r="N760" s="414"/>
      <c r="O760" s="414"/>
      <c r="P760" s="279"/>
      <c r="Q760" s="279"/>
    </row>
    <row r="761" spans="1:17" s="229" customFormat="1" ht="15" hidden="1" outlineLevel="1">
      <c r="A761" s="833" t="s">
        <v>1295</v>
      </c>
      <c r="B761" s="257"/>
      <c r="C761" s="258" t="s">
        <v>618</v>
      </c>
      <c r="D761" s="838" t="s">
        <v>630</v>
      </c>
      <c r="E761" s="835" t="s">
        <v>1233</v>
      </c>
      <c r="F761" s="254" t="s">
        <v>743</v>
      </c>
      <c r="G761" s="254"/>
      <c r="H761" s="256">
        <v>1.5</v>
      </c>
      <c r="I761" s="274"/>
      <c r="J761" s="275"/>
      <c r="K761" s="276"/>
      <c r="L761" s="414"/>
      <c r="M761" s="414"/>
      <c r="N761" s="414"/>
      <c r="O761" s="414"/>
      <c r="P761" s="279"/>
      <c r="Q761" s="279"/>
    </row>
    <row r="762" spans="1:17" s="229" customFormat="1" ht="15" hidden="1" outlineLevel="1">
      <c r="A762" s="833" t="s">
        <v>1295</v>
      </c>
      <c r="B762" s="257"/>
      <c r="C762" s="258" t="s">
        <v>618</v>
      </c>
      <c r="D762" s="838" t="s">
        <v>630</v>
      </c>
      <c r="E762" s="835" t="s">
        <v>1047</v>
      </c>
      <c r="F762" s="254" t="s">
        <v>743</v>
      </c>
      <c r="G762" s="254"/>
      <c r="H762" s="256">
        <v>8</v>
      </c>
      <c r="I762" s="274"/>
      <c r="J762" s="275"/>
      <c r="K762" s="276"/>
      <c r="L762" s="414"/>
      <c r="M762" s="414"/>
      <c r="N762" s="414"/>
      <c r="O762" s="414"/>
      <c r="P762" s="279"/>
      <c r="Q762" s="279"/>
    </row>
    <row r="763" spans="1:17" s="229" customFormat="1" ht="15" hidden="1" outlineLevel="1">
      <c r="A763" s="833" t="s">
        <v>1295</v>
      </c>
      <c r="B763" s="257"/>
      <c r="C763" s="258" t="s">
        <v>618</v>
      </c>
      <c r="D763" s="838" t="s">
        <v>630</v>
      </c>
      <c r="E763" s="835" t="s">
        <v>1047</v>
      </c>
      <c r="F763" s="254" t="s">
        <v>743</v>
      </c>
      <c r="G763" s="254"/>
      <c r="H763" s="256">
        <v>19.5</v>
      </c>
      <c r="I763" s="274"/>
      <c r="J763" s="275"/>
      <c r="K763" s="276"/>
      <c r="L763" s="414"/>
      <c r="M763" s="414"/>
      <c r="N763" s="414"/>
      <c r="O763" s="414"/>
      <c r="P763" s="279"/>
      <c r="Q763" s="279"/>
    </row>
    <row r="764" spans="1:17" s="229" customFormat="1" ht="15" hidden="1" outlineLevel="1">
      <c r="A764" s="833" t="s">
        <v>1295</v>
      </c>
      <c r="B764" s="257"/>
      <c r="C764" s="258" t="s">
        <v>618</v>
      </c>
      <c r="D764" s="838" t="s">
        <v>630</v>
      </c>
      <c r="E764" s="835" t="s">
        <v>1047</v>
      </c>
      <c r="F764" s="254" t="s">
        <v>743</v>
      </c>
      <c r="G764" s="254"/>
      <c r="H764" s="256">
        <v>13</v>
      </c>
      <c r="I764" s="274"/>
      <c r="J764" s="275"/>
      <c r="K764" s="276"/>
      <c r="L764" s="414"/>
      <c r="M764" s="414"/>
      <c r="N764" s="414"/>
      <c r="O764" s="414"/>
      <c r="P764" s="279"/>
      <c r="Q764" s="279"/>
    </row>
    <row r="765" spans="1:17" s="229" customFormat="1" ht="15" hidden="1" outlineLevel="1">
      <c r="A765" s="833" t="s">
        <v>1295</v>
      </c>
      <c r="B765" s="257"/>
      <c r="C765" s="258" t="s">
        <v>618</v>
      </c>
      <c r="D765" s="838" t="s">
        <v>630</v>
      </c>
      <c r="E765" s="835" t="s">
        <v>1047</v>
      </c>
      <c r="F765" s="254" t="s">
        <v>743</v>
      </c>
      <c r="G765" s="254"/>
      <c r="H765" s="256">
        <v>20</v>
      </c>
      <c r="I765" s="274"/>
      <c r="J765" s="275"/>
      <c r="K765" s="276"/>
      <c r="L765" s="414"/>
      <c r="M765" s="414"/>
      <c r="N765" s="414"/>
      <c r="O765" s="414"/>
      <c r="P765" s="279"/>
      <c r="Q765" s="279"/>
    </row>
    <row r="766" spans="1:17" s="229" customFormat="1" ht="15" hidden="1" outlineLevel="1">
      <c r="A766" s="833" t="s">
        <v>1295</v>
      </c>
      <c r="B766" s="257"/>
      <c r="C766" s="258" t="s">
        <v>618</v>
      </c>
      <c r="D766" s="838" t="s">
        <v>630</v>
      </c>
      <c r="E766" s="835" t="s">
        <v>1044</v>
      </c>
      <c r="F766" s="254" t="s">
        <v>743</v>
      </c>
      <c r="G766" s="254"/>
      <c r="H766" s="256">
        <v>19.5</v>
      </c>
      <c r="I766" s="274"/>
      <c r="J766" s="275"/>
      <c r="K766" s="276"/>
      <c r="L766" s="414"/>
      <c r="M766" s="414"/>
      <c r="N766" s="414"/>
      <c r="O766" s="414"/>
      <c r="P766" s="279"/>
      <c r="Q766" s="279"/>
    </row>
    <row r="767" spans="1:17" s="229" customFormat="1" ht="15" hidden="1" outlineLevel="1">
      <c r="A767" s="833" t="s">
        <v>1295</v>
      </c>
      <c r="B767" s="257"/>
      <c r="C767" s="258" t="s">
        <v>1081</v>
      </c>
      <c r="D767" s="838" t="s">
        <v>630</v>
      </c>
      <c r="E767" s="835" t="s">
        <v>1298</v>
      </c>
      <c r="F767" s="254" t="s">
        <v>743</v>
      </c>
      <c r="G767" s="254"/>
      <c r="H767" s="256">
        <v>60</v>
      </c>
      <c r="I767" s="274"/>
      <c r="J767" s="275"/>
      <c r="K767" s="276"/>
      <c r="L767" s="414"/>
      <c r="M767" s="414"/>
      <c r="N767" s="414"/>
      <c r="O767" s="414"/>
      <c r="P767" s="279"/>
      <c r="Q767" s="279"/>
    </row>
    <row r="768" spans="1:17" s="229" customFormat="1" ht="15" hidden="1" outlineLevel="1">
      <c r="A768" s="833" t="s">
        <v>1295</v>
      </c>
      <c r="B768" s="257"/>
      <c r="C768" s="258" t="s">
        <v>1081</v>
      </c>
      <c r="D768" s="838" t="s">
        <v>630</v>
      </c>
      <c r="E768" s="835" t="s">
        <v>721</v>
      </c>
      <c r="F768" s="254" t="s">
        <v>743</v>
      </c>
      <c r="G768" s="254"/>
      <c r="H768" s="256">
        <v>25</v>
      </c>
      <c r="I768" s="274"/>
      <c r="J768" s="275"/>
      <c r="K768" s="276"/>
      <c r="L768" s="414"/>
      <c r="M768" s="414"/>
      <c r="N768" s="414"/>
      <c r="O768" s="414"/>
      <c r="P768" s="279"/>
      <c r="Q768" s="279"/>
    </row>
    <row r="769" spans="1:17" s="229" customFormat="1" ht="15" hidden="1" outlineLevel="1">
      <c r="A769" s="833" t="s">
        <v>1295</v>
      </c>
      <c r="B769" s="257"/>
      <c r="C769" s="258" t="s">
        <v>1081</v>
      </c>
      <c r="D769" s="838" t="s">
        <v>630</v>
      </c>
      <c r="E769" s="835" t="s">
        <v>1299</v>
      </c>
      <c r="F769" s="254" t="s">
        <v>743</v>
      </c>
      <c r="G769" s="254"/>
      <c r="H769" s="256">
        <v>25</v>
      </c>
      <c r="I769" s="274"/>
      <c r="J769" s="275"/>
      <c r="K769" s="276"/>
      <c r="L769" s="414"/>
      <c r="M769" s="414"/>
      <c r="N769" s="414"/>
      <c r="O769" s="414"/>
      <c r="P769" s="279"/>
      <c r="Q769" s="279"/>
    </row>
    <row r="770" spans="1:17" s="229" customFormat="1" ht="15" hidden="1" outlineLevel="1">
      <c r="A770" s="833" t="s">
        <v>1295</v>
      </c>
      <c r="B770" s="257"/>
      <c r="C770" s="258" t="s">
        <v>1081</v>
      </c>
      <c r="D770" s="838" t="s">
        <v>630</v>
      </c>
      <c r="E770" s="835" t="s">
        <v>1300</v>
      </c>
      <c r="F770" s="254" t="s">
        <v>743</v>
      </c>
      <c r="G770" s="254"/>
      <c r="H770" s="256">
        <v>15</v>
      </c>
      <c r="I770" s="274"/>
      <c r="J770" s="275"/>
      <c r="K770" s="276"/>
      <c r="L770" s="414"/>
      <c r="M770" s="414"/>
      <c r="N770" s="414"/>
      <c r="O770" s="414"/>
      <c r="P770" s="279"/>
      <c r="Q770" s="279"/>
    </row>
    <row r="771" spans="1:17" s="229" customFormat="1" ht="15" hidden="1" outlineLevel="1">
      <c r="A771" s="833" t="s">
        <v>1295</v>
      </c>
      <c r="B771" s="257"/>
      <c r="C771" s="258" t="s">
        <v>1081</v>
      </c>
      <c r="D771" s="838" t="s">
        <v>630</v>
      </c>
      <c r="E771" s="835" t="s">
        <v>1301</v>
      </c>
      <c r="F771" s="254" t="s">
        <v>743</v>
      </c>
      <c r="G771" s="254"/>
      <c r="H771" s="256">
        <v>15</v>
      </c>
      <c r="I771" s="274"/>
      <c r="J771" s="275"/>
      <c r="K771" s="276"/>
      <c r="L771" s="414"/>
      <c r="M771" s="414"/>
      <c r="N771" s="414"/>
      <c r="O771" s="414"/>
      <c r="P771" s="279"/>
      <c r="Q771" s="279"/>
    </row>
    <row r="772" spans="1:17" s="229" customFormat="1" ht="15" hidden="1" outlineLevel="1">
      <c r="A772" s="833" t="s">
        <v>1295</v>
      </c>
      <c r="B772" s="257"/>
      <c r="C772" s="258" t="s">
        <v>1081</v>
      </c>
      <c r="D772" s="838" t="s">
        <v>630</v>
      </c>
      <c r="E772" s="835" t="s">
        <v>1302</v>
      </c>
      <c r="F772" s="254" t="s">
        <v>743</v>
      </c>
      <c r="G772" s="254"/>
      <c r="H772" s="256">
        <v>30.1</v>
      </c>
      <c r="I772" s="274"/>
      <c r="J772" s="275"/>
      <c r="K772" s="276"/>
      <c r="L772" s="414"/>
      <c r="M772" s="414"/>
      <c r="N772" s="414"/>
      <c r="O772" s="414"/>
      <c r="P772" s="279"/>
      <c r="Q772" s="279"/>
    </row>
    <row r="773" spans="1:17" s="229" customFormat="1" ht="15" hidden="1" outlineLevel="1">
      <c r="A773" s="833" t="s">
        <v>1295</v>
      </c>
      <c r="B773" s="257"/>
      <c r="C773" s="258" t="s">
        <v>1081</v>
      </c>
      <c r="D773" s="838" t="s">
        <v>630</v>
      </c>
      <c r="E773" s="835" t="s">
        <v>665</v>
      </c>
      <c r="F773" s="254" t="s">
        <v>743</v>
      </c>
      <c r="G773" s="254"/>
      <c r="H773" s="256">
        <v>5</v>
      </c>
      <c r="I773" s="274"/>
      <c r="J773" s="275"/>
      <c r="K773" s="276"/>
      <c r="L773" s="414"/>
      <c r="M773" s="414"/>
      <c r="N773" s="414"/>
      <c r="O773" s="414"/>
      <c r="P773" s="279"/>
      <c r="Q773" s="279"/>
    </row>
    <row r="774" spans="1:17" s="229" customFormat="1" ht="15" hidden="1" outlineLevel="1">
      <c r="A774" s="833" t="s">
        <v>1295</v>
      </c>
      <c r="B774" s="257"/>
      <c r="C774" s="258" t="s">
        <v>1081</v>
      </c>
      <c r="D774" s="838" t="s">
        <v>630</v>
      </c>
      <c r="E774" s="835" t="s">
        <v>1047</v>
      </c>
      <c r="F774" s="254" t="s">
        <v>743</v>
      </c>
      <c r="G774" s="254"/>
      <c r="H774" s="256">
        <v>15.5</v>
      </c>
      <c r="I774" s="274"/>
      <c r="J774" s="275"/>
      <c r="K774" s="276"/>
      <c r="L774" s="414"/>
      <c r="M774" s="414"/>
      <c r="N774" s="414"/>
      <c r="O774" s="414"/>
      <c r="P774" s="279"/>
      <c r="Q774" s="279"/>
    </row>
    <row r="775" spans="1:17" s="229" customFormat="1" ht="15" hidden="1" outlineLevel="1">
      <c r="A775" s="833" t="s">
        <v>1295</v>
      </c>
      <c r="B775" s="257"/>
      <c r="C775" s="258" t="s">
        <v>1081</v>
      </c>
      <c r="D775" s="838" t="s">
        <v>630</v>
      </c>
      <c r="E775" s="835" t="s">
        <v>1303</v>
      </c>
      <c r="F775" s="254" t="s">
        <v>743</v>
      </c>
      <c r="G775" s="254"/>
      <c r="H775" s="256">
        <v>240</v>
      </c>
      <c r="I775" s="274"/>
      <c r="J775" s="275"/>
      <c r="K775" s="276"/>
      <c r="L775" s="414"/>
      <c r="M775" s="414"/>
      <c r="N775" s="414"/>
      <c r="O775" s="414"/>
      <c r="P775" s="279"/>
      <c r="Q775" s="279"/>
    </row>
    <row r="776" spans="1:17" s="229" customFormat="1" ht="15" hidden="1" outlineLevel="1">
      <c r="A776" s="833" t="s">
        <v>1295</v>
      </c>
      <c r="B776" s="257"/>
      <c r="C776" s="258" t="s">
        <v>1081</v>
      </c>
      <c r="D776" s="838" t="s">
        <v>630</v>
      </c>
      <c r="E776" s="835" t="s">
        <v>1173</v>
      </c>
      <c r="F776" s="254" t="s">
        <v>743</v>
      </c>
      <c r="G776" s="254"/>
      <c r="H776" s="256">
        <v>18</v>
      </c>
      <c r="I776" s="274"/>
      <c r="J776" s="275"/>
      <c r="K776" s="276"/>
      <c r="L776" s="414"/>
      <c r="M776" s="414"/>
      <c r="N776" s="414"/>
      <c r="O776" s="414"/>
      <c r="P776" s="279"/>
      <c r="Q776" s="279"/>
    </row>
    <row r="777" spans="1:17" s="229" customFormat="1" ht="15" hidden="1" outlineLevel="1">
      <c r="A777" s="833" t="s">
        <v>1295</v>
      </c>
      <c r="B777" s="257"/>
      <c r="C777" s="258" t="s">
        <v>1081</v>
      </c>
      <c r="D777" s="838" t="s">
        <v>630</v>
      </c>
      <c r="E777" s="835" t="s">
        <v>1304</v>
      </c>
      <c r="F777" s="254" t="s">
        <v>743</v>
      </c>
      <c r="G777" s="254"/>
      <c r="H777" s="256">
        <v>2</v>
      </c>
      <c r="I777" s="274"/>
      <c r="J777" s="275"/>
      <c r="K777" s="276"/>
      <c r="L777" s="414"/>
      <c r="M777" s="414"/>
      <c r="N777" s="414"/>
      <c r="O777" s="414"/>
      <c r="P777" s="279"/>
      <c r="Q777" s="279"/>
    </row>
    <row r="778" spans="1:17" s="229" customFormat="1" ht="15" hidden="1" outlineLevel="1">
      <c r="A778" s="833" t="s">
        <v>1295</v>
      </c>
      <c r="B778" s="257"/>
      <c r="C778" s="258" t="s">
        <v>1081</v>
      </c>
      <c r="D778" s="838" t="s">
        <v>630</v>
      </c>
      <c r="E778" s="835" t="s">
        <v>1305</v>
      </c>
      <c r="F778" s="254" t="s">
        <v>743</v>
      </c>
      <c r="G778" s="254"/>
      <c r="H778" s="256">
        <v>26</v>
      </c>
      <c r="I778" s="274"/>
      <c r="J778" s="275"/>
      <c r="K778" s="276"/>
      <c r="L778" s="414"/>
      <c r="M778" s="414"/>
      <c r="N778" s="414"/>
      <c r="O778" s="414"/>
      <c r="P778" s="279"/>
      <c r="Q778" s="279"/>
    </row>
    <row r="779" spans="1:17" s="229" customFormat="1" ht="15" hidden="1" outlineLevel="1">
      <c r="A779" s="833" t="s">
        <v>1295</v>
      </c>
      <c r="B779" s="257"/>
      <c r="C779" s="258" t="s">
        <v>1081</v>
      </c>
      <c r="D779" s="838" t="s">
        <v>630</v>
      </c>
      <c r="E779" s="835" t="s">
        <v>1306</v>
      </c>
      <c r="F779" s="254" t="s">
        <v>743</v>
      </c>
      <c r="G779" s="254"/>
      <c r="H779" s="256">
        <v>110</v>
      </c>
      <c r="I779" s="274"/>
      <c r="J779" s="275"/>
      <c r="K779" s="276"/>
      <c r="L779" s="414"/>
      <c r="M779" s="414"/>
      <c r="N779" s="414"/>
      <c r="O779" s="414"/>
      <c r="P779" s="279"/>
      <c r="Q779" s="279"/>
    </row>
    <row r="780" spans="1:17" s="229" customFormat="1" ht="15" hidden="1" outlineLevel="1">
      <c r="A780" s="833" t="s">
        <v>1295</v>
      </c>
      <c r="B780" s="257"/>
      <c r="C780" s="258" t="s">
        <v>1081</v>
      </c>
      <c r="D780" s="838" t="s">
        <v>630</v>
      </c>
      <c r="E780" s="835" t="s">
        <v>1307</v>
      </c>
      <c r="F780" s="254" t="s">
        <v>743</v>
      </c>
      <c r="G780" s="254"/>
      <c r="H780" s="256">
        <v>5</v>
      </c>
      <c r="I780" s="274"/>
      <c r="J780" s="275"/>
      <c r="K780" s="276"/>
      <c r="L780" s="414"/>
      <c r="M780" s="414"/>
      <c r="N780" s="414"/>
      <c r="O780" s="414"/>
      <c r="P780" s="279"/>
      <c r="Q780" s="279"/>
    </row>
    <row r="781" spans="1:17" s="229" customFormat="1" ht="15" hidden="1" outlineLevel="1">
      <c r="A781" s="833" t="s">
        <v>1295</v>
      </c>
      <c r="B781" s="257"/>
      <c r="C781" s="258" t="s">
        <v>1081</v>
      </c>
      <c r="D781" s="838" t="s">
        <v>630</v>
      </c>
      <c r="E781" s="835" t="s">
        <v>1308</v>
      </c>
      <c r="F781" s="254" t="s">
        <v>743</v>
      </c>
      <c r="G781" s="254"/>
      <c r="H781" s="256">
        <v>7.94</v>
      </c>
      <c r="I781" s="274"/>
      <c r="J781" s="275"/>
      <c r="K781" s="276"/>
      <c r="L781" s="414"/>
      <c r="M781" s="414"/>
      <c r="N781" s="414"/>
      <c r="O781" s="414"/>
      <c r="P781" s="279"/>
      <c r="Q781" s="279"/>
    </row>
    <row r="782" spans="1:17" s="229" customFormat="1" ht="15" hidden="1" outlineLevel="1">
      <c r="A782" s="833" t="s">
        <v>1295</v>
      </c>
      <c r="B782" s="257"/>
      <c r="C782" s="258" t="s">
        <v>1081</v>
      </c>
      <c r="D782" s="838" t="s">
        <v>630</v>
      </c>
      <c r="E782" s="835" t="s">
        <v>1308</v>
      </c>
      <c r="F782" s="254" t="s">
        <v>743</v>
      </c>
      <c r="G782" s="254"/>
      <c r="H782" s="256">
        <v>41.42</v>
      </c>
      <c r="I782" s="274"/>
      <c r="J782" s="275"/>
      <c r="K782" s="276"/>
      <c r="L782" s="414"/>
      <c r="M782" s="414"/>
      <c r="N782" s="414"/>
      <c r="O782" s="414"/>
      <c r="P782" s="279"/>
      <c r="Q782" s="279"/>
    </row>
    <row r="783" spans="1:17" s="229" customFormat="1" ht="15" hidden="1" outlineLevel="1">
      <c r="A783" s="833" t="s">
        <v>1295</v>
      </c>
      <c r="B783" s="257"/>
      <c r="C783" s="258" t="s">
        <v>1081</v>
      </c>
      <c r="D783" s="838" t="s">
        <v>630</v>
      </c>
      <c r="E783" s="835" t="s">
        <v>1309</v>
      </c>
      <c r="F783" s="254" t="s">
        <v>743</v>
      </c>
      <c r="G783" s="254"/>
      <c r="H783" s="324">
        <v>7.5</v>
      </c>
      <c r="I783" s="274"/>
      <c r="J783" s="275"/>
      <c r="K783" s="276"/>
      <c r="L783" s="414"/>
      <c r="M783" s="414"/>
      <c r="N783" s="414"/>
      <c r="O783" s="414"/>
      <c r="P783" s="279"/>
      <c r="Q783" s="279"/>
    </row>
    <row r="784" spans="1:17" s="229" customFormat="1" ht="15" hidden="1" outlineLevel="1">
      <c r="A784" s="833" t="s">
        <v>1295</v>
      </c>
      <c r="B784" s="257"/>
      <c r="C784" s="258" t="s">
        <v>1081</v>
      </c>
      <c r="D784" s="838" t="s">
        <v>630</v>
      </c>
      <c r="E784" s="835" t="s">
        <v>1310</v>
      </c>
      <c r="F784" s="254" t="s">
        <v>743</v>
      </c>
      <c r="G784" s="254"/>
      <c r="H784" s="324">
        <v>306.39</v>
      </c>
      <c r="I784" s="274"/>
      <c r="J784" s="275"/>
      <c r="K784" s="276"/>
      <c r="L784" s="414"/>
      <c r="M784" s="414"/>
      <c r="N784" s="414"/>
      <c r="O784" s="414"/>
      <c r="P784" s="279"/>
      <c r="Q784" s="279"/>
    </row>
    <row r="785" spans="1:17" s="229" customFormat="1" ht="15" hidden="1" outlineLevel="1">
      <c r="A785" s="833" t="s">
        <v>1295</v>
      </c>
      <c r="B785" s="257"/>
      <c r="C785" s="258" t="s">
        <v>1081</v>
      </c>
      <c r="D785" s="838" t="s">
        <v>630</v>
      </c>
      <c r="E785" s="835" t="s">
        <v>1309</v>
      </c>
      <c r="F785" s="254" t="s">
        <v>743</v>
      </c>
      <c r="G785" s="254"/>
      <c r="H785" s="324">
        <v>7.5</v>
      </c>
      <c r="I785" s="274"/>
      <c r="J785" s="275"/>
      <c r="K785" s="276"/>
      <c r="L785" s="414"/>
      <c r="M785" s="414"/>
      <c r="N785" s="414"/>
      <c r="O785" s="414"/>
      <c r="P785" s="279"/>
      <c r="Q785" s="279"/>
    </row>
    <row r="786" spans="1:17" s="229" customFormat="1" ht="15" hidden="1" outlineLevel="1">
      <c r="A786" s="833" t="s">
        <v>1311</v>
      </c>
      <c r="B786" s="257"/>
      <c r="C786" s="258" t="s">
        <v>618</v>
      </c>
      <c r="D786" s="838" t="s">
        <v>714</v>
      </c>
      <c r="E786" s="835" t="s">
        <v>1138</v>
      </c>
      <c r="F786" s="254" t="s">
        <v>625</v>
      </c>
      <c r="G786" s="254"/>
      <c r="H786" s="256">
        <v>9.1999999999999993</v>
      </c>
      <c r="I786" s="274"/>
      <c r="J786" s="275"/>
      <c r="K786" s="276"/>
      <c r="L786" s="414"/>
      <c r="M786" s="414"/>
      <c r="N786" s="414"/>
      <c r="O786" s="414"/>
      <c r="P786" s="279"/>
      <c r="Q786" s="279"/>
    </row>
    <row r="787" spans="1:17" s="229" customFormat="1" ht="15" hidden="1" outlineLevel="1">
      <c r="A787" s="833" t="s">
        <v>1311</v>
      </c>
      <c r="B787" s="257"/>
      <c r="C787" s="258" t="s">
        <v>618</v>
      </c>
      <c r="D787" s="838" t="s">
        <v>714</v>
      </c>
      <c r="E787" s="835" t="s">
        <v>1043</v>
      </c>
      <c r="F787" s="254" t="s">
        <v>625</v>
      </c>
      <c r="G787" s="254"/>
      <c r="H787" s="256">
        <v>3.6</v>
      </c>
      <c r="I787" s="274"/>
      <c r="J787" s="275"/>
      <c r="K787" s="276"/>
      <c r="L787" s="414"/>
      <c r="M787" s="414"/>
      <c r="N787" s="414"/>
      <c r="O787" s="414"/>
      <c r="P787" s="279"/>
      <c r="Q787" s="279"/>
    </row>
    <row r="788" spans="1:17" s="229" customFormat="1" ht="15" hidden="1" outlineLevel="1">
      <c r="A788" s="833" t="s">
        <v>1311</v>
      </c>
      <c r="B788" s="257"/>
      <c r="C788" s="258" t="s">
        <v>1081</v>
      </c>
      <c r="D788" s="838" t="s">
        <v>714</v>
      </c>
      <c r="E788" s="835" t="s">
        <v>1312</v>
      </c>
      <c r="F788" s="254" t="s">
        <v>625</v>
      </c>
      <c r="G788" s="254"/>
      <c r="H788" s="256">
        <v>22</v>
      </c>
      <c r="I788" s="274"/>
      <c r="J788" s="275"/>
      <c r="K788" s="276"/>
      <c r="L788" s="414"/>
      <c r="M788" s="414"/>
      <c r="N788" s="414"/>
      <c r="O788" s="414"/>
      <c r="P788" s="279"/>
      <c r="Q788" s="279"/>
    </row>
    <row r="789" spans="1:17" s="229" customFormat="1" ht="15" hidden="1" outlineLevel="1">
      <c r="A789" s="833" t="s">
        <v>1311</v>
      </c>
      <c r="B789" s="257"/>
      <c r="C789" s="258" t="s">
        <v>1081</v>
      </c>
      <c r="D789" s="838" t="s">
        <v>714</v>
      </c>
      <c r="E789" s="835" t="s">
        <v>1313</v>
      </c>
      <c r="F789" s="254" t="s">
        <v>625</v>
      </c>
      <c r="G789" s="254"/>
      <c r="H789" s="256">
        <v>0.5</v>
      </c>
      <c r="I789" s="274"/>
      <c r="J789" s="275"/>
      <c r="K789" s="276"/>
      <c r="L789" s="414"/>
      <c r="M789" s="414"/>
      <c r="N789" s="414"/>
      <c r="O789" s="414"/>
      <c r="P789" s="279"/>
      <c r="Q789" s="279"/>
    </row>
    <row r="790" spans="1:17" s="229" customFormat="1" ht="15" hidden="1" outlineLevel="1">
      <c r="A790" s="833" t="s">
        <v>1311</v>
      </c>
      <c r="B790" s="257"/>
      <c r="C790" s="258" t="s">
        <v>1081</v>
      </c>
      <c r="D790" s="838" t="s">
        <v>714</v>
      </c>
      <c r="E790" s="835" t="s">
        <v>1030</v>
      </c>
      <c r="F790" s="254" t="s">
        <v>625</v>
      </c>
      <c r="G790" s="254"/>
      <c r="H790" s="256">
        <v>4</v>
      </c>
      <c r="I790" s="274"/>
      <c r="J790" s="275"/>
      <c r="K790" s="276"/>
      <c r="L790" s="414"/>
      <c r="M790" s="414"/>
      <c r="N790" s="414"/>
      <c r="O790" s="414"/>
      <c r="P790" s="279"/>
      <c r="Q790" s="279"/>
    </row>
    <row r="791" spans="1:17" s="229" customFormat="1" ht="15" hidden="1" outlineLevel="1">
      <c r="A791" s="833" t="s">
        <v>1311</v>
      </c>
      <c r="B791" s="257"/>
      <c r="C791" s="258" t="s">
        <v>1081</v>
      </c>
      <c r="D791" s="838" t="s">
        <v>714</v>
      </c>
      <c r="E791" s="835" t="s">
        <v>715</v>
      </c>
      <c r="F791" s="254" t="s">
        <v>625</v>
      </c>
      <c r="G791" s="254"/>
      <c r="H791" s="256">
        <v>0.5</v>
      </c>
      <c r="I791" s="274"/>
      <c r="J791" s="275"/>
      <c r="K791" s="276"/>
      <c r="L791" s="414"/>
      <c r="M791" s="414"/>
      <c r="N791" s="414"/>
      <c r="O791" s="414"/>
      <c r="P791" s="279"/>
      <c r="Q791" s="279"/>
    </row>
    <row r="792" spans="1:17" s="229" customFormat="1" ht="15" hidden="1" outlineLevel="1">
      <c r="A792" s="833" t="s">
        <v>1311</v>
      </c>
      <c r="B792" s="257"/>
      <c r="C792" s="258" t="s">
        <v>1081</v>
      </c>
      <c r="D792" s="838" t="s">
        <v>714</v>
      </c>
      <c r="E792" s="835" t="s">
        <v>1314</v>
      </c>
      <c r="F792" s="254" t="s">
        <v>625</v>
      </c>
      <c r="G792" s="254"/>
      <c r="H792" s="256">
        <v>0.35</v>
      </c>
      <c r="I792" s="274"/>
      <c r="J792" s="275"/>
      <c r="K792" s="276"/>
      <c r="L792" s="414"/>
      <c r="M792" s="414"/>
      <c r="N792" s="414"/>
      <c r="O792" s="414"/>
      <c r="P792" s="279"/>
      <c r="Q792" s="279"/>
    </row>
    <row r="793" spans="1:17" s="229" customFormat="1" ht="15" hidden="1" outlineLevel="1">
      <c r="A793" s="833" t="s">
        <v>1311</v>
      </c>
      <c r="B793" s="257"/>
      <c r="C793" s="258" t="s">
        <v>1081</v>
      </c>
      <c r="D793" s="838" t="s">
        <v>714</v>
      </c>
      <c r="E793" s="835" t="s">
        <v>1225</v>
      </c>
      <c r="F793" s="254" t="s">
        <v>625</v>
      </c>
      <c r="G793" s="254"/>
      <c r="H793" s="256">
        <v>1.5</v>
      </c>
      <c r="I793" s="274"/>
      <c r="J793" s="275"/>
      <c r="K793" s="276"/>
      <c r="L793" s="414"/>
      <c r="M793" s="414"/>
      <c r="N793" s="414"/>
      <c r="O793" s="414"/>
      <c r="P793" s="279"/>
      <c r="Q793" s="279"/>
    </row>
    <row r="794" spans="1:17" s="229" customFormat="1" ht="15" hidden="1" outlineLevel="1">
      <c r="A794" s="833" t="s">
        <v>1311</v>
      </c>
      <c r="B794" s="257"/>
      <c r="C794" s="258" t="s">
        <v>1081</v>
      </c>
      <c r="D794" s="838" t="s">
        <v>714</v>
      </c>
      <c r="E794" s="835" t="s">
        <v>1315</v>
      </c>
      <c r="F794" s="254" t="s">
        <v>625</v>
      </c>
      <c r="G794" s="254"/>
      <c r="H794" s="256">
        <v>1</v>
      </c>
      <c r="I794" s="274"/>
      <c r="J794" s="275"/>
      <c r="K794" s="276"/>
      <c r="L794" s="414"/>
      <c r="M794" s="414"/>
      <c r="N794" s="414"/>
      <c r="O794" s="414"/>
      <c r="P794" s="279"/>
      <c r="Q794" s="279"/>
    </row>
    <row r="795" spans="1:17" s="229" customFormat="1" ht="15" hidden="1" outlineLevel="1">
      <c r="A795" s="833" t="s">
        <v>1311</v>
      </c>
      <c r="B795" s="257"/>
      <c r="C795" s="258" t="s">
        <v>1081</v>
      </c>
      <c r="D795" s="838" t="s">
        <v>714</v>
      </c>
      <c r="E795" s="835" t="s">
        <v>1173</v>
      </c>
      <c r="F795" s="254" t="s">
        <v>625</v>
      </c>
      <c r="G795" s="254"/>
      <c r="H795" s="256">
        <v>13.75</v>
      </c>
      <c r="I795" s="274"/>
      <c r="J795" s="275"/>
      <c r="K795" s="276"/>
      <c r="L795" s="414"/>
      <c r="M795" s="414"/>
      <c r="N795" s="414"/>
      <c r="O795" s="414"/>
      <c r="P795" s="279"/>
      <c r="Q795" s="279"/>
    </row>
    <row r="796" spans="1:17" s="229" customFormat="1" ht="15" hidden="1" outlineLevel="1">
      <c r="A796" s="833" t="s">
        <v>1311</v>
      </c>
      <c r="B796" s="257"/>
      <c r="C796" s="258" t="s">
        <v>1081</v>
      </c>
      <c r="D796" s="838" t="s">
        <v>714</v>
      </c>
      <c r="E796" s="835" t="s">
        <v>1316</v>
      </c>
      <c r="F796" s="254" t="s">
        <v>625</v>
      </c>
      <c r="G796" s="254"/>
      <c r="H796" s="256">
        <v>1</v>
      </c>
      <c r="I796" s="274"/>
      <c r="J796" s="275"/>
      <c r="K796" s="276"/>
      <c r="L796" s="414"/>
      <c r="M796" s="414"/>
      <c r="N796" s="414"/>
      <c r="O796" s="414"/>
      <c r="P796" s="279"/>
      <c r="Q796" s="279"/>
    </row>
    <row r="797" spans="1:17" s="229" customFormat="1" ht="15" hidden="1" outlineLevel="1">
      <c r="A797" s="833" t="s">
        <v>1311</v>
      </c>
      <c r="B797" s="257"/>
      <c r="C797" s="258" t="s">
        <v>1081</v>
      </c>
      <c r="D797" s="838" t="s">
        <v>714</v>
      </c>
      <c r="E797" s="835" t="s">
        <v>1317</v>
      </c>
      <c r="F797" s="254" t="s">
        <v>621</v>
      </c>
      <c r="G797" s="254"/>
      <c r="H797" s="256">
        <v>3.65</v>
      </c>
      <c r="I797" s="274"/>
      <c r="J797" s="275"/>
      <c r="K797" s="276"/>
      <c r="L797" s="414"/>
      <c r="M797" s="414"/>
      <c r="N797" s="414"/>
      <c r="O797" s="414"/>
      <c r="P797" s="279"/>
      <c r="Q797" s="279"/>
    </row>
    <row r="798" spans="1:17" s="229" customFormat="1" ht="15" hidden="1" outlineLevel="1">
      <c r="A798" s="833" t="s">
        <v>1311</v>
      </c>
      <c r="B798" s="257"/>
      <c r="C798" s="258" t="s">
        <v>1081</v>
      </c>
      <c r="D798" s="838" t="s">
        <v>714</v>
      </c>
      <c r="E798" s="835" t="s">
        <v>1318</v>
      </c>
      <c r="F798" s="254" t="s">
        <v>621</v>
      </c>
      <c r="G798" s="254"/>
      <c r="H798" s="256">
        <v>2</v>
      </c>
      <c r="I798" s="274"/>
      <c r="J798" s="275"/>
      <c r="K798" s="276"/>
      <c r="L798" s="414"/>
      <c r="M798" s="414"/>
      <c r="N798" s="414"/>
      <c r="O798" s="414"/>
      <c r="P798" s="279"/>
      <c r="Q798" s="279"/>
    </row>
    <row r="799" spans="1:17" s="229" customFormat="1" ht="15" hidden="1" outlineLevel="1">
      <c r="A799" s="833" t="s">
        <v>1311</v>
      </c>
      <c r="B799" s="257"/>
      <c r="C799" s="258" t="s">
        <v>1081</v>
      </c>
      <c r="D799" s="838" t="s">
        <v>714</v>
      </c>
      <c r="E799" s="835" t="s">
        <v>1319</v>
      </c>
      <c r="F799" s="254" t="s">
        <v>621</v>
      </c>
      <c r="G799" s="254"/>
      <c r="H799" s="256">
        <v>3.125</v>
      </c>
      <c r="I799" s="274"/>
      <c r="J799" s="275"/>
      <c r="K799" s="276"/>
      <c r="L799" s="414"/>
      <c r="M799" s="414"/>
      <c r="N799" s="414"/>
      <c r="O799" s="414"/>
      <c r="P799" s="279"/>
      <c r="Q799" s="279"/>
    </row>
    <row r="800" spans="1:17" s="229" customFormat="1" ht="15" hidden="1" outlineLevel="1">
      <c r="A800" s="250" t="s">
        <v>1320</v>
      </c>
      <c r="B800" s="257"/>
      <c r="C800" s="258" t="s">
        <v>618</v>
      </c>
      <c r="D800" s="259" t="s">
        <v>635</v>
      </c>
      <c r="E800" s="253" t="s">
        <v>925</v>
      </c>
      <c r="F800" s="254" t="s">
        <v>621</v>
      </c>
      <c r="G800" s="254"/>
      <c r="H800" s="256">
        <v>87.99</v>
      </c>
      <c r="I800" s="274"/>
      <c r="J800" s="275"/>
      <c r="K800" s="276"/>
      <c r="L800" s="414"/>
      <c r="M800" s="414"/>
      <c r="N800" s="414"/>
      <c r="O800" s="414"/>
      <c r="P800" s="279"/>
      <c r="Q800" s="279"/>
    </row>
    <row r="801" spans="1:17" s="229" customFormat="1" ht="15" hidden="1" outlineLevel="1">
      <c r="A801" s="250" t="s">
        <v>1320</v>
      </c>
      <c r="B801" s="257"/>
      <c r="C801" s="258" t="s">
        <v>618</v>
      </c>
      <c r="D801" s="259" t="s">
        <v>635</v>
      </c>
      <c r="E801" s="253" t="s">
        <v>1321</v>
      </c>
      <c r="F801" s="254" t="s">
        <v>621</v>
      </c>
      <c r="G801" s="254"/>
      <c r="H801" s="256">
        <v>28.5</v>
      </c>
      <c r="I801" s="274"/>
      <c r="J801" s="275"/>
      <c r="K801" s="276"/>
      <c r="L801" s="414"/>
      <c r="M801" s="414"/>
      <c r="N801" s="414"/>
      <c r="O801" s="414"/>
      <c r="P801" s="279"/>
      <c r="Q801" s="279"/>
    </row>
    <row r="802" spans="1:17" s="229" customFormat="1" ht="15" hidden="1" outlineLevel="1">
      <c r="A802" s="250" t="s">
        <v>1320</v>
      </c>
      <c r="B802" s="257"/>
      <c r="C802" s="258" t="s">
        <v>618</v>
      </c>
      <c r="D802" s="259" t="s">
        <v>1322</v>
      </c>
      <c r="E802" s="253" t="s">
        <v>1323</v>
      </c>
      <c r="F802" s="254" t="s">
        <v>625</v>
      </c>
      <c r="G802" s="254"/>
      <c r="H802" s="256">
        <v>5.25</v>
      </c>
      <c r="I802" s="274"/>
      <c r="J802" s="275"/>
      <c r="K802" s="276"/>
      <c r="L802" s="414"/>
      <c r="M802" s="414"/>
      <c r="N802" s="414"/>
      <c r="O802" s="414"/>
      <c r="P802" s="279"/>
      <c r="Q802" s="279"/>
    </row>
    <row r="803" spans="1:17" s="229" customFormat="1" ht="15" hidden="1" outlineLevel="1">
      <c r="A803" s="250" t="s">
        <v>1320</v>
      </c>
      <c r="B803" s="257"/>
      <c r="C803" s="258" t="s">
        <v>618</v>
      </c>
      <c r="D803" s="259" t="s">
        <v>1322</v>
      </c>
      <c r="E803" s="253" t="s">
        <v>1047</v>
      </c>
      <c r="F803" s="254" t="s">
        <v>625</v>
      </c>
      <c r="G803" s="254"/>
      <c r="H803" s="256">
        <v>18</v>
      </c>
      <c r="I803" s="274"/>
      <c r="J803" s="275"/>
      <c r="K803" s="276"/>
      <c r="L803" s="414"/>
      <c r="M803" s="414"/>
      <c r="N803" s="414"/>
      <c r="O803" s="414"/>
      <c r="P803" s="279"/>
      <c r="Q803" s="279"/>
    </row>
    <row r="804" spans="1:17" s="229" customFormat="1" ht="15" hidden="1" outlineLevel="1">
      <c r="A804" s="250" t="s">
        <v>1324</v>
      </c>
      <c r="B804" s="257"/>
      <c r="C804" s="258" t="s">
        <v>618</v>
      </c>
      <c r="D804" s="259" t="s">
        <v>635</v>
      </c>
      <c r="E804" s="253" t="s">
        <v>1325</v>
      </c>
      <c r="F804" s="254" t="s">
        <v>644</v>
      </c>
      <c r="G804" s="254"/>
      <c r="H804" s="256">
        <v>1566.2123432144999</v>
      </c>
      <c r="I804" s="274"/>
      <c r="J804" s="275"/>
      <c r="K804" s="276"/>
      <c r="L804" s="414"/>
      <c r="M804" s="414"/>
      <c r="N804" s="414"/>
      <c r="O804" s="414"/>
      <c r="P804" s="279"/>
      <c r="Q804" s="279"/>
    </row>
    <row r="805" spans="1:17" s="229" customFormat="1" ht="15" hidden="1" outlineLevel="1">
      <c r="A805" s="250" t="s">
        <v>1324</v>
      </c>
      <c r="B805" s="257"/>
      <c r="C805" s="258" t="s">
        <v>618</v>
      </c>
      <c r="D805" s="259" t="s">
        <v>635</v>
      </c>
      <c r="E805" s="253" t="s">
        <v>1326</v>
      </c>
      <c r="F805" s="254" t="s">
        <v>644</v>
      </c>
      <c r="G805" s="254"/>
      <c r="H805" s="256">
        <v>1667.0640000000001</v>
      </c>
      <c r="I805" s="274"/>
      <c r="J805" s="275"/>
      <c r="K805" s="276"/>
      <c r="L805" s="414"/>
      <c r="M805" s="414"/>
      <c r="N805" s="414"/>
      <c r="O805" s="414"/>
      <c r="P805" s="279"/>
      <c r="Q805" s="279"/>
    </row>
    <row r="806" spans="1:17" s="229" customFormat="1" ht="15" hidden="1" outlineLevel="1">
      <c r="A806" s="250" t="s">
        <v>1327</v>
      </c>
      <c r="B806" s="257"/>
      <c r="C806" s="258" t="s">
        <v>618</v>
      </c>
      <c r="D806" s="259" t="s">
        <v>635</v>
      </c>
      <c r="E806" s="253" t="s">
        <v>907</v>
      </c>
      <c r="F806" s="254" t="s">
        <v>621</v>
      </c>
      <c r="G806" s="254"/>
      <c r="H806" s="256">
        <v>21</v>
      </c>
      <c r="I806" s="274"/>
      <c r="J806" s="275"/>
      <c r="K806" s="276"/>
      <c r="L806" s="414"/>
      <c r="M806" s="414"/>
      <c r="N806" s="414"/>
      <c r="O806" s="414"/>
      <c r="P806" s="279"/>
      <c r="Q806" s="279"/>
    </row>
    <row r="807" spans="1:17" s="229" customFormat="1" ht="15" hidden="1" outlineLevel="1">
      <c r="A807" s="250" t="s">
        <v>1327</v>
      </c>
      <c r="B807" s="257"/>
      <c r="C807" s="258" t="s">
        <v>618</v>
      </c>
      <c r="D807" s="259" t="s">
        <v>635</v>
      </c>
      <c r="E807" s="253" t="s">
        <v>713</v>
      </c>
      <c r="F807" s="254" t="s">
        <v>621</v>
      </c>
      <c r="G807" s="254"/>
      <c r="H807" s="256">
        <v>63.69</v>
      </c>
      <c r="I807" s="274"/>
      <c r="J807" s="275"/>
      <c r="K807" s="276"/>
      <c r="L807" s="414"/>
      <c r="M807" s="414"/>
      <c r="N807" s="414"/>
      <c r="O807" s="414"/>
      <c r="P807" s="279"/>
      <c r="Q807" s="279"/>
    </row>
    <row r="808" spans="1:17" s="229" customFormat="1" ht="15" hidden="1" outlineLevel="1">
      <c r="A808" s="833" t="s">
        <v>1328</v>
      </c>
      <c r="B808" s="257"/>
      <c r="C808" s="258" t="s">
        <v>618</v>
      </c>
      <c r="D808" s="838" t="s">
        <v>635</v>
      </c>
      <c r="E808" s="835" t="s">
        <v>1329</v>
      </c>
      <c r="F808" s="254" t="s">
        <v>830</v>
      </c>
      <c r="G808" s="254"/>
      <c r="H808" s="256">
        <v>148</v>
      </c>
      <c r="I808" s="274"/>
      <c r="J808" s="275"/>
      <c r="K808" s="276"/>
      <c r="L808" s="414"/>
      <c r="M808" s="414"/>
      <c r="N808" s="414"/>
      <c r="O808" s="414"/>
      <c r="P808" s="279"/>
      <c r="Q808" s="279"/>
    </row>
    <row r="809" spans="1:17" s="229" customFormat="1" ht="15" hidden="1" outlineLevel="1">
      <c r="A809" s="833" t="s">
        <v>1328</v>
      </c>
      <c r="B809" s="257"/>
      <c r="C809" s="258" t="s">
        <v>618</v>
      </c>
      <c r="D809" s="838" t="s">
        <v>630</v>
      </c>
      <c r="E809" s="835" t="s">
        <v>1330</v>
      </c>
      <c r="F809" s="254" t="s">
        <v>830</v>
      </c>
      <c r="G809" s="254"/>
      <c r="H809" s="256">
        <v>14</v>
      </c>
      <c r="I809" s="274"/>
      <c r="J809" s="275"/>
      <c r="K809" s="276"/>
      <c r="L809" s="414"/>
      <c r="M809" s="414"/>
      <c r="N809" s="414"/>
      <c r="O809" s="414"/>
      <c r="P809" s="279"/>
      <c r="Q809" s="279"/>
    </row>
    <row r="810" spans="1:17" s="229" customFormat="1" ht="15" hidden="1" outlineLevel="1">
      <c r="A810" s="833" t="s">
        <v>1328</v>
      </c>
      <c r="B810" s="257"/>
      <c r="C810" s="258" t="s">
        <v>618</v>
      </c>
      <c r="D810" s="838" t="s">
        <v>630</v>
      </c>
      <c r="E810" s="835" t="s">
        <v>1044</v>
      </c>
      <c r="F810" s="254" t="s">
        <v>625</v>
      </c>
      <c r="G810" s="254"/>
      <c r="H810" s="256">
        <v>7</v>
      </c>
      <c r="I810" s="274"/>
      <c r="J810" s="275"/>
      <c r="K810" s="276"/>
      <c r="L810" s="414"/>
      <c r="M810" s="414"/>
      <c r="N810" s="414"/>
      <c r="O810" s="414"/>
      <c r="P810" s="279"/>
      <c r="Q810" s="279"/>
    </row>
    <row r="811" spans="1:17" s="229" customFormat="1" ht="15" hidden="1" outlineLevel="1">
      <c r="A811" s="833" t="s">
        <v>1328</v>
      </c>
      <c r="B811" s="257"/>
      <c r="C811" s="258" t="s">
        <v>618</v>
      </c>
      <c r="D811" s="838" t="s">
        <v>630</v>
      </c>
      <c r="E811" s="835" t="s">
        <v>1044</v>
      </c>
      <c r="F811" s="254" t="s">
        <v>625</v>
      </c>
      <c r="G811" s="254"/>
      <c r="H811" s="256">
        <v>8</v>
      </c>
      <c r="I811" s="274"/>
      <c r="J811" s="275"/>
      <c r="K811" s="276"/>
      <c r="L811" s="414"/>
      <c r="M811" s="414"/>
      <c r="N811" s="414"/>
      <c r="O811" s="414"/>
      <c r="P811" s="279"/>
      <c r="Q811" s="279"/>
    </row>
    <row r="812" spans="1:17" s="229" customFormat="1" ht="15" hidden="1" outlineLevel="1">
      <c r="A812" s="833" t="s">
        <v>1328</v>
      </c>
      <c r="B812" s="257"/>
      <c r="C812" s="258" t="s">
        <v>618</v>
      </c>
      <c r="D812" s="838" t="s">
        <v>630</v>
      </c>
      <c r="E812" s="835" t="s">
        <v>1044</v>
      </c>
      <c r="F812" s="254" t="s">
        <v>625</v>
      </c>
      <c r="G812" s="254"/>
      <c r="H812" s="256">
        <v>13</v>
      </c>
      <c r="I812" s="274"/>
      <c r="J812" s="275"/>
      <c r="K812" s="276"/>
      <c r="L812" s="414"/>
      <c r="M812" s="414"/>
      <c r="N812" s="414"/>
      <c r="O812" s="414"/>
      <c r="P812" s="279"/>
      <c r="Q812" s="279"/>
    </row>
    <row r="813" spans="1:17" s="229" customFormat="1" ht="15" hidden="1" outlineLevel="1">
      <c r="A813" s="833" t="s">
        <v>1328</v>
      </c>
      <c r="B813" s="257"/>
      <c r="C813" s="258" t="s">
        <v>618</v>
      </c>
      <c r="D813" s="838" t="s">
        <v>714</v>
      </c>
      <c r="E813" s="835" t="s">
        <v>715</v>
      </c>
      <c r="F813" s="254" t="s">
        <v>625</v>
      </c>
      <c r="G813" s="254"/>
      <c r="H813" s="256">
        <v>1.25</v>
      </c>
      <c r="I813" s="274"/>
      <c r="J813" s="275"/>
      <c r="K813" s="276"/>
      <c r="L813" s="414"/>
      <c r="M813" s="414"/>
      <c r="N813" s="414"/>
      <c r="O813" s="414"/>
      <c r="P813" s="279"/>
      <c r="Q813" s="279"/>
    </row>
    <row r="814" spans="1:17" s="229" customFormat="1" ht="15" hidden="1" outlineLevel="1">
      <c r="A814" s="833" t="s">
        <v>1328</v>
      </c>
      <c r="B814" s="257"/>
      <c r="C814" s="258" t="s">
        <v>618</v>
      </c>
      <c r="D814" s="838" t="s">
        <v>714</v>
      </c>
      <c r="E814" s="835" t="s">
        <v>715</v>
      </c>
      <c r="F814" s="254" t="s">
        <v>625</v>
      </c>
      <c r="G814" s="254"/>
      <c r="H814" s="256">
        <v>1</v>
      </c>
      <c r="I814" s="274"/>
      <c r="J814" s="275"/>
      <c r="K814" s="276"/>
      <c r="L814" s="414"/>
      <c r="M814" s="414"/>
      <c r="N814" s="414"/>
      <c r="O814" s="414"/>
      <c r="P814" s="279"/>
      <c r="Q814" s="279"/>
    </row>
    <row r="815" spans="1:17" s="229" customFormat="1" ht="15" hidden="1" outlineLevel="1">
      <c r="A815" s="833" t="s">
        <v>1328</v>
      </c>
      <c r="B815" s="257"/>
      <c r="C815" s="258" t="s">
        <v>618</v>
      </c>
      <c r="D815" s="838" t="s">
        <v>714</v>
      </c>
      <c r="E815" s="835" t="s">
        <v>1331</v>
      </c>
      <c r="F815" s="254" t="s">
        <v>625</v>
      </c>
      <c r="G815" s="254"/>
      <c r="H815" s="256">
        <v>0.375</v>
      </c>
      <c r="I815" s="274"/>
      <c r="J815" s="275"/>
      <c r="K815" s="276"/>
      <c r="L815" s="414"/>
      <c r="M815" s="414"/>
      <c r="N815" s="414"/>
      <c r="O815" s="414"/>
      <c r="P815" s="279"/>
      <c r="Q815" s="279"/>
    </row>
    <row r="816" spans="1:17" s="229" customFormat="1" ht="15" hidden="1" outlineLevel="1">
      <c r="A816" s="833" t="s">
        <v>1328</v>
      </c>
      <c r="B816" s="257"/>
      <c r="C816" s="258" t="s">
        <v>1081</v>
      </c>
      <c r="D816" s="838" t="s">
        <v>630</v>
      </c>
      <c r="E816" s="835" t="s">
        <v>1332</v>
      </c>
      <c r="F816" s="254" t="s">
        <v>625</v>
      </c>
      <c r="G816" s="254"/>
      <c r="H816" s="256">
        <v>8.8000000000000007</v>
      </c>
      <c r="I816" s="274"/>
      <c r="J816" s="275"/>
      <c r="K816" s="276"/>
      <c r="L816" s="414"/>
      <c r="M816" s="414"/>
      <c r="N816" s="414"/>
      <c r="O816" s="414"/>
      <c r="P816" s="279"/>
      <c r="Q816" s="279"/>
    </row>
    <row r="817" spans="1:17" s="229" customFormat="1" ht="15" hidden="1" outlineLevel="1">
      <c r="A817" s="833" t="s">
        <v>1328</v>
      </c>
      <c r="B817" s="257"/>
      <c r="C817" s="258" t="s">
        <v>1081</v>
      </c>
      <c r="D817" s="838" t="s">
        <v>630</v>
      </c>
      <c r="E817" s="835" t="s">
        <v>1333</v>
      </c>
      <c r="F817" s="254" t="s">
        <v>1334</v>
      </c>
      <c r="G817" s="254"/>
      <c r="H817" s="256">
        <v>30.8</v>
      </c>
      <c r="I817" s="274"/>
      <c r="J817" s="275"/>
      <c r="K817" s="276"/>
      <c r="L817" s="414"/>
      <c r="M817" s="414"/>
      <c r="N817" s="414"/>
      <c r="O817" s="414"/>
      <c r="P817" s="279"/>
      <c r="Q817" s="279"/>
    </row>
    <row r="818" spans="1:17" s="229" customFormat="1" ht="15" hidden="1" outlineLevel="1">
      <c r="A818" s="833" t="s">
        <v>1335</v>
      </c>
      <c r="B818" s="257"/>
      <c r="C818" s="258" t="s">
        <v>618</v>
      </c>
      <c r="D818" s="838" t="s">
        <v>635</v>
      </c>
      <c r="E818" s="835" t="s">
        <v>770</v>
      </c>
      <c r="F818" s="254" t="s">
        <v>638</v>
      </c>
      <c r="G818" s="254"/>
      <c r="H818" s="256">
        <v>50</v>
      </c>
      <c r="I818" s="274"/>
      <c r="J818" s="275"/>
      <c r="K818" s="276"/>
      <c r="L818" s="414"/>
      <c r="M818" s="414"/>
      <c r="N818" s="414"/>
      <c r="O818" s="414"/>
      <c r="P818" s="279"/>
      <c r="Q818" s="279"/>
    </row>
    <row r="819" spans="1:17" s="229" customFormat="1" ht="15" hidden="1" outlineLevel="1">
      <c r="A819" s="833" t="s">
        <v>1335</v>
      </c>
      <c r="B819" s="257"/>
      <c r="C819" s="258" t="s">
        <v>618</v>
      </c>
      <c r="D819" s="838" t="s">
        <v>635</v>
      </c>
      <c r="E819" s="835" t="s">
        <v>1336</v>
      </c>
      <c r="F819" s="254" t="s">
        <v>621</v>
      </c>
      <c r="G819" s="254"/>
      <c r="H819" s="256">
        <v>18</v>
      </c>
      <c r="I819" s="274"/>
      <c r="J819" s="275"/>
      <c r="K819" s="276"/>
      <c r="L819" s="414"/>
      <c r="M819" s="414"/>
      <c r="N819" s="414"/>
      <c r="O819" s="414"/>
      <c r="P819" s="279"/>
      <c r="Q819" s="279"/>
    </row>
    <row r="820" spans="1:17" s="229" customFormat="1" ht="15" hidden="1" outlineLevel="1">
      <c r="A820" s="833" t="s">
        <v>1335</v>
      </c>
      <c r="B820" s="257"/>
      <c r="C820" s="258" t="s">
        <v>618</v>
      </c>
      <c r="D820" s="838" t="s">
        <v>635</v>
      </c>
      <c r="E820" s="835" t="s">
        <v>1337</v>
      </c>
      <c r="F820" s="254" t="s">
        <v>621</v>
      </c>
      <c r="G820" s="254"/>
      <c r="H820" s="256">
        <v>86</v>
      </c>
      <c r="I820" s="274"/>
      <c r="J820" s="275"/>
      <c r="K820" s="276"/>
      <c r="L820" s="414"/>
      <c r="M820" s="414"/>
      <c r="N820" s="414"/>
      <c r="O820" s="414"/>
      <c r="P820" s="279"/>
      <c r="Q820" s="279"/>
    </row>
    <row r="821" spans="1:17" s="229" customFormat="1" ht="15" hidden="1" outlineLevel="1">
      <c r="A821" s="833" t="s">
        <v>1335</v>
      </c>
      <c r="B821" s="257"/>
      <c r="C821" s="258" t="s">
        <v>618</v>
      </c>
      <c r="D821" s="838" t="s">
        <v>635</v>
      </c>
      <c r="E821" s="835" t="s">
        <v>1338</v>
      </c>
      <c r="F821" s="254" t="s">
        <v>1339</v>
      </c>
      <c r="G821" s="254"/>
      <c r="H821" s="256">
        <v>46</v>
      </c>
      <c r="I821" s="274"/>
      <c r="J821" s="275"/>
      <c r="K821" s="276"/>
      <c r="L821" s="414"/>
      <c r="M821" s="414"/>
      <c r="N821" s="414"/>
      <c r="O821" s="414"/>
      <c r="P821" s="279"/>
      <c r="Q821" s="279"/>
    </row>
    <row r="822" spans="1:17" s="229" customFormat="1" ht="15" hidden="1" outlineLevel="1">
      <c r="A822" s="833" t="s">
        <v>1335</v>
      </c>
      <c r="B822" s="257"/>
      <c r="C822" s="258" t="s">
        <v>618</v>
      </c>
      <c r="D822" s="838" t="s">
        <v>714</v>
      </c>
      <c r="E822" s="835" t="s">
        <v>1043</v>
      </c>
      <c r="F822" s="254" t="s">
        <v>625</v>
      </c>
      <c r="G822" s="254"/>
      <c r="H822" s="256">
        <v>3.4</v>
      </c>
      <c r="I822" s="274"/>
      <c r="J822" s="275"/>
      <c r="K822" s="276"/>
      <c r="L822" s="414"/>
      <c r="M822" s="414"/>
      <c r="N822" s="414"/>
      <c r="O822" s="414"/>
      <c r="P822" s="279"/>
      <c r="Q822" s="279"/>
    </row>
    <row r="823" spans="1:17" s="229" customFormat="1" ht="15" hidden="1" outlineLevel="1">
      <c r="A823" s="833" t="s">
        <v>1335</v>
      </c>
      <c r="B823" s="257"/>
      <c r="C823" s="258" t="s">
        <v>618</v>
      </c>
      <c r="D823" s="838" t="s">
        <v>714</v>
      </c>
      <c r="E823" s="835" t="s">
        <v>1224</v>
      </c>
      <c r="F823" s="254" t="s">
        <v>625</v>
      </c>
      <c r="G823" s="254"/>
      <c r="H823" s="256">
        <v>0.75</v>
      </c>
      <c r="I823" s="274"/>
      <c r="J823" s="275"/>
      <c r="K823" s="276"/>
      <c r="L823" s="414"/>
      <c r="M823" s="414"/>
      <c r="N823" s="414"/>
      <c r="O823" s="414"/>
      <c r="P823" s="279"/>
      <c r="Q823" s="279"/>
    </row>
    <row r="824" spans="1:17" s="229" customFormat="1" ht="15" hidden="1" outlineLevel="1">
      <c r="A824" s="833" t="s">
        <v>1335</v>
      </c>
      <c r="B824" s="257"/>
      <c r="C824" s="258" t="s">
        <v>618</v>
      </c>
      <c r="D824" s="838" t="s">
        <v>714</v>
      </c>
      <c r="E824" s="835" t="s">
        <v>1223</v>
      </c>
      <c r="F824" s="254" t="s">
        <v>625</v>
      </c>
      <c r="G824" s="254"/>
      <c r="H824" s="256">
        <v>1.5</v>
      </c>
      <c r="I824" s="274"/>
      <c r="J824" s="275"/>
      <c r="K824" s="276"/>
      <c r="L824" s="414"/>
      <c r="M824" s="414"/>
      <c r="N824" s="414"/>
      <c r="O824" s="414"/>
      <c r="P824" s="279"/>
      <c r="Q824" s="279"/>
    </row>
    <row r="825" spans="1:17" s="229" customFormat="1" ht="15" hidden="1" outlineLevel="1">
      <c r="A825" s="833" t="s">
        <v>502</v>
      </c>
      <c r="B825" s="257"/>
      <c r="C825" s="258" t="s">
        <v>618</v>
      </c>
      <c r="D825" s="838" t="s">
        <v>630</v>
      </c>
      <c r="E825" s="835" t="s">
        <v>1047</v>
      </c>
      <c r="F825" s="254" t="s">
        <v>625</v>
      </c>
      <c r="G825" s="254"/>
      <c r="H825" s="256">
        <v>18</v>
      </c>
      <c r="I825" s="274"/>
      <c r="J825" s="275"/>
      <c r="K825" s="276"/>
      <c r="L825" s="414"/>
      <c r="M825" s="414"/>
      <c r="N825" s="414"/>
      <c r="O825" s="414"/>
      <c r="P825" s="279"/>
      <c r="Q825" s="279"/>
    </row>
    <row r="826" spans="1:17" s="229" customFormat="1" ht="15" hidden="1" outlineLevel="1">
      <c r="A826" s="833" t="s">
        <v>502</v>
      </c>
      <c r="B826" s="257"/>
      <c r="C826" s="258" t="s">
        <v>618</v>
      </c>
      <c r="D826" s="838" t="s">
        <v>630</v>
      </c>
      <c r="E826" s="835" t="s">
        <v>1047</v>
      </c>
      <c r="F826" s="254" t="s">
        <v>625</v>
      </c>
      <c r="G826" s="254"/>
      <c r="H826" s="256">
        <v>19.5</v>
      </c>
      <c r="I826" s="274"/>
      <c r="J826" s="275"/>
      <c r="K826" s="276"/>
      <c r="L826" s="414"/>
      <c r="M826" s="414"/>
      <c r="N826" s="414"/>
      <c r="O826" s="414"/>
      <c r="P826" s="279"/>
      <c r="Q826" s="279"/>
    </row>
    <row r="827" spans="1:17" s="229" customFormat="1" ht="15" hidden="1" outlineLevel="1">
      <c r="A827" s="833" t="s">
        <v>1340</v>
      </c>
      <c r="B827" s="257"/>
      <c r="C827" s="258" t="s">
        <v>618</v>
      </c>
      <c r="D827" s="838" t="s">
        <v>635</v>
      </c>
      <c r="E827" s="835" t="s">
        <v>1341</v>
      </c>
      <c r="F827" s="254" t="s">
        <v>621</v>
      </c>
      <c r="G827" s="254"/>
      <c r="H827" s="256">
        <v>28.5</v>
      </c>
      <c r="I827" s="274"/>
      <c r="J827" s="275"/>
      <c r="K827" s="276"/>
      <c r="L827" s="414"/>
      <c r="M827" s="414"/>
      <c r="N827" s="414"/>
      <c r="O827" s="414"/>
      <c r="P827" s="279"/>
      <c r="Q827" s="279"/>
    </row>
    <row r="828" spans="1:17" s="229" customFormat="1" ht="15" hidden="1" outlineLevel="1">
      <c r="A828" s="833" t="s">
        <v>1340</v>
      </c>
      <c r="B828" s="257"/>
      <c r="C828" s="258" t="s">
        <v>618</v>
      </c>
      <c r="D828" s="838" t="s">
        <v>611</v>
      </c>
      <c r="E828" s="835" t="s">
        <v>1342</v>
      </c>
      <c r="F828" s="254" t="s">
        <v>780</v>
      </c>
      <c r="G828" s="254"/>
      <c r="H828" s="256">
        <v>372.23</v>
      </c>
      <c r="I828" s="274"/>
      <c r="J828" s="275"/>
      <c r="K828" s="276"/>
      <c r="L828" s="414"/>
      <c r="M828" s="414"/>
      <c r="N828" s="414"/>
      <c r="O828" s="414"/>
      <c r="P828" s="279"/>
      <c r="Q828" s="279"/>
    </row>
    <row r="829" spans="1:17" s="229" customFormat="1" ht="15" hidden="1" outlineLevel="1">
      <c r="A829" s="833" t="s">
        <v>1340</v>
      </c>
      <c r="B829" s="257"/>
      <c r="C829" s="258" t="s">
        <v>618</v>
      </c>
      <c r="D829" s="838" t="s">
        <v>611</v>
      </c>
      <c r="E829" s="835" t="s">
        <v>1343</v>
      </c>
      <c r="F829" s="254" t="s">
        <v>782</v>
      </c>
      <c r="G829" s="254"/>
      <c r="H829" s="256">
        <v>115</v>
      </c>
      <c r="I829" s="274"/>
      <c r="J829" s="275"/>
      <c r="K829" s="276"/>
      <c r="L829" s="414"/>
      <c r="M829" s="414"/>
      <c r="N829" s="414"/>
      <c r="O829" s="414"/>
      <c r="P829" s="279"/>
      <c r="Q829" s="279"/>
    </row>
    <row r="830" spans="1:17" s="229" customFormat="1" ht="15" hidden="1" outlineLevel="1">
      <c r="A830" s="833" t="s">
        <v>1340</v>
      </c>
      <c r="B830" s="257"/>
      <c r="C830" s="258" t="s">
        <v>618</v>
      </c>
      <c r="D830" s="838" t="s">
        <v>611</v>
      </c>
      <c r="E830" s="835" t="s">
        <v>1344</v>
      </c>
      <c r="F830" s="254" t="s">
        <v>784</v>
      </c>
      <c r="G830" s="254"/>
      <c r="H830" s="256">
        <v>220</v>
      </c>
      <c r="I830" s="274"/>
      <c r="J830" s="275"/>
      <c r="K830" s="276"/>
      <c r="L830" s="414"/>
      <c r="M830" s="414"/>
      <c r="N830" s="414"/>
      <c r="O830" s="414"/>
      <c r="P830" s="279"/>
      <c r="Q830" s="279"/>
    </row>
    <row r="831" spans="1:17" s="229" customFormat="1" ht="15" hidden="1" outlineLevel="1">
      <c r="A831" s="833" t="s">
        <v>1345</v>
      </c>
      <c r="B831" s="257"/>
      <c r="C831" s="258" t="s">
        <v>618</v>
      </c>
      <c r="D831" s="838" t="s">
        <v>635</v>
      </c>
      <c r="E831" s="835" t="s">
        <v>1346</v>
      </c>
      <c r="F831" s="254" t="s">
        <v>644</v>
      </c>
      <c r="G831" s="254"/>
      <c r="H831" s="256">
        <v>100</v>
      </c>
      <c r="I831" s="274"/>
      <c r="J831" s="275"/>
      <c r="K831" s="276"/>
      <c r="L831" s="414"/>
      <c r="M831" s="414"/>
      <c r="N831" s="414"/>
      <c r="O831" s="414"/>
      <c r="P831" s="279"/>
      <c r="Q831" s="279"/>
    </row>
    <row r="832" spans="1:17" s="229" customFormat="1" ht="15" hidden="1" outlineLevel="1">
      <c r="A832" s="833" t="s">
        <v>1345</v>
      </c>
      <c r="B832" s="257"/>
      <c r="C832" s="258" t="s">
        <v>618</v>
      </c>
      <c r="D832" s="838" t="s">
        <v>611</v>
      </c>
      <c r="E832" s="835" t="s">
        <v>1274</v>
      </c>
      <c r="F832" s="254" t="s">
        <v>641</v>
      </c>
      <c r="G832" s="254"/>
      <c r="H832" s="256">
        <v>4.5</v>
      </c>
      <c r="I832" s="274"/>
      <c r="J832" s="275"/>
      <c r="K832" s="276"/>
      <c r="L832" s="414"/>
      <c r="M832" s="414"/>
      <c r="N832" s="414"/>
      <c r="O832" s="414"/>
      <c r="P832" s="279"/>
      <c r="Q832" s="279"/>
    </row>
    <row r="833" spans="1:17" s="229" customFormat="1" ht="15" hidden="1" outlineLevel="1">
      <c r="A833" s="833" t="s">
        <v>1345</v>
      </c>
      <c r="B833" s="257"/>
      <c r="C833" s="258" t="s">
        <v>618</v>
      </c>
      <c r="D833" s="838" t="s">
        <v>630</v>
      </c>
      <c r="E833" s="835" t="s">
        <v>1029</v>
      </c>
      <c r="F833" s="254" t="s">
        <v>625</v>
      </c>
      <c r="G833" s="254"/>
      <c r="H833" s="256">
        <v>4.5</v>
      </c>
      <c r="I833" s="274"/>
      <c r="J833" s="275"/>
      <c r="K833" s="276"/>
      <c r="L833" s="414"/>
      <c r="M833" s="414"/>
      <c r="N833" s="414"/>
      <c r="O833" s="414"/>
      <c r="P833" s="279"/>
      <c r="Q833" s="279"/>
    </row>
    <row r="834" spans="1:17" s="229" customFormat="1" ht="15" hidden="1" outlineLevel="1">
      <c r="A834" s="833" t="s">
        <v>1345</v>
      </c>
      <c r="B834" s="257"/>
      <c r="C834" s="258" t="s">
        <v>1081</v>
      </c>
      <c r="D834" s="838" t="s">
        <v>630</v>
      </c>
      <c r="E834" s="835" t="s">
        <v>1347</v>
      </c>
      <c r="F834" s="254" t="s">
        <v>625</v>
      </c>
      <c r="G834" s="254"/>
      <c r="H834" s="256">
        <v>8</v>
      </c>
      <c r="I834" s="274"/>
      <c r="J834" s="275"/>
      <c r="K834" s="276"/>
      <c r="L834" s="414"/>
      <c r="M834" s="414"/>
      <c r="N834" s="414"/>
      <c r="O834" s="414"/>
      <c r="P834" s="279"/>
      <c r="Q834" s="279"/>
    </row>
    <row r="835" spans="1:17" s="229" customFormat="1" ht="15" hidden="1" outlineLevel="1">
      <c r="A835" s="833" t="s">
        <v>1348</v>
      </c>
      <c r="B835" s="257"/>
      <c r="C835" s="258" t="s">
        <v>618</v>
      </c>
      <c r="D835" s="838" t="s">
        <v>635</v>
      </c>
      <c r="E835" s="835" t="s">
        <v>1349</v>
      </c>
      <c r="F835" s="254" t="s">
        <v>621</v>
      </c>
      <c r="G835" s="254"/>
      <c r="H835" s="256">
        <v>111</v>
      </c>
      <c r="I835" s="274"/>
      <c r="J835" s="275"/>
      <c r="K835" s="276"/>
      <c r="L835" s="414"/>
      <c r="M835" s="414"/>
      <c r="N835" s="414"/>
      <c r="O835" s="414"/>
      <c r="P835" s="279"/>
      <c r="Q835" s="279"/>
    </row>
    <row r="836" spans="1:17" s="229" customFormat="1" ht="15" hidden="1" outlineLevel="1">
      <c r="A836" s="833" t="s">
        <v>506</v>
      </c>
      <c r="B836" s="257"/>
      <c r="C836" s="258" t="s">
        <v>618</v>
      </c>
      <c r="D836" s="838" t="s">
        <v>635</v>
      </c>
      <c r="E836" s="835" t="s">
        <v>1350</v>
      </c>
      <c r="F836" s="254" t="s">
        <v>621</v>
      </c>
      <c r="G836" s="254"/>
      <c r="H836" s="256">
        <v>8.3000000000000007</v>
      </c>
      <c r="I836" s="274"/>
      <c r="J836" s="275"/>
      <c r="K836" s="276"/>
      <c r="L836" s="414"/>
      <c r="M836" s="414"/>
      <c r="N836" s="414"/>
      <c r="O836" s="414"/>
      <c r="P836" s="279"/>
      <c r="Q836" s="279"/>
    </row>
    <row r="837" spans="1:17" s="229" customFormat="1" ht="15" hidden="1" outlineLevel="1">
      <c r="A837" s="833" t="s">
        <v>506</v>
      </c>
      <c r="B837" s="257"/>
      <c r="C837" s="258" t="s">
        <v>618</v>
      </c>
      <c r="D837" s="838" t="s">
        <v>635</v>
      </c>
      <c r="E837" s="835" t="s">
        <v>1351</v>
      </c>
      <c r="F837" s="254" t="s">
        <v>621</v>
      </c>
      <c r="G837" s="254"/>
      <c r="H837" s="256">
        <v>17.72</v>
      </c>
      <c r="I837" s="274"/>
      <c r="J837" s="275"/>
      <c r="K837" s="276"/>
      <c r="L837" s="414"/>
      <c r="M837" s="414"/>
      <c r="N837" s="414"/>
      <c r="O837" s="414"/>
      <c r="P837" s="279"/>
      <c r="Q837" s="279"/>
    </row>
    <row r="838" spans="1:17" s="229" customFormat="1" ht="15" hidden="1" outlineLevel="1">
      <c r="A838" s="833" t="s">
        <v>506</v>
      </c>
      <c r="B838" s="257"/>
      <c r="C838" s="258" t="s">
        <v>618</v>
      </c>
      <c r="D838" s="838" t="s">
        <v>635</v>
      </c>
      <c r="E838" s="835" t="s">
        <v>757</v>
      </c>
      <c r="F838" s="254" t="s">
        <v>621</v>
      </c>
      <c r="G838" s="254"/>
      <c r="H838" s="256">
        <v>12</v>
      </c>
      <c r="I838" s="274"/>
      <c r="J838" s="275"/>
      <c r="K838" s="276"/>
      <c r="L838" s="414"/>
      <c r="M838" s="414"/>
      <c r="N838" s="414"/>
      <c r="O838" s="414"/>
      <c r="P838" s="279"/>
      <c r="Q838" s="279"/>
    </row>
    <row r="839" spans="1:17" s="229" customFormat="1" ht="15" hidden="1" outlineLevel="1">
      <c r="A839" s="833" t="s">
        <v>506</v>
      </c>
      <c r="B839" s="257"/>
      <c r="C839" s="258" t="s">
        <v>618</v>
      </c>
      <c r="D839" s="838" t="s">
        <v>630</v>
      </c>
      <c r="E839" s="835" t="s">
        <v>1047</v>
      </c>
      <c r="F839" s="254" t="s">
        <v>625</v>
      </c>
      <c r="G839" s="254"/>
      <c r="H839" s="256">
        <v>14.4</v>
      </c>
      <c r="I839" s="274"/>
      <c r="J839" s="275"/>
      <c r="K839" s="276"/>
      <c r="L839" s="414"/>
      <c r="M839" s="414"/>
      <c r="N839" s="414"/>
      <c r="O839" s="414"/>
      <c r="P839" s="279"/>
      <c r="Q839" s="279"/>
    </row>
    <row r="840" spans="1:17" s="229" customFormat="1" ht="15" hidden="1" outlineLevel="1">
      <c r="A840" s="833" t="s">
        <v>506</v>
      </c>
      <c r="B840" s="257"/>
      <c r="C840" s="258" t="s">
        <v>618</v>
      </c>
      <c r="D840" s="838" t="s">
        <v>611</v>
      </c>
      <c r="E840" s="835" t="s">
        <v>1352</v>
      </c>
      <c r="F840" s="254" t="s">
        <v>1353</v>
      </c>
      <c r="G840" s="254"/>
      <c r="H840" s="256">
        <v>15</v>
      </c>
      <c r="I840" s="274"/>
      <c r="J840" s="275"/>
      <c r="K840" s="276"/>
      <c r="L840" s="414"/>
      <c r="M840" s="414"/>
      <c r="N840" s="414"/>
      <c r="O840" s="414"/>
      <c r="P840" s="279"/>
      <c r="Q840" s="279"/>
    </row>
    <row r="841" spans="1:17" s="229" customFormat="1" ht="15" hidden="1" outlineLevel="1">
      <c r="A841" s="833" t="s">
        <v>508</v>
      </c>
      <c r="B841" s="257"/>
      <c r="C841" s="258" t="s">
        <v>618</v>
      </c>
      <c r="D841" s="838" t="s">
        <v>635</v>
      </c>
      <c r="E841" s="835" t="s">
        <v>1354</v>
      </c>
      <c r="F841" s="254" t="s">
        <v>644</v>
      </c>
      <c r="G841" s="254"/>
      <c r="H841" s="256">
        <v>1443.44</v>
      </c>
      <c r="I841" s="274"/>
      <c r="J841" s="275"/>
      <c r="K841" s="276"/>
      <c r="L841" s="414"/>
      <c r="M841" s="414"/>
      <c r="N841" s="414"/>
      <c r="O841" s="414"/>
      <c r="P841" s="279"/>
      <c r="Q841" s="279"/>
    </row>
    <row r="842" spans="1:17" s="1031" customFormat="1" ht="15" hidden="1" outlineLevel="1">
      <c r="A842" s="1019" t="s">
        <v>1615</v>
      </c>
      <c r="B842" s="1020"/>
      <c r="C842" s="1021" t="s">
        <v>618</v>
      </c>
      <c r="D842" s="1022" t="s">
        <v>635</v>
      </c>
      <c r="E842" s="1023" t="s">
        <v>1673</v>
      </c>
      <c r="F842" s="1024" t="s">
        <v>638</v>
      </c>
      <c r="G842" s="1024"/>
      <c r="H842" s="1025">
        <v>50</v>
      </c>
      <c r="I842" s="1026"/>
      <c r="J842" s="1027"/>
      <c r="K842" s="1028"/>
      <c r="L842" s="1029"/>
      <c r="M842" s="1029"/>
      <c r="N842" s="1029"/>
      <c r="O842" s="1029"/>
      <c r="P842" s="1030"/>
      <c r="Q842" s="1030"/>
    </row>
    <row r="843" spans="1:17" s="1031" customFormat="1" ht="15" hidden="1" outlineLevel="1">
      <c r="A843" s="1019" t="s">
        <v>1615</v>
      </c>
      <c r="B843" s="1020"/>
      <c r="C843" s="1021" t="s">
        <v>618</v>
      </c>
      <c r="D843" s="1022" t="s">
        <v>635</v>
      </c>
      <c r="E843" s="1023" t="s">
        <v>1674</v>
      </c>
      <c r="F843" s="1024" t="s">
        <v>638</v>
      </c>
      <c r="G843" s="1024"/>
      <c r="H843" s="1025">
        <v>40</v>
      </c>
      <c r="I843" s="1026"/>
      <c r="J843" s="1027"/>
      <c r="K843" s="1028"/>
      <c r="L843" s="1029"/>
      <c r="M843" s="1029"/>
      <c r="N843" s="1029"/>
      <c r="O843" s="1029"/>
      <c r="P843" s="1030"/>
      <c r="Q843" s="1030"/>
    </row>
    <row r="844" spans="1:17" s="1031" customFormat="1" ht="15" hidden="1" outlineLevel="1">
      <c r="A844" s="1019" t="s">
        <v>1627</v>
      </c>
      <c r="B844" s="1020"/>
      <c r="C844" s="1021" t="s">
        <v>618</v>
      </c>
      <c r="D844" s="1022" t="s">
        <v>635</v>
      </c>
      <c r="E844" s="1023" t="s">
        <v>991</v>
      </c>
      <c r="F844" s="1024"/>
      <c r="G844" s="1024">
        <v>6000</v>
      </c>
      <c r="H844" s="1025"/>
      <c r="I844" s="1026"/>
      <c r="J844" s="1027"/>
      <c r="K844" s="1028"/>
      <c r="L844" s="1029"/>
      <c r="M844" s="1029"/>
      <c r="N844" s="1029"/>
      <c r="O844" s="1029"/>
      <c r="P844" s="1030"/>
      <c r="Q844" s="1030"/>
    </row>
    <row r="845" spans="1:17" s="1031" customFormat="1" ht="15" hidden="1" outlineLevel="1">
      <c r="A845" s="1019" t="s">
        <v>1627</v>
      </c>
      <c r="B845" s="1020"/>
      <c r="C845" s="1021" t="s">
        <v>618</v>
      </c>
      <c r="D845" s="1022" t="s">
        <v>635</v>
      </c>
      <c r="E845" s="1023" t="s">
        <v>1675</v>
      </c>
      <c r="F845" s="1024" t="s">
        <v>621</v>
      </c>
      <c r="G845" s="1024"/>
      <c r="H845" s="1025">
        <v>72.599999999999994</v>
      </c>
      <c r="I845" s="1026"/>
      <c r="J845" s="1027"/>
      <c r="K845" s="1028"/>
      <c r="L845" s="1029"/>
      <c r="M845" s="1029"/>
      <c r="N845" s="1029"/>
      <c r="O845" s="1029"/>
      <c r="P845" s="1030"/>
      <c r="Q845" s="1030"/>
    </row>
    <row r="846" spans="1:17" s="1031" customFormat="1" ht="15" hidden="1" outlineLevel="1">
      <c r="A846" s="1019" t="s">
        <v>1651</v>
      </c>
      <c r="B846" s="1020"/>
      <c r="C846" s="1021" t="s">
        <v>618</v>
      </c>
      <c r="D846" s="1022" t="s">
        <v>635</v>
      </c>
      <c r="E846" s="1023" t="s">
        <v>1676</v>
      </c>
      <c r="F846" s="1024"/>
      <c r="G846" s="1024">
        <v>4000</v>
      </c>
      <c r="H846" s="1025"/>
      <c r="I846" s="1026"/>
      <c r="J846" s="1027"/>
      <c r="K846" s="1028"/>
      <c r="L846" s="1029"/>
      <c r="M846" s="1029"/>
      <c r="N846" s="1029"/>
      <c r="O846" s="1029"/>
      <c r="P846" s="1030"/>
      <c r="Q846" s="1030"/>
    </row>
    <row r="847" spans="1:17" s="1031" customFormat="1" ht="15" hidden="1" outlineLevel="1">
      <c r="A847" s="1019" t="s">
        <v>1651</v>
      </c>
      <c r="B847" s="1020"/>
      <c r="C847" s="1021" t="s">
        <v>618</v>
      </c>
      <c r="D847" s="1022" t="s">
        <v>635</v>
      </c>
      <c r="E847" s="1023" t="s">
        <v>1677</v>
      </c>
      <c r="F847" s="1024" t="s">
        <v>644</v>
      </c>
      <c r="G847" s="1024"/>
      <c r="H847" s="1025">
        <v>1614.9</v>
      </c>
      <c r="I847" s="1026"/>
      <c r="J847" s="1027"/>
      <c r="K847" s="1028"/>
      <c r="L847" s="1029"/>
      <c r="M847" s="1029"/>
      <c r="N847" s="1029"/>
      <c r="O847" s="1029"/>
      <c r="P847" s="1030"/>
      <c r="Q847" s="1030"/>
    </row>
    <row r="848" spans="1:17" s="1031" customFormat="1" ht="15" hidden="1" outlineLevel="1">
      <c r="A848" s="1019" t="s">
        <v>1651</v>
      </c>
      <c r="B848" s="1020"/>
      <c r="C848" s="1021" t="s">
        <v>618</v>
      </c>
      <c r="D848" s="1022" t="s">
        <v>635</v>
      </c>
      <c r="E848" s="1023" t="s">
        <v>1678</v>
      </c>
      <c r="F848" s="1024" t="s">
        <v>644</v>
      </c>
      <c r="G848" s="1024"/>
      <c r="H848" s="1025">
        <v>8000</v>
      </c>
      <c r="I848" s="1026"/>
      <c r="J848" s="1027"/>
      <c r="K848" s="1028"/>
      <c r="L848" s="1029"/>
      <c r="M848" s="1029"/>
      <c r="N848" s="1029"/>
      <c r="O848" s="1029"/>
      <c r="P848" s="1030"/>
      <c r="Q848" s="1030"/>
    </row>
    <row r="849" spans="1:19" s="1031" customFormat="1" ht="15" hidden="1" outlineLevel="1">
      <c r="A849" s="1019" t="s">
        <v>1651</v>
      </c>
      <c r="B849" s="1020"/>
      <c r="C849" s="1021" t="s">
        <v>618</v>
      </c>
      <c r="D849" s="1022" t="s">
        <v>611</v>
      </c>
      <c r="E849" s="1023" t="s">
        <v>1679</v>
      </c>
      <c r="F849" s="1024" t="s">
        <v>909</v>
      </c>
      <c r="G849" s="1024"/>
      <c r="H849" s="1025">
        <v>323.7</v>
      </c>
      <c r="I849" s="1026"/>
      <c r="J849" s="1027"/>
      <c r="K849" s="1028"/>
      <c r="L849" s="1029"/>
      <c r="M849" s="1029"/>
      <c r="N849" s="1029"/>
      <c r="O849" s="1029"/>
      <c r="P849" s="1030"/>
      <c r="Q849" s="1030"/>
    </row>
    <row r="850" spans="1:19" s="1031" customFormat="1" ht="15.75" hidden="1" outlineLevel="1" thickBot="1">
      <c r="A850" s="1019" t="s">
        <v>1651</v>
      </c>
      <c r="B850" s="1020"/>
      <c r="C850" s="1021" t="s">
        <v>618</v>
      </c>
      <c r="D850" s="1022" t="s">
        <v>630</v>
      </c>
      <c r="E850" s="1023" t="s">
        <v>721</v>
      </c>
      <c r="F850" s="1024" t="s">
        <v>641</v>
      </c>
      <c r="G850" s="1024"/>
      <c r="H850" s="1025">
        <v>3</v>
      </c>
      <c r="I850" s="1026"/>
      <c r="J850" s="1027"/>
      <c r="K850" s="1028"/>
      <c r="L850" s="1029"/>
      <c r="M850" s="1029"/>
      <c r="N850" s="1029"/>
      <c r="O850" s="1029"/>
      <c r="P850" s="1030"/>
      <c r="Q850" s="1030"/>
    </row>
    <row r="851" spans="1:19" ht="16.5" collapsed="1" thickBot="1">
      <c r="A851" s="1047" t="s">
        <v>256</v>
      </c>
      <c r="B851" s="1046"/>
      <c r="C851" s="1048" t="s">
        <v>618</v>
      </c>
      <c r="D851" s="1046"/>
      <c r="E851" s="1049" t="s">
        <v>1598</v>
      </c>
      <c r="F851" s="422"/>
      <c r="G851" s="297">
        <f>SUM(G751:G850)</f>
        <v>23576.457420833347</v>
      </c>
      <c r="H851" s="297">
        <f>SUM(H752:H850)</f>
        <v>17777.996343214501</v>
      </c>
      <c r="I851" s="423">
        <f>G851*I3</f>
        <v>535185583.45291698</v>
      </c>
      <c r="J851" s="424">
        <f>H851*I3</f>
        <v>403560516.99096918</v>
      </c>
      <c r="K851" s="337"/>
      <c r="L851" s="337"/>
      <c r="M851" s="337"/>
      <c r="N851" s="337"/>
      <c r="O851" s="413"/>
      <c r="P851" s="337"/>
      <c r="Q851" s="337"/>
    </row>
    <row r="852" spans="1:19" ht="15.75">
      <c r="A852" s="1963" t="s">
        <v>616</v>
      </c>
      <c r="B852" s="1964"/>
      <c r="C852" s="1964"/>
      <c r="D852" s="1964"/>
      <c r="E852" s="1965"/>
      <c r="F852" s="1280"/>
      <c r="G852" s="1281">
        <f>G851-H851</f>
        <v>5798.4610776188456</v>
      </c>
      <c r="H852" s="1282"/>
      <c r="I852" s="1283">
        <f>G852*I3</f>
        <v>131625066.4619478</v>
      </c>
      <c r="J852" s="1284">
        <f>H852*I3</f>
        <v>0</v>
      </c>
      <c r="K852" s="337"/>
      <c r="L852" s="337"/>
      <c r="M852" s="337"/>
      <c r="N852" s="337"/>
      <c r="O852" s="413"/>
      <c r="P852" s="337"/>
      <c r="Q852" s="337"/>
    </row>
    <row r="853" spans="1:19" s="1031" customFormat="1" ht="30.75" hidden="1" customHeight="1" outlineLevel="1">
      <c r="A853" s="1019" t="s">
        <v>1852</v>
      </c>
      <c r="B853" s="1020"/>
      <c r="C853" s="1021" t="s">
        <v>618</v>
      </c>
      <c r="D853" s="1022" t="s">
        <v>611</v>
      </c>
      <c r="E853" s="1023" t="s">
        <v>1853</v>
      </c>
      <c r="F853" s="1024" t="s">
        <v>1006</v>
      </c>
      <c r="G853" s="1024"/>
      <c r="H853" s="1025">
        <v>4.93</v>
      </c>
      <c r="I853" s="1026"/>
      <c r="J853" s="1027"/>
      <c r="K853" s="1028"/>
      <c r="L853" s="1029"/>
      <c r="M853" s="1029"/>
      <c r="N853" s="1029"/>
      <c r="O853" s="1029"/>
      <c r="P853" s="1029"/>
      <c r="Q853" s="1029"/>
      <c r="R853" s="1030"/>
      <c r="S853" s="1030"/>
    </row>
    <row r="854" spans="1:19" s="1031" customFormat="1" ht="30.75" hidden="1" customHeight="1" outlineLevel="1">
      <c r="A854" s="1019" t="s">
        <v>1852</v>
      </c>
      <c r="B854" s="1020"/>
      <c r="C854" s="1021" t="s">
        <v>618</v>
      </c>
      <c r="D854" s="1022" t="s">
        <v>611</v>
      </c>
      <c r="E854" s="1023" t="s">
        <v>1854</v>
      </c>
      <c r="F854" s="1024" t="s">
        <v>641</v>
      </c>
      <c r="G854" s="1024"/>
      <c r="H854" s="1025">
        <v>90</v>
      </c>
      <c r="I854" s="1026"/>
      <c r="J854" s="1027"/>
      <c r="K854" s="1028"/>
      <c r="L854" s="1029"/>
      <c r="M854" s="1029"/>
      <c r="N854" s="1029"/>
      <c r="O854" s="1029"/>
      <c r="P854" s="1029"/>
      <c r="Q854" s="1029"/>
      <c r="R854" s="1030"/>
      <c r="S854" s="1030"/>
    </row>
    <row r="855" spans="1:19" s="1031" customFormat="1" ht="30.75" hidden="1" customHeight="1" outlineLevel="1">
      <c r="A855" s="1019" t="s">
        <v>1852</v>
      </c>
      <c r="B855" s="1020"/>
      <c r="C855" s="1021" t="s">
        <v>618</v>
      </c>
      <c r="D855" s="1022" t="s">
        <v>611</v>
      </c>
      <c r="E855" s="1023" t="s">
        <v>866</v>
      </c>
      <c r="F855" s="1024" t="s">
        <v>621</v>
      </c>
      <c r="G855" s="1024"/>
      <c r="H855" s="1025">
        <v>37.840000000000003</v>
      </c>
      <c r="I855" s="1026"/>
      <c r="J855" s="1027"/>
      <c r="K855" s="1028"/>
      <c r="L855" s="1029"/>
      <c r="M855" s="1029"/>
      <c r="N855" s="1029"/>
      <c r="O855" s="1029"/>
      <c r="P855" s="1029"/>
      <c r="Q855" s="1029"/>
      <c r="R855" s="1030"/>
      <c r="S855" s="1030"/>
    </row>
    <row r="856" spans="1:19" s="1031" customFormat="1" ht="30.75" hidden="1" customHeight="1" outlineLevel="1">
      <c r="A856" s="1019" t="s">
        <v>1855</v>
      </c>
      <c r="B856" s="1020"/>
      <c r="C856" s="1021" t="s">
        <v>618</v>
      </c>
      <c r="D856" s="1022" t="s">
        <v>635</v>
      </c>
      <c r="E856" s="1023" t="s">
        <v>1856</v>
      </c>
      <c r="F856" s="1024" t="s">
        <v>621</v>
      </c>
      <c r="G856" s="1024"/>
      <c r="H856" s="1025">
        <v>19</v>
      </c>
      <c r="I856" s="1026"/>
      <c r="J856" s="1027"/>
      <c r="K856" s="1028"/>
      <c r="L856" s="1029"/>
      <c r="M856" s="1029"/>
      <c r="N856" s="1029"/>
      <c r="O856" s="1029"/>
      <c r="P856" s="1029"/>
      <c r="Q856" s="1029"/>
      <c r="R856" s="1030"/>
      <c r="S856" s="1030"/>
    </row>
    <row r="857" spans="1:19" s="1031" customFormat="1" ht="30.75" hidden="1" customHeight="1" outlineLevel="1">
      <c r="A857" s="1019" t="s">
        <v>1855</v>
      </c>
      <c r="B857" s="1020"/>
      <c r="C857" s="1021" t="s">
        <v>618</v>
      </c>
      <c r="D857" s="1022" t="s">
        <v>635</v>
      </c>
      <c r="E857" s="1023" t="s">
        <v>1857</v>
      </c>
      <c r="F857" s="1024" t="s">
        <v>621</v>
      </c>
      <c r="G857" s="1024"/>
      <c r="H857" s="1025">
        <v>35.57</v>
      </c>
      <c r="I857" s="1026"/>
      <c r="J857" s="1027"/>
      <c r="K857" s="1028"/>
      <c r="L857" s="1029"/>
      <c r="M857" s="1029"/>
      <c r="N857" s="1029"/>
      <c r="O857" s="1029"/>
      <c r="P857" s="1029"/>
      <c r="Q857" s="1029"/>
      <c r="R857" s="1030"/>
      <c r="S857" s="1030"/>
    </row>
    <row r="858" spans="1:19" s="1031" customFormat="1" ht="30.75" hidden="1" customHeight="1" outlineLevel="1">
      <c r="A858" s="1019" t="s">
        <v>1855</v>
      </c>
      <c r="B858" s="1020"/>
      <c r="C858" s="1021" t="s">
        <v>618</v>
      </c>
      <c r="D858" s="1022" t="s">
        <v>635</v>
      </c>
      <c r="E858" s="1023" t="s">
        <v>770</v>
      </c>
      <c r="F858" s="1024" t="s">
        <v>638</v>
      </c>
      <c r="G858" s="1024"/>
      <c r="H858" s="1025">
        <v>39.020000000000003</v>
      </c>
      <c r="I858" s="1026"/>
      <c r="J858" s="1027"/>
      <c r="K858" s="1028"/>
      <c r="L858" s="1029"/>
      <c r="M858" s="1029"/>
      <c r="N858" s="1029"/>
      <c r="O858" s="1029"/>
      <c r="P858" s="1029"/>
      <c r="Q858" s="1029"/>
      <c r="R858" s="1030"/>
      <c r="S858" s="1030"/>
    </row>
    <row r="859" spans="1:19" s="1031" customFormat="1" ht="30.75" hidden="1" customHeight="1" outlineLevel="1">
      <c r="A859" s="1019" t="s">
        <v>1855</v>
      </c>
      <c r="B859" s="1020"/>
      <c r="C859" s="1021" t="s">
        <v>618</v>
      </c>
      <c r="D859" s="1022" t="s">
        <v>635</v>
      </c>
      <c r="E859" s="1023" t="s">
        <v>1858</v>
      </c>
      <c r="F859" s="1024" t="s">
        <v>638</v>
      </c>
      <c r="G859" s="1024"/>
      <c r="H859" s="1025">
        <v>53</v>
      </c>
      <c r="I859" s="1026"/>
      <c r="J859" s="1027"/>
      <c r="K859" s="1028"/>
      <c r="L859" s="1029"/>
      <c r="M859" s="1029"/>
      <c r="N859" s="1029"/>
      <c r="O859" s="1029"/>
      <c r="P859" s="1029"/>
      <c r="Q859" s="1029"/>
      <c r="R859" s="1030"/>
      <c r="S859" s="1030"/>
    </row>
    <row r="860" spans="1:19" s="1031" customFormat="1" ht="30.75" hidden="1" customHeight="1" outlineLevel="1">
      <c r="A860" s="1019" t="s">
        <v>1859</v>
      </c>
      <c r="B860" s="1020"/>
      <c r="C860" s="1021" t="s">
        <v>618</v>
      </c>
      <c r="D860" s="1022" t="s">
        <v>611</v>
      </c>
      <c r="E860" s="1023" t="s">
        <v>1860</v>
      </c>
      <c r="F860" s="1024" t="s">
        <v>784</v>
      </c>
      <c r="G860" s="1024"/>
      <c r="H860" s="1025">
        <v>7.25</v>
      </c>
      <c r="I860" s="1026"/>
      <c r="J860" s="1027"/>
      <c r="K860" s="1028"/>
      <c r="L860" s="1029"/>
      <c r="M860" s="1029"/>
      <c r="N860" s="1029"/>
      <c r="O860" s="1029"/>
      <c r="P860" s="1029"/>
      <c r="Q860" s="1029"/>
      <c r="R860" s="1030"/>
      <c r="S860" s="1030"/>
    </row>
    <row r="861" spans="1:19" s="1031" customFormat="1" ht="30.75" hidden="1" customHeight="1" outlineLevel="1">
      <c r="A861" s="1019" t="s">
        <v>1861</v>
      </c>
      <c r="B861" s="1020"/>
      <c r="C861" s="1021" t="s">
        <v>618</v>
      </c>
      <c r="D861" s="1022" t="s">
        <v>611</v>
      </c>
      <c r="E861" s="1023" t="s">
        <v>1862</v>
      </c>
      <c r="F861" s="1024" t="s">
        <v>780</v>
      </c>
      <c r="G861" s="1024"/>
      <c r="H861" s="1025">
        <v>863.52</v>
      </c>
      <c r="I861" s="1026"/>
      <c r="J861" s="1027"/>
      <c r="K861" s="1028"/>
      <c r="L861" s="1029"/>
      <c r="M861" s="1029"/>
      <c r="N861" s="1029"/>
      <c r="O861" s="1029"/>
      <c r="P861" s="1029"/>
      <c r="Q861" s="1029"/>
      <c r="R861" s="1030"/>
      <c r="S861" s="1030"/>
    </row>
    <row r="862" spans="1:19" s="1031" customFormat="1" ht="30.75" hidden="1" customHeight="1" outlineLevel="1">
      <c r="A862" s="1019" t="s">
        <v>1861</v>
      </c>
      <c r="B862" s="1020"/>
      <c r="C862" s="1021" t="s">
        <v>618</v>
      </c>
      <c r="D862" s="1022" t="s">
        <v>611</v>
      </c>
      <c r="E862" s="1023" t="s">
        <v>1863</v>
      </c>
      <c r="F862" s="1024" t="s">
        <v>782</v>
      </c>
      <c r="G862" s="1024"/>
      <c r="H862" s="1025">
        <v>115</v>
      </c>
      <c r="I862" s="1026"/>
      <c r="J862" s="1027"/>
      <c r="K862" s="1028"/>
      <c r="L862" s="1029"/>
      <c r="M862" s="1029"/>
      <c r="N862" s="1029"/>
      <c r="O862" s="1029"/>
      <c r="P862" s="1029"/>
      <c r="Q862" s="1029"/>
      <c r="R862" s="1030"/>
      <c r="S862" s="1030"/>
    </row>
    <row r="863" spans="1:19" s="1031" customFormat="1" ht="30.75" hidden="1" customHeight="1" outlineLevel="1">
      <c r="A863" s="1019" t="s">
        <v>1861</v>
      </c>
      <c r="B863" s="1020"/>
      <c r="C863" s="1021" t="s">
        <v>618</v>
      </c>
      <c r="D863" s="1022" t="s">
        <v>611</v>
      </c>
      <c r="E863" s="1023" t="s">
        <v>1864</v>
      </c>
      <c r="F863" s="1024" t="s">
        <v>784</v>
      </c>
      <c r="G863" s="1024"/>
      <c r="H863" s="1025">
        <v>220</v>
      </c>
      <c r="I863" s="1026"/>
      <c r="J863" s="1027"/>
      <c r="K863" s="1028"/>
      <c r="L863" s="1029"/>
      <c r="M863" s="1029"/>
      <c r="N863" s="1029"/>
      <c r="O863" s="1029"/>
      <c r="P863" s="1029"/>
      <c r="Q863" s="1029"/>
      <c r="R863" s="1030"/>
      <c r="S863" s="1030"/>
    </row>
    <row r="864" spans="1:19" s="1031" customFormat="1" ht="30.75" hidden="1" customHeight="1" outlineLevel="1">
      <c r="A864" s="1019" t="s">
        <v>1861</v>
      </c>
      <c r="B864" s="1020"/>
      <c r="C864" s="1021" t="s">
        <v>618</v>
      </c>
      <c r="D864" s="1022" t="s">
        <v>611</v>
      </c>
      <c r="E864" s="1023" t="s">
        <v>1865</v>
      </c>
      <c r="F864" s="1024" t="s">
        <v>644</v>
      </c>
      <c r="G864" s="1024"/>
      <c r="H864" s="1025">
        <v>100</v>
      </c>
      <c r="I864" s="1026"/>
      <c r="J864" s="1027"/>
      <c r="K864" s="1028"/>
      <c r="L864" s="1029"/>
      <c r="M864" s="1029"/>
      <c r="N864" s="1029"/>
      <c r="O864" s="1029"/>
      <c r="P864" s="1029"/>
      <c r="Q864" s="1029"/>
      <c r="R864" s="1030"/>
      <c r="S864" s="1030"/>
    </row>
    <row r="865" spans="1:19" s="1031" customFormat="1" ht="30.75" hidden="1" customHeight="1" outlineLevel="1">
      <c r="A865" s="1019" t="s">
        <v>1772</v>
      </c>
      <c r="B865" s="1020"/>
      <c r="C865" s="1021" t="s">
        <v>618</v>
      </c>
      <c r="D865" s="1022" t="s">
        <v>611</v>
      </c>
      <c r="E865" s="1023" t="s">
        <v>1866</v>
      </c>
      <c r="F865" s="1024" t="s">
        <v>952</v>
      </c>
      <c r="G865" s="1024"/>
      <c r="H865" s="1025">
        <v>15</v>
      </c>
      <c r="I865" s="1026"/>
      <c r="J865" s="1027"/>
      <c r="K865" s="1028"/>
      <c r="L865" s="1029"/>
      <c r="M865" s="1029"/>
      <c r="N865" s="1029"/>
      <c r="O865" s="1029"/>
      <c r="P865" s="1029"/>
      <c r="Q865" s="1029"/>
      <c r="R865" s="1030"/>
      <c r="S865" s="1030"/>
    </row>
    <row r="866" spans="1:19" s="1031" customFormat="1" ht="30.75" hidden="1" customHeight="1" outlineLevel="1">
      <c r="A866" s="1019" t="s">
        <v>1772</v>
      </c>
      <c r="B866" s="1020"/>
      <c r="C866" s="1021" t="s">
        <v>618</v>
      </c>
      <c r="D866" s="1022" t="s">
        <v>630</v>
      </c>
      <c r="E866" s="1023" t="s">
        <v>1867</v>
      </c>
      <c r="F866" s="1024" t="s">
        <v>627</v>
      </c>
      <c r="G866" s="1024"/>
      <c r="H866" s="1025">
        <v>10</v>
      </c>
      <c r="I866" s="1026"/>
      <c r="J866" s="1027"/>
      <c r="K866" s="1028"/>
      <c r="L866" s="1029"/>
      <c r="M866" s="1029"/>
      <c r="N866" s="1029"/>
      <c r="O866" s="1029"/>
      <c r="P866" s="1029"/>
      <c r="Q866" s="1029"/>
      <c r="R866" s="1030"/>
      <c r="S866" s="1030"/>
    </row>
    <row r="867" spans="1:19" s="1031" customFormat="1" ht="30.75" hidden="1" customHeight="1" outlineLevel="1">
      <c r="A867" s="1019" t="s">
        <v>1785</v>
      </c>
      <c r="B867" s="1020"/>
      <c r="C867" s="1021" t="s">
        <v>618</v>
      </c>
      <c r="D867" s="1022" t="s">
        <v>630</v>
      </c>
      <c r="E867" s="1023" t="s">
        <v>1868</v>
      </c>
      <c r="F867" s="1024" t="s">
        <v>952</v>
      </c>
      <c r="G867" s="1024"/>
      <c r="H867" s="1025">
        <v>55</v>
      </c>
      <c r="I867" s="1026"/>
      <c r="J867" s="1027"/>
      <c r="K867" s="1028"/>
      <c r="L867" s="1029"/>
      <c r="M867" s="1029"/>
      <c r="N867" s="1029"/>
      <c r="O867" s="1029"/>
      <c r="P867" s="1029"/>
      <c r="Q867" s="1029"/>
      <c r="R867" s="1030"/>
      <c r="S867" s="1030"/>
    </row>
    <row r="868" spans="1:19" s="1031" customFormat="1" ht="30.75" hidden="1" customHeight="1" outlineLevel="1">
      <c r="A868" s="1019" t="s">
        <v>1787</v>
      </c>
      <c r="B868" s="1020"/>
      <c r="C868" s="1021" t="s">
        <v>618</v>
      </c>
      <c r="D868" s="1022" t="s">
        <v>611</v>
      </c>
      <c r="E868" s="1023" t="s">
        <v>1869</v>
      </c>
      <c r="F868" s="1024" t="s">
        <v>830</v>
      </c>
      <c r="G868" s="1024"/>
      <c r="H868" s="1025">
        <v>8</v>
      </c>
      <c r="I868" s="1026"/>
      <c r="J868" s="1027"/>
      <c r="K868" s="1028"/>
      <c r="L868" s="1029"/>
      <c r="M868" s="1029"/>
      <c r="N868" s="1029"/>
      <c r="O868" s="1029"/>
      <c r="P868" s="1029"/>
      <c r="Q868" s="1029"/>
      <c r="R868" s="1030"/>
      <c r="S868" s="1030"/>
    </row>
    <row r="869" spans="1:19" s="1031" customFormat="1" ht="30.75" hidden="1" customHeight="1" outlineLevel="1">
      <c r="A869" s="1019" t="s">
        <v>1787</v>
      </c>
      <c r="B869" s="1020"/>
      <c r="C869" s="1021" t="s">
        <v>618</v>
      </c>
      <c r="D869" s="1022" t="s">
        <v>611</v>
      </c>
      <c r="E869" s="1023" t="s">
        <v>1870</v>
      </c>
      <c r="F869" s="1024" t="s">
        <v>784</v>
      </c>
      <c r="G869" s="1024"/>
      <c r="H869" s="1025">
        <v>2.85</v>
      </c>
      <c r="I869" s="1026"/>
      <c r="J869" s="1027"/>
      <c r="K869" s="1028"/>
      <c r="L869" s="1029"/>
      <c r="M869" s="1029"/>
      <c r="N869" s="1029"/>
      <c r="O869" s="1029"/>
      <c r="P869" s="1029"/>
      <c r="Q869" s="1029"/>
      <c r="R869" s="1030"/>
      <c r="S869" s="1030"/>
    </row>
    <row r="870" spans="1:19" s="1031" customFormat="1" ht="30.75" hidden="1" customHeight="1" outlineLevel="1">
      <c r="A870" s="1019" t="s">
        <v>1787</v>
      </c>
      <c r="B870" s="1020"/>
      <c r="C870" s="1021" t="s">
        <v>618</v>
      </c>
      <c r="D870" s="1022" t="s">
        <v>630</v>
      </c>
      <c r="E870" s="1023" t="s">
        <v>1871</v>
      </c>
      <c r="F870" s="1024" t="s">
        <v>784</v>
      </c>
      <c r="G870" s="1024"/>
      <c r="H870" s="1025">
        <v>15</v>
      </c>
      <c r="I870" s="1026"/>
      <c r="J870" s="1027"/>
      <c r="K870" s="1028"/>
      <c r="L870" s="1029"/>
      <c r="M870" s="1029"/>
      <c r="N870" s="1029"/>
      <c r="O870" s="1029"/>
      <c r="P870" s="1029"/>
      <c r="Q870" s="1029"/>
      <c r="R870" s="1030"/>
      <c r="S870" s="1030"/>
    </row>
    <row r="871" spans="1:19" s="1031" customFormat="1" ht="30.75" hidden="1" customHeight="1" outlineLevel="1">
      <c r="A871" s="1019" t="s">
        <v>1788</v>
      </c>
      <c r="B871" s="1020"/>
      <c r="C871" s="1021" t="s">
        <v>618</v>
      </c>
      <c r="D871" s="1022" t="s">
        <v>630</v>
      </c>
      <c r="E871" s="1023" t="s">
        <v>1872</v>
      </c>
      <c r="F871" s="1024" t="s">
        <v>784</v>
      </c>
      <c r="G871" s="1024"/>
      <c r="H871" s="1025">
        <v>15</v>
      </c>
      <c r="I871" s="1026"/>
      <c r="J871" s="1027"/>
      <c r="K871" s="1028"/>
      <c r="L871" s="1029"/>
      <c r="M871" s="1029"/>
      <c r="N871" s="1029"/>
      <c r="O871" s="1029"/>
      <c r="P871" s="1029"/>
      <c r="Q871" s="1029"/>
      <c r="R871" s="1030"/>
      <c r="S871" s="1030"/>
    </row>
    <row r="872" spans="1:19" s="1031" customFormat="1" ht="30.75" hidden="1" customHeight="1" outlineLevel="1">
      <c r="A872" s="1019" t="s">
        <v>1788</v>
      </c>
      <c r="B872" s="1020"/>
      <c r="C872" s="1021" t="s">
        <v>618</v>
      </c>
      <c r="D872" s="1022" t="s">
        <v>630</v>
      </c>
      <c r="E872" s="1023" t="s">
        <v>1873</v>
      </c>
      <c r="F872" s="1024" t="s">
        <v>784</v>
      </c>
      <c r="G872" s="1024"/>
      <c r="H872" s="1025">
        <v>10</v>
      </c>
      <c r="I872" s="1026"/>
      <c r="J872" s="1027"/>
      <c r="K872" s="1028"/>
      <c r="L872" s="1029"/>
      <c r="M872" s="1029"/>
      <c r="N872" s="1029"/>
      <c r="O872" s="1029"/>
      <c r="P872" s="1029"/>
      <c r="Q872" s="1029"/>
      <c r="R872" s="1030"/>
      <c r="S872" s="1030"/>
    </row>
    <row r="873" spans="1:19" s="1031" customFormat="1" ht="30.75" hidden="1" customHeight="1" outlineLevel="1">
      <c r="A873" s="1019" t="s">
        <v>1795</v>
      </c>
      <c r="B873" s="1020"/>
      <c r="C873" s="1021" t="s">
        <v>618</v>
      </c>
      <c r="D873" s="1022" t="s">
        <v>751</v>
      </c>
      <c r="E873" s="1023" t="s">
        <v>1874</v>
      </c>
      <c r="F873" s="1024" t="s">
        <v>1279</v>
      </c>
      <c r="G873" s="1024"/>
      <c r="H873" s="1025">
        <v>84.95</v>
      </c>
      <c r="I873" s="1026"/>
      <c r="J873" s="1027"/>
      <c r="K873" s="1028"/>
      <c r="L873" s="1029"/>
      <c r="M873" s="1029"/>
      <c r="N873" s="1029"/>
      <c r="O873" s="1029"/>
      <c r="P873" s="1029"/>
      <c r="Q873" s="1029"/>
      <c r="R873" s="1030"/>
      <c r="S873" s="1030"/>
    </row>
    <row r="874" spans="1:19" s="1031" customFormat="1" ht="30.75" hidden="1" customHeight="1" outlineLevel="1">
      <c r="A874" s="1019" t="s">
        <v>1795</v>
      </c>
      <c r="B874" s="1020"/>
      <c r="C874" s="1021" t="s">
        <v>618</v>
      </c>
      <c r="D874" s="1022" t="s">
        <v>751</v>
      </c>
      <c r="E874" s="1023" t="s">
        <v>1875</v>
      </c>
      <c r="F874" s="1024" t="s">
        <v>1279</v>
      </c>
      <c r="G874" s="1024"/>
      <c r="H874" s="1025">
        <v>200.25</v>
      </c>
      <c r="I874" s="1026"/>
      <c r="J874" s="1027"/>
      <c r="K874" s="1028"/>
      <c r="L874" s="1029"/>
      <c r="M874" s="1029"/>
      <c r="N874" s="1029"/>
      <c r="O874" s="1029"/>
      <c r="P874" s="1029"/>
      <c r="Q874" s="1029"/>
      <c r="R874" s="1030"/>
      <c r="S874" s="1030"/>
    </row>
    <row r="875" spans="1:19" s="1031" customFormat="1" ht="30.75" hidden="1" customHeight="1" outlineLevel="1">
      <c r="A875" s="1019" t="s">
        <v>1795</v>
      </c>
      <c r="B875" s="1020"/>
      <c r="C875" s="1021" t="s">
        <v>618</v>
      </c>
      <c r="D875" s="1022" t="s">
        <v>751</v>
      </c>
      <c r="E875" s="1023" t="s">
        <v>1876</v>
      </c>
      <c r="F875" s="1024" t="s">
        <v>1279</v>
      </c>
      <c r="G875" s="1024"/>
      <c r="H875" s="1025">
        <v>169.85</v>
      </c>
      <c r="I875" s="1026"/>
      <c r="J875" s="1027"/>
      <c r="K875" s="1028"/>
      <c r="L875" s="1029"/>
      <c r="M875" s="1029"/>
      <c r="N875" s="1029"/>
      <c r="O875" s="1029"/>
      <c r="P875" s="1029"/>
      <c r="Q875" s="1029"/>
      <c r="R875" s="1030"/>
      <c r="S875" s="1030"/>
    </row>
    <row r="876" spans="1:19" s="1031" customFormat="1" ht="30.75" hidden="1" customHeight="1" outlineLevel="1">
      <c r="A876" s="1019" t="s">
        <v>1795</v>
      </c>
      <c r="B876" s="1020"/>
      <c r="C876" s="1021" t="s">
        <v>618</v>
      </c>
      <c r="D876" s="1022" t="s">
        <v>751</v>
      </c>
      <c r="E876" s="1023" t="s">
        <v>1877</v>
      </c>
      <c r="F876" s="1024" t="s">
        <v>1279</v>
      </c>
      <c r="G876" s="1024"/>
      <c r="H876" s="1025">
        <v>89</v>
      </c>
      <c r="I876" s="1026"/>
      <c r="J876" s="1027"/>
      <c r="K876" s="1028"/>
      <c r="L876" s="1029"/>
      <c r="M876" s="1029"/>
      <c r="N876" s="1029"/>
      <c r="O876" s="1029"/>
      <c r="P876" s="1029"/>
      <c r="Q876" s="1029"/>
      <c r="R876" s="1030"/>
      <c r="S876" s="1030"/>
    </row>
    <row r="877" spans="1:19" s="1031" customFormat="1" ht="30.75" hidden="1" customHeight="1" outlineLevel="1">
      <c r="A877" s="1019" t="s">
        <v>1795</v>
      </c>
      <c r="B877" s="1020"/>
      <c r="C877" s="1021" t="s">
        <v>618</v>
      </c>
      <c r="D877" s="1022" t="s">
        <v>751</v>
      </c>
      <c r="E877" s="1023" t="s">
        <v>1878</v>
      </c>
      <c r="F877" s="1024" t="s">
        <v>1879</v>
      </c>
      <c r="G877" s="1024"/>
      <c r="H877" s="1025">
        <v>50</v>
      </c>
      <c r="I877" s="1026"/>
      <c r="J877" s="1027"/>
      <c r="K877" s="1028"/>
      <c r="L877" s="1029"/>
      <c r="M877" s="1029"/>
      <c r="N877" s="1029"/>
      <c r="O877" s="1029"/>
      <c r="P877" s="1029"/>
      <c r="Q877" s="1029"/>
      <c r="R877" s="1030"/>
      <c r="S877" s="1030"/>
    </row>
    <row r="878" spans="1:19" s="1031" customFormat="1" ht="30.75" hidden="1" customHeight="1" outlineLevel="1">
      <c r="A878" s="1019" t="s">
        <v>1795</v>
      </c>
      <c r="B878" s="1020"/>
      <c r="C878" s="1021" t="s">
        <v>618</v>
      </c>
      <c r="D878" s="1022" t="s">
        <v>751</v>
      </c>
      <c r="E878" s="1023" t="s">
        <v>1880</v>
      </c>
      <c r="F878" s="1024" t="s">
        <v>621</v>
      </c>
      <c r="G878" s="1024"/>
      <c r="H878" s="1025">
        <v>421</v>
      </c>
      <c r="I878" s="1026"/>
      <c r="J878" s="1027"/>
      <c r="K878" s="1028"/>
      <c r="L878" s="1029"/>
      <c r="M878" s="1029"/>
      <c r="N878" s="1029"/>
      <c r="O878" s="1029"/>
      <c r="P878" s="1029"/>
      <c r="Q878" s="1029"/>
      <c r="R878" s="1030"/>
      <c r="S878" s="1030"/>
    </row>
    <row r="879" spans="1:19" s="1031" customFormat="1" ht="30.75" hidden="1" customHeight="1" outlineLevel="1">
      <c r="A879" s="1019" t="s">
        <v>1795</v>
      </c>
      <c r="B879" s="1020"/>
      <c r="C879" s="1021" t="s">
        <v>618</v>
      </c>
      <c r="D879" s="1022" t="s">
        <v>751</v>
      </c>
      <c r="E879" s="1023" t="s">
        <v>1881</v>
      </c>
      <c r="F879" s="1024" t="s">
        <v>782</v>
      </c>
      <c r="G879" s="1024"/>
      <c r="H879" s="1025">
        <v>79</v>
      </c>
      <c r="I879" s="1026"/>
      <c r="J879" s="1027"/>
      <c r="K879" s="1028"/>
      <c r="L879" s="1029"/>
      <c r="M879" s="1029"/>
      <c r="N879" s="1029"/>
      <c r="O879" s="1029"/>
      <c r="P879" s="1029"/>
      <c r="Q879" s="1029"/>
      <c r="R879" s="1030"/>
      <c r="S879" s="1030"/>
    </row>
    <row r="880" spans="1:19" s="1031" customFormat="1" ht="30.75" hidden="1" customHeight="1" outlineLevel="1">
      <c r="A880" s="1019" t="s">
        <v>1795</v>
      </c>
      <c r="B880" s="1020"/>
      <c r="C880" s="1021" t="s">
        <v>618</v>
      </c>
      <c r="D880" s="1022" t="s">
        <v>751</v>
      </c>
      <c r="E880" s="1023" t="s">
        <v>1882</v>
      </c>
      <c r="F880" s="1024" t="s">
        <v>952</v>
      </c>
      <c r="G880" s="1024"/>
      <c r="H880" s="1025">
        <v>80</v>
      </c>
      <c r="I880" s="1026"/>
      <c r="J880" s="1027"/>
      <c r="K880" s="1028"/>
      <c r="L880" s="1029"/>
      <c r="M880" s="1029"/>
      <c r="N880" s="1029"/>
      <c r="O880" s="1029"/>
      <c r="P880" s="1029"/>
      <c r="Q880" s="1029"/>
      <c r="R880" s="1030"/>
      <c r="S880" s="1030"/>
    </row>
    <row r="881" spans="1:19" s="1031" customFormat="1" ht="30.75" hidden="1" customHeight="1" outlineLevel="1">
      <c r="A881" s="1019" t="s">
        <v>1795</v>
      </c>
      <c r="B881" s="1020"/>
      <c r="C881" s="1021" t="s">
        <v>618</v>
      </c>
      <c r="D881" s="1022" t="s">
        <v>611</v>
      </c>
      <c r="E881" s="1023" t="s">
        <v>1883</v>
      </c>
      <c r="F881" s="1024" t="s">
        <v>641</v>
      </c>
      <c r="G881" s="1024"/>
      <c r="H881" s="1025">
        <v>2.5</v>
      </c>
      <c r="I881" s="1026"/>
      <c r="J881" s="1027"/>
      <c r="K881" s="1028"/>
      <c r="L881" s="1029"/>
      <c r="M881" s="1029"/>
      <c r="N881" s="1029"/>
      <c r="O881" s="1029"/>
      <c r="P881" s="1029"/>
      <c r="Q881" s="1029"/>
      <c r="R881" s="1030"/>
      <c r="S881" s="1030"/>
    </row>
    <row r="882" spans="1:19" s="1031" customFormat="1" ht="30.75" hidden="1" customHeight="1" outlineLevel="1">
      <c r="A882" s="1019" t="s">
        <v>1795</v>
      </c>
      <c r="B882" s="1020"/>
      <c r="C882" s="1021" t="s">
        <v>618</v>
      </c>
      <c r="D882" s="1022" t="s">
        <v>611</v>
      </c>
      <c r="E882" s="1023" t="s">
        <v>1884</v>
      </c>
      <c r="F882" s="1024" t="s">
        <v>641</v>
      </c>
      <c r="G882" s="1024"/>
      <c r="H882" s="1025">
        <v>8</v>
      </c>
      <c r="I882" s="1026"/>
      <c r="J882" s="1027"/>
      <c r="K882" s="1028"/>
      <c r="L882" s="1029"/>
      <c r="M882" s="1029"/>
      <c r="N882" s="1029"/>
      <c r="O882" s="1029"/>
      <c r="P882" s="1029"/>
      <c r="Q882" s="1029"/>
      <c r="R882" s="1030"/>
      <c r="S882" s="1030"/>
    </row>
    <row r="883" spans="1:19" s="1031" customFormat="1" ht="30.75" hidden="1" customHeight="1" outlineLevel="1">
      <c r="A883" s="1019" t="s">
        <v>1835</v>
      </c>
      <c r="B883" s="1020"/>
      <c r="C883" s="1021" t="s">
        <v>618</v>
      </c>
      <c r="D883" s="1022" t="s">
        <v>611</v>
      </c>
      <c r="E883" s="1023" t="s">
        <v>1885</v>
      </c>
      <c r="F883" s="1024" t="s">
        <v>909</v>
      </c>
      <c r="G883" s="1024"/>
      <c r="H883" s="1025">
        <v>215.88</v>
      </c>
      <c r="I883" s="1026"/>
      <c r="J883" s="1027"/>
      <c r="K883" s="1028"/>
      <c r="L883" s="1029"/>
      <c r="M883" s="1029"/>
      <c r="N883" s="1029"/>
      <c r="O883" s="1029"/>
      <c r="P883" s="1029"/>
      <c r="Q883" s="1029"/>
      <c r="R883" s="1030"/>
      <c r="S883" s="1030"/>
    </row>
    <row r="884" spans="1:19" s="1031" customFormat="1" ht="30.75" hidden="1" customHeight="1" outlineLevel="1">
      <c r="A884" s="1019" t="s">
        <v>1835</v>
      </c>
      <c r="B884" s="1020"/>
      <c r="C884" s="1021" t="s">
        <v>618</v>
      </c>
      <c r="D884" s="1022" t="s">
        <v>751</v>
      </c>
      <c r="E884" s="1023" t="s">
        <v>1886</v>
      </c>
      <c r="F884" s="1024" t="s">
        <v>627</v>
      </c>
      <c r="G884" s="1024"/>
      <c r="H884" s="1025">
        <v>10</v>
      </c>
      <c r="I884" s="1026"/>
      <c r="J884" s="1027"/>
      <c r="K884" s="1028"/>
      <c r="L884" s="1029"/>
      <c r="M884" s="1029"/>
      <c r="N884" s="1029"/>
      <c r="O884" s="1029"/>
      <c r="P884" s="1029"/>
      <c r="Q884" s="1029"/>
      <c r="R884" s="1030"/>
      <c r="S884" s="1030"/>
    </row>
    <row r="885" spans="1:19" s="1031" customFormat="1" ht="30.75" hidden="1" customHeight="1" outlineLevel="1">
      <c r="A885" s="1019" t="s">
        <v>1805</v>
      </c>
      <c r="B885" s="1020"/>
      <c r="C885" s="1021" t="s">
        <v>618</v>
      </c>
      <c r="D885" s="1022" t="s">
        <v>751</v>
      </c>
      <c r="E885" s="1023" t="s">
        <v>1887</v>
      </c>
      <c r="F885" s="1024" t="s">
        <v>644</v>
      </c>
      <c r="G885" s="1024"/>
      <c r="H885" s="1025">
        <v>1010</v>
      </c>
      <c r="I885" s="1026"/>
      <c r="J885" s="1027"/>
      <c r="K885" s="1028"/>
      <c r="L885" s="1029"/>
      <c r="M885" s="1029"/>
      <c r="N885" s="1029"/>
      <c r="O885" s="1029"/>
      <c r="P885" s="1029"/>
      <c r="Q885" s="1029"/>
      <c r="R885" s="1030"/>
      <c r="S885" s="1030"/>
    </row>
    <row r="886" spans="1:19" s="1031" customFormat="1" ht="30.75" hidden="1" customHeight="1" outlineLevel="1">
      <c r="A886" s="1019" t="s">
        <v>1805</v>
      </c>
      <c r="B886" s="1020"/>
      <c r="C886" s="1021" t="s">
        <v>618</v>
      </c>
      <c r="D886" s="1022" t="s">
        <v>751</v>
      </c>
      <c r="E886" s="1023" t="s">
        <v>1888</v>
      </c>
      <c r="F886" s="1024" t="s">
        <v>621</v>
      </c>
      <c r="G886" s="1024"/>
      <c r="H886" s="1025">
        <v>17</v>
      </c>
      <c r="I886" s="1026"/>
      <c r="J886" s="1027"/>
      <c r="K886" s="1028"/>
      <c r="L886" s="1029"/>
      <c r="M886" s="1029"/>
      <c r="N886" s="1029"/>
      <c r="O886" s="1029"/>
      <c r="P886" s="1029"/>
      <c r="Q886" s="1029"/>
      <c r="R886" s="1030"/>
      <c r="S886" s="1030"/>
    </row>
    <row r="887" spans="1:19" s="1031" customFormat="1" ht="30.75" hidden="1" customHeight="1" outlineLevel="1">
      <c r="A887" s="1019" t="s">
        <v>1805</v>
      </c>
      <c r="B887" s="1020"/>
      <c r="C887" s="1021" t="s">
        <v>618</v>
      </c>
      <c r="D887" s="1022" t="s">
        <v>751</v>
      </c>
      <c r="E887" s="1023" t="s">
        <v>1889</v>
      </c>
      <c r="F887" s="1024" t="s">
        <v>621</v>
      </c>
      <c r="G887" s="1024"/>
      <c r="H887" s="1025">
        <v>9</v>
      </c>
      <c r="I887" s="1026"/>
      <c r="J887" s="1027"/>
      <c r="K887" s="1028"/>
      <c r="L887" s="1029"/>
      <c r="M887" s="1029"/>
      <c r="N887" s="1029"/>
      <c r="O887" s="1029"/>
      <c r="P887" s="1029"/>
      <c r="Q887" s="1029"/>
      <c r="R887" s="1030"/>
      <c r="S887" s="1030"/>
    </row>
    <row r="888" spans="1:19" s="1031" customFormat="1" ht="30.75" hidden="1" customHeight="1" outlineLevel="1">
      <c r="A888" s="1019" t="s">
        <v>1805</v>
      </c>
      <c r="B888" s="1020"/>
      <c r="C888" s="1021" t="s">
        <v>618</v>
      </c>
      <c r="D888" s="1022" t="s">
        <v>751</v>
      </c>
      <c r="E888" s="1023" t="s">
        <v>1890</v>
      </c>
      <c r="F888" s="1024" t="s">
        <v>621</v>
      </c>
      <c r="G888" s="1024"/>
      <c r="H888" s="1025">
        <v>28</v>
      </c>
      <c r="I888" s="1026"/>
      <c r="J888" s="1027"/>
      <c r="K888" s="1028"/>
      <c r="L888" s="1029"/>
      <c r="M888" s="1029"/>
      <c r="N888" s="1029"/>
      <c r="O888" s="1029"/>
      <c r="P888" s="1029"/>
      <c r="Q888" s="1029"/>
      <c r="R888" s="1030"/>
      <c r="S888" s="1030"/>
    </row>
    <row r="889" spans="1:19" s="1031" customFormat="1" ht="30.75" hidden="1" customHeight="1" outlineLevel="1">
      <c r="A889" s="1019" t="s">
        <v>1805</v>
      </c>
      <c r="B889" s="1020"/>
      <c r="C889" s="1021" t="s">
        <v>618</v>
      </c>
      <c r="D889" s="1022" t="s">
        <v>751</v>
      </c>
      <c r="E889" s="1023" t="s">
        <v>1891</v>
      </c>
      <c r="F889" s="1024" t="s">
        <v>621</v>
      </c>
      <c r="G889" s="1024"/>
      <c r="H889" s="1025">
        <v>8</v>
      </c>
      <c r="I889" s="1026"/>
      <c r="J889" s="1027"/>
      <c r="K889" s="1028"/>
      <c r="L889" s="1029"/>
      <c r="M889" s="1029"/>
      <c r="N889" s="1029"/>
      <c r="O889" s="1029"/>
      <c r="P889" s="1029"/>
      <c r="Q889" s="1029"/>
      <c r="R889" s="1030"/>
      <c r="S889" s="1030"/>
    </row>
    <row r="890" spans="1:19" s="1031" customFormat="1" ht="30.75" hidden="1" customHeight="1" outlineLevel="1">
      <c r="A890" s="1019" t="s">
        <v>1805</v>
      </c>
      <c r="B890" s="1020"/>
      <c r="C890" s="1021" t="s">
        <v>618</v>
      </c>
      <c r="D890" s="1022" t="s">
        <v>751</v>
      </c>
      <c r="E890" s="1023" t="s">
        <v>1892</v>
      </c>
      <c r="F890" s="1024" t="s">
        <v>621</v>
      </c>
      <c r="G890" s="1024"/>
      <c r="H890" s="1025">
        <v>9</v>
      </c>
      <c r="I890" s="1026"/>
      <c r="J890" s="1027"/>
      <c r="K890" s="1028"/>
      <c r="L890" s="1029"/>
      <c r="M890" s="1029"/>
      <c r="N890" s="1029"/>
      <c r="O890" s="1029"/>
      <c r="P890" s="1029"/>
      <c r="Q890" s="1029"/>
      <c r="R890" s="1030"/>
      <c r="S890" s="1030"/>
    </row>
    <row r="891" spans="1:19" s="1031" customFormat="1" ht="30.75" hidden="1" customHeight="1" outlineLevel="1">
      <c r="A891" s="1019" t="s">
        <v>1805</v>
      </c>
      <c r="B891" s="1020"/>
      <c r="C891" s="1021" t="s">
        <v>618</v>
      </c>
      <c r="D891" s="1022" t="s">
        <v>751</v>
      </c>
      <c r="E891" s="1023" t="s">
        <v>1893</v>
      </c>
      <c r="F891" s="1024" t="s">
        <v>621</v>
      </c>
      <c r="G891" s="1024"/>
      <c r="H891" s="1025">
        <v>8.6999999999999993</v>
      </c>
      <c r="I891" s="1026"/>
      <c r="J891" s="1027"/>
      <c r="K891" s="1028"/>
      <c r="L891" s="1029"/>
      <c r="M891" s="1029"/>
      <c r="N891" s="1029"/>
      <c r="O891" s="1029"/>
      <c r="P891" s="1029"/>
      <c r="Q891" s="1029"/>
      <c r="R891" s="1030"/>
      <c r="S891" s="1030"/>
    </row>
    <row r="892" spans="1:19" s="1031" customFormat="1" ht="30.75" hidden="1" customHeight="1" outlineLevel="1">
      <c r="A892" s="1019" t="s">
        <v>1805</v>
      </c>
      <c r="B892" s="1020"/>
      <c r="C892" s="1021" t="s">
        <v>618</v>
      </c>
      <c r="D892" s="1022" t="s">
        <v>751</v>
      </c>
      <c r="E892" s="1023" t="s">
        <v>1894</v>
      </c>
      <c r="F892" s="1024" t="s">
        <v>621</v>
      </c>
      <c r="G892" s="1024"/>
      <c r="H892" s="1025">
        <v>22.2</v>
      </c>
      <c r="I892" s="1026"/>
      <c r="J892" s="1027"/>
      <c r="K892" s="1028"/>
      <c r="L892" s="1029"/>
      <c r="M892" s="1029"/>
      <c r="N892" s="1029"/>
      <c r="O892" s="1029"/>
      <c r="P892" s="1029"/>
      <c r="Q892" s="1029"/>
      <c r="R892" s="1030"/>
      <c r="S892" s="1030"/>
    </row>
    <row r="893" spans="1:19" s="1031" customFormat="1" ht="30.75" hidden="1" customHeight="1" outlineLevel="1">
      <c r="A893" s="1019" t="s">
        <v>1805</v>
      </c>
      <c r="B893" s="1020"/>
      <c r="C893" s="1021" t="s">
        <v>618</v>
      </c>
      <c r="D893" s="1022" t="s">
        <v>751</v>
      </c>
      <c r="E893" s="1023" t="s">
        <v>1895</v>
      </c>
      <c r="F893" s="1024" t="s">
        <v>621</v>
      </c>
      <c r="G893" s="1024"/>
      <c r="H893" s="1025">
        <v>36.96</v>
      </c>
      <c r="I893" s="1026"/>
      <c r="J893" s="1027"/>
      <c r="K893" s="1028"/>
      <c r="L893" s="1029"/>
      <c r="M893" s="1029"/>
      <c r="N893" s="1029"/>
      <c r="O893" s="1029"/>
      <c r="P893" s="1029"/>
      <c r="Q893" s="1029"/>
      <c r="R893" s="1030"/>
      <c r="S893" s="1030"/>
    </row>
    <row r="894" spans="1:19" s="1031" customFormat="1" ht="30.75" hidden="1" customHeight="1" outlineLevel="1">
      <c r="A894" s="1019" t="s">
        <v>1805</v>
      </c>
      <c r="B894" s="1020"/>
      <c r="C894" s="1021" t="s">
        <v>618</v>
      </c>
      <c r="D894" s="1022" t="s">
        <v>751</v>
      </c>
      <c r="E894" s="1023" t="s">
        <v>770</v>
      </c>
      <c r="F894" s="1024" t="s">
        <v>621</v>
      </c>
      <c r="G894" s="1024"/>
      <c r="H894" s="1025">
        <v>52.999200000000002</v>
      </c>
      <c r="I894" s="1026"/>
      <c r="J894" s="1027"/>
      <c r="K894" s="1028"/>
      <c r="L894" s="1029"/>
      <c r="M894" s="1029"/>
      <c r="N894" s="1029"/>
      <c r="O894" s="1029"/>
      <c r="P894" s="1029"/>
      <c r="Q894" s="1029"/>
      <c r="R894" s="1030"/>
      <c r="S894" s="1030"/>
    </row>
    <row r="895" spans="1:19" s="1338" customFormat="1" ht="15.75" collapsed="1">
      <c r="A895" s="1339" t="s">
        <v>1601</v>
      </c>
      <c r="B895" s="1340"/>
      <c r="C895" s="1340"/>
      <c r="D895" s="1340"/>
      <c r="E895" s="1341" t="s">
        <v>1602</v>
      </c>
      <c r="F895" s="1342"/>
      <c r="G895" s="1343">
        <f>SUBTOTAL(9,G852:G894)</f>
        <v>5798.4610776188456</v>
      </c>
      <c r="H895" s="1343">
        <f>SUBTOTAL(9,H852:H894)</f>
        <v>4328.2691999999997</v>
      </c>
      <c r="I895" s="1343">
        <f>G895*I3</f>
        <v>131625066.4619478</v>
      </c>
      <c r="J895" s="1343">
        <f>H895*I3</f>
        <v>98251710.839999989</v>
      </c>
      <c r="K895" s="1336"/>
      <c r="L895" s="1336"/>
      <c r="M895" s="1336"/>
      <c r="N895" s="1336"/>
      <c r="O895" s="1336"/>
      <c r="P895" s="1336"/>
      <c r="Q895" s="1337"/>
      <c r="R895" s="1336"/>
      <c r="S895" s="1336"/>
    </row>
    <row r="896" spans="1:19" s="1338" customFormat="1" ht="24" customHeight="1">
      <c r="A896" s="1951" t="s">
        <v>616</v>
      </c>
      <c r="B896" s="1952"/>
      <c r="C896" s="1952"/>
      <c r="D896" s="1952"/>
      <c r="E896" s="1953"/>
      <c r="F896" s="1505"/>
      <c r="G896" s="1506">
        <f>G895-G852</f>
        <v>0</v>
      </c>
      <c r="H896" s="1507">
        <f>G895-H895</f>
        <v>1470.1918776188459</v>
      </c>
      <c r="I896" s="1508">
        <f>G896*I3</f>
        <v>0</v>
      </c>
      <c r="J896" s="1509">
        <f>H896*I3</f>
        <v>33373355.621947803</v>
      </c>
      <c r="K896" s="1336"/>
      <c r="L896" s="1336"/>
      <c r="M896" s="1336"/>
      <c r="N896" s="1336"/>
      <c r="O896" s="1336"/>
      <c r="P896" s="1336"/>
      <c r="Q896" s="1337"/>
      <c r="R896" s="1336"/>
      <c r="S896" s="1336"/>
    </row>
    <row r="897" spans="1:19" s="1504" customFormat="1" ht="24" customHeight="1">
      <c r="A897" s="1170"/>
      <c r="B897" s="1170"/>
      <c r="C897" s="1170"/>
      <c r="D897" s="1170"/>
      <c r="E897" s="1170"/>
      <c r="F897" s="1510"/>
      <c r="G897" s="1511"/>
      <c r="H897" s="1512"/>
      <c r="I897" s="1513"/>
      <c r="J897" s="1513"/>
      <c r="K897" s="1502"/>
      <c r="L897" s="1502"/>
      <c r="M897" s="1502"/>
      <c r="N897" s="1502"/>
      <c r="O897" s="1502"/>
      <c r="P897" s="1502"/>
      <c r="Q897" s="1503"/>
      <c r="R897" s="1502"/>
      <c r="S897" s="1502"/>
    </row>
    <row r="898" spans="1:19" s="1504" customFormat="1" ht="24" customHeight="1">
      <c r="A898" s="1170"/>
      <c r="B898" s="1170"/>
      <c r="C898" s="1170"/>
      <c r="D898" s="1170"/>
      <c r="E898" s="1170"/>
      <c r="F898" s="1510"/>
      <c r="G898" s="1511"/>
      <c r="H898" s="1512"/>
      <c r="I898" s="1513"/>
      <c r="J898" s="1513"/>
      <c r="K898" s="1502"/>
      <c r="L898" s="1502"/>
      <c r="M898" s="1502"/>
      <c r="N898" s="1502"/>
      <c r="O898" s="1502"/>
      <c r="P898" s="1502"/>
      <c r="Q898" s="1503"/>
      <c r="R898" s="1502"/>
      <c r="S898" s="1502"/>
    </row>
    <row r="899" spans="1:19" s="1504" customFormat="1" ht="24" customHeight="1">
      <c r="A899" s="1170"/>
      <c r="B899" s="1170"/>
      <c r="C899" s="1170"/>
      <c r="D899" s="1170"/>
      <c r="E899" s="1170"/>
      <c r="F899" s="1510"/>
      <c r="G899" s="1511"/>
      <c r="H899" s="1512"/>
      <c r="I899" s="1513"/>
      <c r="J899" s="1513"/>
      <c r="K899" s="1502"/>
      <c r="L899" s="1502"/>
      <c r="M899" s="1502"/>
      <c r="N899" s="1502"/>
      <c r="O899" s="1502"/>
      <c r="P899" s="1502"/>
      <c r="Q899" s="1503"/>
      <c r="R899" s="1502"/>
      <c r="S899" s="1502"/>
    </row>
    <row r="900" spans="1:19" ht="15.75">
      <c r="A900" s="273"/>
      <c r="B900" s="273"/>
      <c r="C900" s="273"/>
      <c r="D900" s="273"/>
      <c r="E900" s="273"/>
      <c r="F900" s="315"/>
      <c r="G900" s="1277"/>
      <c r="H900" s="1278"/>
      <c r="I900" s="1279"/>
      <c r="J900" s="1279"/>
      <c r="K900" s="337"/>
      <c r="L900" s="337"/>
      <c r="M900" s="337"/>
      <c r="N900" s="337"/>
      <c r="O900" s="413"/>
      <c r="P900" s="337"/>
      <c r="Q900" s="337"/>
    </row>
    <row r="901" spans="1:19" ht="12.75" thickBot="1"/>
    <row r="902" spans="1:19" ht="15.75" thickBot="1">
      <c r="G902" s="406" t="s">
        <v>1063</v>
      </c>
      <c r="H902" s="408">
        <f>H852</f>
        <v>0</v>
      </c>
    </row>
    <row r="903" spans="1:19" ht="15.75" thickBot="1">
      <c r="G903" s="406" t="s">
        <v>1355</v>
      </c>
      <c r="H903" s="408">
        <f>J852</f>
        <v>0</v>
      </c>
    </row>
    <row r="904" spans="1:19" ht="15.75" thickBot="1">
      <c r="G904" s="406"/>
      <c r="H904" s="408"/>
    </row>
  </sheetData>
  <mergeCells count="5">
    <mergeCell ref="A896:E896"/>
    <mergeCell ref="A2:H2"/>
    <mergeCell ref="A3:B3"/>
    <mergeCell ref="A5:E5"/>
    <mergeCell ref="A852:E852"/>
  </mergeCells>
  <pageMargins left="0.75" right="0.75" top="1" bottom="1" header="0.51180555555555596" footer="0.51180555555555596"/>
  <pageSetup paperSize="8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BZ178"/>
  <sheetViews>
    <sheetView view="pageBreakPreview" zoomScale="60" zoomScaleNormal="60" workbookViewId="0">
      <pane ySplit="4" topLeftCell="A5" activePane="bottomLeft" state="frozen"/>
      <selection pane="bottomLeft" activeCell="H160" sqref="H160"/>
    </sheetView>
  </sheetViews>
  <sheetFormatPr defaultRowHeight="15" outlineLevelRow="1"/>
  <cols>
    <col min="1" max="1" width="18.42578125" customWidth="1"/>
    <col min="2" max="2" width="24.140625" customWidth="1"/>
    <col min="3" max="3" width="21.42578125" customWidth="1"/>
    <col min="4" max="4" width="24.140625" customWidth="1"/>
    <col min="5" max="5" width="98.5703125" customWidth="1"/>
    <col min="6" max="6" width="21.42578125" customWidth="1"/>
    <col min="7" max="7" width="17.85546875" customWidth="1"/>
    <col min="8" max="8" width="18.85546875" customWidth="1"/>
    <col min="9" max="9" width="40.85546875" customWidth="1"/>
  </cols>
  <sheetData>
    <row r="1" spans="1:9" ht="20.25">
      <c r="A1" s="1920"/>
      <c r="B1" s="1920"/>
      <c r="C1" s="1920"/>
      <c r="D1" s="1920"/>
      <c r="E1" s="1920"/>
      <c r="F1" s="1920"/>
      <c r="G1" s="63" t="s">
        <v>123</v>
      </c>
      <c r="H1" s="63" t="s">
        <v>124</v>
      </c>
      <c r="I1" s="122"/>
    </row>
    <row r="2" spans="1:9" ht="20.25">
      <c r="A2" s="1966" t="s">
        <v>1356</v>
      </c>
      <c r="B2" s="1966"/>
      <c r="C2" s="1966"/>
      <c r="D2" s="1966"/>
      <c r="E2" s="1966"/>
      <c r="F2" s="1966"/>
      <c r="G2" s="65"/>
      <c r="H2" s="66"/>
      <c r="I2" s="122"/>
    </row>
    <row r="3" spans="1:9" ht="20.25">
      <c r="A3" s="1967" t="s">
        <v>1357</v>
      </c>
      <c r="B3" s="1967"/>
      <c r="C3" s="64" t="s">
        <v>1358</v>
      </c>
      <c r="D3" s="67"/>
      <c r="E3" s="68"/>
      <c r="F3" s="1050" t="s">
        <v>1603</v>
      </c>
      <c r="G3" s="65"/>
      <c r="H3" s="65"/>
      <c r="I3" s="122"/>
    </row>
    <row r="4" spans="1:9" ht="18">
      <c r="A4" s="69" t="s">
        <v>129</v>
      </c>
      <c r="B4" s="70" t="s">
        <v>261</v>
      </c>
      <c r="C4" s="71" t="s">
        <v>262</v>
      </c>
      <c r="D4" s="71" t="s">
        <v>263</v>
      </c>
      <c r="E4" s="70" t="s">
        <v>133</v>
      </c>
      <c r="F4" s="72" t="s">
        <v>264</v>
      </c>
      <c r="G4" s="73" t="s">
        <v>134</v>
      </c>
      <c r="H4" s="72" t="s">
        <v>135</v>
      </c>
      <c r="I4" s="123" t="s">
        <v>265</v>
      </c>
    </row>
    <row r="5" spans="1:9" ht="18">
      <c r="A5" s="74" t="s">
        <v>266</v>
      </c>
      <c r="B5" s="75"/>
      <c r="C5" s="75"/>
      <c r="D5" s="75"/>
      <c r="E5" s="76"/>
      <c r="F5" s="77"/>
      <c r="G5" s="78">
        <v>63000563</v>
      </c>
      <c r="H5" s="79"/>
      <c r="I5" s="124"/>
    </row>
    <row r="6" spans="1:9" ht="18" hidden="1" outlineLevel="1">
      <c r="A6" s="877" t="s">
        <v>1359</v>
      </c>
      <c r="B6" s="80" t="s">
        <v>1360</v>
      </c>
      <c r="C6" s="80" t="s">
        <v>1361</v>
      </c>
      <c r="D6" s="81" t="s">
        <v>1362</v>
      </c>
      <c r="E6" s="82" t="s">
        <v>1363</v>
      </c>
      <c r="F6" s="83" t="s">
        <v>277</v>
      </c>
      <c r="G6" s="84"/>
      <c r="H6" s="84">
        <f>6380000</f>
        <v>6380000</v>
      </c>
      <c r="I6" s="125"/>
    </row>
    <row r="7" spans="1:9" ht="18" hidden="1" outlineLevel="1">
      <c r="A7" s="877" t="s">
        <v>1359</v>
      </c>
      <c r="B7" s="80" t="s">
        <v>1364</v>
      </c>
      <c r="C7" s="80" t="s">
        <v>1361</v>
      </c>
      <c r="D7" s="81" t="s">
        <v>1365</v>
      </c>
      <c r="E7" s="82" t="s">
        <v>1366</v>
      </c>
      <c r="F7" s="83" t="s">
        <v>271</v>
      </c>
      <c r="G7" s="84"/>
      <c r="H7" s="85">
        <f>500000</f>
        <v>500000</v>
      </c>
      <c r="I7" s="125"/>
    </row>
    <row r="8" spans="1:9" ht="18" hidden="1" outlineLevel="1">
      <c r="A8" s="877" t="s">
        <v>1367</v>
      </c>
      <c r="B8" s="80" t="s">
        <v>1368</v>
      </c>
      <c r="C8" s="80" t="s">
        <v>1361</v>
      </c>
      <c r="D8" s="81" t="s">
        <v>1368</v>
      </c>
      <c r="E8" s="82" t="s">
        <v>1369</v>
      </c>
      <c r="F8" s="83" t="s">
        <v>271</v>
      </c>
      <c r="G8" s="84"/>
      <c r="H8" s="85">
        <f>2045000</f>
        <v>2045000</v>
      </c>
      <c r="I8" s="125"/>
    </row>
    <row r="9" spans="1:9" ht="36" hidden="1" outlineLevel="1">
      <c r="A9" s="877" t="s">
        <v>1367</v>
      </c>
      <c r="B9" s="80" t="s">
        <v>1364</v>
      </c>
      <c r="C9" s="80" t="s">
        <v>1361</v>
      </c>
      <c r="D9" s="81" t="s">
        <v>1365</v>
      </c>
      <c r="E9" s="82" t="s">
        <v>1370</v>
      </c>
      <c r="F9" s="83" t="s">
        <v>271</v>
      </c>
      <c r="G9" s="84"/>
      <c r="H9" s="85">
        <f>3450000</f>
        <v>3450000</v>
      </c>
      <c r="I9" s="125"/>
    </row>
    <row r="10" spans="1:9" ht="18" hidden="1" outlineLevel="1">
      <c r="A10" s="877" t="s">
        <v>1367</v>
      </c>
      <c r="B10" s="80" t="s">
        <v>1371</v>
      </c>
      <c r="C10" s="80" t="s">
        <v>1361</v>
      </c>
      <c r="D10" s="81" t="s">
        <v>1371</v>
      </c>
      <c r="E10" s="82" t="s">
        <v>1372</v>
      </c>
      <c r="F10" s="83" t="s">
        <v>271</v>
      </c>
      <c r="G10" s="84"/>
      <c r="H10" s="85">
        <f>60000</f>
        <v>60000</v>
      </c>
      <c r="I10" s="125"/>
    </row>
    <row r="11" spans="1:9" ht="18" hidden="1" outlineLevel="1">
      <c r="A11" s="877" t="s">
        <v>1373</v>
      </c>
      <c r="B11" s="80" t="s">
        <v>1374</v>
      </c>
      <c r="C11" s="80" t="s">
        <v>1361</v>
      </c>
      <c r="D11" s="81" t="s">
        <v>1374</v>
      </c>
      <c r="E11" s="82" t="s">
        <v>1375</v>
      </c>
      <c r="F11" s="83"/>
      <c r="G11" s="84">
        <f>3500000</f>
        <v>3500000</v>
      </c>
      <c r="H11" s="85"/>
      <c r="I11" s="125"/>
    </row>
    <row r="12" spans="1:9" ht="18" hidden="1" outlineLevel="1">
      <c r="A12" s="877" t="s">
        <v>1373</v>
      </c>
      <c r="B12" s="80" t="s">
        <v>1376</v>
      </c>
      <c r="C12" s="80" t="s">
        <v>1361</v>
      </c>
      <c r="D12" s="81" t="s">
        <v>1374</v>
      </c>
      <c r="E12" s="82" t="s">
        <v>1377</v>
      </c>
      <c r="F12" s="83" t="s">
        <v>277</v>
      </c>
      <c r="G12" s="84"/>
      <c r="H12" s="85">
        <f>4361500</f>
        <v>4361500</v>
      </c>
      <c r="I12" s="125"/>
    </row>
    <row r="13" spans="1:9" ht="18" hidden="1" outlineLevel="1">
      <c r="A13" s="877" t="s">
        <v>1373</v>
      </c>
      <c r="B13" s="80" t="s">
        <v>1374</v>
      </c>
      <c r="C13" s="80" t="s">
        <v>1361</v>
      </c>
      <c r="D13" s="81" t="s">
        <v>1374</v>
      </c>
      <c r="E13" s="82" t="s">
        <v>1378</v>
      </c>
      <c r="F13" s="83" t="s">
        <v>271</v>
      </c>
      <c r="G13" s="84"/>
      <c r="H13" s="85">
        <f>1000000</f>
        <v>1000000</v>
      </c>
      <c r="I13" s="125"/>
    </row>
    <row r="14" spans="1:9" ht="18" hidden="1" outlineLevel="1">
      <c r="A14" s="877" t="s">
        <v>1373</v>
      </c>
      <c r="B14" s="80" t="s">
        <v>1360</v>
      </c>
      <c r="C14" s="80" t="s">
        <v>1361</v>
      </c>
      <c r="D14" s="81" t="s">
        <v>1362</v>
      </c>
      <c r="E14" s="82" t="s">
        <v>1363</v>
      </c>
      <c r="F14" s="83" t="s">
        <v>277</v>
      </c>
      <c r="G14" s="84"/>
      <c r="H14" s="85">
        <f>6380000</f>
        <v>6380000</v>
      </c>
      <c r="I14" s="125"/>
    </row>
    <row r="15" spans="1:9" ht="18" hidden="1" outlineLevel="1">
      <c r="A15" s="877" t="s">
        <v>1379</v>
      </c>
      <c r="B15" s="80" t="s">
        <v>1380</v>
      </c>
      <c r="C15" s="80" t="s">
        <v>1361</v>
      </c>
      <c r="D15" s="81" t="s">
        <v>1380</v>
      </c>
      <c r="E15" s="82" t="s">
        <v>1381</v>
      </c>
      <c r="F15" s="83" t="s">
        <v>277</v>
      </c>
      <c r="G15" s="84"/>
      <c r="H15" s="85">
        <f>550000</f>
        <v>550000</v>
      </c>
      <c r="I15" s="125"/>
    </row>
    <row r="16" spans="1:9" ht="18" hidden="1" outlineLevel="1">
      <c r="A16" s="877" t="s">
        <v>1379</v>
      </c>
      <c r="B16" s="80" t="s">
        <v>1364</v>
      </c>
      <c r="C16" s="80" t="s">
        <v>1361</v>
      </c>
      <c r="D16" s="81" t="s">
        <v>1365</v>
      </c>
      <c r="E16" s="82" t="s">
        <v>436</v>
      </c>
      <c r="F16" s="83" t="s">
        <v>271</v>
      </c>
      <c r="G16" s="84"/>
      <c r="H16" s="85">
        <f>440000</f>
        <v>440000</v>
      </c>
      <c r="I16" s="125"/>
    </row>
    <row r="17" spans="1:9" ht="18" hidden="1" outlineLevel="1">
      <c r="A17" s="877" t="s">
        <v>1379</v>
      </c>
      <c r="B17" s="80" t="s">
        <v>1368</v>
      </c>
      <c r="C17" s="80" t="s">
        <v>1361</v>
      </c>
      <c r="D17" s="81" t="s">
        <v>1365</v>
      </c>
      <c r="E17" s="82" t="s">
        <v>1382</v>
      </c>
      <c r="F17" s="83"/>
      <c r="G17" s="84">
        <f>16000000</f>
        <v>16000000</v>
      </c>
      <c r="H17" s="85"/>
      <c r="I17" s="125"/>
    </row>
    <row r="18" spans="1:9" ht="18" hidden="1" outlineLevel="1">
      <c r="A18" s="877" t="s">
        <v>1379</v>
      </c>
      <c r="B18" s="80" t="s">
        <v>1374</v>
      </c>
      <c r="C18" s="80" t="s">
        <v>1361</v>
      </c>
      <c r="D18" s="81" t="s">
        <v>1374</v>
      </c>
      <c r="E18" s="82" t="s">
        <v>1383</v>
      </c>
      <c r="F18" s="83" t="s">
        <v>271</v>
      </c>
      <c r="G18" s="84"/>
      <c r="H18" s="85">
        <f>36000000</f>
        <v>36000000</v>
      </c>
      <c r="I18" s="125"/>
    </row>
    <row r="19" spans="1:9" ht="18" hidden="1" outlineLevel="1">
      <c r="A19" s="877" t="s">
        <v>1379</v>
      </c>
      <c r="B19" s="80" t="s">
        <v>1364</v>
      </c>
      <c r="C19" s="80" t="s">
        <v>1361</v>
      </c>
      <c r="D19" s="81" t="s">
        <v>1365</v>
      </c>
      <c r="E19" s="82" t="s">
        <v>1384</v>
      </c>
      <c r="F19" s="83" t="s">
        <v>271</v>
      </c>
      <c r="G19" s="84"/>
      <c r="H19" s="85">
        <f>174000</f>
        <v>174000</v>
      </c>
      <c r="I19" s="125"/>
    </row>
    <row r="20" spans="1:9" ht="18" hidden="1" outlineLevel="1">
      <c r="A20" s="877" t="s">
        <v>1385</v>
      </c>
      <c r="B20" s="80" t="s">
        <v>1364</v>
      </c>
      <c r="C20" s="80" t="s">
        <v>1361</v>
      </c>
      <c r="D20" s="81" t="s">
        <v>1365</v>
      </c>
      <c r="E20" s="82" t="s">
        <v>1366</v>
      </c>
      <c r="F20" s="83" t="s">
        <v>271</v>
      </c>
      <c r="G20" s="84"/>
      <c r="H20" s="85">
        <f>500000</f>
        <v>500000</v>
      </c>
      <c r="I20" s="125"/>
    </row>
    <row r="21" spans="1:9" ht="18" hidden="1" outlineLevel="1">
      <c r="A21" s="877" t="s">
        <v>1385</v>
      </c>
      <c r="B21" s="80" t="s">
        <v>1386</v>
      </c>
      <c r="C21" s="80" t="s">
        <v>1361</v>
      </c>
      <c r="D21" s="81" t="s">
        <v>1374</v>
      </c>
      <c r="E21" s="86" t="s">
        <v>1387</v>
      </c>
      <c r="F21" s="83" t="s">
        <v>271</v>
      </c>
      <c r="G21" s="84"/>
      <c r="H21" s="87">
        <f>300000</f>
        <v>300000</v>
      </c>
      <c r="I21" s="125"/>
    </row>
    <row r="22" spans="1:9" ht="18" hidden="1" outlineLevel="1">
      <c r="A22" s="877" t="s">
        <v>1385</v>
      </c>
      <c r="B22" s="80" t="s">
        <v>1360</v>
      </c>
      <c r="C22" s="80" t="s">
        <v>1361</v>
      </c>
      <c r="D22" s="81" t="s">
        <v>1362</v>
      </c>
      <c r="E22" s="82" t="s">
        <v>1363</v>
      </c>
      <c r="F22" s="83" t="s">
        <v>277</v>
      </c>
      <c r="G22" s="84"/>
      <c r="H22" s="85">
        <f>6380000</f>
        <v>6380000</v>
      </c>
      <c r="I22" s="125"/>
    </row>
    <row r="23" spans="1:9" ht="18" hidden="1" outlineLevel="1">
      <c r="A23" s="877" t="s">
        <v>1388</v>
      </c>
      <c r="B23" s="80" t="s">
        <v>1389</v>
      </c>
      <c r="C23" s="80" t="s">
        <v>1361</v>
      </c>
      <c r="D23" s="81" t="s">
        <v>1374</v>
      </c>
      <c r="E23" s="86" t="s">
        <v>1390</v>
      </c>
      <c r="F23" s="83" t="s">
        <v>277</v>
      </c>
      <c r="G23" s="84"/>
      <c r="H23" s="87">
        <f>3300000</f>
        <v>3300000</v>
      </c>
      <c r="I23" s="125"/>
    </row>
    <row r="24" spans="1:9" ht="18" hidden="1" outlineLevel="1">
      <c r="A24" s="877" t="s">
        <v>739</v>
      </c>
      <c r="B24" s="80" t="s">
        <v>1391</v>
      </c>
      <c r="C24" s="80" t="s">
        <v>1361</v>
      </c>
      <c r="D24" s="81" t="s">
        <v>1371</v>
      </c>
      <c r="E24" s="82" t="s">
        <v>1392</v>
      </c>
      <c r="F24" s="83" t="s">
        <v>277</v>
      </c>
      <c r="G24" s="84"/>
      <c r="H24" s="85">
        <f>1360000</f>
        <v>1360000</v>
      </c>
      <c r="I24" s="125"/>
    </row>
    <row r="25" spans="1:9" ht="36" hidden="1" outlineLevel="1">
      <c r="A25" s="877" t="s">
        <v>1393</v>
      </c>
      <c r="B25" s="80" t="s">
        <v>1364</v>
      </c>
      <c r="C25" s="80" t="s">
        <v>1361</v>
      </c>
      <c r="D25" s="81" t="s">
        <v>1365</v>
      </c>
      <c r="E25" s="88" t="s">
        <v>1394</v>
      </c>
      <c r="F25" s="83"/>
      <c r="G25" s="84"/>
      <c r="H25" s="87">
        <f>870000</f>
        <v>870000</v>
      </c>
      <c r="I25" s="125"/>
    </row>
    <row r="26" spans="1:9" ht="18" hidden="1" outlineLevel="1">
      <c r="A26" s="877" t="s">
        <v>747</v>
      </c>
      <c r="B26" s="80" t="s">
        <v>1395</v>
      </c>
      <c r="C26" s="80" t="s">
        <v>1361</v>
      </c>
      <c r="D26" s="81" t="s">
        <v>1395</v>
      </c>
      <c r="E26" s="86" t="s">
        <v>1396</v>
      </c>
      <c r="F26" s="83" t="s">
        <v>271</v>
      </c>
      <c r="G26" s="84"/>
      <c r="H26" s="89">
        <f>3000000</f>
        <v>3000000</v>
      </c>
      <c r="I26" s="125"/>
    </row>
    <row r="27" spans="1:9" ht="18" hidden="1" outlineLevel="1">
      <c r="A27" s="877" t="s">
        <v>747</v>
      </c>
      <c r="B27" s="80" t="s">
        <v>1397</v>
      </c>
      <c r="C27" s="80" t="s">
        <v>1361</v>
      </c>
      <c r="D27" s="81" t="s">
        <v>1397</v>
      </c>
      <c r="E27" s="86" t="s">
        <v>1398</v>
      </c>
      <c r="F27" s="83" t="s">
        <v>271</v>
      </c>
      <c r="G27" s="84"/>
      <c r="H27" s="89">
        <f>2260000</f>
        <v>2260000</v>
      </c>
      <c r="I27" s="125"/>
    </row>
    <row r="28" spans="1:9" ht="18" hidden="1" outlineLevel="1">
      <c r="A28" s="877" t="s">
        <v>139</v>
      </c>
      <c r="B28" s="80" t="s">
        <v>304</v>
      </c>
      <c r="C28" s="80" t="s">
        <v>1361</v>
      </c>
      <c r="D28" s="81" t="s">
        <v>1365</v>
      </c>
      <c r="E28" s="86" t="s">
        <v>1399</v>
      </c>
      <c r="F28" s="83"/>
      <c r="G28" s="84">
        <f>100000000</f>
        <v>100000000</v>
      </c>
      <c r="H28" s="89"/>
      <c r="I28" s="125"/>
    </row>
    <row r="29" spans="1:9" ht="18" hidden="1" outlineLevel="1">
      <c r="A29" s="877" t="s">
        <v>139</v>
      </c>
      <c r="B29" s="80" t="s">
        <v>1364</v>
      </c>
      <c r="C29" s="80" t="s">
        <v>1361</v>
      </c>
      <c r="D29" s="81" t="s">
        <v>1365</v>
      </c>
      <c r="E29" s="86" t="s">
        <v>436</v>
      </c>
      <c r="F29" s="83" t="s">
        <v>271</v>
      </c>
      <c r="G29" s="84"/>
      <c r="H29" s="89">
        <f>550000</f>
        <v>550000</v>
      </c>
      <c r="I29" s="125"/>
    </row>
    <row r="30" spans="1:9" ht="18" hidden="1" outlineLevel="1">
      <c r="A30" s="877" t="s">
        <v>139</v>
      </c>
      <c r="B30" s="80" t="s">
        <v>1360</v>
      </c>
      <c r="C30" s="80" t="s">
        <v>1361</v>
      </c>
      <c r="D30" s="81" t="s">
        <v>1362</v>
      </c>
      <c r="E30" s="82" t="s">
        <v>1363</v>
      </c>
      <c r="F30" s="83" t="s">
        <v>277</v>
      </c>
      <c r="G30" s="84"/>
      <c r="H30" s="85">
        <f>6380000</f>
        <v>6380000</v>
      </c>
      <c r="I30" s="125"/>
    </row>
    <row r="31" spans="1:9" ht="18" hidden="1" outlineLevel="1">
      <c r="A31" s="877" t="s">
        <v>144</v>
      </c>
      <c r="B31" s="80" t="s">
        <v>1368</v>
      </c>
      <c r="C31" s="80" t="s">
        <v>1361</v>
      </c>
      <c r="D31" s="81" t="s">
        <v>1368</v>
      </c>
      <c r="E31" s="86" t="s">
        <v>1400</v>
      </c>
      <c r="F31" s="83"/>
      <c r="G31" s="84"/>
      <c r="H31" s="89">
        <f>16000000</f>
        <v>16000000</v>
      </c>
      <c r="I31" s="125"/>
    </row>
    <row r="32" spans="1:9" ht="18" hidden="1" outlineLevel="1">
      <c r="A32" s="877" t="s">
        <v>159</v>
      </c>
      <c r="B32" s="80" t="s">
        <v>1371</v>
      </c>
      <c r="C32" s="80" t="s">
        <v>1361</v>
      </c>
      <c r="D32" s="81" t="s">
        <v>1371</v>
      </c>
      <c r="E32" s="86" t="s">
        <v>1401</v>
      </c>
      <c r="F32" s="83" t="s">
        <v>277</v>
      </c>
      <c r="G32" s="84"/>
      <c r="H32" s="89">
        <f>1009000</f>
        <v>1009000</v>
      </c>
      <c r="I32" s="125"/>
    </row>
    <row r="33" spans="1:9" ht="18" hidden="1" outlineLevel="1">
      <c r="A33" s="877" t="s">
        <v>159</v>
      </c>
      <c r="B33" s="80" t="s">
        <v>1371</v>
      </c>
      <c r="C33" s="80" t="s">
        <v>1361</v>
      </c>
      <c r="D33" s="81" t="s">
        <v>1371</v>
      </c>
      <c r="E33" s="82" t="s">
        <v>1402</v>
      </c>
      <c r="F33" s="83" t="s">
        <v>271</v>
      </c>
      <c r="G33" s="84"/>
      <c r="H33" s="85">
        <f>970000</f>
        <v>970000</v>
      </c>
      <c r="I33" s="125"/>
    </row>
    <row r="34" spans="1:9" ht="18" hidden="1" outlineLevel="1">
      <c r="A34" s="877" t="s">
        <v>159</v>
      </c>
      <c r="B34" s="80" t="s">
        <v>1364</v>
      </c>
      <c r="C34" s="80" t="s">
        <v>1361</v>
      </c>
      <c r="D34" s="81" t="s">
        <v>1365</v>
      </c>
      <c r="E34" s="86" t="s">
        <v>1366</v>
      </c>
      <c r="F34" s="83" t="s">
        <v>271</v>
      </c>
      <c r="G34" s="84"/>
      <c r="H34" s="89">
        <f>500000</f>
        <v>500000</v>
      </c>
      <c r="I34" s="125"/>
    </row>
    <row r="35" spans="1:9" ht="18" hidden="1" outlineLevel="1">
      <c r="A35" s="877" t="s">
        <v>159</v>
      </c>
      <c r="B35" s="80" t="s">
        <v>1403</v>
      </c>
      <c r="C35" s="80" t="s">
        <v>1361</v>
      </c>
      <c r="D35" s="81" t="s">
        <v>1403</v>
      </c>
      <c r="E35" s="86" t="s">
        <v>1404</v>
      </c>
      <c r="F35" s="83" t="s">
        <v>271</v>
      </c>
      <c r="G35" s="84"/>
      <c r="H35" s="89">
        <f>1500000</f>
        <v>1500000</v>
      </c>
      <c r="I35" s="125"/>
    </row>
    <row r="36" spans="1:9" ht="18" hidden="1" outlineLevel="1">
      <c r="A36" s="877" t="s">
        <v>159</v>
      </c>
      <c r="B36" s="80" t="s">
        <v>1364</v>
      </c>
      <c r="C36" s="80" t="s">
        <v>1361</v>
      </c>
      <c r="D36" s="81" t="s">
        <v>1365</v>
      </c>
      <c r="E36" s="82" t="s">
        <v>1405</v>
      </c>
      <c r="F36" s="83" t="s">
        <v>271</v>
      </c>
      <c r="G36" s="84"/>
      <c r="H36" s="85">
        <f>3000000</f>
        <v>3000000</v>
      </c>
      <c r="I36" s="125"/>
    </row>
    <row r="37" spans="1:9" s="54" customFormat="1" ht="18" hidden="1" outlineLevel="1">
      <c r="A37" s="877" t="s">
        <v>169</v>
      </c>
      <c r="B37" s="80" t="s">
        <v>1386</v>
      </c>
      <c r="C37" s="80" t="s">
        <v>1361</v>
      </c>
      <c r="D37" s="81" t="s">
        <v>1406</v>
      </c>
      <c r="E37" s="86" t="s">
        <v>1407</v>
      </c>
      <c r="F37" s="83" t="s">
        <v>271</v>
      </c>
      <c r="G37" s="84"/>
      <c r="H37" s="89">
        <v>1560000</v>
      </c>
      <c r="I37" s="125"/>
    </row>
    <row r="38" spans="1:9" s="54" customFormat="1" ht="18" hidden="1" outlineLevel="1">
      <c r="A38" s="877" t="s">
        <v>169</v>
      </c>
      <c r="B38" s="80" t="s">
        <v>1406</v>
      </c>
      <c r="C38" s="80" t="s">
        <v>1361</v>
      </c>
      <c r="D38" s="81" t="s">
        <v>1406</v>
      </c>
      <c r="E38" s="88" t="s">
        <v>1408</v>
      </c>
      <c r="F38" s="83" t="s">
        <v>271</v>
      </c>
      <c r="G38" s="84"/>
      <c r="H38" s="89">
        <v>90000</v>
      </c>
      <c r="I38" s="125"/>
    </row>
    <row r="39" spans="1:9" s="55" customFormat="1" ht="18" collapsed="1">
      <c r="A39" s="90" t="s">
        <v>38</v>
      </c>
      <c r="B39" s="91"/>
      <c r="C39" s="91" t="s">
        <v>1361</v>
      </c>
      <c r="D39" s="92"/>
      <c r="E39" s="93" t="s">
        <v>175</v>
      </c>
      <c r="F39" s="94"/>
      <c r="G39" s="95">
        <f>SUM(G6:G38)</f>
        <v>119500000</v>
      </c>
      <c r="H39" s="96">
        <f>SUM(H6:H38)</f>
        <v>110869500</v>
      </c>
      <c r="I39" s="126"/>
    </row>
    <row r="40" spans="1:9" ht="18">
      <c r="A40" s="97" t="s">
        <v>266</v>
      </c>
      <c r="B40" s="98"/>
      <c r="C40" s="98"/>
      <c r="D40" s="99"/>
      <c r="E40" s="100"/>
      <c r="F40" s="101"/>
      <c r="G40" s="102">
        <f>G5+G39-H39</f>
        <v>71631063</v>
      </c>
      <c r="H40" s="103"/>
      <c r="I40" s="127"/>
    </row>
    <row r="41" spans="1:9" ht="18" hidden="1" outlineLevel="1">
      <c r="A41" s="877" t="s">
        <v>1409</v>
      </c>
      <c r="B41" s="80" t="s">
        <v>1410</v>
      </c>
      <c r="C41" s="80" t="s">
        <v>1361</v>
      </c>
      <c r="D41" s="81" t="s">
        <v>1411</v>
      </c>
      <c r="E41" s="82" t="s">
        <v>1412</v>
      </c>
      <c r="F41" s="83" t="s">
        <v>271</v>
      </c>
      <c r="G41" s="84"/>
      <c r="H41" s="84">
        <f>12000000</f>
        <v>12000000</v>
      </c>
      <c r="I41" s="125"/>
    </row>
    <row r="42" spans="1:9" ht="18" hidden="1" outlineLevel="1">
      <c r="A42" s="877" t="s">
        <v>1409</v>
      </c>
      <c r="B42" s="80" t="s">
        <v>300</v>
      </c>
      <c r="C42" s="80" t="s">
        <v>1361</v>
      </c>
      <c r="D42" s="81" t="s">
        <v>300</v>
      </c>
      <c r="E42" s="82" t="s">
        <v>1413</v>
      </c>
      <c r="F42" s="83" t="s">
        <v>271</v>
      </c>
      <c r="G42" s="84"/>
      <c r="H42" s="85">
        <f>11000</f>
        <v>11000</v>
      </c>
      <c r="I42" s="125"/>
    </row>
    <row r="43" spans="1:9" ht="18" hidden="1" outlineLevel="1">
      <c r="A43" s="877" t="s">
        <v>1409</v>
      </c>
      <c r="B43" s="80" t="s">
        <v>1391</v>
      </c>
      <c r="C43" s="80" t="s">
        <v>1361</v>
      </c>
      <c r="D43" s="81" t="s">
        <v>1414</v>
      </c>
      <c r="E43" s="82" t="s">
        <v>1415</v>
      </c>
      <c r="F43" s="83" t="s">
        <v>277</v>
      </c>
      <c r="G43" s="84"/>
      <c r="H43" s="85">
        <f>6500000</f>
        <v>6500000</v>
      </c>
      <c r="I43" s="125"/>
    </row>
    <row r="44" spans="1:9" ht="18" hidden="1" outlineLevel="1">
      <c r="A44" s="877" t="s">
        <v>1409</v>
      </c>
      <c r="B44" s="80" t="s">
        <v>1416</v>
      </c>
      <c r="C44" s="80" t="s">
        <v>1361</v>
      </c>
      <c r="D44" s="81" t="s">
        <v>1416</v>
      </c>
      <c r="E44" s="82" t="s">
        <v>1417</v>
      </c>
      <c r="F44" s="83" t="s">
        <v>271</v>
      </c>
      <c r="G44" s="84"/>
      <c r="H44" s="85">
        <f>1000000</f>
        <v>1000000</v>
      </c>
      <c r="I44" s="125"/>
    </row>
    <row r="45" spans="1:9" ht="18" hidden="1" outlineLevel="1">
      <c r="A45" s="877" t="s">
        <v>1409</v>
      </c>
      <c r="B45" s="80"/>
      <c r="C45" s="80" t="s">
        <v>1361</v>
      </c>
      <c r="D45" s="81" t="s">
        <v>1371</v>
      </c>
      <c r="E45" s="82" t="s">
        <v>1418</v>
      </c>
      <c r="F45" s="83" t="s">
        <v>277</v>
      </c>
      <c r="G45" s="84"/>
      <c r="H45" s="85">
        <f>1000000</f>
        <v>1000000</v>
      </c>
      <c r="I45" s="125"/>
    </row>
    <row r="46" spans="1:9" ht="18" hidden="1" outlineLevel="1">
      <c r="A46" s="877" t="s">
        <v>1409</v>
      </c>
      <c r="B46" s="80"/>
      <c r="C46" s="80" t="s">
        <v>1361</v>
      </c>
      <c r="D46" s="81" t="s">
        <v>1371</v>
      </c>
      <c r="E46" s="82" t="s">
        <v>1419</v>
      </c>
      <c r="F46" s="83" t="s">
        <v>277</v>
      </c>
      <c r="G46" s="84"/>
      <c r="H46" s="85">
        <f>1500000</f>
        <v>1500000</v>
      </c>
      <c r="I46" s="125"/>
    </row>
    <row r="47" spans="1:9" ht="18" hidden="1" outlineLevel="1">
      <c r="A47" s="877" t="s">
        <v>1420</v>
      </c>
      <c r="B47" s="80" t="s">
        <v>1386</v>
      </c>
      <c r="C47" s="80" t="s">
        <v>1361</v>
      </c>
      <c r="D47" s="81" t="s">
        <v>1421</v>
      </c>
      <c r="E47" s="82" t="s">
        <v>1422</v>
      </c>
      <c r="F47" s="83" t="s">
        <v>271</v>
      </c>
      <c r="G47" s="84"/>
      <c r="H47" s="85">
        <f>9000000</f>
        <v>9000000</v>
      </c>
      <c r="I47" s="125"/>
    </row>
    <row r="48" spans="1:9" ht="18" hidden="1" outlineLevel="1">
      <c r="A48" s="877" t="s">
        <v>1420</v>
      </c>
      <c r="B48" s="80" t="s">
        <v>1386</v>
      </c>
      <c r="C48" s="80" t="s">
        <v>1361</v>
      </c>
      <c r="D48" s="81" t="s">
        <v>1421</v>
      </c>
      <c r="E48" s="82" t="s">
        <v>1423</v>
      </c>
      <c r="F48" s="83" t="s">
        <v>271</v>
      </c>
      <c r="G48" s="84"/>
      <c r="H48" s="85">
        <f>1230000</f>
        <v>1230000</v>
      </c>
      <c r="I48" s="125"/>
    </row>
    <row r="49" spans="1:9" s="54" customFormat="1" ht="18" hidden="1" outlineLevel="1">
      <c r="A49" s="877" t="s">
        <v>1424</v>
      </c>
      <c r="B49" s="80" t="s">
        <v>1368</v>
      </c>
      <c r="C49" s="80" t="s">
        <v>1361</v>
      </c>
      <c r="D49" s="80" t="str">
        <f>B49</f>
        <v>Mr Lee Sang Jae</v>
      </c>
      <c r="E49" s="82" t="s">
        <v>1425</v>
      </c>
      <c r="F49" s="83" t="s">
        <v>271</v>
      </c>
      <c r="G49" s="84"/>
      <c r="H49" s="85">
        <f>10000000</f>
        <v>10000000</v>
      </c>
      <c r="I49" s="125"/>
    </row>
    <row r="50" spans="1:9" s="54" customFormat="1" ht="18" hidden="1" outlineLevel="1">
      <c r="A50" s="877" t="s">
        <v>1424</v>
      </c>
      <c r="B50" s="80" t="s">
        <v>1403</v>
      </c>
      <c r="C50" s="80" t="s">
        <v>1361</v>
      </c>
      <c r="D50" s="80" t="str">
        <f>B50</f>
        <v>Mr Kim Jin Kwang</v>
      </c>
      <c r="E50" s="82" t="s">
        <v>1426</v>
      </c>
      <c r="F50" s="83" t="s">
        <v>271</v>
      </c>
      <c r="G50" s="84"/>
      <c r="H50" s="85">
        <f>10000000</f>
        <v>10000000</v>
      </c>
      <c r="I50" s="125"/>
    </row>
    <row r="51" spans="1:9" ht="18" hidden="1" outlineLevel="1">
      <c r="A51" s="877" t="s">
        <v>1427</v>
      </c>
      <c r="B51" s="80" t="s">
        <v>1365</v>
      </c>
      <c r="C51" s="80" t="s">
        <v>1361</v>
      </c>
      <c r="D51" s="81" t="s">
        <v>1365</v>
      </c>
      <c r="E51" s="82" t="s">
        <v>1428</v>
      </c>
      <c r="F51" s="83" t="s">
        <v>271</v>
      </c>
      <c r="G51" s="84"/>
      <c r="H51" s="85">
        <f>1000000</f>
        <v>1000000</v>
      </c>
      <c r="I51" s="125"/>
    </row>
    <row r="52" spans="1:9" s="54" customFormat="1" ht="33" hidden="1" customHeight="1" outlineLevel="1">
      <c r="A52" s="877" t="s">
        <v>1429</v>
      </c>
      <c r="B52" s="80" t="s">
        <v>1371</v>
      </c>
      <c r="C52" s="80" t="s">
        <v>1361</v>
      </c>
      <c r="D52" s="81" t="s">
        <v>1371</v>
      </c>
      <c r="E52" s="82" t="s">
        <v>1430</v>
      </c>
      <c r="F52" s="83" t="s">
        <v>271</v>
      </c>
      <c r="G52" s="84"/>
      <c r="H52" s="85">
        <f>230000</f>
        <v>230000</v>
      </c>
      <c r="I52" s="125"/>
    </row>
    <row r="53" spans="1:9" s="54" customFormat="1" ht="33" hidden="1" customHeight="1" outlineLevel="1">
      <c r="A53" s="877" t="s">
        <v>1429</v>
      </c>
      <c r="B53" s="80" t="s">
        <v>1391</v>
      </c>
      <c r="C53" s="80" t="s">
        <v>1361</v>
      </c>
      <c r="D53" s="81" t="s">
        <v>1371</v>
      </c>
      <c r="E53" s="82" t="s">
        <v>1431</v>
      </c>
      <c r="F53" s="83" t="s">
        <v>277</v>
      </c>
      <c r="G53" s="84"/>
      <c r="H53" s="85">
        <f>1000000</f>
        <v>1000000</v>
      </c>
      <c r="I53" s="125"/>
    </row>
    <row r="54" spans="1:9" s="56" customFormat="1" ht="33" hidden="1" customHeight="1" outlineLevel="1">
      <c r="A54" s="104"/>
      <c r="B54" s="105"/>
      <c r="C54" s="105" t="s">
        <v>1361</v>
      </c>
      <c r="D54" s="106"/>
      <c r="E54" s="107"/>
      <c r="F54" s="108"/>
      <c r="G54" s="109"/>
      <c r="I54" s="128">
        <f>180000</f>
        <v>180000</v>
      </c>
    </row>
    <row r="55" spans="1:9" s="57" customFormat="1" ht="33" hidden="1" customHeight="1" outlineLevel="1">
      <c r="A55" s="878" t="s">
        <v>1432</v>
      </c>
      <c r="B55" s="110" t="s">
        <v>1365</v>
      </c>
      <c r="C55" s="110" t="s">
        <v>1361</v>
      </c>
      <c r="D55" s="111" t="s">
        <v>1365</v>
      </c>
      <c r="E55" s="112" t="s">
        <v>1433</v>
      </c>
      <c r="F55" s="113" t="s">
        <v>271</v>
      </c>
      <c r="G55" s="114"/>
      <c r="H55" s="115">
        <v>960000</v>
      </c>
      <c r="I55" s="129"/>
    </row>
    <row r="56" spans="1:9" s="58" customFormat="1" ht="33" hidden="1" customHeight="1" outlineLevel="1">
      <c r="A56" s="877" t="s">
        <v>1432</v>
      </c>
      <c r="B56" s="80" t="s">
        <v>1386</v>
      </c>
      <c r="C56" s="80" t="s">
        <v>1361</v>
      </c>
      <c r="D56" s="81" t="s">
        <v>1421</v>
      </c>
      <c r="E56" s="82" t="s">
        <v>1434</v>
      </c>
      <c r="F56" s="83" t="s">
        <v>271</v>
      </c>
      <c r="G56" s="84"/>
      <c r="H56" s="85">
        <f>400000</f>
        <v>400000</v>
      </c>
      <c r="I56" s="125" t="s">
        <v>1435</v>
      </c>
    </row>
    <row r="57" spans="1:9" s="58" customFormat="1" ht="33" hidden="1" customHeight="1" outlineLevel="1">
      <c r="A57" s="877" t="s">
        <v>1432</v>
      </c>
      <c r="B57" s="80" t="s">
        <v>1371</v>
      </c>
      <c r="C57" s="80" t="s">
        <v>1361</v>
      </c>
      <c r="D57" s="81" t="s">
        <v>1371</v>
      </c>
      <c r="E57" s="86" t="s">
        <v>1436</v>
      </c>
      <c r="F57" s="83" t="s">
        <v>271</v>
      </c>
      <c r="G57" s="84"/>
      <c r="H57" s="87">
        <f>932000</f>
        <v>932000</v>
      </c>
      <c r="I57" s="125">
        <f>932000</f>
        <v>932000</v>
      </c>
    </row>
    <row r="58" spans="1:9" s="58" customFormat="1" ht="33" hidden="1" customHeight="1" outlineLevel="1">
      <c r="A58" s="879" t="s">
        <v>1432</v>
      </c>
      <c r="B58" s="116" t="s">
        <v>1437</v>
      </c>
      <c r="C58" s="116" t="s">
        <v>1361</v>
      </c>
      <c r="D58" s="117" t="s">
        <v>1371</v>
      </c>
      <c r="E58" s="118" t="s">
        <v>1438</v>
      </c>
      <c r="F58" s="119" t="s">
        <v>277</v>
      </c>
      <c r="G58" s="120"/>
      <c r="H58" s="121">
        <f>6158000</f>
        <v>6158000</v>
      </c>
      <c r="I58" s="130">
        <f>6158000</f>
        <v>6158000</v>
      </c>
    </row>
    <row r="59" spans="1:9" ht="18" hidden="1" outlineLevel="1">
      <c r="A59" s="877" t="s">
        <v>1439</v>
      </c>
      <c r="B59" s="80" t="s">
        <v>1440</v>
      </c>
      <c r="C59" s="80" t="s">
        <v>1361</v>
      </c>
      <c r="D59" s="81" t="s">
        <v>1365</v>
      </c>
      <c r="E59" s="86" t="s">
        <v>1441</v>
      </c>
      <c r="F59" s="83" t="s">
        <v>271</v>
      </c>
      <c r="G59" s="84"/>
      <c r="H59" s="87">
        <f>316000</f>
        <v>316000</v>
      </c>
      <c r="I59" s="131"/>
    </row>
    <row r="60" spans="1:9" ht="18" hidden="1" outlineLevel="1">
      <c r="A60" s="877" t="s">
        <v>1439</v>
      </c>
      <c r="B60" s="80" t="s">
        <v>1386</v>
      </c>
      <c r="C60" s="80" t="s">
        <v>1361</v>
      </c>
      <c r="D60" s="81" t="s">
        <v>1421</v>
      </c>
      <c r="E60" s="82" t="s">
        <v>1442</v>
      </c>
      <c r="F60" s="83" t="s">
        <v>271</v>
      </c>
      <c r="G60" s="84"/>
      <c r="H60" s="85">
        <f>1260000</f>
        <v>1260000</v>
      </c>
      <c r="I60" s="125"/>
    </row>
    <row r="61" spans="1:9" ht="18" hidden="1" outlineLevel="1">
      <c r="A61" s="877" t="s">
        <v>1439</v>
      </c>
      <c r="B61" s="80" t="s">
        <v>1443</v>
      </c>
      <c r="C61" s="80" t="s">
        <v>1361</v>
      </c>
      <c r="D61" s="81" t="s">
        <v>1365</v>
      </c>
      <c r="E61" s="88" t="s">
        <v>1399</v>
      </c>
      <c r="F61" s="83"/>
      <c r="G61" s="84">
        <f>50000000</f>
        <v>50000000</v>
      </c>
      <c r="H61" s="87"/>
      <c r="I61" s="125"/>
    </row>
    <row r="62" spans="1:9" ht="18" hidden="1" outlineLevel="1">
      <c r="A62" s="877" t="s">
        <v>1444</v>
      </c>
      <c r="B62" s="80" t="s">
        <v>1445</v>
      </c>
      <c r="C62" s="80" t="s">
        <v>1361</v>
      </c>
      <c r="D62" s="81" t="s">
        <v>1446</v>
      </c>
      <c r="E62" s="86" t="s">
        <v>1447</v>
      </c>
      <c r="F62" s="83" t="s">
        <v>271</v>
      </c>
      <c r="G62" s="84"/>
      <c r="H62" s="89">
        <f>20000000</f>
        <v>20000000</v>
      </c>
      <c r="I62" s="125"/>
    </row>
    <row r="63" spans="1:9" ht="18" hidden="1" outlineLevel="1">
      <c r="A63" s="877" t="s">
        <v>1444</v>
      </c>
      <c r="B63" s="80" t="s">
        <v>1437</v>
      </c>
      <c r="C63" s="80" t="s">
        <v>1361</v>
      </c>
      <c r="D63" s="81" t="s">
        <v>1371</v>
      </c>
      <c r="E63" s="86" t="s">
        <v>1448</v>
      </c>
      <c r="F63" s="83" t="s">
        <v>277</v>
      </c>
      <c r="G63" s="84"/>
      <c r="H63" s="89">
        <f>14956400</f>
        <v>14956400</v>
      </c>
      <c r="I63" s="125"/>
    </row>
    <row r="64" spans="1:9" ht="18" hidden="1" outlineLevel="1">
      <c r="A64" s="877" t="s">
        <v>1444</v>
      </c>
      <c r="B64" s="80" t="s">
        <v>1365</v>
      </c>
      <c r="C64" s="80" t="s">
        <v>1361</v>
      </c>
      <c r="D64" s="81" t="s">
        <v>1365</v>
      </c>
      <c r="E64" s="86" t="s">
        <v>1449</v>
      </c>
      <c r="F64" s="83" t="s">
        <v>271</v>
      </c>
      <c r="G64" s="84"/>
      <c r="H64" s="89">
        <f>100000</f>
        <v>100000</v>
      </c>
      <c r="I64" s="125"/>
    </row>
    <row r="65" spans="1:9" ht="18" hidden="1" outlineLevel="1">
      <c r="A65" s="877" t="s">
        <v>1450</v>
      </c>
      <c r="B65" s="80" t="s">
        <v>1386</v>
      </c>
      <c r="C65" s="80" t="s">
        <v>1361</v>
      </c>
      <c r="D65" s="81" t="s">
        <v>1421</v>
      </c>
      <c r="E65" s="86" t="s">
        <v>1451</v>
      </c>
      <c r="F65" s="83" t="s">
        <v>271</v>
      </c>
      <c r="G65" s="84"/>
      <c r="H65" s="89">
        <f>1060000</f>
        <v>1060000</v>
      </c>
      <c r="I65" s="125"/>
    </row>
    <row r="66" spans="1:9" ht="18" hidden="1" outlineLevel="1">
      <c r="A66" s="877" t="s">
        <v>913</v>
      </c>
      <c r="B66" s="80" t="s">
        <v>1386</v>
      </c>
      <c r="C66" s="80" t="s">
        <v>1361</v>
      </c>
      <c r="D66" s="81" t="s">
        <v>1421</v>
      </c>
      <c r="E66" s="82" t="s">
        <v>1452</v>
      </c>
      <c r="F66" s="83" t="s">
        <v>271</v>
      </c>
      <c r="G66" s="84"/>
      <c r="H66" s="85">
        <f>1260000</f>
        <v>1260000</v>
      </c>
      <c r="I66" s="125"/>
    </row>
    <row r="67" spans="1:9" s="54" customFormat="1" ht="18" hidden="1" outlineLevel="1">
      <c r="A67" s="877" t="s">
        <v>921</v>
      </c>
      <c r="B67" s="80" t="s">
        <v>1386</v>
      </c>
      <c r="C67" s="80" t="s">
        <v>1361</v>
      </c>
      <c r="D67" s="81" t="s">
        <v>1421</v>
      </c>
      <c r="E67" s="86" t="s">
        <v>1453</v>
      </c>
      <c r="F67" s="83" t="s">
        <v>271</v>
      </c>
      <c r="G67" s="84"/>
      <c r="H67" s="89">
        <f>1560000</f>
        <v>1560000</v>
      </c>
      <c r="I67" s="125" t="s">
        <v>1454</v>
      </c>
    </row>
    <row r="68" spans="1:9" s="54" customFormat="1" ht="18" hidden="1" outlineLevel="1">
      <c r="A68" s="877" t="s">
        <v>921</v>
      </c>
      <c r="B68" s="80" t="s">
        <v>1371</v>
      </c>
      <c r="C68" s="80" t="s">
        <v>1361</v>
      </c>
      <c r="D68" s="81" t="s">
        <v>1371</v>
      </c>
      <c r="E68" s="86" t="s">
        <v>1455</v>
      </c>
      <c r="F68" s="83" t="s">
        <v>271</v>
      </c>
      <c r="G68" s="84"/>
      <c r="H68" s="89">
        <f>2650000</f>
        <v>2650000</v>
      </c>
      <c r="I68" s="125" t="s">
        <v>1456</v>
      </c>
    </row>
    <row r="69" spans="1:9" s="54" customFormat="1" ht="18" hidden="1" outlineLevel="1">
      <c r="A69" s="877" t="s">
        <v>927</v>
      </c>
      <c r="B69" s="80" t="s">
        <v>1386</v>
      </c>
      <c r="C69" s="80" t="s">
        <v>1361</v>
      </c>
      <c r="D69" s="81" t="s">
        <v>1421</v>
      </c>
      <c r="E69" s="82" t="s">
        <v>1457</v>
      </c>
      <c r="F69" s="83" t="s">
        <v>271</v>
      </c>
      <c r="G69" s="84"/>
      <c r="H69" s="85">
        <f>500000</f>
        <v>500000</v>
      </c>
      <c r="I69" s="125"/>
    </row>
    <row r="70" spans="1:9" s="54" customFormat="1" ht="18" hidden="1" outlineLevel="1">
      <c r="A70" s="877" t="s">
        <v>929</v>
      </c>
      <c r="B70" s="80" t="s">
        <v>1386</v>
      </c>
      <c r="C70" s="80" t="s">
        <v>1361</v>
      </c>
      <c r="D70" s="81" t="s">
        <v>1421</v>
      </c>
      <c r="E70" s="82" t="s">
        <v>1458</v>
      </c>
      <c r="F70" s="83" t="s">
        <v>271</v>
      </c>
      <c r="G70" s="84"/>
      <c r="H70" s="89">
        <f>600000</f>
        <v>600000</v>
      </c>
      <c r="I70" s="125"/>
    </row>
    <row r="71" spans="1:9" s="54" customFormat="1" ht="18" hidden="1" outlineLevel="1">
      <c r="A71" s="877" t="s">
        <v>929</v>
      </c>
      <c r="B71" s="80" t="s">
        <v>1391</v>
      </c>
      <c r="C71" s="80" t="s">
        <v>1361</v>
      </c>
      <c r="D71" s="81" t="s">
        <v>1414</v>
      </c>
      <c r="E71" s="86" t="s">
        <v>1459</v>
      </c>
      <c r="F71" s="83" t="s">
        <v>277</v>
      </c>
      <c r="G71" s="84"/>
      <c r="H71" s="89">
        <f>3500000</f>
        <v>3500000</v>
      </c>
      <c r="I71" s="125"/>
    </row>
    <row r="72" spans="1:9" s="54" customFormat="1" ht="18" hidden="1" outlineLevel="1">
      <c r="A72" s="877" t="s">
        <v>931</v>
      </c>
      <c r="B72" s="80" t="s">
        <v>1365</v>
      </c>
      <c r="C72" s="80" t="s">
        <v>1361</v>
      </c>
      <c r="D72" s="81" t="s">
        <v>1365</v>
      </c>
      <c r="E72" s="82" t="s">
        <v>436</v>
      </c>
      <c r="F72" s="83" t="s">
        <v>271</v>
      </c>
      <c r="G72" s="84"/>
      <c r="H72" s="85">
        <f>550000</f>
        <v>550000</v>
      </c>
      <c r="I72" s="125"/>
    </row>
    <row r="73" spans="1:9" s="54" customFormat="1" ht="18" hidden="1" outlineLevel="1">
      <c r="A73" s="877" t="s">
        <v>931</v>
      </c>
      <c r="B73" s="80" t="s">
        <v>1460</v>
      </c>
      <c r="C73" s="80" t="s">
        <v>1361</v>
      </c>
      <c r="D73" s="81" t="s">
        <v>1365</v>
      </c>
      <c r="E73" s="86" t="s">
        <v>1461</v>
      </c>
      <c r="F73" s="83" t="s">
        <v>277</v>
      </c>
      <c r="G73" s="84"/>
      <c r="H73" s="89">
        <f>2030000</f>
        <v>2030000</v>
      </c>
      <c r="I73" s="125"/>
    </row>
    <row r="74" spans="1:9" s="54" customFormat="1" ht="18" hidden="1" outlineLevel="1">
      <c r="A74" s="877" t="s">
        <v>933</v>
      </c>
      <c r="B74" s="80" t="s">
        <v>1386</v>
      </c>
      <c r="C74" s="80" t="s">
        <v>1361</v>
      </c>
      <c r="D74" s="81" t="s">
        <v>1421</v>
      </c>
      <c r="E74" s="86" t="s">
        <v>1451</v>
      </c>
      <c r="F74" s="83" t="s">
        <v>271</v>
      </c>
      <c r="G74" s="84"/>
      <c r="H74" s="89">
        <f>1100000</f>
        <v>1100000</v>
      </c>
      <c r="I74" s="125"/>
    </row>
    <row r="75" spans="1:9" s="54" customFormat="1" ht="18" hidden="1" outlineLevel="1">
      <c r="A75" s="877" t="s">
        <v>935</v>
      </c>
      <c r="B75" s="80" t="s">
        <v>1371</v>
      </c>
      <c r="C75" s="80" t="s">
        <v>1361</v>
      </c>
      <c r="D75" s="81" t="s">
        <v>1371</v>
      </c>
      <c r="E75" s="82" t="s">
        <v>1418</v>
      </c>
      <c r="F75" s="83" t="s">
        <v>277</v>
      </c>
      <c r="G75" s="84"/>
      <c r="H75" s="85">
        <f>706000</f>
        <v>706000</v>
      </c>
      <c r="I75" s="125"/>
    </row>
    <row r="76" spans="1:9" s="54" customFormat="1" ht="18" hidden="1" outlineLevel="1">
      <c r="A76" s="877" t="s">
        <v>1462</v>
      </c>
      <c r="B76" s="80"/>
      <c r="C76" s="80" t="s">
        <v>1361</v>
      </c>
      <c r="D76" s="81" t="s">
        <v>1421</v>
      </c>
      <c r="E76" s="86" t="s">
        <v>1459</v>
      </c>
      <c r="F76" s="83" t="s">
        <v>277</v>
      </c>
      <c r="G76" s="84"/>
      <c r="H76" s="89">
        <f>3500000</f>
        <v>3500000</v>
      </c>
      <c r="I76" s="125"/>
    </row>
    <row r="77" spans="1:9" s="54" customFormat="1" ht="18" hidden="1" outlineLevel="1">
      <c r="A77" s="877" t="s">
        <v>942</v>
      </c>
      <c r="B77" s="80" t="s">
        <v>1386</v>
      </c>
      <c r="C77" s="80" t="s">
        <v>1361</v>
      </c>
      <c r="D77" s="81" t="s">
        <v>1362</v>
      </c>
      <c r="E77" s="86" t="s">
        <v>1463</v>
      </c>
      <c r="F77" s="83" t="s">
        <v>271</v>
      </c>
      <c r="G77" s="84"/>
      <c r="H77" s="89">
        <f>1300000</f>
        <v>1300000</v>
      </c>
      <c r="I77" s="125"/>
    </row>
    <row r="78" spans="1:9" s="54" customFormat="1" ht="18" hidden="1" outlineLevel="1">
      <c r="A78" s="877" t="s">
        <v>985</v>
      </c>
      <c r="B78" s="80" t="s">
        <v>1386</v>
      </c>
      <c r="C78" s="80" t="s">
        <v>1361</v>
      </c>
      <c r="D78" s="81" t="s">
        <v>1362</v>
      </c>
      <c r="E78" s="86" t="s">
        <v>1464</v>
      </c>
      <c r="F78" s="83" t="s">
        <v>271</v>
      </c>
      <c r="G78" s="84"/>
      <c r="H78" s="85">
        <f>500000</f>
        <v>500000</v>
      </c>
      <c r="I78" s="125"/>
    </row>
    <row r="79" spans="1:9" s="58" customFormat="1" ht="18" hidden="1" outlineLevel="1">
      <c r="A79" s="877" t="s">
        <v>985</v>
      </c>
      <c r="B79" s="132" t="s">
        <v>1371</v>
      </c>
      <c r="C79" s="132" t="s">
        <v>1361</v>
      </c>
      <c r="D79" s="133" t="s">
        <v>1371</v>
      </c>
      <c r="E79" s="134" t="s">
        <v>1372</v>
      </c>
      <c r="F79" s="83" t="s">
        <v>271</v>
      </c>
      <c r="G79" s="84"/>
      <c r="H79" s="85">
        <v>60000</v>
      </c>
      <c r="I79" s="125"/>
    </row>
    <row r="80" spans="1:9" s="58" customFormat="1" ht="18" hidden="1" outlineLevel="1">
      <c r="A80" s="877" t="s">
        <v>987</v>
      </c>
      <c r="B80" s="132" t="s">
        <v>1443</v>
      </c>
      <c r="C80" s="132" t="s">
        <v>1361</v>
      </c>
      <c r="D80" s="133" t="s">
        <v>1365</v>
      </c>
      <c r="E80" s="134" t="s">
        <v>1399</v>
      </c>
      <c r="F80" s="83"/>
      <c r="G80" s="84">
        <v>100000000</v>
      </c>
      <c r="H80" s="85"/>
      <c r="I80" s="125"/>
    </row>
    <row r="81" spans="1:9" s="58" customFormat="1" ht="18" hidden="1" outlineLevel="1">
      <c r="A81" s="877" t="s">
        <v>990</v>
      </c>
      <c r="B81" s="132" t="s">
        <v>1360</v>
      </c>
      <c r="C81" s="132" t="s">
        <v>1361</v>
      </c>
      <c r="D81" s="133" t="s">
        <v>1362</v>
      </c>
      <c r="E81" s="134" t="s">
        <v>1459</v>
      </c>
      <c r="F81" s="83" t="s">
        <v>277</v>
      </c>
      <c r="G81" s="84"/>
      <c r="H81" s="85">
        <v>3142000</v>
      </c>
      <c r="I81" s="125"/>
    </row>
    <row r="82" spans="1:9" s="58" customFormat="1" ht="18" hidden="1" outlineLevel="1">
      <c r="A82" s="877" t="s">
        <v>990</v>
      </c>
      <c r="B82" s="132" t="s">
        <v>1386</v>
      </c>
      <c r="C82" s="132" t="s">
        <v>1361</v>
      </c>
      <c r="D82" s="133" t="s">
        <v>1362</v>
      </c>
      <c r="E82" s="134" t="s">
        <v>1465</v>
      </c>
      <c r="F82" s="83" t="s">
        <v>271</v>
      </c>
      <c r="G82" s="84"/>
      <c r="H82" s="85">
        <v>630000</v>
      </c>
      <c r="I82" s="125"/>
    </row>
    <row r="83" spans="1:9" s="58" customFormat="1" ht="18" hidden="1" outlineLevel="1">
      <c r="A83" s="877" t="s">
        <v>1466</v>
      </c>
      <c r="B83" s="132" t="s">
        <v>1467</v>
      </c>
      <c r="C83" s="132" t="s">
        <v>1361</v>
      </c>
      <c r="D83" s="133" t="s">
        <v>1365</v>
      </c>
      <c r="E83" s="134" t="s">
        <v>1468</v>
      </c>
      <c r="F83" s="83" t="s">
        <v>277</v>
      </c>
      <c r="G83" s="84"/>
      <c r="H83" s="85">
        <v>7876000</v>
      </c>
      <c r="I83" s="125"/>
    </row>
    <row r="84" spans="1:9" s="58" customFormat="1" ht="18" hidden="1" outlineLevel="1">
      <c r="A84" s="877" t="s">
        <v>1466</v>
      </c>
      <c r="B84" s="132" t="s">
        <v>1421</v>
      </c>
      <c r="C84" s="132" t="s">
        <v>1361</v>
      </c>
      <c r="D84" s="133" t="s">
        <v>1421</v>
      </c>
      <c r="E84" s="134" t="s">
        <v>1469</v>
      </c>
      <c r="F84" s="83" t="s">
        <v>271</v>
      </c>
      <c r="G84" s="84"/>
      <c r="H84" s="85">
        <v>120000</v>
      </c>
      <c r="I84" s="125"/>
    </row>
    <row r="85" spans="1:9" s="58" customFormat="1" ht="18" hidden="1" outlineLevel="1">
      <c r="A85" s="877" t="s">
        <v>1466</v>
      </c>
      <c r="B85" s="132" t="s">
        <v>1371</v>
      </c>
      <c r="C85" s="132" t="s">
        <v>1361</v>
      </c>
      <c r="D85" s="133" t="s">
        <v>1371</v>
      </c>
      <c r="E85" s="134" t="s">
        <v>1470</v>
      </c>
      <c r="F85" s="83" t="s">
        <v>271</v>
      </c>
      <c r="G85" s="84"/>
      <c r="H85" s="85">
        <v>935000</v>
      </c>
      <c r="I85" s="125"/>
    </row>
    <row r="86" spans="1:9" s="58" customFormat="1" ht="18" hidden="1" outlineLevel="1">
      <c r="A86" s="877" t="s">
        <v>1466</v>
      </c>
      <c r="B86" s="132" t="s">
        <v>1471</v>
      </c>
      <c r="C86" s="132" t="s">
        <v>1361</v>
      </c>
      <c r="D86" s="133" t="s">
        <v>1471</v>
      </c>
      <c r="E86" s="134" t="s">
        <v>1472</v>
      </c>
      <c r="F86" s="83" t="s">
        <v>271</v>
      </c>
      <c r="G86" s="84"/>
      <c r="H86" s="85">
        <v>20000000</v>
      </c>
      <c r="I86" s="125"/>
    </row>
    <row r="87" spans="1:9" s="58" customFormat="1" ht="18" hidden="1" outlineLevel="1">
      <c r="A87" s="877" t="s">
        <v>1466</v>
      </c>
      <c r="B87" s="132" t="s">
        <v>1403</v>
      </c>
      <c r="C87" s="132" t="s">
        <v>1361</v>
      </c>
      <c r="D87" s="133" t="s">
        <v>1403</v>
      </c>
      <c r="E87" s="134" t="s">
        <v>1473</v>
      </c>
      <c r="F87" s="83" t="s">
        <v>271</v>
      </c>
      <c r="G87" s="84"/>
      <c r="H87" s="85">
        <v>950000</v>
      </c>
      <c r="I87" s="125"/>
    </row>
    <row r="88" spans="1:9" s="58" customFormat="1" ht="18" hidden="1" outlineLevel="1">
      <c r="A88" s="877" t="s">
        <v>1466</v>
      </c>
      <c r="B88" s="132" t="s">
        <v>1368</v>
      </c>
      <c r="C88" s="132" t="s">
        <v>1361</v>
      </c>
      <c r="D88" s="133" t="s">
        <v>1368</v>
      </c>
      <c r="E88" s="134" t="s">
        <v>1474</v>
      </c>
      <c r="F88" s="83" t="s">
        <v>271</v>
      </c>
      <c r="G88" s="84"/>
      <c r="H88" s="89">
        <v>15000000</v>
      </c>
      <c r="I88" s="125"/>
    </row>
    <row r="89" spans="1:9" ht="18" hidden="1" outlineLevel="1">
      <c r="A89" s="877" t="s">
        <v>1466</v>
      </c>
      <c r="B89" s="132" t="s">
        <v>1403</v>
      </c>
      <c r="C89" s="132" t="s">
        <v>1361</v>
      </c>
      <c r="D89" s="133" t="s">
        <v>1403</v>
      </c>
      <c r="E89" s="135" t="s">
        <v>1475</v>
      </c>
      <c r="F89" s="83" t="s">
        <v>271</v>
      </c>
      <c r="G89" s="84"/>
      <c r="H89" s="89">
        <v>20000000</v>
      </c>
      <c r="I89" s="125"/>
    </row>
    <row r="90" spans="1:9" s="54" customFormat="1" ht="18" hidden="1" outlineLevel="1">
      <c r="A90" s="877" t="s">
        <v>1001</v>
      </c>
      <c r="B90" s="80" t="s">
        <v>1365</v>
      </c>
      <c r="C90" s="80" t="s">
        <v>1361</v>
      </c>
      <c r="D90" s="81" t="s">
        <v>1365</v>
      </c>
      <c r="E90" s="86" t="s">
        <v>1428</v>
      </c>
      <c r="F90" s="83" t="s">
        <v>271</v>
      </c>
      <c r="G90" s="84"/>
      <c r="H90" s="89">
        <f>1000000</f>
        <v>1000000</v>
      </c>
      <c r="I90" s="125"/>
    </row>
    <row r="91" spans="1:9" s="54" customFormat="1" ht="18" hidden="1" outlineLevel="1">
      <c r="A91" s="877" t="s">
        <v>1001</v>
      </c>
      <c r="B91" s="80" t="s">
        <v>1443</v>
      </c>
      <c r="C91" s="80" t="s">
        <v>1361</v>
      </c>
      <c r="D91" s="81" t="s">
        <v>1365</v>
      </c>
      <c r="E91" s="86" t="s">
        <v>1399</v>
      </c>
      <c r="F91" s="83"/>
      <c r="G91" s="84">
        <f>70000000</f>
        <v>70000000</v>
      </c>
      <c r="H91" s="89"/>
      <c r="I91" s="125"/>
    </row>
    <row r="92" spans="1:9" s="54" customFormat="1" ht="18" hidden="1" outlineLevel="1">
      <c r="A92" s="877" t="s">
        <v>1001</v>
      </c>
      <c r="B92" s="80" t="s">
        <v>1403</v>
      </c>
      <c r="C92" s="80" t="s">
        <v>1361</v>
      </c>
      <c r="D92" s="81" t="s">
        <v>1403</v>
      </c>
      <c r="E92" s="86" t="s">
        <v>1476</v>
      </c>
      <c r="F92" s="83" t="s">
        <v>271</v>
      </c>
      <c r="G92" s="84"/>
      <c r="H92" s="89">
        <f>10000000</f>
        <v>10000000</v>
      </c>
      <c r="I92" s="125"/>
    </row>
    <row r="93" spans="1:9" s="54" customFormat="1" ht="18" hidden="1" outlineLevel="1">
      <c r="A93" s="877" t="s">
        <v>1001</v>
      </c>
      <c r="B93" s="80" t="s">
        <v>1368</v>
      </c>
      <c r="C93" s="80" t="s">
        <v>1361</v>
      </c>
      <c r="D93" s="81" t="s">
        <v>1368</v>
      </c>
      <c r="E93" s="86" t="s">
        <v>1477</v>
      </c>
      <c r="F93" s="83" t="s">
        <v>271</v>
      </c>
      <c r="G93" s="84"/>
      <c r="H93" s="89">
        <f>10000000</f>
        <v>10000000</v>
      </c>
      <c r="I93" s="125"/>
    </row>
    <row r="94" spans="1:9" s="54" customFormat="1" ht="18" hidden="1" outlineLevel="1">
      <c r="A94" s="877" t="s">
        <v>1001</v>
      </c>
      <c r="B94" s="80" t="s">
        <v>1371</v>
      </c>
      <c r="C94" s="80" t="s">
        <v>1361</v>
      </c>
      <c r="D94" s="81" t="s">
        <v>1371</v>
      </c>
      <c r="E94" s="86" t="s">
        <v>1418</v>
      </c>
      <c r="F94" s="83" t="s">
        <v>277</v>
      </c>
      <c r="G94" s="84"/>
      <c r="H94" s="89">
        <f>807000</f>
        <v>807000</v>
      </c>
      <c r="I94" s="125"/>
    </row>
    <row r="95" spans="1:9" s="54" customFormat="1" ht="18" hidden="1" outlineLevel="1">
      <c r="A95" s="877" t="s">
        <v>1014</v>
      </c>
      <c r="B95" s="80" t="s">
        <v>1403</v>
      </c>
      <c r="C95" s="80" t="s">
        <v>1361</v>
      </c>
      <c r="D95" s="81" t="s">
        <v>1403</v>
      </c>
      <c r="E95" s="86" t="s">
        <v>1475</v>
      </c>
      <c r="F95" s="83" t="s">
        <v>271</v>
      </c>
      <c r="G95" s="84"/>
      <c r="H95" s="89">
        <f>4000000</f>
        <v>4000000</v>
      </c>
      <c r="I95" s="125"/>
    </row>
    <row r="96" spans="1:9" s="54" customFormat="1" ht="18" hidden="1" outlineLevel="1">
      <c r="A96" s="877" t="s">
        <v>1014</v>
      </c>
      <c r="B96" s="80" t="s">
        <v>1365</v>
      </c>
      <c r="C96" s="80" t="s">
        <v>1361</v>
      </c>
      <c r="D96" s="81" t="s">
        <v>1365</v>
      </c>
      <c r="E96" s="86" t="s">
        <v>1478</v>
      </c>
      <c r="F96" s="83" t="s">
        <v>271</v>
      </c>
      <c r="G96" s="84"/>
      <c r="H96" s="89">
        <f>150000</f>
        <v>150000</v>
      </c>
      <c r="I96" s="125"/>
    </row>
    <row r="97" spans="1:9" s="54" customFormat="1" ht="18" hidden="1" outlineLevel="1">
      <c r="A97" s="877" t="s">
        <v>1032</v>
      </c>
      <c r="B97" s="80" t="s">
        <v>1371</v>
      </c>
      <c r="C97" s="80" t="s">
        <v>1361</v>
      </c>
      <c r="D97" s="81" t="s">
        <v>1371</v>
      </c>
      <c r="E97" s="86" t="s">
        <v>1372</v>
      </c>
      <c r="F97" s="83" t="s">
        <v>271</v>
      </c>
      <c r="G97" s="84"/>
      <c r="H97" s="89">
        <f>60000</f>
        <v>60000</v>
      </c>
      <c r="I97" s="125"/>
    </row>
    <row r="98" spans="1:9" s="54" customFormat="1" ht="18" hidden="1" outlineLevel="1">
      <c r="A98" s="877" t="s">
        <v>1032</v>
      </c>
      <c r="B98" s="80" t="s">
        <v>1403</v>
      </c>
      <c r="C98" s="80" t="s">
        <v>1361</v>
      </c>
      <c r="D98" s="81" t="s">
        <v>1403</v>
      </c>
      <c r="E98" s="82" t="s">
        <v>1479</v>
      </c>
      <c r="F98" s="83" t="s">
        <v>271</v>
      </c>
      <c r="G98" s="84">
        <f>20000000</f>
        <v>20000000</v>
      </c>
      <c r="H98" s="85"/>
      <c r="I98" s="125"/>
    </row>
    <row r="99" spans="1:9" s="54" customFormat="1" ht="18" hidden="1" outlineLevel="1">
      <c r="A99" s="877" t="s">
        <v>1032</v>
      </c>
      <c r="B99" s="80" t="s">
        <v>1403</v>
      </c>
      <c r="C99" s="80" t="s">
        <v>1361</v>
      </c>
      <c r="D99" s="81" t="s">
        <v>1403</v>
      </c>
      <c r="E99" s="86" t="s">
        <v>1480</v>
      </c>
      <c r="F99" s="83" t="s">
        <v>271</v>
      </c>
      <c r="G99" s="84"/>
      <c r="H99" s="89">
        <f>10000000</f>
        <v>10000000</v>
      </c>
      <c r="I99" s="125"/>
    </row>
    <row r="100" spans="1:9" s="54" customFormat="1" ht="18" hidden="1" outlineLevel="1">
      <c r="A100" s="877" t="s">
        <v>408</v>
      </c>
      <c r="B100" s="80" t="s">
        <v>1374</v>
      </c>
      <c r="C100" s="80" t="s">
        <v>1361</v>
      </c>
      <c r="D100" s="81" t="s">
        <v>1374</v>
      </c>
      <c r="E100" s="86" t="s">
        <v>1481</v>
      </c>
      <c r="F100" s="83" t="s">
        <v>271</v>
      </c>
      <c r="G100" s="84"/>
      <c r="H100" s="89">
        <f>15000000</f>
        <v>15000000</v>
      </c>
      <c r="I100" s="125"/>
    </row>
    <row r="101" spans="1:9" s="54" customFormat="1" ht="18" hidden="1" outlineLevel="1">
      <c r="A101" s="877" t="s">
        <v>408</v>
      </c>
      <c r="B101" s="80" t="s">
        <v>1368</v>
      </c>
      <c r="C101" s="80" t="s">
        <v>1361</v>
      </c>
      <c r="D101" s="81" t="s">
        <v>1368</v>
      </c>
      <c r="E101" s="86" t="s">
        <v>1479</v>
      </c>
      <c r="F101" s="83" t="s">
        <v>271</v>
      </c>
      <c r="G101" s="84">
        <f>15000000</f>
        <v>15000000</v>
      </c>
      <c r="H101" s="89"/>
      <c r="I101" s="125"/>
    </row>
    <row r="102" spans="1:9" s="54" customFormat="1" ht="18" hidden="1" outlineLevel="1">
      <c r="A102" s="877" t="s">
        <v>408</v>
      </c>
      <c r="B102" s="80" t="s">
        <v>1368</v>
      </c>
      <c r="C102" s="80" t="s">
        <v>1361</v>
      </c>
      <c r="D102" s="81" t="s">
        <v>1368</v>
      </c>
      <c r="E102" s="86" t="s">
        <v>1482</v>
      </c>
      <c r="F102" s="83" t="s">
        <v>271</v>
      </c>
      <c r="G102" s="84"/>
      <c r="H102" s="89">
        <f>15000000</f>
        <v>15000000</v>
      </c>
      <c r="I102" s="125"/>
    </row>
    <row r="103" spans="1:9" ht="18" collapsed="1">
      <c r="A103" s="136" t="s">
        <v>70</v>
      </c>
      <c r="B103" s="137"/>
      <c r="C103" s="138" t="s">
        <v>1361</v>
      </c>
      <c r="D103" s="137"/>
      <c r="E103" s="139" t="s">
        <v>201</v>
      </c>
      <c r="F103" s="140"/>
      <c r="G103" s="141">
        <f>SUM(G40:G102)</f>
        <v>326631063</v>
      </c>
      <c r="H103" s="142">
        <f>SUM(H41:H102)</f>
        <v>255099400</v>
      </c>
      <c r="I103" s="157"/>
    </row>
    <row r="104" spans="1:9" ht="18.75" thickBot="1">
      <c r="A104" s="1968" t="s">
        <v>266</v>
      </c>
      <c r="B104" s="1969"/>
      <c r="C104" s="1969"/>
      <c r="D104" s="1969"/>
      <c r="E104" s="143"/>
      <c r="F104" s="144"/>
      <c r="G104" s="145">
        <f>G103-H103</f>
        <v>71531663</v>
      </c>
      <c r="H104" s="146"/>
      <c r="I104" s="158"/>
    </row>
    <row r="105" spans="1:9" s="54" customFormat="1" ht="18" hidden="1" outlineLevel="1">
      <c r="A105" s="880" t="s">
        <v>1483</v>
      </c>
      <c r="B105" s="80" t="s">
        <v>1406</v>
      </c>
      <c r="C105" s="80" t="s">
        <v>1361</v>
      </c>
      <c r="D105" s="81" t="s">
        <v>1406</v>
      </c>
      <c r="E105" s="82" t="s">
        <v>1484</v>
      </c>
      <c r="F105" s="83" t="s">
        <v>271</v>
      </c>
      <c r="G105" s="84"/>
      <c r="H105" s="84">
        <v>110000</v>
      </c>
      <c r="I105" s="159"/>
    </row>
    <row r="106" spans="1:9" s="54" customFormat="1" ht="18" hidden="1" outlineLevel="1">
      <c r="A106" s="880" t="s">
        <v>1485</v>
      </c>
      <c r="B106" s="80" t="s">
        <v>1386</v>
      </c>
      <c r="C106" s="80" t="s">
        <v>1361</v>
      </c>
      <c r="D106" s="81" t="s">
        <v>1362</v>
      </c>
      <c r="E106" s="82" t="s">
        <v>1486</v>
      </c>
      <c r="F106" s="83" t="s">
        <v>271</v>
      </c>
      <c r="G106" s="84"/>
      <c r="H106" s="85">
        <v>400000</v>
      </c>
      <c r="I106" s="159"/>
    </row>
    <row r="107" spans="1:9" s="54" customFormat="1" ht="18" hidden="1" outlineLevel="1">
      <c r="A107" s="880" t="s">
        <v>1487</v>
      </c>
      <c r="B107" s="80" t="s">
        <v>1371</v>
      </c>
      <c r="C107" s="80" t="s">
        <v>1361</v>
      </c>
      <c r="D107" s="81" t="s">
        <v>1371</v>
      </c>
      <c r="E107" s="82" t="s">
        <v>1418</v>
      </c>
      <c r="F107" s="83" t="s">
        <v>277</v>
      </c>
      <c r="G107" s="84"/>
      <c r="H107" s="85">
        <v>700000</v>
      </c>
      <c r="I107" s="159"/>
    </row>
    <row r="108" spans="1:9" s="54" customFormat="1" ht="18" hidden="1" outlineLevel="1">
      <c r="A108" s="880" t="s">
        <v>1488</v>
      </c>
      <c r="B108" s="80" t="s">
        <v>1489</v>
      </c>
      <c r="C108" s="80" t="s">
        <v>1361</v>
      </c>
      <c r="D108" s="81" t="s">
        <v>1489</v>
      </c>
      <c r="E108" s="82" t="s">
        <v>1490</v>
      </c>
      <c r="F108" s="83" t="s">
        <v>271</v>
      </c>
      <c r="G108" s="84"/>
      <c r="H108" s="85">
        <v>500000</v>
      </c>
      <c r="I108" s="159"/>
    </row>
    <row r="109" spans="1:9" s="54" customFormat="1" ht="18" hidden="1" outlineLevel="1">
      <c r="A109" s="880" t="s">
        <v>1491</v>
      </c>
      <c r="B109" s="80" t="s">
        <v>1368</v>
      </c>
      <c r="C109" s="80" t="s">
        <v>1361</v>
      </c>
      <c r="D109" s="81" t="s">
        <v>1368</v>
      </c>
      <c r="E109" s="82" t="s">
        <v>1492</v>
      </c>
      <c r="F109" s="83" t="s">
        <v>271</v>
      </c>
      <c r="G109" s="84"/>
      <c r="H109" s="85">
        <v>2600000</v>
      </c>
      <c r="I109" s="159"/>
    </row>
    <row r="110" spans="1:9" s="54" customFormat="1" ht="18" hidden="1" outlineLevel="1">
      <c r="A110" s="880" t="s">
        <v>1491</v>
      </c>
      <c r="B110" s="80" t="s">
        <v>1493</v>
      </c>
      <c r="C110" s="80" t="s">
        <v>1361</v>
      </c>
      <c r="D110" s="81" t="s">
        <v>1493</v>
      </c>
      <c r="E110" s="82" t="s">
        <v>1494</v>
      </c>
      <c r="F110" s="83" t="s">
        <v>271</v>
      </c>
      <c r="G110" s="84"/>
      <c r="H110" s="85">
        <v>500000</v>
      </c>
      <c r="I110" s="159"/>
    </row>
    <row r="111" spans="1:9" s="54" customFormat="1" ht="18" hidden="1" outlineLevel="1">
      <c r="A111" s="147" t="s">
        <v>1495</v>
      </c>
      <c r="B111" s="80" t="s">
        <v>1496</v>
      </c>
      <c r="C111" s="80" t="s">
        <v>1361</v>
      </c>
      <c r="D111" s="81" t="s">
        <v>1496</v>
      </c>
      <c r="E111" s="148" t="s">
        <v>1497</v>
      </c>
      <c r="F111" s="83" t="s">
        <v>271</v>
      </c>
      <c r="G111" s="84"/>
      <c r="H111" s="85">
        <v>2500000</v>
      </c>
      <c r="I111" s="159" t="s">
        <v>1498</v>
      </c>
    </row>
    <row r="112" spans="1:9" s="54" customFormat="1" ht="18" hidden="1" outlineLevel="1">
      <c r="A112" s="880" t="s">
        <v>1495</v>
      </c>
      <c r="B112" s="80" t="s">
        <v>1368</v>
      </c>
      <c r="C112" s="80" t="s">
        <v>1361</v>
      </c>
      <c r="D112" s="81" t="s">
        <v>1368</v>
      </c>
      <c r="E112" s="82" t="s">
        <v>1499</v>
      </c>
      <c r="F112" s="83" t="s">
        <v>271</v>
      </c>
      <c r="G112" s="84"/>
      <c r="H112" s="85">
        <v>7023000</v>
      </c>
      <c r="I112" s="159"/>
    </row>
    <row r="113" spans="1:9" s="54" customFormat="1" ht="18" hidden="1" outlineLevel="1">
      <c r="A113" s="880" t="s">
        <v>1495</v>
      </c>
      <c r="B113" s="80" t="s">
        <v>1500</v>
      </c>
      <c r="C113" s="80" t="s">
        <v>1361</v>
      </c>
      <c r="D113" s="81" t="s">
        <v>1501</v>
      </c>
      <c r="E113" s="82" t="s">
        <v>1502</v>
      </c>
      <c r="F113" s="83" t="s">
        <v>271</v>
      </c>
      <c r="G113" s="84"/>
      <c r="H113" s="85">
        <v>2500000</v>
      </c>
      <c r="I113" s="159"/>
    </row>
    <row r="114" spans="1:9" s="54" customFormat="1" ht="18" hidden="1" outlineLevel="1">
      <c r="A114" s="880" t="s">
        <v>1503</v>
      </c>
      <c r="B114" s="80" t="s">
        <v>1386</v>
      </c>
      <c r="C114" s="80" t="s">
        <v>1361</v>
      </c>
      <c r="D114" s="80" t="s">
        <v>1362</v>
      </c>
      <c r="E114" s="82" t="s">
        <v>1504</v>
      </c>
      <c r="F114" s="83"/>
      <c r="G114" s="149">
        <v>11700000</v>
      </c>
      <c r="H114" s="150"/>
      <c r="I114" s="159" t="s">
        <v>1505</v>
      </c>
    </row>
    <row r="115" spans="1:9" s="54" customFormat="1" ht="18" hidden="1" outlineLevel="1">
      <c r="A115" s="880" t="s">
        <v>1503</v>
      </c>
      <c r="B115" s="80" t="s">
        <v>1362</v>
      </c>
      <c r="C115" s="80" t="s">
        <v>1361</v>
      </c>
      <c r="D115" s="81" t="s">
        <v>1362</v>
      </c>
      <c r="E115" s="82" t="s">
        <v>1506</v>
      </c>
      <c r="F115" s="83" t="s">
        <v>271</v>
      </c>
      <c r="G115" s="84"/>
      <c r="H115" s="85">
        <v>50000</v>
      </c>
      <c r="I115" s="159" t="s">
        <v>1507</v>
      </c>
    </row>
    <row r="116" spans="1:9" s="54" customFormat="1" ht="18" hidden="1" outlineLevel="1">
      <c r="A116" s="880" t="s">
        <v>1508</v>
      </c>
      <c r="B116" s="80" t="s">
        <v>1368</v>
      </c>
      <c r="C116" s="80" t="s">
        <v>1361</v>
      </c>
      <c r="D116" s="81" t="s">
        <v>1368</v>
      </c>
      <c r="E116" s="82" t="s">
        <v>730</v>
      </c>
      <c r="F116" s="83" t="s">
        <v>271</v>
      </c>
      <c r="G116" s="84"/>
      <c r="H116" s="85">
        <v>3340000</v>
      </c>
      <c r="I116" s="159"/>
    </row>
    <row r="117" spans="1:9" s="54" customFormat="1" ht="18" hidden="1" outlineLevel="1">
      <c r="A117" s="880" t="s">
        <v>1509</v>
      </c>
      <c r="B117" s="80" t="s">
        <v>1362</v>
      </c>
      <c r="C117" s="80" t="s">
        <v>1361</v>
      </c>
      <c r="D117" s="81" t="s">
        <v>1362</v>
      </c>
      <c r="E117" s="82" t="s">
        <v>1510</v>
      </c>
      <c r="F117" s="83" t="s">
        <v>271</v>
      </c>
      <c r="G117" s="84"/>
      <c r="H117" s="85">
        <v>200000</v>
      </c>
      <c r="I117" s="159"/>
    </row>
    <row r="118" spans="1:9" s="54" customFormat="1" ht="18" hidden="1" outlineLevel="1">
      <c r="A118" s="880" t="s">
        <v>1511</v>
      </c>
      <c r="B118" s="80" t="s">
        <v>1371</v>
      </c>
      <c r="C118" s="80" t="s">
        <v>1361</v>
      </c>
      <c r="D118" s="81" t="s">
        <v>1371</v>
      </c>
      <c r="E118" s="82" t="s">
        <v>1418</v>
      </c>
      <c r="F118" s="83" t="s">
        <v>277</v>
      </c>
      <c r="G118" s="84"/>
      <c r="H118" s="85">
        <v>1014000</v>
      </c>
      <c r="I118" s="159" t="s">
        <v>1512</v>
      </c>
    </row>
    <row r="119" spans="1:9" s="54" customFormat="1" ht="18" hidden="1" outlineLevel="1">
      <c r="A119" s="880" t="s">
        <v>1511</v>
      </c>
      <c r="B119" s="80" t="s">
        <v>1368</v>
      </c>
      <c r="C119" s="80" t="s">
        <v>1361</v>
      </c>
      <c r="D119" s="81" t="s">
        <v>1368</v>
      </c>
      <c r="E119" s="86" t="s">
        <v>1474</v>
      </c>
      <c r="F119" s="83" t="s">
        <v>271</v>
      </c>
      <c r="G119" s="84"/>
      <c r="H119" s="89">
        <f>10000000</f>
        <v>10000000</v>
      </c>
      <c r="I119" s="159"/>
    </row>
    <row r="120" spans="1:9" s="54" customFormat="1" ht="18" hidden="1" outlineLevel="1">
      <c r="A120" s="880" t="s">
        <v>1511</v>
      </c>
      <c r="B120" s="80" t="s">
        <v>1500</v>
      </c>
      <c r="C120" s="80" t="s">
        <v>1361</v>
      </c>
      <c r="D120" s="81" t="s">
        <v>1501</v>
      </c>
      <c r="E120" s="86" t="s">
        <v>1514</v>
      </c>
      <c r="F120" s="83" t="s">
        <v>271</v>
      </c>
      <c r="G120" s="84"/>
      <c r="H120" s="87">
        <f>210800+151000</f>
        <v>361800</v>
      </c>
      <c r="I120" s="159"/>
    </row>
    <row r="121" spans="1:9" s="54" customFormat="1" ht="18" hidden="1" outlineLevel="1">
      <c r="A121" s="881" t="s">
        <v>1515</v>
      </c>
      <c r="B121" s="151" t="s">
        <v>1368</v>
      </c>
      <c r="C121" s="151" t="s">
        <v>1361</v>
      </c>
      <c r="D121" s="152" t="s">
        <v>1368</v>
      </c>
      <c r="E121" s="153" t="s">
        <v>1474</v>
      </c>
      <c r="F121" s="154" t="s">
        <v>271</v>
      </c>
      <c r="G121" s="155"/>
      <c r="H121" s="156">
        <f>10000000</f>
        <v>10000000</v>
      </c>
      <c r="I121" s="159" t="s">
        <v>1516</v>
      </c>
    </row>
    <row r="122" spans="1:9" s="54" customFormat="1" ht="18" hidden="1" outlineLevel="1">
      <c r="A122" s="880" t="s">
        <v>1517</v>
      </c>
      <c r="B122" s="80" t="s">
        <v>1368</v>
      </c>
      <c r="C122" s="80" t="s">
        <v>1361</v>
      </c>
      <c r="D122" s="81" t="s">
        <v>1368</v>
      </c>
      <c r="E122" s="82" t="s">
        <v>1518</v>
      </c>
      <c r="F122" s="83" t="s">
        <v>271</v>
      </c>
      <c r="G122" s="84"/>
      <c r="H122" s="85">
        <v>1560000</v>
      </c>
      <c r="I122" s="159"/>
    </row>
    <row r="123" spans="1:9" s="54" customFormat="1" ht="18" hidden="1" outlineLevel="1">
      <c r="A123" s="880" t="s">
        <v>1517</v>
      </c>
      <c r="B123" s="80" t="s">
        <v>1406</v>
      </c>
      <c r="C123" s="80" t="s">
        <v>1361</v>
      </c>
      <c r="D123" s="81" t="s">
        <v>1406</v>
      </c>
      <c r="E123" s="86" t="s">
        <v>1519</v>
      </c>
      <c r="F123" s="83" t="s">
        <v>271</v>
      </c>
      <c r="G123" s="84"/>
      <c r="H123" s="87">
        <v>583000</v>
      </c>
      <c r="I123" s="159" t="s">
        <v>1520</v>
      </c>
    </row>
    <row r="124" spans="1:9" s="54" customFormat="1" ht="18" hidden="1" outlineLevel="1">
      <c r="A124" s="880" t="s">
        <v>1517</v>
      </c>
      <c r="B124" s="80" t="s">
        <v>1362</v>
      </c>
      <c r="C124" s="80" t="s">
        <v>1361</v>
      </c>
      <c r="D124" s="81" t="s">
        <v>1362</v>
      </c>
      <c r="E124" s="82" t="s">
        <v>1510</v>
      </c>
      <c r="F124" s="83" t="s">
        <v>271</v>
      </c>
      <c r="G124" s="84"/>
      <c r="H124" s="85">
        <v>200000</v>
      </c>
      <c r="I124" s="159"/>
    </row>
    <row r="125" spans="1:9" s="54" customFormat="1" ht="18" hidden="1" outlineLevel="1">
      <c r="A125" s="880" t="s">
        <v>1521</v>
      </c>
      <c r="B125" s="80" t="s">
        <v>1500</v>
      </c>
      <c r="C125" s="80" t="s">
        <v>1361</v>
      </c>
      <c r="D125" s="81" t="s">
        <v>1501</v>
      </c>
      <c r="E125" s="88" t="s">
        <v>1522</v>
      </c>
      <c r="F125" s="83" t="s">
        <v>271</v>
      </c>
      <c r="G125" s="84"/>
      <c r="H125" s="87">
        <v>1000000</v>
      </c>
      <c r="I125" s="159"/>
    </row>
    <row r="126" spans="1:9" s="54" customFormat="1" ht="18" hidden="1" outlineLevel="1">
      <c r="A126" s="880" t="s">
        <v>1521</v>
      </c>
      <c r="B126" s="80" t="s">
        <v>1500</v>
      </c>
      <c r="C126" s="80" t="s">
        <v>1361</v>
      </c>
      <c r="D126" s="81" t="s">
        <v>1501</v>
      </c>
      <c r="E126" s="86" t="s">
        <v>1523</v>
      </c>
      <c r="F126" s="83" t="s">
        <v>271</v>
      </c>
      <c r="G126" s="84"/>
      <c r="H126" s="89">
        <v>478000</v>
      </c>
      <c r="I126" s="159"/>
    </row>
    <row r="127" spans="1:9" s="54" customFormat="1" ht="18" hidden="1" outlineLevel="1">
      <c r="A127" s="880" t="s">
        <v>1524</v>
      </c>
      <c r="B127" s="80" t="s">
        <v>1362</v>
      </c>
      <c r="C127" s="80" t="s">
        <v>1361</v>
      </c>
      <c r="D127" s="81" t="s">
        <v>1362</v>
      </c>
      <c r="E127" s="86" t="s">
        <v>1525</v>
      </c>
      <c r="F127" s="83" t="s">
        <v>271</v>
      </c>
      <c r="G127" s="84"/>
      <c r="H127" s="89">
        <v>200000</v>
      </c>
      <c r="I127" s="159"/>
    </row>
    <row r="128" spans="1:9" s="54" customFormat="1" ht="18" hidden="1" outlineLevel="1">
      <c r="A128" s="880" t="s">
        <v>1521</v>
      </c>
      <c r="B128" s="80" t="s">
        <v>1406</v>
      </c>
      <c r="C128" s="80" t="s">
        <v>1361</v>
      </c>
      <c r="D128" s="81" t="s">
        <v>1406</v>
      </c>
      <c r="E128" s="88" t="s">
        <v>1526</v>
      </c>
      <c r="F128" s="83" t="s">
        <v>277</v>
      </c>
      <c r="G128" s="84"/>
      <c r="H128" s="89">
        <v>2900000</v>
      </c>
      <c r="I128" s="159"/>
    </row>
    <row r="129" spans="1:9" s="54" customFormat="1" ht="18" hidden="1" outlineLevel="1">
      <c r="A129" s="880" t="s">
        <v>1527</v>
      </c>
      <c r="B129" s="80" t="s">
        <v>1371</v>
      </c>
      <c r="C129" s="80" t="s">
        <v>1361</v>
      </c>
      <c r="D129" s="81" t="s">
        <v>1371</v>
      </c>
      <c r="E129" s="86" t="s">
        <v>1528</v>
      </c>
      <c r="F129" s="83" t="s">
        <v>271</v>
      </c>
      <c r="G129" s="84"/>
      <c r="H129" s="89">
        <v>163000</v>
      </c>
      <c r="I129" s="159"/>
    </row>
    <row r="130" spans="1:9" s="54" customFormat="1" ht="18" hidden="1" outlineLevel="1">
      <c r="A130" s="880" t="s">
        <v>1527</v>
      </c>
      <c r="B130" s="80" t="s">
        <v>1362</v>
      </c>
      <c r="C130" s="80" t="s">
        <v>1361</v>
      </c>
      <c r="D130" s="81" t="s">
        <v>1362</v>
      </c>
      <c r="E130" s="82" t="s">
        <v>1484</v>
      </c>
      <c r="F130" s="83" t="s">
        <v>271</v>
      </c>
      <c r="G130" s="84"/>
      <c r="H130" s="85">
        <v>250000</v>
      </c>
      <c r="I130" s="159"/>
    </row>
    <row r="131" spans="1:9" s="54" customFormat="1" ht="18" hidden="1" outlineLevel="1">
      <c r="A131" s="880" t="s">
        <v>1529</v>
      </c>
      <c r="B131" s="80" t="s">
        <v>1374</v>
      </c>
      <c r="C131" s="80" t="s">
        <v>1361</v>
      </c>
      <c r="D131" s="81" t="s">
        <v>1374</v>
      </c>
      <c r="E131" s="82" t="s">
        <v>1530</v>
      </c>
      <c r="F131" s="83" t="s">
        <v>277</v>
      </c>
      <c r="G131" s="84"/>
      <c r="H131" s="89">
        <v>8800000</v>
      </c>
      <c r="I131" s="159"/>
    </row>
    <row r="132" spans="1:9" s="54" customFormat="1" ht="18" hidden="1" outlineLevel="1">
      <c r="A132" s="880" t="s">
        <v>1529</v>
      </c>
      <c r="B132" s="80" t="s">
        <v>1371</v>
      </c>
      <c r="C132" s="80" t="s">
        <v>1361</v>
      </c>
      <c r="D132" s="81" t="s">
        <v>1371</v>
      </c>
      <c r="E132" s="86" t="s">
        <v>1401</v>
      </c>
      <c r="F132" s="83" t="s">
        <v>277</v>
      </c>
      <c r="G132" s="84"/>
      <c r="H132" s="89">
        <v>1000000</v>
      </c>
      <c r="I132" s="159"/>
    </row>
    <row r="133" spans="1:9" s="54" customFormat="1" ht="18" hidden="1" outlineLevel="1">
      <c r="A133" s="880" t="s">
        <v>1531</v>
      </c>
      <c r="B133" s="80" t="s">
        <v>1386</v>
      </c>
      <c r="C133" s="80" t="s">
        <v>1361</v>
      </c>
      <c r="D133" s="81" t="s">
        <v>1386</v>
      </c>
      <c r="E133" s="82" t="s">
        <v>1532</v>
      </c>
      <c r="F133" s="83"/>
      <c r="G133" s="149">
        <v>6300000</v>
      </c>
      <c r="H133" s="160"/>
      <c r="I133" s="159"/>
    </row>
    <row r="134" spans="1:9" s="54" customFormat="1" ht="18" hidden="1" outlineLevel="1">
      <c r="A134" s="880" t="s">
        <v>1531</v>
      </c>
      <c r="B134" s="80" t="s">
        <v>1533</v>
      </c>
      <c r="C134" s="80" t="s">
        <v>1361</v>
      </c>
      <c r="D134" s="81" t="s">
        <v>1386</v>
      </c>
      <c r="E134" s="82" t="s">
        <v>1534</v>
      </c>
      <c r="F134" s="83"/>
      <c r="G134" s="84"/>
      <c r="H134" s="89">
        <v>200000</v>
      </c>
      <c r="I134" s="159"/>
    </row>
    <row r="135" spans="1:9" s="54" customFormat="1" ht="18" hidden="1" outlineLevel="1">
      <c r="A135" s="880" t="s">
        <v>1531</v>
      </c>
      <c r="B135" s="80" t="s">
        <v>1362</v>
      </c>
      <c r="C135" s="80" t="s">
        <v>1361</v>
      </c>
      <c r="D135" s="81" t="s">
        <v>1362</v>
      </c>
      <c r="E135" s="86" t="s">
        <v>1535</v>
      </c>
      <c r="F135" s="83"/>
      <c r="G135" s="84"/>
      <c r="H135" s="89">
        <v>50000</v>
      </c>
      <c r="I135" s="159" t="s">
        <v>1507</v>
      </c>
    </row>
    <row r="136" spans="1:9" s="54" customFormat="1" ht="18" hidden="1" outlineLevel="1">
      <c r="A136" s="880" t="s">
        <v>1536</v>
      </c>
      <c r="B136" s="80" t="s">
        <v>1500</v>
      </c>
      <c r="C136" s="80" t="s">
        <v>1361</v>
      </c>
      <c r="D136" s="81" t="s">
        <v>1501</v>
      </c>
      <c r="E136" s="86" t="s">
        <v>1523</v>
      </c>
      <c r="F136" s="83" t="s">
        <v>271</v>
      </c>
      <c r="G136" s="84"/>
      <c r="H136" s="89">
        <f>108000+95000</f>
        <v>203000</v>
      </c>
      <c r="I136" s="159"/>
    </row>
    <row r="137" spans="1:9" s="54" customFormat="1" ht="18" hidden="1" outlineLevel="1">
      <c r="A137" s="880" t="s">
        <v>1536</v>
      </c>
      <c r="B137" s="80" t="s">
        <v>1406</v>
      </c>
      <c r="C137" s="80" t="s">
        <v>1361</v>
      </c>
      <c r="D137" s="81" t="s">
        <v>1406</v>
      </c>
      <c r="E137" s="86" t="s">
        <v>1537</v>
      </c>
      <c r="F137" s="83" t="s">
        <v>271</v>
      </c>
      <c r="G137" s="84"/>
      <c r="H137" s="89">
        <v>150000</v>
      </c>
      <c r="I137" s="159"/>
    </row>
    <row r="138" spans="1:9" s="58" customFormat="1" ht="18" hidden="1" outlineLevel="1">
      <c r="A138" s="161"/>
      <c r="B138" s="162"/>
      <c r="C138" s="162"/>
      <c r="D138" s="163"/>
      <c r="E138" s="134"/>
      <c r="F138" s="83"/>
      <c r="G138" s="84"/>
      <c r="H138" s="89"/>
      <c r="I138" s="219"/>
    </row>
    <row r="139" spans="1:9" ht="18" collapsed="1">
      <c r="A139" s="136" t="s">
        <v>101</v>
      </c>
      <c r="B139" s="137"/>
      <c r="C139" s="138" t="s">
        <v>1361</v>
      </c>
      <c r="D139" s="137"/>
      <c r="E139" s="139" t="s">
        <v>490</v>
      </c>
      <c r="F139" s="140"/>
      <c r="G139" s="141">
        <f>SUM(G104:G138)</f>
        <v>89531663</v>
      </c>
      <c r="H139" s="142">
        <f>SUM(H105:H138)</f>
        <v>59535800</v>
      </c>
      <c r="I139" s="157"/>
    </row>
    <row r="140" spans="1:9" ht="18.75">
      <c r="A140" s="164" t="s">
        <v>266</v>
      </c>
      <c r="B140" s="165"/>
      <c r="C140" s="165"/>
      <c r="D140" s="165"/>
      <c r="E140" s="166"/>
      <c r="F140" s="167"/>
      <c r="G140" s="168">
        <f>G139-H139</f>
        <v>29995863</v>
      </c>
      <c r="H140" s="169"/>
      <c r="I140" s="220"/>
    </row>
    <row r="141" spans="1:9" s="59" customFormat="1" ht="18" outlineLevel="1">
      <c r="A141" s="882" t="s">
        <v>497</v>
      </c>
      <c r="B141" s="170" t="s">
        <v>1403</v>
      </c>
      <c r="C141" s="170" t="s">
        <v>1361</v>
      </c>
      <c r="D141" s="171" t="s">
        <v>1403</v>
      </c>
      <c r="E141" s="172" t="s">
        <v>1538</v>
      </c>
      <c r="F141" s="173" t="s">
        <v>271</v>
      </c>
      <c r="G141" s="174"/>
      <c r="H141" s="175">
        <f>10000000</f>
        <v>10000000</v>
      </c>
      <c r="I141" s="221"/>
    </row>
    <row r="142" spans="1:9" s="59" customFormat="1" ht="18" outlineLevel="1">
      <c r="A142" s="882" t="s">
        <v>497</v>
      </c>
      <c r="B142" s="170" t="s">
        <v>1368</v>
      </c>
      <c r="C142" s="170" t="s">
        <v>1361</v>
      </c>
      <c r="D142" s="171" t="s">
        <v>1368</v>
      </c>
      <c r="E142" s="172" t="s">
        <v>1539</v>
      </c>
      <c r="F142" s="173" t="s">
        <v>271</v>
      </c>
      <c r="G142" s="174"/>
      <c r="H142" s="175">
        <f>10000000</f>
        <v>10000000</v>
      </c>
      <c r="I142" s="221"/>
    </row>
    <row r="143" spans="1:9" s="59" customFormat="1" ht="18" outlineLevel="1">
      <c r="A143" s="882" t="s">
        <v>497</v>
      </c>
      <c r="B143" s="170" t="s">
        <v>1403</v>
      </c>
      <c r="C143" s="170" t="s">
        <v>1361</v>
      </c>
      <c r="D143" s="171" t="s">
        <v>1403</v>
      </c>
      <c r="E143" s="172" t="s">
        <v>1540</v>
      </c>
      <c r="F143" s="173" t="s">
        <v>271</v>
      </c>
      <c r="G143" s="174"/>
      <c r="H143" s="175">
        <f>4000000</f>
        <v>4000000</v>
      </c>
      <c r="I143" s="221"/>
    </row>
    <row r="144" spans="1:9" s="59" customFormat="1" ht="18" outlineLevel="1">
      <c r="A144" s="882" t="s">
        <v>1541</v>
      </c>
      <c r="B144" s="170" t="s">
        <v>1403</v>
      </c>
      <c r="C144" s="170" t="s">
        <v>1361</v>
      </c>
      <c r="D144" s="171" t="s">
        <v>1403</v>
      </c>
      <c r="E144" s="176" t="s">
        <v>1542</v>
      </c>
      <c r="F144" s="173" t="s">
        <v>271</v>
      </c>
      <c r="G144" s="174"/>
      <c r="H144" s="177">
        <v>95000</v>
      </c>
      <c r="I144" s="221"/>
    </row>
    <row r="145" spans="1:9" s="59" customFormat="1" ht="18" outlineLevel="1">
      <c r="A145" s="882" t="s">
        <v>502</v>
      </c>
      <c r="B145" s="170" t="s">
        <v>1403</v>
      </c>
      <c r="C145" s="170" t="s">
        <v>1361</v>
      </c>
      <c r="D145" s="171" t="s">
        <v>1403</v>
      </c>
      <c r="E145" s="176" t="s">
        <v>1542</v>
      </c>
      <c r="F145" s="173" t="s">
        <v>271</v>
      </c>
      <c r="G145" s="174"/>
      <c r="H145" s="177">
        <v>79000</v>
      </c>
      <c r="I145" s="221"/>
    </row>
    <row r="146" spans="1:9" s="59" customFormat="1" ht="18" outlineLevel="1">
      <c r="A146" s="882" t="s">
        <v>1340</v>
      </c>
      <c r="B146" s="170" t="s">
        <v>1406</v>
      </c>
      <c r="C146" s="170" t="s">
        <v>1361</v>
      </c>
      <c r="D146" s="178" t="s">
        <v>1406</v>
      </c>
      <c r="E146" s="176" t="s">
        <v>1543</v>
      </c>
      <c r="F146" s="173" t="s">
        <v>271</v>
      </c>
      <c r="G146" s="174"/>
      <c r="H146" s="177">
        <v>202000</v>
      </c>
      <c r="I146" s="221"/>
    </row>
    <row r="147" spans="1:9" s="59" customFormat="1" ht="18" outlineLevel="1">
      <c r="A147" s="882" t="s">
        <v>1340</v>
      </c>
      <c r="B147" s="170" t="s">
        <v>1406</v>
      </c>
      <c r="C147" s="170" t="s">
        <v>1361</v>
      </c>
      <c r="D147" s="178" t="s">
        <v>1406</v>
      </c>
      <c r="E147" s="176" t="s">
        <v>1544</v>
      </c>
      <c r="F147" s="173" t="s">
        <v>271</v>
      </c>
      <c r="G147" s="174"/>
      <c r="H147" s="177">
        <v>11000</v>
      </c>
      <c r="I147" s="221"/>
    </row>
    <row r="148" spans="1:9" s="59" customFormat="1" ht="18" outlineLevel="1">
      <c r="A148" s="882" t="s">
        <v>1340</v>
      </c>
      <c r="B148" s="170" t="s">
        <v>1545</v>
      </c>
      <c r="C148" s="170" t="s">
        <v>1361</v>
      </c>
      <c r="D148" s="178" t="s">
        <v>1545</v>
      </c>
      <c r="E148" s="176" t="s">
        <v>1418</v>
      </c>
      <c r="F148" s="173" t="s">
        <v>1546</v>
      </c>
      <c r="G148" s="174"/>
      <c r="H148" s="177">
        <v>1000000</v>
      </c>
      <c r="I148" s="221"/>
    </row>
    <row r="149" spans="1:9" s="60" customFormat="1" ht="18.75" outlineLevel="1">
      <c r="A149" s="883" t="s">
        <v>1547</v>
      </c>
      <c r="B149" s="180" t="s">
        <v>1545</v>
      </c>
      <c r="C149" s="180" t="s">
        <v>1361</v>
      </c>
      <c r="D149" s="180" t="s">
        <v>1545</v>
      </c>
      <c r="E149" s="181" t="s">
        <v>1418</v>
      </c>
      <c r="F149" s="182" t="s">
        <v>1548</v>
      </c>
      <c r="G149" s="183"/>
      <c r="H149" s="184">
        <v>1000000</v>
      </c>
      <c r="I149" s="222"/>
    </row>
    <row r="150" spans="1:9" s="60" customFormat="1" ht="18.75" outlineLevel="1">
      <c r="A150" s="883" t="s">
        <v>1547</v>
      </c>
      <c r="B150" s="180" t="s">
        <v>1549</v>
      </c>
      <c r="C150" s="180" t="s">
        <v>1361</v>
      </c>
      <c r="D150" s="180" t="s">
        <v>1549</v>
      </c>
      <c r="E150" s="181" t="s">
        <v>1428</v>
      </c>
      <c r="F150" s="182" t="s">
        <v>271</v>
      </c>
      <c r="G150" s="183"/>
      <c r="H150" s="184">
        <v>500000</v>
      </c>
      <c r="I150" s="222"/>
    </row>
    <row r="151" spans="1:9" s="59" customFormat="1" ht="18" outlineLevel="1">
      <c r="A151" s="882" t="s">
        <v>1547</v>
      </c>
      <c r="B151" s="170" t="s">
        <v>1406</v>
      </c>
      <c r="C151" s="170" t="s">
        <v>1361</v>
      </c>
      <c r="D151" s="170" t="s">
        <v>1406</v>
      </c>
      <c r="E151" s="176" t="s">
        <v>1550</v>
      </c>
      <c r="F151" s="173" t="s">
        <v>271</v>
      </c>
      <c r="G151" s="185"/>
      <c r="H151" s="177">
        <v>120000</v>
      </c>
      <c r="I151" s="221"/>
    </row>
    <row r="152" spans="1:9" s="60" customFormat="1" ht="18.75" outlineLevel="1">
      <c r="A152" s="883" t="s">
        <v>1348</v>
      </c>
      <c r="B152" s="180" t="s">
        <v>1545</v>
      </c>
      <c r="C152" s="180" t="s">
        <v>1361</v>
      </c>
      <c r="D152" s="180" t="s">
        <v>1545</v>
      </c>
      <c r="E152" s="181" t="s">
        <v>1551</v>
      </c>
      <c r="F152" s="182" t="s">
        <v>271</v>
      </c>
      <c r="G152" s="183"/>
      <c r="H152" s="184">
        <v>2832000</v>
      </c>
      <c r="I152" s="222"/>
    </row>
    <row r="153" spans="1:9" s="60" customFormat="1" ht="18.75" outlineLevel="1">
      <c r="A153" s="883" t="s">
        <v>506</v>
      </c>
      <c r="B153" s="180" t="s">
        <v>1545</v>
      </c>
      <c r="C153" s="180" t="s">
        <v>1361</v>
      </c>
      <c r="D153" s="180" t="s">
        <v>1545</v>
      </c>
      <c r="E153" s="181" t="s">
        <v>1552</v>
      </c>
      <c r="F153" s="182" t="s">
        <v>271</v>
      </c>
      <c r="G153" s="183"/>
      <c r="H153" s="184">
        <v>1960000</v>
      </c>
      <c r="I153" s="222"/>
    </row>
    <row r="154" spans="1:9" s="60" customFormat="1" ht="18.75" outlineLevel="1">
      <c r="A154" s="883" t="s">
        <v>506</v>
      </c>
      <c r="B154" s="180" t="s">
        <v>1545</v>
      </c>
      <c r="C154" s="180" t="s">
        <v>1361</v>
      </c>
      <c r="D154" s="180" t="s">
        <v>1545</v>
      </c>
      <c r="E154" s="181" t="s">
        <v>1418</v>
      </c>
      <c r="F154" s="182" t="s">
        <v>1548</v>
      </c>
      <c r="G154" s="183"/>
      <c r="H154" s="184">
        <v>1000000</v>
      </c>
      <c r="I154" s="222"/>
    </row>
    <row r="155" spans="1:9" s="60" customFormat="1" ht="18.75" outlineLevel="1">
      <c r="A155" s="883" t="s">
        <v>508</v>
      </c>
      <c r="B155" s="180" t="s">
        <v>1374</v>
      </c>
      <c r="C155" s="180" t="s">
        <v>1361</v>
      </c>
      <c r="D155" s="180" t="s">
        <v>1374</v>
      </c>
      <c r="E155" s="181" t="s">
        <v>1553</v>
      </c>
      <c r="F155" s="182" t="s">
        <v>271</v>
      </c>
      <c r="G155" s="183"/>
      <c r="H155" s="184">
        <v>1000000</v>
      </c>
      <c r="I155" s="222"/>
    </row>
    <row r="156" spans="1:9" s="59" customFormat="1" ht="18" outlineLevel="1">
      <c r="A156" s="882" t="s">
        <v>502</v>
      </c>
      <c r="B156" s="170" t="s">
        <v>1554</v>
      </c>
      <c r="C156" s="170" t="s">
        <v>1361</v>
      </c>
      <c r="D156" s="171" t="s">
        <v>304</v>
      </c>
      <c r="E156" s="172" t="s">
        <v>1399</v>
      </c>
      <c r="F156" s="173"/>
      <c r="G156" s="186">
        <v>20000000</v>
      </c>
      <c r="H156" s="187"/>
      <c r="I156" s="221"/>
    </row>
    <row r="157" spans="1:9" s="59" customFormat="1" ht="18" outlineLevel="1">
      <c r="A157" s="882" t="s">
        <v>1210</v>
      </c>
      <c r="B157" s="170" t="s">
        <v>1406</v>
      </c>
      <c r="C157" s="170" t="s">
        <v>1361</v>
      </c>
      <c r="D157" s="171" t="s">
        <v>1406</v>
      </c>
      <c r="E157" s="176" t="s">
        <v>1555</v>
      </c>
      <c r="F157" s="173"/>
      <c r="G157" s="174"/>
      <c r="H157" s="177">
        <v>505000</v>
      </c>
      <c r="I157" s="221"/>
    </row>
    <row r="158" spans="1:9" s="60" customFormat="1" ht="18" outlineLevel="1">
      <c r="A158" s="1582" t="s">
        <v>1615</v>
      </c>
      <c r="B158" s="1579" t="s">
        <v>1406</v>
      </c>
      <c r="C158" s="1579" t="s">
        <v>1361</v>
      </c>
      <c r="D158" s="1580" t="s">
        <v>1406</v>
      </c>
      <c r="E158" s="1578" t="s">
        <v>2063</v>
      </c>
      <c r="F158" s="1576"/>
      <c r="G158" s="1577"/>
      <c r="H158" s="1581">
        <v>795000</v>
      </c>
      <c r="I158" s="1575" t="s">
        <v>2064</v>
      </c>
    </row>
    <row r="159" spans="1:9" s="60" customFormat="1" ht="18.75" outlineLevel="1">
      <c r="A159" s="179"/>
      <c r="B159" s="180"/>
      <c r="C159" s="180"/>
      <c r="D159" s="180"/>
      <c r="E159" s="188"/>
      <c r="F159" s="189"/>
      <c r="G159" s="190"/>
      <c r="H159" s="191"/>
      <c r="I159" s="222"/>
    </row>
    <row r="160" spans="1:9" s="60" customFormat="1" ht="19.5" thickBot="1">
      <c r="A160" s="192" t="s">
        <v>256</v>
      </c>
      <c r="B160" s="193"/>
      <c r="C160" s="193"/>
      <c r="D160" s="193"/>
      <c r="E160" s="194" t="s">
        <v>31</v>
      </c>
      <c r="F160" s="195"/>
      <c r="G160" s="196">
        <f>SUM(G140:G159)</f>
        <v>49995863</v>
      </c>
      <c r="H160" s="197">
        <f>SUM(H141:H159)</f>
        <v>35099000</v>
      </c>
      <c r="I160" s="223"/>
    </row>
    <row r="161" spans="1:78" s="60" customFormat="1" ht="18.75">
      <c r="A161" s="198"/>
      <c r="B161" s="199"/>
      <c r="C161" s="199"/>
      <c r="D161" s="199"/>
      <c r="E161" s="200" t="s">
        <v>257</v>
      </c>
      <c r="F161" s="201"/>
      <c r="G161" s="202">
        <f>G160-G140</f>
        <v>20000000</v>
      </c>
      <c r="H161" s="203">
        <f>G160-H160</f>
        <v>14896863</v>
      </c>
      <c r="I161" s="224"/>
    </row>
    <row r="162" spans="1:78" s="60" customFormat="1" ht="18.75">
      <c r="A162" s="204"/>
      <c r="B162" s="204"/>
      <c r="C162" s="204"/>
      <c r="D162" s="204"/>
      <c r="E162" s="205"/>
      <c r="F162" s="206"/>
      <c r="G162" s="207"/>
      <c r="H162" s="208"/>
      <c r="I162" s="225"/>
    </row>
    <row r="163" spans="1:78" s="60" customFormat="1" ht="18.75">
      <c r="A163" s="204"/>
      <c r="B163" s="204"/>
      <c r="C163" s="204"/>
      <c r="D163" s="204"/>
      <c r="E163" s="205"/>
      <c r="F163" s="206"/>
      <c r="G163" s="207"/>
      <c r="H163" s="208"/>
      <c r="I163" s="225"/>
    </row>
    <row r="164" spans="1:78" s="60" customFormat="1" ht="18.75">
      <c r="A164" s="204"/>
      <c r="B164" s="204"/>
      <c r="C164" s="204"/>
      <c r="D164" s="204"/>
      <c r="E164" s="205"/>
      <c r="F164" s="209" t="s">
        <v>556</v>
      </c>
      <c r="G164" s="210">
        <f>H161</f>
        <v>14896863</v>
      </c>
      <c r="H164" s="208"/>
      <c r="I164" s="225"/>
    </row>
    <row r="165" spans="1:78" s="60" customFormat="1" ht="18.75">
      <c r="A165" s="204"/>
      <c r="B165" s="204"/>
      <c r="C165" s="204"/>
      <c r="D165" s="204"/>
      <c r="E165" s="205"/>
      <c r="F165" s="211" t="s">
        <v>228</v>
      </c>
      <c r="G165" s="212"/>
      <c r="H165" s="208"/>
      <c r="I165" s="225"/>
    </row>
    <row r="166" spans="1:78" s="60" customFormat="1" ht="18.75">
      <c r="A166" s="204"/>
      <c r="B166" s="204"/>
      <c r="C166" s="204"/>
      <c r="D166" s="204"/>
      <c r="E166" s="205"/>
      <c r="F166" s="213" t="s">
        <v>31</v>
      </c>
      <c r="G166" s="214">
        <f>H161</f>
        <v>14896863</v>
      </c>
      <c r="H166" s="208"/>
      <c r="I166" s="225"/>
    </row>
    <row r="167" spans="1:78" s="60" customFormat="1" ht="18.75">
      <c r="A167" s="204"/>
      <c r="B167" s="204"/>
      <c r="C167" s="204"/>
      <c r="D167" s="204"/>
      <c r="E167" s="205"/>
      <c r="F167" s="206"/>
      <c r="G167" s="207"/>
      <c r="H167" s="208"/>
      <c r="I167" s="225"/>
    </row>
    <row r="168" spans="1:78" s="61" customFormat="1" ht="18.75" customHeight="1">
      <c r="E168" s="215"/>
      <c r="H168" s="216"/>
      <c r="I168" s="225"/>
    </row>
    <row r="169" spans="1:78" s="62" customFormat="1" ht="27.75" customHeight="1">
      <c r="A169" s="61"/>
      <c r="B169" s="61"/>
      <c r="D169" s="61"/>
      <c r="E169" s="215"/>
      <c r="I169" s="226"/>
    </row>
    <row r="170" spans="1:78" s="62" customFormat="1" ht="27.75" customHeight="1">
      <c r="A170" s="61"/>
      <c r="B170" s="61"/>
      <c r="D170" s="61"/>
      <c r="E170" s="215"/>
      <c r="I170" s="226"/>
    </row>
    <row r="171" spans="1:78" s="62" customFormat="1" ht="27.75" customHeight="1">
      <c r="D171" s="61"/>
      <c r="E171" s="217"/>
      <c r="I171" s="225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</row>
    <row r="172" spans="1:78" s="61" customFormat="1" ht="18" customHeight="1">
      <c r="E172" s="215"/>
      <c r="G172" s="218" t="s">
        <v>512</v>
      </c>
      <c r="I172" s="225"/>
    </row>
    <row r="173" spans="1:78" s="60" customFormat="1"/>
    <row r="174" spans="1:78" s="60" customFormat="1"/>
    <row r="175" spans="1:78" s="60" customFormat="1"/>
    <row r="176" spans="1:78" s="60" customFormat="1"/>
    <row r="177" s="60" customFormat="1"/>
    <row r="178" s="60" customFormat="1"/>
  </sheetData>
  <mergeCells count="4">
    <mergeCell ref="A1:F1"/>
    <mergeCell ref="A2:F2"/>
    <mergeCell ref="A3:B3"/>
    <mergeCell ref="A104:D104"/>
  </mergeCells>
  <pageMargins left="0.75" right="0.75" top="1" bottom="1" header="0.51180555555555596" footer="0.51180555555555596"/>
  <pageSetup paperSize="8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2018 REPORT</vt:lpstr>
      <vt:lpstr>GENERAL CASH BL</vt:lpstr>
      <vt:lpstr>HCM OFFICE CASH</vt:lpstr>
      <vt:lpstr>YOUJIN HP H2</vt:lpstr>
      <vt:lpstr>KUALA </vt:lpstr>
      <vt:lpstr>MRO</vt:lpstr>
      <vt:lpstr>DAWON H1</vt:lpstr>
      <vt:lpstr>AEON MALL II</vt:lpstr>
      <vt:lpstr>YOUJIN INNOTEK</vt:lpstr>
      <vt:lpstr>DOMITORY</vt:lpstr>
      <vt:lpstr>MR.SHIN</vt:lpstr>
      <vt:lpstr>'DAWON H1'!Print_Area</vt:lpstr>
      <vt:lpstr>MRO!Print_Area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2018-02-23T09:59:00Z</dcterms:created>
  <dcterms:modified xsi:type="dcterms:W3CDTF">2018-08-26T09:37:56Z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  <property fmtid="{D5CDD505-2E9C-101B-9397-08002B2CF9AE}" pid="3" name="KSOReadingLayout">
    <vt:bool>false</vt:bool>
  </property>
</Properties>
</file>